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comments1.xml" ContentType="application/vnd.openxmlformats-officedocument.spreadsheetml.comments+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comments2.xml" ContentType="application/vnd.openxmlformats-officedocument.spreadsheetml.comments+xml"/>
  <Override PartName="/xl/drawings/drawing52.xml" ContentType="application/vnd.openxmlformats-officedocument.drawing+xml"/>
  <Override PartName="/xl/comments3.xml" ContentType="application/vnd.openxmlformats-officedocument.spreadsheetml.comments+xml"/>
  <Override PartName="/xl/drawings/drawing53.xml" ContentType="application/vnd.openxmlformats-officedocument.drawing+xml"/>
  <Override PartName="/xl/comments4.xml" ContentType="application/vnd.openxmlformats-officedocument.spreadsheetml.comments+xml"/>
  <Override PartName="/xl/drawings/drawing54.xml" ContentType="application/vnd.openxmlformats-officedocument.drawing+xml"/>
  <Override PartName="/xl/comments5.xml" ContentType="application/vnd.openxmlformats-officedocument.spreadsheetml.comments+xml"/>
  <Override PartName="/xl/drawings/drawing55.xml" ContentType="application/vnd.openxmlformats-officedocument.drawing+xml"/>
  <Override PartName="/xl/drawings/drawing56.xml" ContentType="application/vnd.openxmlformats-officedocument.drawing+xml"/>
  <Override PartName="/xl/comments6.xml" ContentType="application/vnd.openxmlformats-officedocument.spreadsheetml.comments+xml"/>
  <Override PartName="/xl/drawings/drawing57.xml" ContentType="application/vnd.openxmlformats-officedocument.drawing+xml"/>
  <Override PartName="/xl/comments7.xml" ContentType="application/vnd.openxmlformats-officedocument.spreadsheetml.comments+xml"/>
  <Override PartName="/xl/drawings/drawing58.xml" ContentType="application/vnd.openxmlformats-officedocument.drawing+xml"/>
  <Override PartName="/xl/drawings/drawing59.xml" ContentType="application/vnd.openxmlformats-officedocument.drawing+xml"/>
  <Override PartName="/xl/comments8.xml" ContentType="application/vnd.openxmlformats-officedocument.spreadsheetml.comments+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showInkAnnotation="0" codeName="ThisWorkbook"/>
  <bookViews>
    <workbookView xWindow="0" yWindow="0" windowWidth="19440" windowHeight="6780" firstSheet="19" activeTab="19"/>
  </bookViews>
  <sheets>
    <sheet name="辅助表" sheetId="49" state="veryHidden" r:id="rId1"/>
    <sheet name="开始" sheetId="42" state="hidden" r:id="rId2"/>
    <sheet name="档案封面" sheetId="155" state="hidden" r:id="rId3"/>
    <sheet name="待办事项" sheetId="72" state="hidden" r:id="rId4"/>
    <sheet name="签发单" sheetId="74" state="hidden" r:id="rId5"/>
    <sheet name="三级复核" sheetId="75" state="hidden" r:id="rId6"/>
    <sheet name="业务约定" sheetId="76" state="hidden" r:id="rId7"/>
    <sheet name="税审收费标准" sheetId="77" state="hidden" r:id="rId8"/>
    <sheet name="当局声明" sheetId="78" state="hidden" r:id="rId9"/>
    <sheet name="计划" sheetId="79" state="hidden" r:id="rId10"/>
    <sheet name="内控" sheetId="80" state="hidden" r:id="rId11"/>
    <sheet name="审核问卷" sheetId="81" state="hidden" r:id="rId12"/>
    <sheet name="重大问题" sheetId="82" state="hidden" r:id="rId13"/>
    <sheet name="交换意见" sheetId="83" state="hidden" r:id="rId14"/>
    <sheet name="资料清单" sheetId="84" state="hidden" r:id="rId15"/>
    <sheet name="审核标识" sheetId="85" state="hidden" r:id="rId16"/>
    <sheet name="盘点表" sheetId="86" state="hidden" r:id="rId17"/>
    <sheet name="通用记录" sheetId="87" state="hidden" r:id="rId18"/>
    <sheet name="使用说明" sheetId="89" state="hidden" r:id="rId19"/>
    <sheet name="基本情况" sheetId="47" r:id="rId20"/>
    <sheet name="资产负债表" sheetId="50" state="hidden" r:id="rId21"/>
    <sheet name="利润表" sheetId="51" state="hidden" r:id="rId22"/>
    <sheet name="余额表" sheetId="52" state="hidden" r:id="rId23"/>
    <sheet name="检查表" sheetId="148" state="hidden" r:id="rId24"/>
    <sheet name="凭证检查" sheetId="88" state="hidden" r:id="rId25"/>
    <sheet name="货币资金" sheetId="55" state="hidden" r:id="rId26"/>
    <sheet name="现金证明" sheetId="56" state="hidden" r:id="rId27"/>
    <sheet name="银行调节" sheetId="57" state="hidden" r:id="rId28"/>
    <sheet name="应收" sheetId="58" state="hidden" r:id="rId29"/>
    <sheet name="预付" sheetId="59" state="hidden" r:id="rId30"/>
    <sheet name="其他应收" sheetId="60" state="hidden" r:id="rId31"/>
    <sheet name="存货" sheetId="61" state="hidden" r:id="rId32"/>
    <sheet name="待摊预提" sheetId="62" state="hidden" r:id="rId33"/>
    <sheet name="在建工程" sheetId="63" state="hidden" r:id="rId34"/>
    <sheet name="对外投资" sheetId="64" state="hidden" r:id="rId35"/>
    <sheet name="应付" sheetId="65" state="hidden" r:id="rId36"/>
    <sheet name="预收" sheetId="66" state="hidden" r:id="rId37"/>
    <sheet name="其他应付" sheetId="67" state="hidden" r:id="rId38"/>
    <sheet name="借款" sheetId="68" state="hidden" r:id="rId39"/>
    <sheet name="实收公积" sheetId="69" state="hidden" r:id="rId40"/>
    <sheet name="未分利润" sheetId="70" state="hidden" r:id="rId41"/>
    <sheet name="主营收支" sheetId="71" state="hidden" r:id="rId42"/>
    <sheet name="其他业务" sheetId="141" state="hidden" r:id="rId43"/>
    <sheet name="应交税费" sheetId="53" state="hidden" r:id="rId44"/>
    <sheet name="收入与申报核对表" sheetId="134" state="hidden" r:id="rId45"/>
    <sheet name="毛利分析" sheetId="135" state="hidden" r:id="rId46"/>
    <sheet name="制造费用、生产成本" sheetId="136" state="hidden" r:id="rId47"/>
    <sheet name="成本倒轧" sheetId="137" state="hidden" r:id="rId48"/>
    <sheet name="存货计价测试" sheetId="138" state="hidden" r:id="rId49"/>
    <sheet name="税金附加" sheetId="139" state="hidden" r:id="rId50"/>
    <sheet name="税费缴纳测算" sheetId="140" state="hidden" r:id="rId51"/>
    <sheet name="销售费用" sheetId="142" state="hidden" r:id="rId52"/>
    <sheet name="管理费用" sheetId="143" state="hidden" r:id="rId53"/>
    <sheet name="财务费用" sheetId="144" state="hidden" r:id="rId54"/>
    <sheet name="营外收支" sheetId="145" state="hidden" r:id="rId55"/>
    <sheet name="招待" sheetId="91" state="hidden" r:id="rId56"/>
    <sheet name="固资折旧" sheetId="92" state="hidden" r:id="rId57"/>
    <sheet name="折旧测算" sheetId="93" state="hidden" r:id="rId58"/>
    <sheet name="无形长摊" sheetId="94" state="hidden" r:id="rId59"/>
    <sheet name="社保" sheetId="95" state="hidden" r:id="rId60"/>
    <sheet name="社保明细工资人数" sheetId="96" state="hidden" r:id="rId61"/>
    <sheet name="利息" sheetId="99" state="hidden" r:id="rId62"/>
    <sheet name="租金" sheetId="100" state="hidden" r:id="rId63"/>
    <sheet name="调整事项" sheetId="153" state="hidden" r:id="rId64"/>
    <sheet name="无限期结转扣除项目审核表" sheetId="103" state="hidden" r:id="rId65"/>
    <sheet name="跨年度确认所得情况表" sheetId="104" state="hidden" r:id="rId66"/>
    <sheet name="公允价值变动审定表" sheetId="133" state="hidden" r:id="rId67"/>
    <sheet name="减值准备审核表" sheetId="132" state="hidden" r:id="rId68"/>
    <sheet name="视同销售和房地产开发企业特定业务审核表" sheetId="105" state="hidden" r:id="rId69"/>
    <sheet name="未按权责发生制确认收入审核表" sheetId="106" state="hidden" r:id="rId70"/>
    <sheet name="投资收益审核表" sheetId="107" state="hidden" r:id="rId71"/>
    <sheet name="专项用途财政性资金审核表" sheetId="108" state="hidden" r:id="rId72"/>
    <sheet name="工资福利" sheetId="90" state="hidden" r:id="rId73"/>
    <sheet name="广宣" sheetId="97" state="hidden" r:id="rId74"/>
    <sheet name="捐赠" sheetId="98" state="hidden" r:id="rId75"/>
    <sheet name="固定资产加速折旧审核表" sheetId="109" state="hidden" r:id="rId76"/>
    <sheet name="资产损失税前扣除审核表" sheetId="110" state="hidden" r:id="rId77"/>
    <sheet name="企业重组审核表" sheetId="112" state="hidden" r:id="rId78"/>
    <sheet name="政策性搬迁审核表" sheetId="113" state="hidden" r:id="rId79"/>
    <sheet name="特殊行业准备金审核表" sheetId="114" state="hidden" r:id="rId80"/>
    <sheet name="补亏" sheetId="101" state="hidden" r:id="rId81"/>
    <sheet name="免税、减计收入及加计扣除优惠审核表" sheetId="115" state="hidden" r:id="rId82"/>
    <sheet name="股息红利优惠审核表" sheetId="116" state="hidden" r:id="rId83"/>
    <sheet name="研发费用加计扣除优惠审核表" sheetId="119" state="hidden" r:id="rId84"/>
    <sheet name="所得减免优惠审核表" sheetId="120" state="hidden" r:id="rId85"/>
    <sheet name="抵扣应纳税所得额审核表" sheetId="121" state="hidden" r:id="rId86"/>
    <sheet name="减免所得税优惠审核表" sheetId="122" state="hidden" r:id="rId87"/>
    <sheet name="高新技术企业优惠情况审核表" sheetId="123" state="hidden" r:id="rId88"/>
    <sheet name="软件、集成电路企业优惠情况审核表" sheetId="124" state="hidden" r:id="rId89"/>
    <sheet name="税额抵免优惠审核表" sheetId="125" state="hidden" r:id="rId90"/>
    <sheet name="境外所得税收抵免审核表" sheetId="126" state="hidden" r:id="rId91"/>
    <sheet name="境外所得纳税调整后所得审核表" sheetId="127" state="hidden" r:id="rId92"/>
    <sheet name="境外分支机构弥补亏损审核表" sheetId="128" state="hidden" r:id="rId93"/>
    <sheet name="跨年度结转抵免境外所得税审核表" sheetId="129" state="hidden" r:id="rId94"/>
    <sheet name="跨地区经营汇总纳税企业年度分摊企业所得税审核表" sheetId="130" state="hidden" r:id="rId95"/>
    <sheet name="企业所得税汇总纳税分支机构所得税分配表" sheetId="131" state="hidden" r:id="rId96"/>
    <sheet name="报告正文" sheetId="154" state="hidden" r:id="rId97"/>
    <sheet name="企业基本情况" sheetId="150" state="hidden" r:id="rId98"/>
    <sheet name="封面" sheetId="1" state="hidden" r:id="rId99"/>
    <sheet name="企业所得税年度纳税申报表填报表单" sheetId="2" state="hidden" r:id="rId100"/>
    <sheet name="A000000 企业基础信息表" sheetId="3" r:id="rId101"/>
    <sheet name="A100000 中华人民共和国企业所得税年度纳税申报表（A类）" sheetId="4" state="hidden" r:id="rId102"/>
    <sheet name="A101010 一般企业收入明细表" sheetId="5" state="hidden" r:id="rId103"/>
    <sheet name="A101020 金融企业收入明细表" sheetId="6" state="hidden" r:id="rId104"/>
    <sheet name="A102010 一般企业成本支出明细表" sheetId="7" state="hidden" r:id="rId105"/>
    <sheet name="A102020 金融企业支出明细表" sheetId="8" state="hidden" r:id="rId106"/>
    <sheet name="A103000事业单位、民间非营利组织收入、支出明细表" sheetId="9" state="hidden" r:id="rId107"/>
    <sheet name="A104000期间费用明细表" sheetId="10" state="hidden" r:id="rId108"/>
    <sheet name="A105000纳税调整项目明细表" sheetId="11" state="hidden" r:id="rId109"/>
    <sheet name="A105010视同销售和房地产开发企业特定业务纳税调整明细表" sheetId="12" state="hidden" r:id="rId110"/>
    <sheet name="A105020未按权责发生制确认收入纳税调整明细表" sheetId="13" state="hidden" r:id="rId111"/>
    <sheet name="A105030投资收益纳税调整明细表" sheetId="14" state="hidden" r:id="rId112"/>
    <sheet name="A105040专项用途财政性资金纳税调整表" sheetId="15" state="hidden" r:id="rId113"/>
    <sheet name="A105050职工薪酬支出及纳税调整明细表" sheetId="16" state="hidden" r:id="rId114"/>
    <sheet name="A105060广告费和业务宣传费跨年度纳税调整明细表" sheetId="17" state="hidden" r:id="rId115"/>
    <sheet name="A105070捐赠支出及纳税调整明细表" sheetId="18" state="hidden" r:id="rId116"/>
    <sheet name="A105080 资产折旧、摊销及纳税调整明细表" sheetId="19" state="hidden" r:id="rId117"/>
    <sheet name="A105090资产损失税前扣除及纳税调整明细表" sheetId="20" state="hidden" r:id="rId118"/>
    <sheet name="A105100企业重组及递延纳税事项调整明细表" sheetId="21" state="hidden" r:id="rId119"/>
    <sheet name="A105110政策性搬迁纳税调整明细表" sheetId="22" state="hidden" r:id="rId120"/>
    <sheet name="A105120 特殊行业准备金及纳税调整明细表" sheetId="23" state="hidden" r:id="rId121"/>
    <sheet name="A106000 企业所得税弥补亏损明细表" sheetId="24" state="hidden" r:id="rId122"/>
    <sheet name="A107010免税、减计收入及加计扣除优惠明细表" sheetId="25" state="hidden" r:id="rId123"/>
    <sheet name="A107011符合条件的居民企业之间的股息、红利等…优惠明细表" sheetId="26" state="hidden" r:id="rId124"/>
    <sheet name="A107012 研发费用加计扣除优惠明细表" sheetId="27" state="hidden" r:id="rId125"/>
    <sheet name="A107020所得减免优惠明细表" sheetId="28" state="hidden" r:id="rId126"/>
    <sheet name="A107030 抵扣应纳税所得额明细表" sheetId="29" state="hidden" r:id="rId127"/>
    <sheet name="A107040减免所得税优惠明细表" sheetId="30" state="hidden" r:id="rId128"/>
    <sheet name="A107041 高新技术企业优惠情况及明细表" sheetId="31" state="hidden" r:id="rId129"/>
    <sheet name="A107042软件、集成电路企业优惠情况及明细表" sheetId="32" state="hidden" r:id="rId130"/>
    <sheet name="A107050 税额抵免优惠明细表" sheetId="33" state="hidden" r:id="rId131"/>
    <sheet name="A108000境外所得税收抵免明细表" sheetId="34" state="hidden" r:id="rId132"/>
    <sheet name="A108010境外所得纳税调整后所得明细表" sheetId="35" state="hidden" r:id="rId133"/>
    <sheet name="A108020境外分支机构弥补亏损明细表" sheetId="36" state="hidden" r:id="rId134"/>
    <sheet name="A108030 跨年度结转抵免境外所得税明细表" sheetId="37" state="hidden" r:id="rId135"/>
    <sheet name="A109000跨地区经营汇总纳税企业年度分摊企业所得税明细表" sheetId="38" state="hidden" r:id="rId136"/>
    <sheet name="A109010 企业所得税汇总纳税分支机构所得税分配表" sheetId="39" state="hidden" r:id="rId137"/>
    <sheet name="研发项目可加计扣除研究开发费用情况归集表" sheetId="40" state="hidden" r:id="rId138"/>
    <sheet name="“研发支出”辅助账汇总表" sheetId="41" state="hidden" r:id="rId139"/>
    <sheet name="(二)附表-科目说明" sheetId="151" state="hidden" r:id="rId140"/>
    <sheet name="企业各税审核汇总表" sheetId="147" state="hidden" r:id="rId141"/>
    <sheet name="地税、基本情况" sheetId="48" r:id="rId142"/>
    <sheet name="税金申报明细" sheetId="149" state="hidden" r:id="rId143"/>
  </sheets>
  <definedNames>
    <definedName name="_xlnm._FilterDatabase" localSheetId="24" hidden="1">凭证检查!$A$6:$T$6</definedName>
    <definedName name="_xlnm._FilterDatabase" localSheetId="97" hidden="1">企业基本情况!$H$21:$H$128</definedName>
    <definedName name="_xlnm._FilterDatabase" localSheetId="142" hidden="1">税金申报明细!$A$1:$R$1</definedName>
    <definedName name="Pic">OFFSET(辅助表!$I$1,MATCH(基本情况!$F$11,辅助表!$H$2:$H$3,0),0)</definedName>
    <definedName name="_xlnm.Print_Area" localSheetId="138">“研发支出”辅助账汇总表!$A$2:$AV$87</definedName>
    <definedName name="_xlnm.Print_Area" localSheetId="100">'A000000 企业基础信息表'!$A$1:$I$38</definedName>
    <definedName name="_xlnm.Print_Area" localSheetId="101">'A100000 中华人民共和国企业所得税年度纳税申报表（A类）'!$A$1:$D$39</definedName>
    <definedName name="_xlnm.Print_Area" localSheetId="102">'A101010 一般企业收入明细表'!$A$2:$C$29</definedName>
    <definedName name="_xlnm.Print_Area" localSheetId="103">'A101020 金融企业收入明细表'!$A$2:$C$45</definedName>
    <definedName name="_xlnm.Print_Area" localSheetId="104">'A102010 一般企业成本支出明细表'!$A$2:$C$29</definedName>
    <definedName name="_xlnm.Print_Area" localSheetId="105">'A102020 金融企业支出明细表'!$A$2:$C$42</definedName>
    <definedName name="_xlnm.Print_Area" localSheetId="106">A103000事业单位、民间非营利组织收入、支出明细表!$A$2:$C$31</definedName>
    <definedName name="_xlnm.Print_Area" localSheetId="107">A104000期间费用明细表!$A$2:$H$31</definedName>
    <definedName name="_xlnm.Print_Area" localSheetId="108">A105000纳税调整项目明细表!$A$2:$F$49</definedName>
    <definedName name="_xlnm.Print_Area" localSheetId="109">A105010视同销售和房地产开发企业特定业务纳税调整明细表!$A$2:$D$36</definedName>
    <definedName name="_xlnm.Print_Area" localSheetId="110">A105020未按权责发生制确认收入纳税调整明细表!$A$2:$H$20</definedName>
    <definedName name="_xlnm.Print_Area" localSheetId="111">A105030投资收益纳税调整明细表!$A$2:$M$18</definedName>
    <definedName name="_xlnm.Print_Area" localSheetId="112">A105040专项用途财政性资金纳税调整表!$A$2:$P$16</definedName>
    <definedName name="_xlnm.Print_Area" localSheetId="113">A105050职工薪酬支出及纳税调整明细表!$A$2:$I$18</definedName>
    <definedName name="_xlnm.Print_Area" localSheetId="114">A105060广告费和业务宣传费跨年度纳税调整明细表!$A$2:$C$18</definedName>
    <definedName name="_xlnm.Print_Area" localSheetId="115">A105070捐赠支出及纳税调整明细表!$A$2:$I$12</definedName>
    <definedName name="_xlnm.Print_Area" localSheetId="116">'A105080 资产折旧、摊销及纳税调整明细表'!$A$2:$L$51</definedName>
    <definedName name="_xlnm.Print_Area" localSheetId="117">A105090资产损失税前扣除及纳税调整明细表!$A$2:$H$18</definedName>
    <definedName name="_xlnm.Print_Area" localSheetId="118">A105100企业重组及递延纳税事项调整明细表!$A$2:$I$21</definedName>
    <definedName name="_xlnm.Print_Area" localSheetId="119">A105110政策性搬迁纳税调整明细表!$A$2:$C$27</definedName>
    <definedName name="_xlnm.Print_Area" localSheetId="120">'A105120 特殊行业准备金及纳税调整明细表'!$A$2:$G$47</definedName>
    <definedName name="_xlnm.Print_Area" localSheetId="121">'A106000 企业所得税弥补亏损明细表'!$A$2:$M$14</definedName>
    <definedName name="_xlnm.Print_Area" localSheetId="122">A107010免税、减计收入及加计扣除优惠明细表!$A$2:$C$34</definedName>
    <definedName name="_xlnm.Print_Area" localSheetId="123">A107011符合条件的居民企业之间的股息、红利等…优惠明细表!$A$2:$R$26</definedName>
    <definedName name="_xlnm.Print_Area" localSheetId="124">'A107012 研发费用加计扣除优惠明细表'!$A$2:$D$55</definedName>
    <definedName name="_xlnm.Print_Area" localSheetId="125">A107020所得减免优惠明细表!$A$2:$M$27</definedName>
    <definedName name="_xlnm.Print_Area" localSheetId="126">'A107030 抵扣应纳税所得额明细表'!$A$2:$E$22</definedName>
    <definedName name="_xlnm.Print_Area" localSheetId="127">A107040减免所得税优惠明细表!$A$2:$C$39</definedName>
    <definedName name="_xlnm.Print_Area" localSheetId="128">'A107041 高新技术企业优惠情况及明细表'!$A$2:$I$38</definedName>
    <definedName name="_xlnm.Print_Area" localSheetId="129">A107042软件、集成电路企业优惠情况及明细表!$A$2:$E$38</definedName>
    <definedName name="_xlnm.Print_Area" localSheetId="130">'A107050 税额抵免优惠明细表'!$A$2:$N$19</definedName>
    <definedName name="_xlnm.Print_Area" localSheetId="131">A108000境外所得税收抵免明细表!$A$2:$T$22</definedName>
    <definedName name="_xlnm.Print_Area" localSheetId="132">A108010境外所得纳税调整后所得明细表!$A$2:$S$23</definedName>
    <definedName name="_xlnm.Print_Area" localSheetId="133">A108020境外分支机构弥补亏损明细表!$A$2:$T$22</definedName>
    <definedName name="_xlnm.Print_Area" localSheetId="134">'A108030 跨年度结转抵免境外所得税明细表'!$A$2:$T$17</definedName>
    <definedName name="_xlnm.Print_Area" localSheetId="135">A109000跨地区经营汇总纳税企业年度分摊企业所得税明细表!$A$2:$C$20</definedName>
    <definedName name="_xlnm.Print_Area" localSheetId="136">'A109010 企业所得税汇总纳税分支机构所得税分配表'!$A$2:$H$24</definedName>
    <definedName name="_xlnm.Print_Area" localSheetId="96">报告正文!$A$1:$J$61</definedName>
    <definedName name="_xlnm.Print_Area" localSheetId="80">补亏!$A$1:$H$21</definedName>
    <definedName name="_xlnm.Print_Area" localSheetId="53">财务费用!$A$1:$H$31</definedName>
    <definedName name="_xlnm.Print_Area" localSheetId="47">成本倒轧!$A$1:$H$45</definedName>
    <definedName name="_xlnm.Print_Area" localSheetId="31">存货!$A$1:$F$32</definedName>
    <definedName name="_xlnm.Print_Area" localSheetId="48">存货计价测试!$A$1:$O$20</definedName>
    <definedName name="_xlnm.Print_Area" localSheetId="3">待办事项!$A$1:$K$50</definedName>
    <definedName name="_xlnm.Print_Area" localSheetId="32">待摊预提!$A$1:$J$24</definedName>
    <definedName name="_xlnm.Print_Area" localSheetId="8">当局声明!$A$1:$G$26</definedName>
    <definedName name="_xlnm.Print_Area" localSheetId="2">档案封面!$A$1:$I$21</definedName>
    <definedName name="_xlnm.Print_Area" localSheetId="34">对外投资!$A$1:$J$30</definedName>
    <definedName name="_xlnm.Print_Area" localSheetId="98">封面!$A$1:$I$36</definedName>
    <definedName name="_xlnm.Print_Area" localSheetId="72">工资福利!$A$1:$H$42</definedName>
    <definedName name="_xlnm.Print_Area" localSheetId="66">公允价值变动审定表!$A$1:$G$17</definedName>
    <definedName name="_xlnm.Print_Area" localSheetId="56">固资折旧!$A$1:$G$35</definedName>
    <definedName name="_xlnm.Print_Area" localSheetId="52">管理费用!$A$1:$H$49</definedName>
    <definedName name="_xlnm.Print_Area" localSheetId="73">广宣!$A$1:$K$42</definedName>
    <definedName name="_xlnm.Print_Area" localSheetId="25">货币资金!$A$1:$H$29</definedName>
    <definedName name="_xlnm.Print_Area" localSheetId="19">基本情况!$A$1:$H$60</definedName>
    <definedName name="_xlnm.Print_Area" localSheetId="9">计划!$B$1:$K$31</definedName>
    <definedName name="_xlnm.Print_Area" localSheetId="67">减值准备审核表!$A$1:$H$22</definedName>
    <definedName name="_xlnm.Print_Area" localSheetId="13">交换意见!$A$1:$G$31</definedName>
    <definedName name="_xlnm.Print_Area" localSheetId="38">借款!$A$1:$K$30</definedName>
    <definedName name="_xlnm.Print_Area" localSheetId="91">境外所得纳税调整后所得审核表!$A$1:$S$16</definedName>
    <definedName name="_xlnm.Print_Area" localSheetId="90">境外所得税收抵免审核表!$A$1:$T$16</definedName>
    <definedName name="_xlnm.Print_Area" localSheetId="74">捐赠!$A$1:$J$29</definedName>
    <definedName name="_xlnm.Print_Area" localSheetId="1">开始!$B$1:$Q$44</definedName>
    <definedName name="_xlnm.Print_Area" localSheetId="94">跨地区经营汇总纳税企业年度分摊企业所得税审核表!$A$1:$C$23</definedName>
    <definedName name="_xlnm.Print_Area" localSheetId="65">跨年度确认所得情况表!$A$1:$G$18</definedName>
    <definedName name="_xlnm.Print_Area" localSheetId="21">利润表!$A$1:$F$41</definedName>
    <definedName name="_xlnm.Print_Area" localSheetId="61">利息!$A$1:$L$28</definedName>
    <definedName name="_xlnm.Print_Area" localSheetId="45">毛利分析!$A$1:$G$40</definedName>
    <definedName name="_xlnm.Print_Area" localSheetId="10">内控!$A$1:$K$34</definedName>
    <definedName name="_xlnm.Print_Area" localSheetId="16">盘点表!$A$1:$G$35</definedName>
    <definedName name="_xlnm.Print_Area" localSheetId="24">凭证检查!$A$1:$Q$212</definedName>
    <definedName name="_xlnm.Print_Area" localSheetId="42">其他业务!$A$1:$J$26</definedName>
    <definedName name="_xlnm.Print_Area" localSheetId="37">其他应付!$A$1:$F$44</definedName>
    <definedName name="_xlnm.Print_Area" localSheetId="30">其他应收!$A$1:$F$305</definedName>
    <definedName name="_xlnm.Print_Area" localSheetId="140">企业各税审核汇总表!$A$1:$F$62</definedName>
    <definedName name="_xlnm.Print_Area" localSheetId="97">企业基本情况!$A$1:$F$128</definedName>
    <definedName name="_xlnm.Print_Area" localSheetId="95">企业所得税汇总纳税分支机构所得税分配表!$A$1:$H$24</definedName>
    <definedName name="_xlnm.Print_Area" localSheetId="99">企业所得税年度纳税申报表填报表单!$A$1:$D$42</definedName>
    <definedName name="_xlnm.Print_Area" localSheetId="4">签发单!$A$1:$E$25</definedName>
    <definedName name="_xlnm.Print_Area" localSheetId="88">软件、集成电路企业优惠情况审核表!$A$1:$E$30</definedName>
    <definedName name="_xlnm.Print_Area" localSheetId="5">三级复核!$A$1:$K$44</definedName>
    <definedName name="_xlnm.Print_Area" localSheetId="59">社保!$A$1:$G$34</definedName>
    <definedName name="_xlnm.Print_Area" localSheetId="60">社保明细工资人数!$A$1:$J$40</definedName>
    <definedName name="_xlnm.Print_Area" localSheetId="15">审核标识!$A$1:$E$22</definedName>
    <definedName name="_xlnm.Print_Area" localSheetId="11">审核问卷!$A$1:$N$47</definedName>
    <definedName name="_xlnm.Print_Area" localSheetId="39">实收公积!$A$1:$H$37</definedName>
    <definedName name="_xlnm.Print_Area" localSheetId="18">使用说明!$A$1:$B$22</definedName>
    <definedName name="_xlnm.Print_Area" localSheetId="68">视同销售和房地产开发企业特定业务审核表!$A$1:$E$36</definedName>
    <definedName name="_xlnm.Print_Area" localSheetId="44">收入与申报核对表!$A$1:$K$22</definedName>
    <definedName name="_xlnm.Print_Area" localSheetId="50">税费缴纳测算!$A$1:$H$59</definedName>
    <definedName name="_xlnm.Print_Area" localSheetId="49">税金附加!$A$1:$J$29</definedName>
    <definedName name="_xlnm.Print_Area" localSheetId="7">税审收费标准!$B$1:$I$15</definedName>
    <definedName name="_xlnm.Print_Area" localSheetId="79">特殊行业准备金审核表!$A$1:$G$47</definedName>
    <definedName name="_xlnm.Print_Area" localSheetId="17">通用记录!$A$1:$H$52</definedName>
    <definedName name="_xlnm.Print_Area" localSheetId="40">未分利润!$A$1:$G$28</definedName>
    <definedName name="_xlnm.Print_Area" localSheetId="64">无限期结转扣除项目审核表!$A$1:$L$10</definedName>
    <definedName name="_xlnm.Print_Area" localSheetId="58">无形长摊!$A$1:$O$33</definedName>
    <definedName name="_xlnm.Print_Area" localSheetId="26">现金证明!$A$3:$E$18</definedName>
    <definedName name="_xlnm.Print_Area" localSheetId="51">销售费用!$A$1:$H$48</definedName>
    <definedName name="_xlnm.Print_Area" localSheetId="137">研发项目可加计扣除研究开发费用情况归集表!$A$2:$D$43</definedName>
    <definedName name="_xlnm.Print_Area" localSheetId="6">业务约定!$A$1:$H$33</definedName>
    <definedName name="_xlnm.Print_Area" localSheetId="27">银行调节!$A$3:$B$36</definedName>
    <definedName name="_xlnm.Print_Area" localSheetId="35">应付!$A$1:$F$45</definedName>
    <definedName name="_xlnm.Print_Area" localSheetId="28">应收!$A$1:$F$305</definedName>
    <definedName name="_xlnm.Print_Area" localSheetId="54">营外收支!$A$1:$G$45</definedName>
    <definedName name="_xlnm.Print_Area" localSheetId="22">余额表!$A$1:$H$72</definedName>
    <definedName name="_xlnm.Print_Area" localSheetId="29">预付!$A$1:$F$305</definedName>
    <definedName name="_xlnm.Print_Area" localSheetId="36">预收!$A$1:$F$44</definedName>
    <definedName name="_xlnm.Print_Area" localSheetId="33">在建工程!$A$1:$H$20</definedName>
    <definedName name="_xlnm.Print_Area" localSheetId="55">招待!$A$1:$M$31</definedName>
    <definedName name="_xlnm.Print_Area" localSheetId="57">折旧测算!$A$1:$O$30</definedName>
    <definedName name="_xlnm.Print_Area" localSheetId="46">制造费用、生产成本!$A$1:$G$48</definedName>
    <definedName name="_xlnm.Print_Area" localSheetId="12">重大问题!$A$1:$G$17</definedName>
    <definedName name="_xlnm.Print_Area" localSheetId="41">主营收支!$A$1:$H$48</definedName>
    <definedName name="_xlnm.Print_Area" localSheetId="20">资产负债表!$A$1:$H$34</definedName>
    <definedName name="_xlnm.Print_Area" localSheetId="14">资料清单!$A$1:$D$74</definedName>
    <definedName name="_xlnm.Print_Area" localSheetId="62">租金!$A$1:$J$28</definedName>
    <definedName name="_xlnm.Print_Titles" localSheetId="63">调整事项!$1:$7</definedName>
    <definedName name="_xlnm.Print_Titles" localSheetId="19">基本情况!$1:$2</definedName>
    <definedName name="_xlnm.Print_Titles" localSheetId="24">凭证检查!$1:$6</definedName>
    <definedName name="_xlnm.Print_Titles" localSheetId="37">其他应付!$1:$13</definedName>
    <definedName name="_xlnm.Print_Titles" localSheetId="30">其他应收!$1:$15</definedName>
    <definedName name="_xlnm.Print_Titles" localSheetId="35">应付!$1:$13</definedName>
    <definedName name="_xlnm.Print_Titles" localSheetId="28">应收!$1:$15</definedName>
    <definedName name="_xlnm.Print_Titles" localSheetId="22">余额表!$1:$4</definedName>
    <definedName name="_xlnm.Print_Titles" localSheetId="29">预付!$1:$15</definedName>
    <definedName name="_xlnm.Print_Titles" localSheetId="36">预收!$1:$13</definedName>
    <definedName name="_xlnm.Print_Titles" localSheetId="57">折旧测算!$1:$6</definedName>
    <definedName name="_xlnm.Print_Titles" localSheetId="14">资料清单!$1:$3</definedName>
    <definedName name="worksheetname">"workbookname=get.workbook(1)"</definedName>
    <definedName name="法律形式改变">辅助表!$B$2:$B$2</definedName>
    <definedName name="分立">辅助表!$B$7:$D$7</definedName>
    <definedName name="股权收购">辅助表!$B$4:$D$4</definedName>
    <definedName name="管理费用">辅助表!$A$34:$A$71</definedName>
    <definedName name="合并">辅助表!$B$6:$D$6</definedName>
    <definedName name="集成电路封装测试企业">辅助表!$L$6</definedName>
    <definedName name="集成电路关键专用材料或专用设备生产企业——关键专用材料">辅助表!$L$7</definedName>
    <definedName name="集成电路关键专用材料或专用设备生产企业——专用设备">辅助表!$L$8</definedName>
    <definedName name="集成电路设计企业">辅助表!$L$3:$N$3</definedName>
    <definedName name="集成电路生产企业">辅助表!$L$2:$N$2</definedName>
    <definedName name="凭证检查">辅助表!$A$33:$C$33</definedName>
    <definedName name="软件企业类型">辅助表!$K$2:$K$8</definedName>
    <definedName name="软件企业——嵌入式或信息系统集成软件">辅助表!$L$5:$O$5</definedName>
    <definedName name="软件企业——一般软件">辅助表!$L$4:$O$4</definedName>
    <definedName name="销售费用">辅助表!$B$34:$B$70</definedName>
    <definedName name="债务重组">辅助表!$B$3:$C$3</definedName>
    <definedName name="制造费用">辅助表!$C$34:$C$50</definedName>
    <definedName name="重组交易类型">辅助表!$A$2:$A$7</definedName>
    <definedName name="资产收购">辅助表!$B$5:$C$5</definedName>
  </definedNames>
  <calcPr calcId="145621"/>
</workbook>
</file>

<file path=xl/calcChain.xml><?xml version="1.0" encoding="utf-8"?>
<calcChain xmlns="http://schemas.openxmlformats.org/spreadsheetml/2006/main">
  <c r="L2" i="107" l="1"/>
  <c r="G2" i="106"/>
  <c r="F2" i="132"/>
  <c r="F1" i="132" l="1"/>
  <c r="G1" i="106"/>
  <c r="L1" i="107"/>
  <c r="N2" i="108"/>
  <c r="N1" i="108"/>
  <c r="F2" i="90"/>
  <c r="I2" i="97"/>
  <c r="I1" i="97"/>
  <c r="H2" i="98"/>
  <c r="J2" i="109"/>
  <c r="F2" i="110"/>
  <c r="G2" i="112"/>
  <c r="C2" i="113"/>
  <c r="F2" i="114"/>
  <c r="F2" i="101"/>
  <c r="C2" i="115"/>
  <c r="P2" i="116"/>
  <c r="D2" i="119"/>
  <c r="K2" i="120"/>
  <c r="D2" i="121"/>
  <c r="C2" i="122"/>
  <c r="H2" i="123"/>
  <c r="E2" i="124"/>
  <c r="L2" i="125"/>
  <c r="R2" i="126"/>
  <c r="Q2" i="127"/>
  <c r="R2" i="128"/>
  <c r="R2" i="129"/>
  <c r="C2" i="130"/>
  <c r="F2" i="131"/>
  <c r="D2" i="105"/>
  <c r="D1" i="105"/>
  <c r="E2" i="133"/>
  <c r="E1" i="133"/>
  <c r="F2" i="104"/>
  <c r="K3" i="103"/>
  <c r="J18" i="91"/>
  <c r="G2" i="153"/>
  <c r="J3" i="100"/>
  <c r="K4" i="99"/>
  <c r="J5" i="96"/>
  <c r="G4" i="95"/>
  <c r="O3" i="94"/>
  <c r="O2" i="93"/>
  <c r="G3" i="92"/>
  <c r="I2" i="91"/>
  <c r="E2" i="145"/>
  <c r="F2" i="144"/>
  <c r="F2" i="143"/>
  <c r="F2" i="142"/>
  <c r="F2" i="140"/>
  <c r="H2" i="139"/>
  <c r="O4" i="138"/>
  <c r="F2" i="137"/>
  <c r="E2" i="136"/>
  <c r="G2" i="135"/>
  <c r="K3" i="134"/>
  <c r="G2" i="53"/>
  <c r="E2" i="70"/>
  <c r="F2" i="69"/>
  <c r="N2" i="88"/>
  <c r="H2" i="87"/>
  <c r="A2" i="86"/>
  <c r="E3" i="85"/>
  <c r="C2" i="84"/>
  <c r="G2" i="83"/>
  <c r="G3" i="82"/>
  <c r="M3" i="81"/>
  <c r="K4" i="80"/>
  <c r="K2" i="79"/>
  <c r="G2" i="78"/>
  <c r="A2" i="76"/>
  <c r="K3" i="75"/>
  <c r="E2" i="74"/>
  <c r="C3" i="42"/>
  <c r="D15" i="155" l="1"/>
  <c r="D14" i="155"/>
  <c r="D13" i="155"/>
  <c r="D12" i="155"/>
  <c r="A6" i="155"/>
  <c r="F3" i="155"/>
  <c r="F2" i="72" l="1"/>
  <c r="C17" i="148"/>
  <c r="F43" i="143" l="1"/>
  <c r="F38" i="136"/>
  <c r="F42" i="143"/>
  <c r="F41" i="143"/>
  <c r="F40" i="143"/>
  <c r="F39" i="143"/>
  <c r="F38" i="143"/>
  <c r="F37" i="143"/>
  <c r="F36" i="143"/>
  <c r="F35" i="143"/>
  <c r="F34" i="143"/>
  <c r="F33" i="143"/>
  <c r="F32" i="143"/>
  <c r="F31" i="143"/>
  <c r="F30" i="143"/>
  <c r="F29" i="143"/>
  <c r="F28" i="143"/>
  <c r="F27" i="143"/>
  <c r="F26" i="143"/>
  <c r="F25" i="143"/>
  <c r="F24" i="143"/>
  <c r="F23" i="143"/>
  <c r="F22" i="143"/>
  <c r="F21" i="143"/>
  <c r="F20" i="143"/>
  <c r="F19" i="143"/>
  <c r="F18" i="143"/>
  <c r="F17" i="143"/>
  <c r="F16" i="143"/>
  <c r="F15" i="143"/>
  <c r="F14" i="143"/>
  <c r="F13" i="143"/>
  <c r="F12" i="143"/>
  <c r="F11" i="143"/>
  <c r="F10" i="143"/>
  <c r="F9" i="143"/>
  <c r="F8" i="143"/>
  <c r="F7" i="143"/>
  <c r="F6" i="143"/>
  <c r="F41" i="142"/>
  <c r="F40" i="142"/>
  <c r="F39" i="142"/>
  <c r="F38" i="142"/>
  <c r="F37" i="142"/>
  <c r="F36" i="142"/>
  <c r="F35" i="142"/>
  <c r="F34" i="142"/>
  <c r="F33" i="142"/>
  <c r="F32" i="142"/>
  <c r="F31" i="142"/>
  <c r="F30" i="142"/>
  <c r="F29" i="142"/>
  <c r="F28" i="142"/>
  <c r="F27" i="142"/>
  <c r="F26" i="142"/>
  <c r="F25" i="142"/>
  <c r="F24" i="142"/>
  <c r="F23" i="142"/>
  <c r="F22" i="142"/>
  <c r="F21" i="142"/>
  <c r="F20" i="142"/>
  <c r="F19" i="142"/>
  <c r="F18" i="142"/>
  <c r="F17" i="142"/>
  <c r="F16" i="142"/>
  <c r="F15" i="142"/>
  <c r="F14" i="142"/>
  <c r="F13" i="142"/>
  <c r="F12" i="142"/>
  <c r="F11" i="142"/>
  <c r="F9" i="142"/>
  <c r="F6" i="142"/>
  <c r="F37" i="136"/>
  <c r="F36" i="136"/>
  <c r="F35" i="136"/>
  <c r="F34" i="136"/>
  <c r="F33" i="136"/>
  <c r="F32" i="136"/>
  <c r="F31" i="136"/>
  <c r="F30" i="136"/>
  <c r="F29" i="136"/>
  <c r="F28" i="136"/>
  <c r="F27" i="136"/>
  <c r="F22" i="136"/>
  <c r="K212" i="88"/>
  <c r="K211" i="88"/>
  <c r="K210" i="88"/>
  <c r="K209" i="88"/>
  <c r="K208" i="88"/>
  <c r="K207" i="88"/>
  <c r="D212" i="88"/>
  <c r="D211" i="88"/>
  <c r="D210" i="88"/>
  <c r="D209" i="88"/>
  <c r="D208" i="88"/>
  <c r="D207" i="88"/>
  <c r="C4" i="42" l="1"/>
  <c r="C5" i="42"/>
  <c r="C6" i="42"/>
  <c r="C7" i="42"/>
  <c r="C8" i="42"/>
  <c r="C9" i="42"/>
  <c r="C10" i="42"/>
  <c r="C11" i="42"/>
  <c r="C12" i="42"/>
  <c r="C13" i="42"/>
  <c r="C14" i="42"/>
  <c r="C15" i="42"/>
  <c r="C16" i="42"/>
  <c r="C17" i="42"/>
  <c r="C18" i="42"/>
  <c r="E8" i="42"/>
  <c r="C19" i="42"/>
  <c r="E3" i="42"/>
  <c r="E4" i="42"/>
  <c r="E5" i="42"/>
  <c r="E6" i="42"/>
  <c r="E7" i="42"/>
  <c r="G3" i="42"/>
  <c r="G4" i="42"/>
  <c r="G5" i="42"/>
  <c r="G6" i="42"/>
  <c r="G7" i="42"/>
  <c r="G8" i="42"/>
  <c r="G9" i="42"/>
  <c r="G10" i="42"/>
  <c r="G11" i="42"/>
  <c r="G12" i="42"/>
  <c r="I3" i="42"/>
  <c r="I4" i="42"/>
  <c r="I5" i="42"/>
  <c r="I6" i="42"/>
  <c r="I7" i="42"/>
  <c r="I8" i="42"/>
  <c r="K3" i="42"/>
  <c r="K4" i="42"/>
  <c r="K5" i="42"/>
  <c r="K6" i="42"/>
  <c r="K7" i="42"/>
  <c r="K8" i="42"/>
  <c r="K9" i="42"/>
  <c r="K10" i="42"/>
  <c r="K11" i="42"/>
  <c r="K12" i="42"/>
  <c r="K13" i="42"/>
  <c r="K14" i="42"/>
  <c r="K15" i="42"/>
  <c r="K16" i="42"/>
  <c r="K17" i="42"/>
  <c r="G13" i="42"/>
  <c r="G14" i="42"/>
  <c r="G15" i="42"/>
  <c r="K20" i="42"/>
  <c r="K21" i="42"/>
  <c r="K22" i="42"/>
  <c r="K23" i="42"/>
  <c r="M3" i="42"/>
  <c r="M4" i="42"/>
  <c r="M5" i="42"/>
  <c r="M6" i="42"/>
  <c r="M7" i="42"/>
  <c r="M8" i="42"/>
  <c r="M9" i="42"/>
  <c r="M10" i="42"/>
  <c r="M11" i="42"/>
  <c r="K18" i="42"/>
  <c r="K19" i="42"/>
  <c r="M12" i="42"/>
  <c r="M13" i="42"/>
  <c r="M14" i="42"/>
  <c r="M15" i="42"/>
  <c r="M16" i="42"/>
  <c r="M17" i="42"/>
  <c r="M18" i="42"/>
  <c r="M19" i="42"/>
  <c r="M20" i="42"/>
  <c r="M21" i="42"/>
  <c r="M22" i="42"/>
  <c r="M23" i="42"/>
  <c r="M24" i="42"/>
  <c r="M25" i="42"/>
  <c r="M26" i="42"/>
  <c r="M27" i="42"/>
  <c r="M28" i="42"/>
  <c r="M29" i="42"/>
  <c r="M30" i="42"/>
  <c r="M31" i="42"/>
  <c r="M32" i="42"/>
  <c r="M33" i="42"/>
  <c r="O3" i="42"/>
  <c r="O4" i="42"/>
  <c r="O5" i="42"/>
  <c r="O6" i="42"/>
  <c r="O7" i="42"/>
  <c r="O8" i="42"/>
  <c r="O9" i="42"/>
  <c r="O10" i="42"/>
  <c r="O11" i="42"/>
  <c r="O12" i="42"/>
  <c r="O13" i="42"/>
  <c r="O14" i="42"/>
  <c r="O15" i="42"/>
  <c r="O16" i="42"/>
  <c r="O17" i="42"/>
  <c r="O18" i="42"/>
  <c r="O19" i="42"/>
  <c r="O20" i="42"/>
  <c r="O21" i="42"/>
  <c r="O22" i="42"/>
  <c r="O23" i="42"/>
  <c r="O24" i="42"/>
  <c r="O25" i="42"/>
  <c r="O26" i="42"/>
  <c r="O27" i="42"/>
  <c r="O28" i="42"/>
  <c r="O29" i="42"/>
  <c r="O30" i="42"/>
  <c r="O31" i="42"/>
  <c r="O32" i="42"/>
  <c r="O33" i="42"/>
  <c r="O34" i="42"/>
  <c r="O35" i="42"/>
  <c r="O36" i="42"/>
  <c r="O37" i="42"/>
  <c r="O38" i="42"/>
  <c r="O39" i="42"/>
  <c r="O40" i="42"/>
  <c r="O41" i="42"/>
  <c r="O42" i="42"/>
  <c r="O43" i="42"/>
  <c r="O44" i="42"/>
  <c r="A6" i="78" l="1"/>
  <c r="C1" i="84"/>
  <c r="A3" i="86"/>
  <c r="F4" i="104"/>
  <c r="F3" i="104"/>
  <c r="I2" i="103"/>
  <c r="G3" i="103"/>
  <c r="G2" i="103"/>
  <c r="E55" i="147"/>
  <c r="E51" i="147"/>
  <c r="E47" i="147"/>
  <c r="E43" i="147"/>
  <c r="E39" i="147"/>
  <c r="E35" i="147"/>
  <c r="E31" i="147"/>
  <c r="E27" i="147"/>
  <c r="E23" i="147"/>
  <c r="E19" i="147"/>
  <c r="E15" i="147"/>
  <c r="E11" i="147"/>
  <c r="F55" i="147"/>
  <c r="F51" i="147"/>
  <c r="F47" i="147"/>
  <c r="F43" i="147"/>
  <c r="F39" i="147"/>
  <c r="F35" i="147"/>
  <c r="F31" i="147"/>
  <c r="F27" i="147"/>
  <c r="F23" i="147"/>
  <c r="F19" i="147"/>
  <c r="F15" i="147"/>
  <c r="F11" i="147"/>
  <c r="E7" i="147"/>
  <c r="F7" i="147"/>
  <c r="D56" i="147"/>
  <c r="D55" i="147"/>
  <c r="D52" i="147"/>
  <c r="D51" i="147"/>
  <c r="D48" i="147"/>
  <c r="D47" i="147"/>
  <c r="D44" i="147"/>
  <c r="D43" i="147"/>
  <c r="D40" i="147"/>
  <c r="D39" i="147"/>
  <c r="D36" i="147"/>
  <c r="D35" i="147"/>
  <c r="D32" i="147"/>
  <c r="D31" i="147"/>
  <c r="D28" i="147"/>
  <c r="D27" i="147"/>
  <c r="D24" i="147"/>
  <c r="D23" i="147"/>
  <c r="D20" i="147"/>
  <c r="D19" i="147"/>
  <c r="D16" i="147"/>
  <c r="D12" i="147"/>
  <c r="D11" i="147"/>
  <c r="D8" i="147"/>
  <c r="D7" i="147"/>
  <c r="G1" i="53" l="1"/>
  <c r="C11" i="140"/>
  <c r="C12" i="140"/>
  <c r="C10" i="140"/>
  <c r="D15" i="147" s="1"/>
  <c r="F16" i="139"/>
  <c r="I16" i="139" s="1"/>
  <c r="F10" i="139"/>
  <c r="I10" i="139" s="1"/>
  <c r="I18" i="139"/>
  <c r="I19" i="139"/>
  <c r="F9" i="139"/>
  <c r="I9" i="139" s="1"/>
  <c r="J19" i="134"/>
  <c r="J18" i="134"/>
  <c r="J17" i="134"/>
  <c r="J16" i="134"/>
  <c r="J15" i="134"/>
  <c r="J14" i="134"/>
  <c r="J20" i="134" s="1"/>
  <c r="H19" i="134"/>
  <c r="G18" i="134"/>
  <c r="H18" i="134" s="1"/>
  <c r="G17" i="134"/>
  <c r="H17" i="134" s="1"/>
  <c r="G16" i="134"/>
  <c r="H16" i="134" s="1"/>
  <c r="G15" i="134"/>
  <c r="H15" i="134" s="1"/>
  <c r="G14" i="134"/>
  <c r="H14" i="134" s="1"/>
  <c r="E20" i="134"/>
  <c r="F20" i="134"/>
  <c r="I20" i="134"/>
  <c r="D20" i="134"/>
  <c r="G11" i="134"/>
  <c r="G10" i="134"/>
  <c r="H10" i="134" s="1"/>
  <c r="G9" i="134"/>
  <c r="G8" i="134"/>
  <c r="H8" i="134" s="1"/>
  <c r="H20" i="134" l="1"/>
  <c r="G20" i="134"/>
  <c r="F2" i="50"/>
  <c r="G4" i="87"/>
  <c r="F5" i="83"/>
  <c r="F4" i="83"/>
  <c r="G4" i="82"/>
  <c r="F4" i="81"/>
  <c r="H4" i="80"/>
  <c r="F14" i="79"/>
  <c r="D15" i="79" s="1"/>
  <c r="B9" i="79"/>
  <c r="B7" i="79"/>
  <c r="K4" i="79"/>
  <c r="D12" i="79" s="1"/>
  <c r="D13" i="79" s="1"/>
  <c r="D4" i="78"/>
  <c r="C11" i="125"/>
  <c r="G4" i="97"/>
  <c r="E7" i="97"/>
  <c r="J8" i="97"/>
  <c r="G8" i="97" s="1"/>
  <c r="J9" i="97"/>
  <c r="G9" i="97" s="1"/>
  <c r="J10" i="97"/>
  <c r="G10" i="97" s="1"/>
  <c r="J11" i="97"/>
  <c r="G11" i="97" s="1"/>
  <c r="G12" i="97"/>
  <c r="J12" i="97"/>
  <c r="J13" i="97"/>
  <c r="G13" i="97" s="1"/>
  <c r="J14" i="97"/>
  <c r="G14" i="97" s="1"/>
  <c r="E15" i="97"/>
  <c r="B3" i="103"/>
  <c r="A51" i="154"/>
  <c r="J7" i="97" l="1"/>
  <c r="G7" i="97" s="1"/>
  <c r="A3" i="78" l="1"/>
  <c r="A5" i="76"/>
  <c r="A29" i="76"/>
  <c r="C8" i="76"/>
  <c r="I3" i="75"/>
  <c r="A1" i="74"/>
  <c r="F32" i="75"/>
  <c r="B17" i="74"/>
  <c r="F24" i="75"/>
  <c r="B14" i="74"/>
  <c r="F14" i="75"/>
  <c r="B11" i="74"/>
  <c r="B8" i="74"/>
  <c r="A35" i="86"/>
  <c r="G5" i="82"/>
  <c r="I4" i="75"/>
  <c r="E5" i="74"/>
  <c r="A4" i="75"/>
  <c r="B5" i="74"/>
  <c r="N3" i="88" l="1"/>
  <c r="I4" i="72"/>
  <c r="J4" i="88"/>
  <c r="H52" i="87"/>
  <c r="B4" i="83"/>
  <c r="E5" i="82"/>
  <c r="E5" i="80"/>
  <c r="K3" i="79"/>
  <c r="F5" i="72"/>
  <c r="J3" i="88"/>
  <c r="H50" i="87"/>
  <c r="B5" i="83"/>
  <c r="E4" i="80"/>
  <c r="F4" i="72"/>
  <c r="C12" i="108"/>
  <c r="G8" i="109"/>
  <c r="G20" i="19" s="1"/>
  <c r="G10" i="109"/>
  <c r="G22" i="19" s="1"/>
  <c r="G11" i="109"/>
  <c r="G23" i="19" s="1"/>
  <c r="G12" i="109"/>
  <c r="G24" i="19" s="1"/>
  <c r="G13" i="109"/>
  <c r="G25" i="19" s="1"/>
  <c r="G14" i="109"/>
  <c r="G26" i="19" s="1"/>
  <c r="G15" i="109"/>
  <c r="G16" i="109"/>
  <c r="G7" i="109"/>
  <c r="D20" i="19"/>
  <c r="E20" i="19"/>
  <c r="F20" i="19"/>
  <c r="H20" i="19"/>
  <c r="I20" i="19"/>
  <c r="K20" i="19"/>
  <c r="D22" i="19"/>
  <c r="E22" i="19"/>
  <c r="F22" i="19"/>
  <c r="H22" i="19"/>
  <c r="I22" i="19"/>
  <c r="D23" i="19"/>
  <c r="E23" i="19"/>
  <c r="F23" i="19"/>
  <c r="H23" i="19"/>
  <c r="I23" i="19"/>
  <c r="D24" i="19"/>
  <c r="E24" i="19"/>
  <c r="F24" i="19"/>
  <c r="H24" i="19"/>
  <c r="I24" i="19"/>
  <c r="D25" i="19"/>
  <c r="E25" i="19"/>
  <c r="F25" i="19"/>
  <c r="H25" i="19"/>
  <c r="I25" i="19"/>
  <c r="D26" i="19"/>
  <c r="E26" i="19"/>
  <c r="F26" i="19"/>
  <c r="H26" i="19"/>
  <c r="I26" i="19"/>
  <c r="D27" i="19"/>
  <c r="E27" i="19"/>
  <c r="F27" i="19"/>
  <c r="H27" i="19"/>
  <c r="I27" i="19"/>
  <c r="D28" i="19"/>
  <c r="E28" i="19"/>
  <c r="F28" i="19"/>
  <c r="G28" i="19"/>
  <c r="H28" i="19"/>
  <c r="I28" i="19"/>
  <c r="K22" i="19"/>
  <c r="K23" i="19"/>
  <c r="K24" i="19"/>
  <c r="K25" i="19"/>
  <c r="K26" i="19"/>
  <c r="K27" i="19"/>
  <c r="K28" i="19"/>
  <c r="K19" i="19"/>
  <c r="E19" i="19"/>
  <c r="F19" i="19"/>
  <c r="G19" i="19"/>
  <c r="H19" i="19"/>
  <c r="I19" i="19"/>
  <c r="D19" i="19"/>
  <c r="E9" i="109"/>
  <c r="E17" i="109" s="1"/>
  <c r="F9" i="109"/>
  <c r="F17" i="109" s="1"/>
  <c r="H9" i="109"/>
  <c r="H17" i="109" s="1"/>
  <c r="I9" i="109"/>
  <c r="I17" i="109" s="1"/>
  <c r="K9" i="109"/>
  <c r="K17" i="109" s="1"/>
  <c r="D9" i="109"/>
  <c r="D17" i="109" s="1"/>
  <c r="L8" i="109"/>
  <c r="L10" i="109"/>
  <c r="L11" i="109"/>
  <c r="L12" i="109"/>
  <c r="L13" i="109"/>
  <c r="L14" i="109"/>
  <c r="L15" i="109"/>
  <c r="L16" i="109"/>
  <c r="J8" i="109"/>
  <c r="J10" i="109"/>
  <c r="J11" i="109"/>
  <c r="J12" i="109"/>
  <c r="J13" i="109"/>
  <c r="J14" i="109"/>
  <c r="J15" i="109"/>
  <c r="J16" i="109"/>
  <c r="J1" i="109"/>
  <c r="E9" i="92"/>
  <c r="E10" i="92"/>
  <c r="E12" i="92"/>
  <c r="C9" i="92"/>
  <c r="C10" i="92"/>
  <c r="C11" i="92"/>
  <c r="C12" i="92"/>
  <c r="C8" i="92"/>
  <c r="D9" i="92"/>
  <c r="D10" i="92"/>
  <c r="D12" i="92"/>
  <c r="Q10" i="93"/>
  <c r="E8" i="92" s="1"/>
  <c r="Q11" i="93"/>
  <c r="Q12" i="93"/>
  <c r="Q13" i="93"/>
  <c r="Q14" i="93"/>
  <c r="Q15" i="93"/>
  <c r="Q16" i="93"/>
  <c r="Q17" i="93"/>
  <c r="Q18" i="93"/>
  <c r="Q19" i="93"/>
  <c r="Q20" i="93"/>
  <c r="Q21" i="93"/>
  <c r="Q22" i="93"/>
  <c r="Q23" i="93"/>
  <c r="Q24" i="93"/>
  <c r="Q25" i="93"/>
  <c r="Q26" i="93"/>
  <c r="Q27" i="93"/>
  <c r="Q28" i="93"/>
  <c r="Q29" i="93"/>
  <c r="Q30" i="93"/>
  <c r="Q31" i="93"/>
  <c r="Q32" i="93"/>
  <c r="Q33" i="93"/>
  <c r="Q34" i="93"/>
  <c r="Q35" i="93"/>
  <c r="Q36" i="93"/>
  <c r="Q37" i="93"/>
  <c r="Q38" i="93"/>
  <c r="Q39" i="93"/>
  <c r="Q40" i="93"/>
  <c r="Q41" i="93"/>
  <c r="Q42" i="93"/>
  <c r="Q43" i="93"/>
  <c r="Q44" i="93"/>
  <c r="Q45" i="93"/>
  <c r="Q46" i="93"/>
  <c r="Q47" i="93"/>
  <c r="Q48" i="93"/>
  <c r="Q49" i="93"/>
  <c r="Q50" i="93"/>
  <c r="Q51" i="93"/>
  <c r="Q52" i="93"/>
  <c r="Q53" i="93"/>
  <c r="Q54" i="93"/>
  <c r="Q55" i="93"/>
  <c r="Q56" i="93"/>
  <c r="Q57" i="93"/>
  <c r="Q58" i="93"/>
  <c r="Q59" i="93"/>
  <c r="Q60" i="93"/>
  <c r="Q61" i="93"/>
  <c r="Q62" i="93"/>
  <c r="Q63" i="93"/>
  <c r="Q64" i="93"/>
  <c r="Q65" i="93"/>
  <c r="Q66" i="93"/>
  <c r="Q67" i="93"/>
  <c r="Q68" i="93"/>
  <c r="Q69" i="93"/>
  <c r="Q70" i="93"/>
  <c r="Q71" i="93"/>
  <c r="Q72" i="93"/>
  <c r="Q73" i="93"/>
  <c r="Q74" i="93"/>
  <c r="Q75" i="93"/>
  <c r="Q76" i="93"/>
  <c r="Q77" i="93"/>
  <c r="Q78" i="93"/>
  <c r="Q79" i="93"/>
  <c r="Q80" i="93"/>
  <c r="Q81" i="93"/>
  <c r="Q82" i="93"/>
  <c r="Q83" i="93"/>
  <c r="Q84" i="93"/>
  <c r="Q85" i="93"/>
  <c r="Q86" i="93"/>
  <c r="Q87" i="93"/>
  <c r="Q88" i="93"/>
  <c r="Q89" i="93"/>
  <c r="Q90" i="93"/>
  <c r="Q91" i="93"/>
  <c r="Q92" i="93"/>
  <c r="Q93" i="93"/>
  <c r="Q94" i="93"/>
  <c r="Q95" i="93"/>
  <c r="Q96" i="93"/>
  <c r="Q97" i="93"/>
  <c r="Q98" i="93"/>
  <c r="Q99" i="93"/>
  <c r="Q100" i="93"/>
  <c r="Q101" i="93"/>
  <c r="Q102" i="93"/>
  <c r="Q103" i="93"/>
  <c r="Q104" i="93"/>
  <c r="Q105" i="93"/>
  <c r="Q106" i="93"/>
  <c r="Q107" i="93"/>
  <c r="Q108" i="93"/>
  <c r="Q109" i="93"/>
  <c r="Q110" i="93"/>
  <c r="Q111" i="93"/>
  <c r="Q112" i="93"/>
  <c r="Q113" i="93"/>
  <c r="Q114" i="93"/>
  <c r="Q115" i="93"/>
  <c r="Q116" i="93"/>
  <c r="Q117" i="93"/>
  <c r="Q118" i="93"/>
  <c r="Q119" i="93"/>
  <c r="Q120" i="93"/>
  <c r="Q121" i="93"/>
  <c r="Q122" i="93"/>
  <c r="Q123" i="93"/>
  <c r="Q124" i="93"/>
  <c r="Q125" i="93"/>
  <c r="Q126" i="93"/>
  <c r="Q127" i="93"/>
  <c r="Q128" i="93"/>
  <c r="Q129" i="93"/>
  <c r="Q130" i="93"/>
  <c r="Q131" i="93"/>
  <c r="Q132" i="93"/>
  <c r="Q133" i="93"/>
  <c r="Q134" i="93"/>
  <c r="Q135" i="93"/>
  <c r="Q136" i="93"/>
  <c r="Q137" i="93"/>
  <c r="Q138" i="93"/>
  <c r="Q139" i="93"/>
  <c r="Q140" i="93"/>
  <c r="Q141" i="93"/>
  <c r="Q142" i="93"/>
  <c r="Q143" i="93"/>
  <c r="Q144" i="93"/>
  <c r="Q145" i="93"/>
  <c r="Q146" i="93"/>
  <c r="Q147" i="93"/>
  <c r="Q148" i="93"/>
  <c r="Q149" i="93"/>
  <c r="Q150" i="93"/>
  <c r="Q151" i="93"/>
  <c r="Q152" i="93"/>
  <c r="Q153" i="93"/>
  <c r="Q154" i="93"/>
  <c r="Q155" i="93"/>
  <c r="Q156" i="93"/>
  <c r="Q157" i="93"/>
  <c r="Q158" i="93"/>
  <c r="Q159" i="93"/>
  <c r="Q160" i="93"/>
  <c r="Q161" i="93"/>
  <c r="Q162" i="93"/>
  <c r="Q163" i="93"/>
  <c r="Q164" i="93"/>
  <c r="Q165" i="93"/>
  <c r="Q166" i="93"/>
  <c r="Q167" i="93"/>
  <c r="Q168" i="93"/>
  <c r="Q169" i="93"/>
  <c r="Q170" i="93"/>
  <c r="Q171" i="93"/>
  <c r="Q172" i="93"/>
  <c r="Q173" i="93"/>
  <c r="Q174" i="93"/>
  <c r="Q175" i="93"/>
  <c r="Q176" i="93"/>
  <c r="Q177" i="93"/>
  <c r="Q178" i="93"/>
  <c r="Q179" i="93"/>
  <c r="Q180" i="93"/>
  <c r="Q181" i="93"/>
  <c r="Q182" i="93"/>
  <c r="Q183" i="93"/>
  <c r="Q184" i="93"/>
  <c r="Q185" i="93"/>
  <c r="Q186" i="93"/>
  <c r="Q187" i="93"/>
  <c r="Q188" i="93"/>
  <c r="Q189" i="93"/>
  <c r="Q190" i="93"/>
  <c r="Q191" i="93"/>
  <c r="Q192" i="93"/>
  <c r="Q193" i="93"/>
  <c r="Q194" i="93"/>
  <c r="Q195" i="93"/>
  <c r="Q196" i="93"/>
  <c r="Q197" i="93"/>
  <c r="Q198" i="93"/>
  <c r="Q199" i="93"/>
  <c r="Q200" i="93"/>
  <c r="Q201" i="93"/>
  <c r="Q202" i="93"/>
  <c r="Q203" i="93"/>
  <c r="Q204" i="93"/>
  <c r="Q205" i="93"/>
  <c r="Q206" i="93"/>
  <c r="Q207" i="93"/>
  <c r="Q208" i="93"/>
  <c r="Q209" i="93"/>
  <c r="Q210" i="93"/>
  <c r="Q211" i="93"/>
  <c r="Q212" i="93"/>
  <c r="Q213" i="93"/>
  <c r="Q214" i="93"/>
  <c r="Q215" i="93"/>
  <c r="Q216" i="93"/>
  <c r="Q217" i="93"/>
  <c r="Q218" i="93"/>
  <c r="Q219" i="93"/>
  <c r="Q220" i="93"/>
  <c r="Q221" i="93"/>
  <c r="Q222" i="93"/>
  <c r="Q223" i="93"/>
  <c r="Q224" i="93"/>
  <c r="Q225" i="93"/>
  <c r="Q226" i="93"/>
  <c r="Q227" i="93"/>
  <c r="Q228" i="93"/>
  <c r="Q229" i="93"/>
  <c r="Q230" i="93"/>
  <c r="Q231" i="93"/>
  <c r="Q232" i="93"/>
  <c r="Q233" i="93"/>
  <c r="Q234" i="93"/>
  <c r="Q235" i="93"/>
  <c r="Q236" i="93"/>
  <c r="Q237" i="93"/>
  <c r="Q238" i="93"/>
  <c r="Q239" i="93"/>
  <c r="Q240" i="93"/>
  <c r="Q241" i="93"/>
  <c r="Q242" i="93"/>
  <c r="Q243" i="93"/>
  <c r="Q244" i="93"/>
  <c r="Q245" i="93"/>
  <c r="Q246" i="93"/>
  <c r="Q247" i="93"/>
  <c r="Q248" i="93"/>
  <c r="Q249" i="93"/>
  <c r="Q250" i="93"/>
  <c r="Q251" i="93"/>
  <c r="Q252" i="93"/>
  <c r="Q253" i="93"/>
  <c r="Q254" i="93"/>
  <c r="Q255" i="93"/>
  <c r="Q256" i="93"/>
  <c r="Q257" i="93"/>
  <c r="Q258" i="93"/>
  <c r="Q259" i="93"/>
  <c r="Q260" i="93"/>
  <c r="Q261" i="93"/>
  <c r="Q262" i="93"/>
  <c r="Q263" i="93"/>
  <c r="Q264" i="93"/>
  <c r="Q265" i="93"/>
  <c r="Q266" i="93"/>
  <c r="Q267" i="93"/>
  <c r="Q268" i="93"/>
  <c r="Q269" i="93"/>
  <c r="Q270" i="93"/>
  <c r="Q271" i="93"/>
  <c r="Q272" i="93"/>
  <c r="Q273" i="93"/>
  <c r="Q274" i="93"/>
  <c r="Q275" i="93"/>
  <c r="Q276" i="93"/>
  <c r="Q277" i="93"/>
  <c r="Q278" i="93"/>
  <c r="Q279" i="93"/>
  <c r="Q280" i="93"/>
  <c r="Q281" i="93"/>
  <c r="Q282" i="93"/>
  <c r="Q283" i="93"/>
  <c r="Q284" i="93"/>
  <c r="Q285" i="93"/>
  <c r="Q286" i="93"/>
  <c r="Q287" i="93"/>
  <c r="Q288" i="93"/>
  <c r="Q289" i="93"/>
  <c r="Q290" i="93"/>
  <c r="Q291" i="93"/>
  <c r="Q292" i="93"/>
  <c r="Q293" i="93"/>
  <c r="Q294" i="93"/>
  <c r="Q295" i="93"/>
  <c r="Q296" i="93"/>
  <c r="Q297" i="93"/>
  <c r="Q298" i="93"/>
  <c r="Q299" i="93"/>
  <c r="Q300" i="93"/>
  <c r="Q301" i="93"/>
  <c r="Q302" i="93"/>
  <c r="Q303" i="93"/>
  <c r="Q304" i="93"/>
  <c r="Q305" i="93"/>
  <c r="Q306" i="93"/>
  <c r="Q307" i="93"/>
  <c r="Q308" i="93"/>
  <c r="Q309" i="93"/>
  <c r="Q310" i="93"/>
  <c r="Q311" i="93"/>
  <c r="Q312" i="93"/>
  <c r="Q313" i="93"/>
  <c r="Q314" i="93"/>
  <c r="Q315" i="93"/>
  <c r="Q316" i="93"/>
  <c r="Q317" i="93"/>
  <c r="Q318" i="93"/>
  <c r="Q319" i="93"/>
  <c r="Q320" i="93"/>
  <c r="Q321" i="93"/>
  <c r="Q322" i="93"/>
  <c r="Q323" i="93"/>
  <c r="Q324" i="93"/>
  <c r="Q325" i="93"/>
  <c r="Q326" i="93"/>
  <c r="Q327" i="93"/>
  <c r="Q328" i="93"/>
  <c r="Q329" i="93"/>
  <c r="Q330" i="93"/>
  <c r="Q331" i="93"/>
  <c r="Q332" i="93"/>
  <c r="Q333" i="93"/>
  <c r="Q334" i="93"/>
  <c r="Q335" i="93"/>
  <c r="Q336" i="93"/>
  <c r="Q337" i="93"/>
  <c r="Q338" i="93"/>
  <c r="Q339" i="93"/>
  <c r="Q340" i="93"/>
  <c r="Q341" i="93"/>
  <c r="Q342" i="93"/>
  <c r="Q343" i="93"/>
  <c r="Q344" i="93"/>
  <c r="Q345" i="93"/>
  <c r="Q346" i="93"/>
  <c r="Q347" i="93"/>
  <c r="Q348" i="93"/>
  <c r="Q349" i="93"/>
  <c r="Q350" i="93"/>
  <c r="Q351" i="93"/>
  <c r="Q352" i="93"/>
  <c r="Q353" i="93"/>
  <c r="Q354" i="93"/>
  <c r="Q355" i="93"/>
  <c r="Q356" i="93"/>
  <c r="Q357" i="93"/>
  <c r="Q358" i="93"/>
  <c r="Q359" i="93"/>
  <c r="Q360" i="93"/>
  <c r="Q361" i="93"/>
  <c r="Q362" i="93"/>
  <c r="Q363" i="93"/>
  <c r="Q364" i="93"/>
  <c r="Q365" i="93"/>
  <c r="Q366" i="93"/>
  <c r="Q367" i="93"/>
  <c r="Q368" i="93"/>
  <c r="Q369" i="93"/>
  <c r="Q370" i="93"/>
  <c r="Q371" i="93"/>
  <c r="Q372" i="93"/>
  <c r="Q373" i="93"/>
  <c r="Q374" i="93"/>
  <c r="Q375" i="93"/>
  <c r="Q376" i="93"/>
  <c r="Q377" i="93"/>
  <c r="Q378" i="93"/>
  <c r="Q379" i="93"/>
  <c r="Q380" i="93"/>
  <c r="Q381" i="93"/>
  <c r="Q382" i="93"/>
  <c r="Q383" i="93"/>
  <c r="Q384" i="93"/>
  <c r="Q385" i="93"/>
  <c r="Q386" i="93"/>
  <c r="Q387" i="93"/>
  <c r="Q388" i="93"/>
  <c r="Q389" i="93"/>
  <c r="Q390" i="93"/>
  <c r="Q391" i="93"/>
  <c r="Q392" i="93"/>
  <c r="Q393" i="93"/>
  <c r="Q394" i="93"/>
  <c r="Q395" i="93"/>
  <c r="Q396" i="93"/>
  <c r="Q397" i="93"/>
  <c r="Q398" i="93"/>
  <c r="Q399" i="93"/>
  <c r="Q400" i="93"/>
  <c r="Q401" i="93"/>
  <c r="Q402" i="93"/>
  <c r="Q403" i="93"/>
  <c r="Q404" i="93"/>
  <c r="Q405" i="93"/>
  <c r="Q406" i="93"/>
  <c r="Q407" i="93"/>
  <c r="Q408" i="93"/>
  <c r="Q409" i="93"/>
  <c r="Q410" i="93"/>
  <c r="Q411" i="93"/>
  <c r="Q412" i="93"/>
  <c r="Q413" i="93"/>
  <c r="Q414" i="93"/>
  <c r="Q415" i="93"/>
  <c r="Q416" i="93"/>
  <c r="Q417" i="93"/>
  <c r="Q418" i="93"/>
  <c r="Q419" i="93"/>
  <c r="Q420" i="93"/>
  <c r="Q421" i="93"/>
  <c r="Q422" i="93"/>
  <c r="Q423" i="93"/>
  <c r="Q424" i="93"/>
  <c r="Q425" i="93"/>
  <c r="Q426" i="93"/>
  <c r="Q427" i="93"/>
  <c r="Q428" i="93"/>
  <c r="Q429" i="93"/>
  <c r="Q430" i="93"/>
  <c r="Q431" i="93"/>
  <c r="Q432" i="93"/>
  <c r="Q433" i="93"/>
  <c r="Q434" i="93"/>
  <c r="Q435" i="93"/>
  <c r="Q436" i="93"/>
  <c r="Q437" i="93"/>
  <c r="Q438" i="93"/>
  <c r="Q439" i="93"/>
  <c r="Q440" i="93"/>
  <c r="Q441" i="93"/>
  <c r="Q442" i="93"/>
  <c r="Q443" i="93"/>
  <c r="Q444" i="93"/>
  <c r="Q445" i="93"/>
  <c r="Q446" i="93"/>
  <c r="Q447" i="93"/>
  <c r="Q448" i="93"/>
  <c r="Q449" i="93"/>
  <c r="Q450" i="93"/>
  <c r="Q451" i="93"/>
  <c r="Q452" i="93"/>
  <c r="Q453" i="93"/>
  <c r="Q454" i="93"/>
  <c r="Q455" i="93"/>
  <c r="Q456" i="93"/>
  <c r="Q457" i="93"/>
  <c r="Q458" i="93"/>
  <c r="Q459" i="93"/>
  <c r="Q460" i="93"/>
  <c r="Q461" i="93"/>
  <c r="Q462" i="93"/>
  <c r="Q463" i="93"/>
  <c r="Q464" i="93"/>
  <c r="Q465" i="93"/>
  <c r="Q466" i="93"/>
  <c r="Q467" i="93"/>
  <c r="Q468" i="93"/>
  <c r="Q469" i="93"/>
  <c r="Q470" i="93"/>
  <c r="Q471" i="93"/>
  <c r="Q472" i="93"/>
  <c r="Q473" i="93"/>
  <c r="Q474" i="93"/>
  <c r="Q475" i="93"/>
  <c r="Q476" i="93"/>
  <c r="Q477" i="93"/>
  <c r="Q478" i="93"/>
  <c r="Q479" i="93"/>
  <c r="Q480" i="93"/>
  <c r="Q481" i="93"/>
  <c r="Q482" i="93"/>
  <c r="Q483" i="93"/>
  <c r="Q484" i="93"/>
  <c r="Q485" i="93"/>
  <c r="Q486" i="93"/>
  <c r="Q487" i="93"/>
  <c r="Q488" i="93"/>
  <c r="Q489" i="93"/>
  <c r="Q490" i="93"/>
  <c r="Q491" i="93"/>
  <c r="Q492" i="93"/>
  <c r="Q493" i="93"/>
  <c r="Q494" i="93"/>
  <c r="Q495" i="93"/>
  <c r="Q496" i="93"/>
  <c r="Q497" i="93"/>
  <c r="Q498" i="93"/>
  <c r="Q499" i="93"/>
  <c r="Q500" i="93"/>
  <c r="Q501" i="93"/>
  <c r="Q502" i="93"/>
  <c r="Q503" i="93"/>
  <c r="Q504" i="93"/>
  <c r="Q505" i="93"/>
  <c r="Q506" i="93"/>
  <c r="Q507" i="93"/>
  <c r="Q508" i="93"/>
  <c r="Q509" i="93"/>
  <c r="Q510" i="93"/>
  <c r="Q511" i="93"/>
  <c r="Q512" i="93"/>
  <c r="Q513" i="93"/>
  <c r="Q514" i="93"/>
  <c r="Q515" i="93"/>
  <c r="Q516" i="93"/>
  <c r="Q517" i="93"/>
  <c r="Q518" i="93"/>
  <c r="Q519" i="93"/>
  <c r="Q520" i="93"/>
  <c r="Q521" i="93"/>
  <c r="Q522" i="93"/>
  <c r="Q523" i="93"/>
  <c r="Q524" i="93"/>
  <c r="Q525" i="93"/>
  <c r="Q526" i="93"/>
  <c r="Q527" i="93"/>
  <c r="Q528" i="93"/>
  <c r="Q529" i="93"/>
  <c r="Q530" i="93"/>
  <c r="Q531" i="93"/>
  <c r="Q532" i="93"/>
  <c r="Q533" i="93"/>
  <c r="Q534" i="93"/>
  <c r="Q535" i="93"/>
  <c r="Q536" i="93"/>
  <c r="Q537" i="93"/>
  <c r="Q538" i="93"/>
  <c r="Q539" i="93"/>
  <c r="Q540" i="93"/>
  <c r="Q541" i="93"/>
  <c r="Q542" i="93"/>
  <c r="Q543" i="93"/>
  <c r="Q544" i="93"/>
  <c r="Q545" i="93"/>
  <c r="Q546" i="93"/>
  <c r="Q547" i="93"/>
  <c r="Q548" i="93"/>
  <c r="Q549" i="93"/>
  <c r="Q550" i="93"/>
  <c r="Q551" i="93"/>
  <c r="Q552" i="93"/>
  <c r="Q553" i="93"/>
  <c r="Q554" i="93"/>
  <c r="Q555" i="93"/>
  <c r="Q556" i="93"/>
  <c r="Q557" i="93"/>
  <c r="Q558" i="93"/>
  <c r="Q559" i="93"/>
  <c r="Q560" i="93"/>
  <c r="Q561" i="93"/>
  <c r="Q562" i="93"/>
  <c r="Q563" i="93"/>
  <c r="Q564" i="93"/>
  <c r="Q565" i="93"/>
  <c r="Q566" i="93"/>
  <c r="Q567" i="93"/>
  <c r="Q568" i="93"/>
  <c r="Q569" i="93"/>
  <c r="Q570" i="93"/>
  <c r="Q571" i="93"/>
  <c r="Q572" i="93"/>
  <c r="Q573" i="93"/>
  <c r="Q574" i="93"/>
  <c r="Q575" i="93"/>
  <c r="Q576" i="93"/>
  <c r="Q577" i="93"/>
  <c r="Q578" i="93"/>
  <c r="Q579" i="93"/>
  <c r="Q580" i="93"/>
  <c r="Q581" i="93"/>
  <c r="Q582" i="93"/>
  <c r="Q583" i="93"/>
  <c r="Q584" i="93"/>
  <c r="Q585" i="93"/>
  <c r="Q586" i="93"/>
  <c r="Q587" i="93"/>
  <c r="Q588" i="93"/>
  <c r="Q589" i="93"/>
  <c r="Q590" i="93"/>
  <c r="Q591" i="93"/>
  <c r="Q592" i="93"/>
  <c r="Q593" i="93"/>
  <c r="Q594" i="93"/>
  <c r="Q595" i="93"/>
  <c r="Q596" i="93"/>
  <c r="Q597" i="93"/>
  <c r="Q598" i="93"/>
  <c r="Q599" i="93"/>
  <c r="Q600" i="93"/>
  <c r="Q601" i="93"/>
  <c r="Q602" i="93"/>
  <c r="Q603" i="93"/>
  <c r="Q604" i="93"/>
  <c r="Q605" i="93"/>
  <c r="Q606" i="93"/>
  <c r="Q607" i="93"/>
  <c r="Q608" i="93"/>
  <c r="Q609" i="93"/>
  <c r="Q610" i="93"/>
  <c r="Q611" i="93"/>
  <c r="Q612" i="93"/>
  <c r="Q613" i="93"/>
  <c r="Q614" i="93"/>
  <c r="Q615" i="93"/>
  <c r="Q616" i="93"/>
  <c r="Q617" i="93"/>
  <c r="Q618" i="93"/>
  <c r="Q619" i="93"/>
  <c r="Q620" i="93"/>
  <c r="Q621" i="93"/>
  <c r="Q622" i="93"/>
  <c r="Q623" i="93"/>
  <c r="Q624" i="93"/>
  <c r="Q625" i="93"/>
  <c r="Q626" i="93"/>
  <c r="Q627" i="93"/>
  <c r="Q628" i="93"/>
  <c r="Q629" i="93"/>
  <c r="Q630" i="93"/>
  <c r="Q631" i="93"/>
  <c r="Q632" i="93"/>
  <c r="Q633" i="93"/>
  <c r="Q634" i="93"/>
  <c r="Q635" i="93"/>
  <c r="Q636" i="93"/>
  <c r="Q637" i="93"/>
  <c r="Q638" i="93"/>
  <c r="Q639" i="93"/>
  <c r="Q640" i="93"/>
  <c r="Q641" i="93"/>
  <c r="Q642" i="93"/>
  <c r="Q643" i="93"/>
  <c r="Q644" i="93"/>
  <c r="Q645" i="93"/>
  <c r="Q646" i="93"/>
  <c r="Q647" i="93"/>
  <c r="Q648" i="93"/>
  <c r="Q649" i="93"/>
  <c r="Q650" i="93"/>
  <c r="Q651" i="93"/>
  <c r="Q652" i="93"/>
  <c r="Q653" i="93"/>
  <c r="Q654" i="93"/>
  <c r="Q655" i="93"/>
  <c r="Q656" i="93"/>
  <c r="Q657" i="93"/>
  <c r="Q658" i="93"/>
  <c r="Q659" i="93"/>
  <c r="Q660" i="93"/>
  <c r="Q661" i="93"/>
  <c r="Q662" i="93"/>
  <c r="Q663" i="93"/>
  <c r="Q664" i="93"/>
  <c r="Q665" i="93"/>
  <c r="Q666" i="93"/>
  <c r="Q667" i="93"/>
  <c r="Q668" i="93"/>
  <c r="Q669" i="93"/>
  <c r="Q670" i="93"/>
  <c r="Q671" i="93"/>
  <c r="Q672" i="93"/>
  <c r="Q673" i="93"/>
  <c r="Q674" i="93"/>
  <c r="Q675" i="93"/>
  <c r="Q676" i="93"/>
  <c r="Q677" i="93"/>
  <c r="Q678" i="93"/>
  <c r="Q679" i="93"/>
  <c r="Q680" i="93"/>
  <c r="Q681" i="93"/>
  <c r="Q682" i="93"/>
  <c r="Q683" i="93"/>
  <c r="Q684" i="93"/>
  <c r="Q685" i="93"/>
  <c r="Q686" i="93"/>
  <c r="Q687" i="93"/>
  <c r="Q688" i="93"/>
  <c r="Q689" i="93"/>
  <c r="Q690" i="93"/>
  <c r="Q691" i="93"/>
  <c r="Q692" i="93"/>
  <c r="Q693" i="93"/>
  <c r="Q694" i="93"/>
  <c r="Q695" i="93"/>
  <c r="Q696" i="93"/>
  <c r="Q697" i="93"/>
  <c r="Q698" i="93"/>
  <c r="Q699" i="93"/>
  <c r="Q700" i="93"/>
  <c r="Q701" i="93"/>
  <c r="Q702" i="93"/>
  <c r="Q703" i="93"/>
  <c r="Q704" i="93"/>
  <c r="Q705" i="93"/>
  <c r="Q706" i="93"/>
  <c r="Q707" i="93"/>
  <c r="Q708" i="93"/>
  <c r="Q709" i="93"/>
  <c r="Q710" i="93"/>
  <c r="Q711" i="93"/>
  <c r="Q712" i="93"/>
  <c r="Q713" i="93"/>
  <c r="Q714" i="93"/>
  <c r="Q715" i="93"/>
  <c r="Q716" i="93"/>
  <c r="Q717" i="93"/>
  <c r="Q718" i="93"/>
  <c r="Q719" i="93"/>
  <c r="Q720" i="93"/>
  <c r="Q721" i="93"/>
  <c r="Q722" i="93"/>
  <c r="Q723" i="93"/>
  <c r="Q724" i="93"/>
  <c r="Q725" i="93"/>
  <c r="Q726" i="93"/>
  <c r="Q727" i="93"/>
  <c r="Q728" i="93"/>
  <c r="Q729" i="93"/>
  <c r="Q730" i="93"/>
  <c r="Q731" i="93"/>
  <c r="Q732" i="93"/>
  <c r="Q733" i="93"/>
  <c r="Q734" i="93"/>
  <c r="Q735" i="93"/>
  <c r="Q736" i="93"/>
  <c r="Q737" i="93"/>
  <c r="Q738" i="93"/>
  <c r="Q739" i="93"/>
  <c r="Q740" i="93"/>
  <c r="Q741" i="93"/>
  <c r="Q742" i="93"/>
  <c r="Q743" i="93"/>
  <c r="Q744" i="93"/>
  <c r="Q745" i="93"/>
  <c r="Q746" i="93"/>
  <c r="Q747" i="93"/>
  <c r="Q748" i="93"/>
  <c r="Q749" i="93"/>
  <c r="Q750" i="93"/>
  <c r="Q751" i="93"/>
  <c r="Q752" i="93"/>
  <c r="Q753" i="93"/>
  <c r="Q754" i="93"/>
  <c r="Q755" i="93"/>
  <c r="Q756" i="93"/>
  <c r="Q757" i="93"/>
  <c r="Q758" i="93"/>
  <c r="Q759" i="93"/>
  <c r="Q760" i="93"/>
  <c r="Q761" i="93"/>
  <c r="Q762" i="93"/>
  <c r="Q763" i="93"/>
  <c r="Q764" i="93"/>
  <c r="Q765" i="93"/>
  <c r="Q766" i="93"/>
  <c r="Q767" i="93"/>
  <c r="Q768" i="93"/>
  <c r="Q769" i="93"/>
  <c r="Q770" i="93"/>
  <c r="Q771" i="93"/>
  <c r="Q772" i="93"/>
  <c r="Q773" i="93"/>
  <c r="Q774" i="93"/>
  <c r="Q775" i="93"/>
  <c r="Q776" i="93"/>
  <c r="Q777" i="93"/>
  <c r="Q778" i="93"/>
  <c r="Q779" i="93"/>
  <c r="Q780" i="93"/>
  <c r="Q781" i="93"/>
  <c r="Q782" i="93"/>
  <c r="Q783" i="93"/>
  <c r="Q784" i="93"/>
  <c r="Q785" i="93"/>
  <c r="Q786" i="93"/>
  <c r="Q787" i="93"/>
  <c r="Q788" i="93"/>
  <c r="Q789" i="93"/>
  <c r="Q790" i="93"/>
  <c r="Q791" i="93"/>
  <c r="Q792" i="93"/>
  <c r="Q793" i="93"/>
  <c r="Q794" i="93"/>
  <c r="Q795" i="93"/>
  <c r="Q796" i="93"/>
  <c r="Q797" i="93"/>
  <c r="Q798" i="93"/>
  <c r="Q799" i="93"/>
  <c r="Q800" i="93"/>
  <c r="Q801" i="93"/>
  <c r="Q802" i="93"/>
  <c r="Q803" i="93"/>
  <c r="Q804" i="93"/>
  <c r="Q805" i="93"/>
  <c r="Q806" i="93"/>
  <c r="Q807" i="93"/>
  <c r="Q808" i="93"/>
  <c r="Q809" i="93"/>
  <c r="Q810" i="93"/>
  <c r="Q811" i="93"/>
  <c r="Q812" i="93"/>
  <c r="Q813" i="93"/>
  <c r="Q814" i="93"/>
  <c r="Q815" i="93"/>
  <c r="Q816" i="93"/>
  <c r="Q817" i="93"/>
  <c r="Q818" i="93"/>
  <c r="Q819" i="93"/>
  <c r="Q820" i="93"/>
  <c r="Q821" i="93"/>
  <c r="Q822" i="93"/>
  <c r="Q823" i="93"/>
  <c r="Q824" i="93"/>
  <c r="Q825" i="93"/>
  <c r="Q826" i="93"/>
  <c r="Q827" i="93"/>
  <c r="Q828" i="93"/>
  <c r="Q829" i="93"/>
  <c r="Q830" i="93"/>
  <c r="Q831" i="93"/>
  <c r="Q832" i="93"/>
  <c r="Q833" i="93"/>
  <c r="Q834" i="93"/>
  <c r="Q835" i="93"/>
  <c r="Q836" i="93"/>
  <c r="Q837" i="93"/>
  <c r="Q838" i="93"/>
  <c r="Q839" i="93"/>
  <c r="Q840" i="93"/>
  <c r="Q841" i="93"/>
  <c r="Q842" i="93"/>
  <c r="Q843" i="93"/>
  <c r="Q844" i="93"/>
  <c r="Q845" i="93"/>
  <c r="Q846" i="93"/>
  <c r="Q847" i="93"/>
  <c r="Q848" i="93"/>
  <c r="Q849" i="93"/>
  <c r="Q850" i="93"/>
  <c r="Q851" i="93"/>
  <c r="Q852" i="93"/>
  <c r="Q853" i="93"/>
  <c r="Q854" i="93"/>
  <c r="Q855" i="93"/>
  <c r="Q856" i="93"/>
  <c r="Q857" i="93"/>
  <c r="Q858" i="93"/>
  <c r="Q859" i="93"/>
  <c r="Q860" i="93"/>
  <c r="Q861" i="93"/>
  <c r="Q862" i="93"/>
  <c r="Q863" i="93"/>
  <c r="Q864" i="93"/>
  <c r="Q865" i="93"/>
  <c r="Q866" i="93"/>
  <c r="Q867" i="93"/>
  <c r="Q868" i="93"/>
  <c r="Q869" i="93"/>
  <c r="Q870" i="93"/>
  <c r="Q871" i="93"/>
  <c r="Q872" i="93"/>
  <c r="Q873" i="93"/>
  <c r="Q874" i="93"/>
  <c r="Q875" i="93"/>
  <c r="Q876" i="93"/>
  <c r="Q877" i="93"/>
  <c r="Q878" i="93"/>
  <c r="Q879" i="93"/>
  <c r="Q880" i="93"/>
  <c r="Q881" i="93"/>
  <c r="Q882" i="93"/>
  <c r="Q883" i="93"/>
  <c r="Q884" i="93"/>
  <c r="Q885" i="93"/>
  <c r="Q886" i="93"/>
  <c r="Q887" i="93"/>
  <c r="Q888" i="93"/>
  <c r="Q889" i="93"/>
  <c r="Q890" i="93"/>
  <c r="Q891" i="93"/>
  <c r="Q892" i="93"/>
  <c r="Q893" i="93"/>
  <c r="Q894" i="93"/>
  <c r="Q895" i="93"/>
  <c r="Q896" i="93"/>
  <c r="Q897" i="93"/>
  <c r="Q898" i="93"/>
  <c r="Q899" i="93"/>
  <c r="Q900" i="93"/>
  <c r="Q901" i="93"/>
  <c r="Q902" i="93"/>
  <c r="Q903" i="93"/>
  <c r="Q904" i="93"/>
  <c r="Q905" i="93"/>
  <c r="Q906" i="93"/>
  <c r="Q907" i="93"/>
  <c r="Q908" i="93"/>
  <c r="Q909" i="93"/>
  <c r="Q910" i="93"/>
  <c r="Q911" i="93"/>
  <c r="Q912" i="93"/>
  <c r="Q913" i="93"/>
  <c r="Q914" i="93"/>
  <c r="Q915" i="93"/>
  <c r="Q916" i="93"/>
  <c r="Q917" i="93"/>
  <c r="Q918" i="93"/>
  <c r="Q919" i="93"/>
  <c r="Q920" i="93"/>
  <c r="Q921" i="93"/>
  <c r="Q922" i="93"/>
  <c r="Q923" i="93"/>
  <c r="Q924" i="93"/>
  <c r="Q925" i="93"/>
  <c r="Q926" i="93"/>
  <c r="Q927" i="93"/>
  <c r="Q928" i="93"/>
  <c r="Q929" i="93"/>
  <c r="Q930" i="93"/>
  <c r="Q931" i="93"/>
  <c r="Q932" i="93"/>
  <c r="Q933" i="93"/>
  <c r="Q934" i="93"/>
  <c r="Q935" i="93"/>
  <c r="Q936" i="93"/>
  <c r="Q937" i="93"/>
  <c r="Q938" i="93"/>
  <c r="Q939" i="93"/>
  <c r="Q940" i="93"/>
  <c r="Q941" i="93"/>
  <c r="Q942" i="93"/>
  <c r="Q943" i="93"/>
  <c r="Q944" i="93"/>
  <c r="Q945" i="93"/>
  <c r="Q946" i="93"/>
  <c r="Q947" i="93"/>
  <c r="Q948" i="93"/>
  <c r="Q949" i="93"/>
  <c r="Q950" i="93"/>
  <c r="Q951" i="93"/>
  <c r="Q952" i="93"/>
  <c r="Q953" i="93"/>
  <c r="Q954" i="93"/>
  <c r="Q955" i="93"/>
  <c r="Q956" i="93"/>
  <c r="Q957" i="93"/>
  <c r="Q958" i="93"/>
  <c r="Q959" i="93"/>
  <c r="Q960" i="93"/>
  <c r="Q961" i="93"/>
  <c r="Q962" i="93"/>
  <c r="Q963" i="93"/>
  <c r="Q964" i="93"/>
  <c r="Q965" i="93"/>
  <c r="Q966" i="93"/>
  <c r="Q967" i="93"/>
  <c r="Q968" i="93"/>
  <c r="Q969" i="93"/>
  <c r="Q970" i="93"/>
  <c r="Q971" i="93"/>
  <c r="Q972" i="93"/>
  <c r="Q973" i="93"/>
  <c r="Q974" i="93"/>
  <c r="Q975" i="93"/>
  <c r="Q976" i="93"/>
  <c r="Q977" i="93"/>
  <c r="Q978" i="93"/>
  <c r="Q979" i="93"/>
  <c r="Q980" i="93"/>
  <c r="Q981" i="93"/>
  <c r="Q982" i="93"/>
  <c r="Q983" i="93"/>
  <c r="Q984" i="93"/>
  <c r="Q985" i="93"/>
  <c r="Q986" i="93"/>
  <c r="Q987" i="93"/>
  <c r="Q988" i="93"/>
  <c r="Q989" i="93"/>
  <c r="Q990" i="93"/>
  <c r="Q991" i="93"/>
  <c r="Q992" i="93"/>
  <c r="Q993" i="93"/>
  <c r="Q994" i="93"/>
  <c r="Q995" i="93"/>
  <c r="Q996" i="93"/>
  <c r="Q997" i="93"/>
  <c r="Q998" i="93"/>
  <c r="Q999" i="93"/>
  <c r="Q1000" i="93"/>
  <c r="Q1001" i="93"/>
  <c r="Q1002" i="93"/>
  <c r="Q1003" i="93"/>
  <c r="Q1004" i="93"/>
  <c r="Q9" i="93"/>
  <c r="E11" i="92" s="1"/>
  <c r="P10" i="93"/>
  <c r="D8" i="92" s="1"/>
  <c r="P11" i="93"/>
  <c r="P12" i="93"/>
  <c r="P13" i="93"/>
  <c r="P14" i="93"/>
  <c r="P15" i="93"/>
  <c r="P16" i="93"/>
  <c r="P17" i="93"/>
  <c r="P18" i="93"/>
  <c r="P19" i="93"/>
  <c r="P20" i="93"/>
  <c r="P21" i="93"/>
  <c r="P22" i="93"/>
  <c r="P23" i="93"/>
  <c r="P24" i="93"/>
  <c r="P25" i="93"/>
  <c r="P26" i="93"/>
  <c r="P27" i="93"/>
  <c r="P28" i="93"/>
  <c r="P29" i="93"/>
  <c r="P30" i="93"/>
  <c r="P31" i="93"/>
  <c r="P32" i="93"/>
  <c r="P33" i="93"/>
  <c r="P34" i="93"/>
  <c r="P35" i="93"/>
  <c r="P36" i="93"/>
  <c r="P37" i="93"/>
  <c r="P38" i="93"/>
  <c r="P39" i="93"/>
  <c r="P40" i="93"/>
  <c r="P41" i="93"/>
  <c r="P42" i="93"/>
  <c r="P43" i="93"/>
  <c r="P44" i="93"/>
  <c r="P45" i="93"/>
  <c r="P46" i="93"/>
  <c r="P47" i="93"/>
  <c r="P48" i="93"/>
  <c r="P49" i="93"/>
  <c r="P50" i="93"/>
  <c r="P51" i="93"/>
  <c r="P52" i="93"/>
  <c r="P53" i="93"/>
  <c r="P54" i="93"/>
  <c r="P55" i="93"/>
  <c r="P56" i="93"/>
  <c r="P57" i="93"/>
  <c r="P58" i="93"/>
  <c r="P59" i="93"/>
  <c r="P60" i="93"/>
  <c r="P61" i="93"/>
  <c r="P62" i="93"/>
  <c r="P63" i="93"/>
  <c r="P64" i="93"/>
  <c r="P65" i="93"/>
  <c r="P66" i="93"/>
  <c r="P67" i="93"/>
  <c r="P68" i="93"/>
  <c r="P69" i="93"/>
  <c r="P70" i="93"/>
  <c r="P71" i="93"/>
  <c r="P72" i="93"/>
  <c r="P73" i="93"/>
  <c r="P74" i="93"/>
  <c r="P75" i="93"/>
  <c r="P76" i="93"/>
  <c r="P77" i="93"/>
  <c r="P78" i="93"/>
  <c r="P79" i="93"/>
  <c r="P80" i="93"/>
  <c r="P81" i="93"/>
  <c r="P82" i="93"/>
  <c r="P83" i="93"/>
  <c r="P84" i="93"/>
  <c r="P85" i="93"/>
  <c r="P86" i="93"/>
  <c r="P87" i="93"/>
  <c r="P88" i="93"/>
  <c r="P89" i="93"/>
  <c r="P90" i="93"/>
  <c r="P91" i="93"/>
  <c r="P92" i="93"/>
  <c r="P93" i="93"/>
  <c r="P94" i="93"/>
  <c r="P95" i="93"/>
  <c r="P96" i="93"/>
  <c r="P97" i="93"/>
  <c r="P98" i="93"/>
  <c r="P99" i="93"/>
  <c r="P100" i="93"/>
  <c r="P101" i="93"/>
  <c r="P102" i="93"/>
  <c r="P103" i="93"/>
  <c r="P104" i="93"/>
  <c r="P105" i="93"/>
  <c r="P106" i="93"/>
  <c r="P107" i="93"/>
  <c r="P108" i="93"/>
  <c r="P109" i="93"/>
  <c r="P110" i="93"/>
  <c r="P111" i="93"/>
  <c r="P112" i="93"/>
  <c r="P113" i="93"/>
  <c r="P114" i="93"/>
  <c r="P115" i="93"/>
  <c r="P116" i="93"/>
  <c r="P117" i="93"/>
  <c r="P118" i="93"/>
  <c r="P119" i="93"/>
  <c r="P120" i="93"/>
  <c r="P121" i="93"/>
  <c r="P122" i="93"/>
  <c r="P123" i="93"/>
  <c r="P124" i="93"/>
  <c r="P125" i="93"/>
  <c r="P126" i="93"/>
  <c r="P127" i="93"/>
  <c r="P128" i="93"/>
  <c r="P129" i="93"/>
  <c r="P130" i="93"/>
  <c r="P131" i="93"/>
  <c r="P132" i="93"/>
  <c r="P133" i="93"/>
  <c r="P134" i="93"/>
  <c r="P135" i="93"/>
  <c r="P136" i="93"/>
  <c r="P137" i="93"/>
  <c r="P138" i="93"/>
  <c r="P139" i="93"/>
  <c r="P140" i="93"/>
  <c r="P141" i="93"/>
  <c r="P142" i="93"/>
  <c r="P143" i="93"/>
  <c r="P144" i="93"/>
  <c r="P145" i="93"/>
  <c r="P146" i="93"/>
  <c r="P147" i="93"/>
  <c r="P148" i="93"/>
  <c r="P149" i="93"/>
  <c r="P150" i="93"/>
  <c r="P151" i="93"/>
  <c r="P152" i="93"/>
  <c r="P153" i="93"/>
  <c r="P154" i="93"/>
  <c r="P155" i="93"/>
  <c r="P156" i="93"/>
  <c r="P157" i="93"/>
  <c r="P158" i="93"/>
  <c r="P159" i="93"/>
  <c r="P160" i="93"/>
  <c r="P161" i="93"/>
  <c r="P162" i="93"/>
  <c r="P163" i="93"/>
  <c r="P164" i="93"/>
  <c r="P165" i="93"/>
  <c r="P166" i="93"/>
  <c r="P167" i="93"/>
  <c r="P168" i="93"/>
  <c r="P169" i="93"/>
  <c r="P170" i="93"/>
  <c r="P171" i="93"/>
  <c r="P172" i="93"/>
  <c r="P173" i="93"/>
  <c r="P174" i="93"/>
  <c r="P175" i="93"/>
  <c r="P176" i="93"/>
  <c r="P177" i="93"/>
  <c r="P178" i="93"/>
  <c r="P179" i="93"/>
  <c r="P180" i="93"/>
  <c r="P181" i="93"/>
  <c r="P182" i="93"/>
  <c r="P183" i="93"/>
  <c r="P184" i="93"/>
  <c r="P185" i="93"/>
  <c r="P186" i="93"/>
  <c r="P187" i="93"/>
  <c r="P188" i="93"/>
  <c r="P189" i="93"/>
  <c r="P190" i="93"/>
  <c r="P191" i="93"/>
  <c r="P192" i="93"/>
  <c r="P193" i="93"/>
  <c r="P194" i="93"/>
  <c r="P195" i="93"/>
  <c r="P196" i="93"/>
  <c r="P197" i="93"/>
  <c r="P198" i="93"/>
  <c r="P199" i="93"/>
  <c r="P200" i="93"/>
  <c r="P201" i="93"/>
  <c r="P202" i="93"/>
  <c r="P203" i="93"/>
  <c r="P204" i="93"/>
  <c r="P205" i="93"/>
  <c r="P206" i="93"/>
  <c r="P207" i="93"/>
  <c r="P208" i="93"/>
  <c r="P209" i="93"/>
  <c r="P210" i="93"/>
  <c r="P211" i="93"/>
  <c r="P212" i="93"/>
  <c r="P213" i="93"/>
  <c r="P214" i="93"/>
  <c r="P215" i="93"/>
  <c r="P216" i="93"/>
  <c r="P217" i="93"/>
  <c r="P218" i="93"/>
  <c r="P219" i="93"/>
  <c r="P220" i="93"/>
  <c r="P221" i="93"/>
  <c r="P222" i="93"/>
  <c r="P223" i="93"/>
  <c r="P224" i="93"/>
  <c r="P225" i="93"/>
  <c r="P226" i="93"/>
  <c r="P227" i="93"/>
  <c r="P228" i="93"/>
  <c r="P229" i="93"/>
  <c r="P230" i="93"/>
  <c r="P231" i="93"/>
  <c r="P232" i="93"/>
  <c r="P233" i="93"/>
  <c r="P234" i="93"/>
  <c r="P235" i="93"/>
  <c r="P236" i="93"/>
  <c r="P237" i="93"/>
  <c r="P238" i="93"/>
  <c r="P239" i="93"/>
  <c r="P240" i="93"/>
  <c r="P241" i="93"/>
  <c r="P242" i="93"/>
  <c r="P243" i="93"/>
  <c r="P244" i="93"/>
  <c r="P245" i="93"/>
  <c r="P246" i="93"/>
  <c r="P247" i="93"/>
  <c r="P248" i="93"/>
  <c r="P249" i="93"/>
  <c r="P250" i="93"/>
  <c r="P251" i="93"/>
  <c r="P252" i="93"/>
  <c r="P253" i="93"/>
  <c r="P254" i="93"/>
  <c r="P255" i="93"/>
  <c r="P256" i="93"/>
  <c r="P257" i="93"/>
  <c r="P258" i="93"/>
  <c r="P259" i="93"/>
  <c r="P260" i="93"/>
  <c r="P261" i="93"/>
  <c r="P262" i="93"/>
  <c r="P263" i="93"/>
  <c r="P264" i="93"/>
  <c r="P265" i="93"/>
  <c r="P266" i="93"/>
  <c r="P267" i="93"/>
  <c r="P268" i="93"/>
  <c r="P269" i="93"/>
  <c r="P270" i="93"/>
  <c r="P271" i="93"/>
  <c r="P272" i="93"/>
  <c r="P273" i="93"/>
  <c r="P274" i="93"/>
  <c r="P275" i="93"/>
  <c r="P276" i="93"/>
  <c r="P277" i="93"/>
  <c r="P278" i="93"/>
  <c r="P279" i="93"/>
  <c r="P280" i="93"/>
  <c r="P281" i="93"/>
  <c r="P282" i="93"/>
  <c r="P283" i="93"/>
  <c r="P284" i="93"/>
  <c r="P285" i="93"/>
  <c r="P286" i="93"/>
  <c r="P287" i="93"/>
  <c r="P288" i="93"/>
  <c r="P289" i="93"/>
  <c r="P290" i="93"/>
  <c r="P291" i="93"/>
  <c r="P292" i="93"/>
  <c r="P293" i="93"/>
  <c r="P294" i="93"/>
  <c r="P295" i="93"/>
  <c r="P296" i="93"/>
  <c r="P297" i="93"/>
  <c r="P298" i="93"/>
  <c r="P299" i="93"/>
  <c r="P300" i="93"/>
  <c r="P301" i="93"/>
  <c r="P302" i="93"/>
  <c r="P303" i="93"/>
  <c r="P304" i="93"/>
  <c r="P305" i="93"/>
  <c r="P306" i="93"/>
  <c r="P307" i="93"/>
  <c r="P308" i="93"/>
  <c r="P309" i="93"/>
  <c r="P310" i="93"/>
  <c r="P311" i="93"/>
  <c r="P312" i="93"/>
  <c r="P313" i="93"/>
  <c r="P314" i="93"/>
  <c r="P315" i="93"/>
  <c r="P316" i="93"/>
  <c r="P317" i="93"/>
  <c r="P318" i="93"/>
  <c r="P319" i="93"/>
  <c r="P320" i="93"/>
  <c r="P321" i="93"/>
  <c r="P322" i="93"/>
  <c r="P323" i="93"/>
  <c r="P324" i="93"/>
  <c r="P325" i="93"/>
  <c r="P326" i="93"/>
  <c r="P327" i="93"/>
  <c r="P328" i="93"/>
  <c r="P329" i="93"/>
  <c r="P330" i="93"/>
  <c r="P331" i="93"/>
  <c r="P332" i="93"/>
  <c r="P333" i="93"/>
  <c r="P334" i="93"/>
  <c r="P335" i="93"/>
  <c r="P336" i="93"/>
  <c r="P337" i="93"/>
  <c r="P338" i="93"/>
  <c r="P339" i="93"/>
  <c r="P340" i="93"/>
  <c r="P341" i="93"/>
  <c r="P342" i="93"/>
  <c r="P343" i="93"/>
  <c r="P344" i="93"/>
  <c r="P345" i="93"/>
  <c r="P346" i="93"/>
  <c r="P347" i="93"/>
  <c r="P348" i="93"/>
  <c r="P349" i="93"/>
  <c r="P350" i="93"/>
  <c r="P351" i="93"/>
  <c r="P352" i="93"/>
  <c r="P353" i="93"/>
  <c r="P354" i="93"/>
  <c r="P355" i="93"/>
  <c r="P356" i="93"/>
  <c r="P357" i="93"/>
  <c r="P358" i="93"/>
  <c r="P359" i="93"/>
  <c r="P360" i="93"/>
  <c r="P361" i="93"/>
  <c r="P362" i="93"/>
  <c r="P363" i="93"/>
  <c r="P364" i="93"/>
  <c r="P365" i="93"/>
  <c r="P366" i="93"/>
  <c r="P367" i="93"/>
  <c r="P368" i="93"/>
  <c r="P369" i="93"/>
  <c r="P370" i="93"/>
  <c r="P371" i="93"/>
  <c r="P372" i="93"/>
  <c r="P373" i="93"/>
  <c r="P374" i="93"/>
  <c r="P375" i="93"/>
  <c r="P376" i="93"/>
  <c r="P377" i="93"/>
  <c r="P378" i="93"/>
  <c r="P379" i="93"/>
  <c r="P380" i="93"/>
  <c r="P381" i="93"/>
  <c r="P382" i="93"/>
  <c r="P383" i="93"/>
  <c r="P384" i="93"/>
  <c r="P385" i="93"/>
  <c r="P386" i="93"/>
  <c r="P387" i="93"/>
  <c r="P388" i="93"/>
  <c r="P389" i="93"/>
  <c r="P390" i="93"/>
  <c r="P391" i="93"/>
  <c r="P392" i="93"/>
  <c r="P393" i="93"/>
  <c r="P394" i="93"/>
  <c r="P395" i="93"/>
  <c r="P396" i="93"/>
  <c r="P397" i="93"/>
  <c r="P398" i="93"/>
  <c r="P399" i="93"/>
  <c r="P400" i="93"/>
  <c r="P401" i="93"/>
  <c r="P402" i="93"/>
  <c r="P403" i="93"/>
  <c r="P404" i="93"/>
  <c r="P405" i="93"/>
  <c r="P406" i="93"/>
  <c r="P407" i="93"/>
  <c r="P408" i="93"/>
  <c r="P409" i="93"/>
  <c r="P410" i="93"/>
  <c r="P411" i="93"/>
  <c r="P412" i="93"/>
  <c r="P413" i="93"/>
  <c r="P414" i="93"/>
  <c r="P415" i="93"/>
  <c r="P416" i="93"/>
  <c r="P417" i="93"/>
  <c r="P418" i="93"/>
  <c r="P419" i="93"/>
  <c r="P420" i="93"/>
  <c r="P421" i="93"/>
  <c r="P422" i="93"/>
  <c r="P423" i="93"/>
  <c r="P424" i="93"/>
  <c r="P425" i="93"/>
  <c r="P426" i="93"/>
  <c r="P427" i="93"/>
  <c r="P428" i="93"/>
  <c r="P429" i="93"/>
  <c r="P430" i="93"/>
  <c r="P431" i="93"/>
  <c r="P432" i="93"/>
  <c r="P433" i="93"/>
  <c r="P434" i="93"/>
  <c r="P435" i="93"/>
  <c r="P436" i="93"/>
  <c r="P437" i="93"/>
  <c r="P438" i="93"/>
  <c r="P439" i="93"/>
  <c r="P440" i="93"/>
  <c r="P441" i="93"/>
  <c r="P442" i="93"/>
  <c r="P443" i="93"/>
  <c r="P444" i="93"/>
  <c r="P445" i="93"/>
  <c r="P446" i="93"/>
  <c r="P447" i="93"/>
  <c r="P448" i="93"/>
  <c r="P449" i="93"/>
  <c r="P450" i="93"/>
  <c r="P451" i="93"/>
  <c r="P452" i="93"/>
  <c r="P453" i="93"/>
  <c r="P454" i="93"/>
  <c r="P455" i="93"/>
  <c r="P456" i="93"/>
  <c r="P457" i="93"/>
  <c r="P458" i="93"/>
  <c r="P459" i="93"/>
  <c r="P460" i="93"/>
  <c r="P461" i="93"/>
  <c r="P462" i="93"/>
  <c r="P463" i="93"/>
  <c r="P464" i="93"/>
  <c r="P465" i="93"/>
  <c r="P466" i="93"/>
  <c r="P467" i="93"/>
  <c r="P468" i="93"/>
  <c r="P469" i="93"/>
  <c r="P470" i="93"/>
  <c r="P471" i="93"/>
  <c r="P472" i="93"/>
  <c r="P473" i="93"/>
  <c r="P474" i="93"/>
  <c r="P475" i="93"/>
  <c r="P476" i="93"/>
  <c r="P477" i="93"/>
  <c r="P478" i="93"/>
  <c r="P479" i="93"/>
  <c r="P480" i="93"/>
  <c r="P481" i="93"/>
  <c r="P482" i="93"/>
  <c r="P483" i="93"/>
  <c r="P484" i="93"/>
  <c r="P485" i="93"/>
  <c r="P486" i="93"/>
  <c r="P487" i="93"/>
  <c r="P488" i="93"/>
  <c r="P489" i="93"/>
  <c r="P490" i="93"/>
  <c r="P491" i="93"/>
  <c r="P492" i="93"/>
  <c r="P493" i="93"/>
  <c r="P494" i="93"/>
  <c r="P495" i="93"/>
  <c r="P496" i="93"/>
  <c r="P497" i="93"/>
  <c r="P498" i="93"/>
  <c r="P499" i="93"/>
  <c r="P500" i="93"/>
  <c r="P501" i="93"/>
  <c r="P502" i="93"/>
  <c r="P503" i="93"/>
  <c r="P504" i="93"/>
  <c r="P505" i="93"/>
  <c r="P506" i="93"/>
  <c r="P507" i="93"/>
  <c r="P508" i="93"/>
  <c r="P509" i="93"/>
  <c r="P510" i="93"/>
  <c r="P511" i="93"/>
  <c r="P512" i="93"/>
  <c r="P513" i="93"/>
  <c r="P514" i="93"/>
  <c r="P515" i="93"/>
  <c r="P516" i="93"/>
  <c r="P517" i="93"/>
  <c r="P518" i="93"/>
  <c r="P519" i="93"/>
  <c r="P520" i="93"/>
  <c r="P521" i="93"/>
  <c r="P522" i="93"/>
  <c r="P523" i="93"/>
  <c r="P524" i="93"/>
  <c r="P525" i="93"/>
  <c r="P526" i="93"/>
  <c r="P527" i="93"/>
  <c r="P528" i="93"/>
  <c r="P529" i="93"/>
  <c r="P530" i="93"/>
  <c r="P531" i="93"/>
  <c r="P532" i="93"/>
  <c r="P533" i="93"/>
  <c r="P534" i="93"/>
  <c r="P535" i="93"/>
  <c r="P536" i="93"/>
  <c r="P537" i="93"/>
  <c r="P538" i="93"/>
  <c r="P539" i="93"/>
  <c r="P540" i="93"/>
  <c r="P541" i="93"/>
  <c r="P542" i="93"/>
  <c r="P543" i="93"/>
  <c r="P544" i="93"/>
  <c r="P545" i="93"/>
  <c r="P546" i="93"/>
  <c r="P547" i="93"/>
  <c r="P548" i="93"/>
  <c r="P549" i="93"/>
  <c r="P550" i="93"/>
  <c r="P551" i="93"/>
  <c r="P552" i="93"/>
  <c r="P553" i="93"/>
  <c r="P554" i="93"/>
  <c r="P555" i="93"/>
  <c r="P556" i="93"/>
  <c r="P557" i="93"/>
  <c r="P558" i="93"/>
  <c r="P559" i="93"/>
  <c r="P560" i="93"/>
  <c r="P561" i="93"/>
  <c r="P562" i="93"/>
  <c r="P563" i="93"/>
  <c r="P564" i="93"/>
  <c r="P565" i="93"/>
  <c r="P566" i="93"/>
  <c r="P567" i="93"/>
  <c r="P568" i="93"/>
  <c r="P569" i="93"/>
  <c r="P570" i="93"/>
  <c r="P571" i="93"/>
  <c r="P572" i="93"/>
  <c r="P573" i="93"/>
  <c r="P574" i="93"/>
  <c r="P575" i="93"/>
  <c r="P576" i="93"/>
  <c r="P577" i="93"/>
  <c r="P578" i="93"/>
  <c r="P579" i="93"/>
  <c r="P580" i="93"/>
  <c r="P581" i="93"/>
  <c r="P582" i="93"/>
  <c r="P583" i="93"/>
  <c r="P584" i="93"/>
  <c r="P585" i="93"/>
  <c r="P586" i="93"/>
  <c r="P587" i="93"/>
  <c r="P588" i="93"/>
  <c r="P589" i="93"/>
  <c r="P590" i="93"/>
  <c r="P591" i="93"/>
  <c r="P592" i="93"/>
  <c r="P593" i="93"/>
  <c r="P594" i="93"/>
  <c r="P595" i="93"/>
  <c r="P596" i="93"/>
  <c r="P597" i="93"/>
  <c r="P598" i="93"/>
  <c r="P599" i="93"/>
  <c r="P600" i="93"/>
  <c r="P601" i="93"/>
  <c r="P602" i="93"/>
  <c r="P603" i="93"/>
  <c r="P604" i="93"/>
  <c r="P605" i="93"/>
  <c r="P606" i="93"/>
  <c r="P607" i="93"/>
  <c r="P608" i="93"/>
  <c r="P609" i="93"/>
  <c r="P610" i="93"/>
  <c r="P611" i="93"/>
  <c r="P612" i="93"/>
  <c r="P613" i="93"/>
  <c r="P614" i="93"/>
  <c r="P615" i="93"/>
  <c r="P616" i="93"/>
  <c r="P617" i="93"/>
  <c r="P618" i="93"/>
  <c r="P619" i="93"/>
  <c r="P620" i="93"/>
  <c r="P621" i="93"/>
  <c r="P622" i="93"/>
  <c r="P623" i="93"/>
  <c r="P624" i="93"/>
  <c r="P625" i="93"/>
  <c r="P626" i="93"/>
  <c r="P627" i="93"/>
  <c r="P628" i="93"/>
  <c r="P629" i="93"/>
  <c r="P630" i="93"/>
  <c r="P631" i="93"/>
  <c r="P632" i="93"/>
  <c r="P633" i="93"/>
  <c r="P634" i="93"/>
  <c r="P635" i="93"/>
  <c r="P636" i="93"/>
  <c r="P637" i="93"/>
  <c r="P638" i="93"/>
  <c r="P639" i="93"/>
  <c r="P640" i="93"/>
  <c r="P641" i="93"/>
  <c r="P642" i="93"/>
  <c r="P643" i="93"/>
  <c r="P644" i="93"/>
  <c r="P645" i="93"/>
  <c r="P646" i="93"/>
  <c r="P647" i="93"/>
  <c r="P648" i="93"/>
  <c r="P649" i="93"/>
  <c r="P650" i="93"/>
  <c r="P651" i="93"/>
  <c r="P652" i="93"/>
  <c r="P653" i="93"/>
  <c r="P654" i="93"/>
  <c r="P655" i="93"/>
  <c r="P656" i="93"/>
  <c r="P657" i="93"/>
  <c r="P658" i="93"/>
  <c r="P659" i="93"/>
  <c r="P660" i="93"/>
  <c r="P661" i="93"/>
  <c r="P662" i="93"/>
  <c r="P663" i="93"/>
  <c r="P664" i="93"/>
  <c r="P665" i="93"/>
  <c r="P666" i="93"/>
  <c r="P667" i="93"/>
  <c r="P668" i="93"/>
  <c r="P669" i="93"/>
  <c r="P670" i="93"/>
  <c r="P671" i="93"/>
  <c r="P672" i="93"/>
  <c r="P673" i="93"/>
  <c r="P674" i="93"/>
  <c r="P675" i="93"/>
  <c r="P676" i="93"/>
  <c r="P677" i="93"/>
  <c r="P678" i="93"/>
  <c r="P679" i="93"/>
  <c r="P680" i="93"/>
  <c r="P681" i="93"/>
  <c r="P682" i="93"/>
  <c r="P683" i="93"/>
  <c r="P684" i="93"/>
  <c r="P685" i="93"/>
  <c r="P686" i="93"/>
  <c r="P687" i="93"/>
  <c r="P688" i="93"/>
  <c r="P689" i="93"/>
  <c r="P690" i="93"/>
  <c r="P691" i="93"/>
  <c r="P692" i="93"/>
  <c r="P693" i="93"/>
  <c r="P694" i="93"/>
  <c r="P695" i="93"/>
  <c r="P696" i="93"/>
  <c r="P697" i="93"/>
  <c r="P698" i="93"/>
  <c r="P699" i="93"/>
  <c r="P700" i="93"/>
  <c r="P701" i="93"/>
  <c r="P702" i="93"/>
  <c r="P703" i="93"/>
  <c r="P704" i="93"/>
  <c r="P705" i="93"/>
  <c r="P706" i="93"/>
  <c r="P707" i="93"/>
  <c r="P708" i="93"/>
  <c r="P709" i="93"/>
  <c r="P710" i="93"/>
  <c r="P711" i="93"/>
  <c r="P712" i="93"/>
  <c r="P713" i="93"/>
  <c r="P714" i="93"/>
  <c r="P715" i="93"/>
  <c r="P716" i="93"/>
  <c r="P717" i="93"/>
  <c r="P718" i="93"/>
  <c r="P719" i="93"/>
  <c r="P720" i="93"/>
  <c r="P721" i="93"/>
  <c r="P722" i="93"/>
  <c r="P723" i="93"/>
  <c r="P724" i="93"/>
  <c r="P725" i="93"/>
  <c r="P726" i="93"/>
  <c r="P727" i="93"/>
  <c r="P728" i="93"/>
  <c r="P729" i="93"/>
  <c r="P730" i="93"/>
  <c r="P731" i="93"/>
  <c r="P732" i="93"/>
  <c r="P733" i="93"/>
  <c r="P734" i="93"/>
  <c r="P735" i="93"/>
  <c r="P736" i="93"/>
  <c r="P737" i="93"/>
  <c r="P738" i="93"/>
  <c r="P739" i="93"/>
  <c r="P740" i="93"/>
  <c r="P741" i="93"/>
  <c r="P742" i="93"/>
  <c r="P743" i="93"/>
  <c r="P744" i="93"/>
  <c r="P745" i="93"/>
  <c r="P746" i="93"/>
  <c r="P747" i="93"/>
  <c r="P748" i="93"/>
  <c r="P749" i="93"/>
  <c r="P750" i="93"/>
  <c r="P751" i="93"/>
  <c r="P752" i="93"/>
  <c r="P753" i="93"/>
  <c r="P754" i="93"/>
  <c r="P755" i="93"/>
  <c r="P756" i="93"/>
  <c r="P757" i="93"/>
  <c r="P758" i="93"/>
  <c r="P759" i="93"/>
  <c r="P760" i="93"/>
  <c r="P761" i="93"/>
  <c r="P762" i="93"/>
  <c r="P763" i="93"/>
  <c r="P764" i="93"/>
  <c r="P765" i="93"/>
  <c r="P766" i="93"/>
  <c r="P767" i="93"/>
  <c r="P768" i="93"/>
  <c r="P769" i="93"/>
  <c r="P770" i="93"/>
  <c r="P771" i="93"/>
  <c r="P772" i="93"/>
  <c r="P773" i="93"/>
  <c r="P774" i="93"/>
  <c r="P775" i="93"/>
  <c r="P776" i="93"/>
  <c r="P777" i="93"/>
  <c r="P778" i="93"/>
  <c r="P779" i="93"/>
  <c r="P780" i="93"/>
  <c r="P781" i="93"/>
  <c r="P782" i="93"/>
  <c r="P783" i="93"/>
  <c r="P784" i="93"/>
  <c r="P785" i="93"/>
  <c r="P786" i="93"/>
  <c r="P787" i="93"/>
  <c r="P788" i="93"/>
  <c r="P789" i="93"/>
  <c r="P790" i="93"/>
  <c r="P791" i="93"/>
  <c r="P792" i="93"/>
  <c r="P793" i="93"/>
  <c r="P794" i="93"/>
  <c r="P795" i="93"/>
  <c r="P796" i="93"/>
  <c r="P797" i="93"/>
  <c r="P798" i="93"/>
  <c r="P799" i="93"/>
  <c r="P800" i="93"/>
  <c r="P801" i="93"/>
  <c r="P802" i="93"/>
  <c r="P803" i="93"/>
  <c r="P804" i="93"/>
  <c r="P805" i="93"/>
  <c r="P806" i="93"/>
  <c r="P807" i="93"/>
  <c r="P808" i="93"/>
  <c r="P809" i="93"/>
  <c r="P810" i="93"/>
  <c r="P811" i="93"/>
  <c r="P812" i="93"/>
  <c r="P813" i="93"/>
  <c r="P814" i="93"/>
  <c r="P815" i="93"/>
  <c r="P816" i="93"/>
  <c r="P817" i="93"/>
  <c r="P818" i="93"/>
  <c r="P819" i="93"/>
  <c r="P820" i="93"/>
  <c r="P821" i="93"/>
  <c r="P822" i="93"/>
  <c r="P823" i="93"/>
  <c r="P824" i="93"/>
  <c r="P825" i="93"/>
  <c r="P826" i="93"/>
  <c r="P827" i="93"/>
  <c r="P828" i="93"/>
  <c r="P829" i="93"/>
  <c r="P830" i="93"/>
  <c r="P831" i="93"/>
  <c r="P832" i="93"/>
  <c r="P833" i="93"/>
  <c r="P834" i="93"/>
  <c r="P835" i="93"/>
  <c r="P836" i="93"/>
  <c r="P837" i="93"/>
  <c r="P838" i="93"/>
  <c r="P839" i="93"/>
  <c r="P840" i="93"/>
  <c r="P841" i="93"/>
  <c r="P842" i="93"/>
  <c r="P843" i="93"/>
  <c r="P844" i="93"/>
  <c r="P845" i="93"/>
  <c r="P846" i="93"/>
  <c r="P847" i="93"/>
  <c r="P848" i="93"/>
  <c r="P849" i="93"/>
  <c r="P850" i="93"/>
  <c r="P851" i="93"/>
  <c r="P852" i="93"/>
  <c r="P853" i="93"/>
  <c r="P854" i="93"/>
  <c r="P855" i="93"/>
  <c r="P856" i="93"/>
  <c r="P857" i="93"/>
  <c r="P858" i="93"/>
  <c r="P859" i="93"/>
  <c r="P860" i="93"/>
  <c r="P861" i="93"/>
  <c r="P862" i="93"/>
  <c r="P863" i="93"/>
  <c r="P864" i="93"/>
  <c r="P865" i="93"/>
  <c r="P866" i="93"/>
  <c r="P867" i="93"/>
  <c r="P868" i="93"/>
  <c r="P869" i="93"/>
  <c r="P870" i="93"/>
  <c r="P871" i="93"/>
  <c r="P872" i="93"/>
  <c r="P873" i="93"/>
  <c r="P874" i="93"/>
  <c r="P875" i="93"/>
  <c r="P876" i="93"/>
  <c r="P877" i="93"/>
  <c r="P878" i="93"/>
  <c r="P879" i="93"/>
  <c r="P880" i="93"/>
  <c r="P881" i="93"/>
  <c r="P882" i="93"/>
  <c r="P883" i="93"/>
  <c r="P884" i="93"/>
  <c r="P885" i="93"/>
  <c r="P886" i="93"/>
  <c r="P887" i="93"/>
  <c r="P888" i="93"/>
  <c r="P889" i="93"/>
  <c r="P890" i="93"/>
  <c r="P891" i="93"/>
  <c r="P892" i="93"/>
  <c r="P893" i="93"/>
  <c r="P894" i="93"/>
  <c r="P895" i="93"/>
  <c r="P896" i="93"/>
  <c r="P897" i="93"/>
  <c r="P898" i="93"/>
  <c r="P899" i="93"/>
  <c r="P900" i="93"/>
  <c r="P901" i="93"/>
  <c r="P902" i="93"/>
  <c r="P903" i="93"/>
  <c r="P904" i="93"/>
  <c r="P905" i="93"/>
  <c r="P906" i="93"/>
  <c r="P907" i="93"/>
  <c r="P908" i="93"/>
  <c r="P909" i="93"/>
  <c r="P910" i="93"/>
  <c r="P911" i="93"/>
  <c r="P912" i="93"/>
  <c r="P913" i="93"/>
  <c r="P914" i="93"/>
  <c r="P915" i="93"/>
  <c r="P916" i="93"/>
  <c r="P917" i="93"/>
  <c r="P918" i="93"/>
  <c r="P919" i="93"/>
  <c r="P920" i="93"/>
  <c r="P921" i="93"/>
  <c r="P922" i="93"/>
  <c r="P923" i="93"/>
  <c r="P924" i="93"/>
  <c r="P925" i="93"/>
  <c r="P926" i="93"/>
  <c r="P927" i="93"/>
  <c r="P928" i="93"/>
  <c r="P929" i="93"/>
  <c r="P930" i="93"/>
  <c r="P931" i="93"/>
  <c r="P932" i="93"/>
  <c r="P933" i="93"/>
  <c r="P934" i="93"/>
  <c r="P935" i="93"/>
  <c r="P936" i="93"/>
  <c r="P937" i="93"/>
  <c r="P938" i="93"/>
  <c r="P939" i="93"/>
  <c r="P940" i="93"/>
  <c r="P941" i="93"/>
  <c r="P942" i="93"/>
  <c r="P943" i="93"/>
  <c r="P944" i="93"/>
  <c r="P945" i="93"/>
  <c r="P946" i="93"/>
  <c r="P947" i="93"/>
  <c r="P948" i="93"/>
  <c r="P949" i="93"/>
  <c r="P950" i="93"/>
  <c r="P951" i="93"/>
  <c r="P952" i="93"/>
  <c r="P953" i="93"/>
  <c r="P954" i="93"/>
  <c r="P955" i="93"/>
  <c r="P956" i="93"/>
  <c r="P957" i="93"/>
  <c r="P958" i="93"/>
  <c r="P959" i="93"/>
  <c r="P960" i="93"/>
  <c r="P961" i="93"/>
  <c r="P962" i="93"/>
  <c r="P963" i="93"/>
  <c r="P964" i="93"/>
  <c r="P965" i="93"/>
  <c r="P966" i="93"/>
  <c r="P967" i="93"/>
  <c r="P968" i="93"/>
  <c r="P969" i="93"/>
  <c r="P970" i="93"/>
  <c r="P971" i="93"/>
  <c r="P972" i="93"/>
  <c r="P973" i="93"/>
  <c r="P974" i="93"/>
  <c r="P975" i="93"/>
  <c r="P976" i="93"/>
  <c r="P977" i="93"/>
  <c r="P978" i="93"/>
  <c r="P979" i="93"/>
  <c r="P980" i="93"/>
  <c r="P981" i="93"/>
  <c r="P982" i="93"/>
  <c r="P983" i="93"/>
  <c r="P984" i="93"/>
  <c r="P985" i="93"/>
  <c r="P986" i="93"/>
  <c r="P987" i="93"/>
  <c r="P988" i="93"/>
  <c r="P989" i="93"/>
  <c r="P990" i="93"/>
  <c r="P991" i="93"/>
  <c r="P992" i="93"/>
  <c r="P993" i="93"/>
  <c r="P994" i="93"/>
  <c r="P995" i="93"/>
  <c r="P996" i="93"/>
  <c r="P997" i="93"/>
  <c r="P998" i="93"/>
  <c r="P999" i="93"/>
  <c r="P1000" i="93"/>
  <c r="P1001" i="93"/>
  <c r="P1002" i="93"/>
  <c r="P1003" i="93"/>
  <c r="P1004" i="93"/>
  <c r="P9" i="93"/>
  <c r="D11" i="92" s="1"/>
  <c r="L7" i="109"/>
  <c r="J7" i="109"/>
  <c r="F14" i="100"/>
  <c r="G14" i="100"/>
  <c r="H14" i="100"/>
  <c r="I14" i="100"/>
  <c r="J14" i="100"/>
  <c r="E14" i="100"/>
  <c r="G57" i="154"/>
  <c r="E31" i="153"/>
  <c r="E32" i="153"/>
  <c r="J32" i="153" s="1"/>
  <c r="K32" i="153" s="1"/>
  <c r="E33" i="153"/>
  <c r="E34" i="153"/>
  <c r="E35" i="153"/>
  <c r="E36" i="153"/>
  <c r="G9" i="109" l="1"/>
  <c r="J9" i="109"/>
  <c r="J17" i="109" s="1"/>
  <c r="L9" i="109"/>
  <c r="L17" i="109" s="1"/>
  <c r="G17" i="109"/>
  <c r="G27" i="19"/>
  <c r="H1" i="98"/>
  <c r="C6" i="20"/>
  <c r="D6" i="20"/>
  <c r="E6" i="20"/>
  <c r="F6" i="20"/>
  <c r="C7" i="20"/>
  <c r="D7" i="20"/>
  <c r="E7" i="20"/>
  <c r="F7" i="20"/>
  <c r="C8" i="20"/>
  <c r="D8" i="20"/>
  <c r="E8" i="20"/>
  <c r="F8" i="20"/>
  <c r="C9" i="20"/>
  <c r="D9" i="20"/>
  <c r="E9" i="20"/>
  <c r="F9" i="20"/>
  <c r="C10" i="20"/>
  <c r="D10" i="20"/>
  <c r="E10" i="20"/>
  <c r="F10" i="20"/>
  <c r="C11" i="20"/>
  <c r="D11" i="20"/>
  <c r="E11" i="20"/>
  <c r="F11" i="20"/>
  <c r="C12" i="20"/>
  <c r="D12" i="20"/>
  <c r="E12" i="20"/>
  <c r="F12" i="20"/>
  <c r="C14" i="20"/>
  <c r="D14" i="20"/>
  <c r="E14" i="20"/>
  <c r="F14" i="20"/>
  <c r="C15" i="20"/>
  <c r="D15" i="20"/>
  <c r="E15" i="20"/>
  <c r="F15" i="20"/>
  <c r="C16" i="20"/>
  <c r="D16" i="20"/>
  <c r="E16" i="20"/>
  <c r="F16" i="20"/>
  <c r="C17" i="20"/>
  <c r="D17" i="20"/>
  <c r="E17" i="20"/>
  <c r="F17" i="20"/>
  <c r="F1" i="110"/>
  <c r="E18" i="110"/>
  <c r="G17" i="110"/>
  <c r="H17" i="110" s="1"/>
  <c r="G16" i="110"/>
  <c r="H16" i="110" s="1"/>
  <c r="G15" i="110"/>
  <c r="H15" i="110" s="1"/>
  <c r="G14" i="110"/>
  <c r="H14" i="110" s="1"/>
  <c r="F13" i="110"/>
  <c r="G13" i="110" s="1"/>
  <c r="E13" i="110"/>
  <c r="D13" i="110"/>
  <c r="C13" i="110"/>
  <c r="G12" i="110"/>
  <c r="H12" i="110" s="1"/>
  <c r="G11" i="110"/>
  <c r="H11" i="110" s="1"/>
  <c r="G10" i="110"/>
  <c r="H10" i="110" s="1"/>
  <c r="G9" i="110"/>
  <c r="H9" i="110" s="1"/>
  <c r="G8" i="110"/>
  <c r="H8" i="110" s="1"/>
  <c r="G7" i="110"/>
  <c r="H7" i="110" s="1"/>
  <c r="G6" i="110"/>
  <c r="H6" i="110" s="1"/>
  <c r="F5" i="110"/>
  <c r="F18" i="110" s="1"/>
  <c r="E5" i="110"/>
  <c r="D5" i="110"/>
  <c r="D18" i="110" s="1"/>
  <c r="C5" i="110"/>
  <c r="C18" i="110" s="1"/>
  <c r="C6" i="21"/>
  <c r="D6" i="21"/>
  <c r="C7" i="21"/>
  <c r="D7" i="21"/>
  <c r="C8" i="21"/>
  <c r="D8" i="21"/>
  <c r="C9" i="21"/>
  <c r="D9" i="21"/>
  <c r="C10" i="21"/>
  <c r="D10" i="21"/>
  <c r="C11" i="21"/>
  <c r="D11" i="21"/>
  <c r="C12" i="21"/>
  <c r="D12" i="21"/>
  <c r="F6" i="21"/>
  <c r="G6" i="21"/>
  <c r="F7" i="21"/>
  <c r="G7" i="21"/>
  <c r="F8" i="21"/>
  <c r="G8" i="21"/>
  <c r="F9" i="21"/>
  <c r="G9" i="21"/>
  <c r="F10" i="21"/>
  <c r="G10" i="21"/>
  <c r="F11" i="21"/>
  <c r="G11" i="21"/>
  <c r="F12" i="21"/>
  <c r="G12" i="21"/>
  <c r="C14" i="21"/>
  <c r="D14" i="21"/>
  <c r="C15" i="21"/>
  <c r="D15" i="21"/>
  <c r="C16" i="21"/>
  <c r="D16" i="21"/>
  <c r="C17" i="21"/>
  <c r="D17" i="21"/>
  <c r="C18" i="21"/>
  <c r="D18" i="21"/>
  <c r="C19" i="21"/>
  <c r="D19" i="21"/>
  <c r="C20" i="21"/>
  <c r="D20" i="21"/>
  <c r="F14" i="21"/>
  <c r="G14" i="21"/>
  <c r="F15" i="21"/>
  <c r="G15" i="21"/>
  <c r="F16" i="21"/>
  <c r="G16" i="21"/>
  <c r="F17" i="21"/>
  <c r="G17" i="21"/>
  <c r="F18" i="21"/>
  <c r="G18" i="21"/>
  <c r="F19" i="21"/>
  <c r="G19" i="21"/>
  <c r="F20" i="21"/>
  <c r="G20" i="21"/>
  <c r="G1" i="112"/>
  <c r="H20" i="112"/>
  <c r="E20" i="112"/>
  <c r="H19" i="112"/>
  <c r="E19" i="112"/>
  <c r="H18" i="112"/>
  <c r="E18" i="112"/>
  <c r="I18" i="112" s="1"/>
  <c r="H17" i="112"/>
  <c r="I17" i="112" s="1"/>
  <c r="E17" i="112"/>
  <c r="H16" i="112"/>
  <c r="E16" i="112"/>
  <c r="I16" i="112" s="1"/>
  <c r="H15" i="112"/>
  <c r="E15" i="112"/>
  <c r="H14" i="112"/>
  <c r="E14" i="112"/>
  <c r="I14" i="112" s="1"/>
  <c r="G13" i="112"/>
  <c r="G21" i="112" s="1"/>
  <c r="F13" i="112"/>
  <c r="F21" i="112" s="1"/>
  <c r="D13" i="112"/>
  <c r="C13" i="112"/>
  <c r="C21" i="112" s="1"/>
  <c r="H12" i="112"/>
  <c r="E12" i="112"/>
  <c r="H11" i="112"/>
  <c r="E11" i="112"/>
  <c r="H10" i="112"/>
  <c r="E10" i="112"/>
  <c r="H9" i="112"/>
  <c r="E9" i="112"/>
  <c r="H8" i="112"/>
  <c r="E8" i="112"/>
  <c r="H7" i="112"/>
  <c r="E7" i="112"/>
  <c r="H6" i="112"/>
  <c r="I6" i="112" s="1"/>
  <c r="E6" i="112"/>
  <c r="C6" i="22"/>
  <c r="C7" i="22"/>
  <c r="C8" i="22"/>
  <c r="C9" i="22"/>
  <c r="C10" i="22"/>
  <c r="C11" i="22"/>
  <c r="C14" i="22"/>
  <c r="C15" i="22"/>
  <c r="C16" i="22"/>
  <c r="C17" i="22"/>
  <c r="C18" i="22"/>
  <c r="C19" i="22"/>
  <c r="C22" i="22"/>
  <c r="C23" i="22"/>
  <c r="C24" i="22"/>
  <c r="C25" i="22"/>
  <c r="C26" i="22"/>
  <c r="C1" i="113"/>
  <c r="C21" i="113"/>
  <c r="C27" i="113" s="1"/>
  <c r="C13" i="113"/>
  <c r="C12" i="113" s="1"/>
  <c r="C5" i="113"/>
  <c r="C4" i="113" s="1"/>
  <c r="C20" i="113" s="1"/>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1" i="23"/>
  <c r="F21" i="23"/>
  <c r="E22" i="23"/>
  <c r="F22" i="23"/>
  <c r="E23" i="23"/>
  <c r="F23" i="23"/>
  <c r="E24" i="23"/>
  <c r="F24" i="23"/>
  <c r="E26" i="23"/>
  <c r="F26" i="23"/>
  <c r="E27" i="23"/>
  <c r="F27" i="23"/>
  <c r="E28" i="23"/>
  <c r="F28" i="23"/>
  <c r="E29" i="23"/>
  <c r="F29" i="23"/>
  <c r="E31" i="23"/>
  <c r="F31" i="23"/>
  <c r="E32" i="23"/>
  <c r="F32" i="23"/>
  <c r="E33" i="23"/>
  <c r="F33" i="23"/>
  <c r="E34" i="23"/>
  <c r="F34" i="23"/>
  <c r="E36" i="23"/>
  <c r="F36" i="23"/>
  <c r="E37" i="23"/>
  <c r="F37" i="23"/>
  <c r="E38" i="23"/>
  <c r="F38" i="23"/>
  <c r="E40" i="23"/>
  <c r="F40" i="23"/>
  <c r="E41" i="23"/>
  <c r="F41" i="23"/>
  <c r="E42" i="23"/>
  <c r="F42" i="23"/>
  <c r="E44" i="23"/>
  <c r="F44" i="23"/>
  <c r="E45" i="23"/>
  <c r="F45" i="23"/>
  <c r="E46" i="23"/>
  <c r="F46" i="23"/>
  <c r="F1" i="114"/>
  <c r="G46" i="114"/>
  <c r="G45" i="114"/>
  <c r="G44" i="114"/>
  <c r="G43" i="114"/>
  <c r="F43" i="114"/>
  <c r="E43" i="114"/>
  <c r="G42" i="114"/>
  <c r="G41" i="114"/>
  <c r="G40" i="114"/>
  <c r="F39" i="114"/>
  <c r="E39" i="114"/>
  <c r="G39" i="114" s="1"/>
  <c r="G38" i="114"/>
  <c r="G37" i="114"/>
  <c r="G36" i="114"/>
  <c r="G35" i="114"/>
  <c r="F35" i="114"/>
  <c r="E35" i="114"/>
  <c r="G34" i="114"/>
  <c r="G33" i="114"/>
  <c r="G32" i="114"/>
  <c r="G31" i="114"/>
  <c r="F30" i="114"/>
  <c r="G30" i="114" s="1"/>
  <c r="E30" i="114"/>
  <c r="G29" i="114"/>
  <c r="G28" i="114"/>
  <c r="G27" i="114"/>
  <c r="G26" i="114"/>
  <c r="F25" i="114"/>
  <c r="E25" i="114"/>
  <c r="G25" i="114" s="1"/>
  <c r="G24" i="114"/>
  <c r="G23" i="114"/>
  <c r="G22" i="114"/>
  <c r="G21" i="114"/>
  <c r="F20" i="114"/>
  <c r="E20" i="114"/>
  <c r="G20" i="114" s="1"/>
  <c r="G19" i="114"/>
  <c r="G18" i="114"/>
  <c r="G17" i="114"/>
  <c r="G16" i="114"/>
  <c r="G15" i="114"/>
  <c r="G14" i="114"/>
  <c r="G13" i="114"/>
  <c r="G12" i="114"/>
  <c r="G11" i="114"/>
  <c r="G10" i="114"/>
  <c r="G9" i="114"/>
  <c r="G8" i="114"/>
  <c r="G7" i="114"/>
  <c r="G6" i="114"/>
  <c r="F5" i="114"/>
  <c r="E5" i="114"/>
  <c r="E47" i="114" s="1"/>
  <c r="F1" i="101"/>
  <c r="F47" i="114" l="1"/>
  <c r="G5" i="110"/>
  <c r="G18" i="110" s="1"/>
  <c r="H13" i="110"/>
  <c r="G5" i="114"/>
  <c r="G47" i="114" s="1"/>
  <c r="I9" i="112"/>
  <c r="E13" i="112"/>
  <c r="I8" i="112"/>
  <c r="I10" i="112"/>
  <c r="I12" i="112"/>
  <c r="I19" i="112"/>
  <c r="H5" i="110"/>
  <c r="H18" i="110" s="1"/>
  <c r="I7" i="112"/>
  <c r="I20" i="112"/>
  <c r="I11" i="112"/>
  <c r="H13" i="112"/>
  <c r="I13" i="112" s="1"/>
  <c r="I15" i="112"/>
  <c r="D21" i="112"/>
  <c r="E21" i="112"/>
  <c r="G17" i="101"/>
  <c r="G11" i="101"/>
  <c r="E9" i="101"/>
  <c r="G9" i="101" s="1"/>
  <c r="E10" i="101"/>
  <c r="G10" i="101" s="1"/>
  <c r="E11" i="101"/>
  <c r="E12" i="101"/>
  <c r="G12" i="101" s="1"/>
  <c r="E13" i="101"/>
  <c r="G13" i="101" s="1"/>
  <c r="E14" i="101"/>
  <c r="G14" i="101" s="1"/>
  <c r="E15" i="101"/>
  <c r="G15" i="101" s="1"/>
  <c r="E16" i="101"/>
  <c r="E17" i="101"/>
  <c r="E8" i="101"/>
  <c r="G8" i="101" s="1"/>
  <c r="H21" i="112" l="1"/>
  <c r="I21" i="112"/>
  <c r="G16" i="101"/>
  <c r="E8" i="24"/>
  <c r="E9" i="24"/>
  <c r="E10" i="24"/>
  <c r="E11" i="24"/>
  <c r="E12" i="24"/>
  <c r="E13" i="24"/>
  <c r="D8" i="24"/>
  <c r="D9" i="24"/>
  <c r="D10" i="24"/>
  <c r="F10" i="24" s="1"/>
  <c r="D11" i="24"/>
  <c r="D12" i="24"/>
  <c r="L10" i="24" l="1"/>
  <c r="M10" i="24" s="1"/>
  <c r="J10" i="24"/>
  <c r="F8" i="24"/>
  <c r="J8" i="24" s="1"/>
  <c r="F11" i="24"/>
  <c r="J11" i="24" s="1"/>
  <c r="F9" i="24"/>
  <c r="I10" i="24"/>
  <c r="G8" i="24"/>
  <c r="H8" i="24" s="1"/>
  <c r="I8" i="24"/>
  <c r="F12" i="24"/>
  <c r="A18" i="101"/>
  <c r="A17" i="101" s="1"/>
  <c r="A16" i="101" s="1"/>
  <c r="A15" i="101" s="1"/>
  <c r="A14" i="101" s="1"/>
  <c r="A13" i="101" s="1"/>
  <c r="A12" i="101" s="1"/>
  <c r="A11" i="101" s="1"/>
  <c r="A10" i="101" s="1"/>
  <c r="A9" i="101" s="1"/>
  <c r="A8" i="101" s="1"/>
  <c r="C1" i="115"/>
  <c r="C5" i="25"/>
  <c r="C9" i="25"/>
  <c r="C10" i="25"/>
  <c r="C11" i="25"/>
  <c r="C12" i="25"/>
  <c r="C13" i="25"/>
  <c r="C14" i="25"/>
  <c r="C15" i="25"/>
  <c r="C16" i="25"/>
  <c r="C17" i="25"/>
  <c r="C18" i="25"/>
  <c r="C19" i="25"/>
  <c r="C21" i="25"/>
  <c r="C23" i="25"/>
  <c r="C24" i="25"/>
  <c r="C25" i="25"/>
  <c r="C26" i="25"/>
  <c r="C27" i="25"/>
  <c r="C31" i="25"/>
  <c r="C32" i="25"/>
  <c r="C33" i="25"/>
  <c r="C22" i="115"/>
  <c r="C20" i="115" s="1"/>
  <c r="C8" i="115"/>
  <c r="C7" i="115"/>
  <c r="R26" i="26"/>
  <c r="R25" i="26"/>
  <c r="B17" i="26"/>
  <c r="C17" i="26"/>
  <c r="D17" i="26"/>
  <c r="E17" i="26"/>
  <c r="F17" i="26"/>
  <c r="G17" i="26"/>
  <c r="H17" i="26"/>
  <c r="I17" i="26"/>
  <c r="J17" i="26"/>
  <c r="B18" i="26"/>
  <c r="C18" i="26"/>
  <c r="D18" i="26"/>
  <c r="E18" i="26"/>
  <c r="F18" i="26"/>
  <c r="G18" i="26"/>
  <c r="H18" i="26"/>
  <c r="I18" i="26"/>
  <c r="J18" i="26"/>
  <c r="B19" i="26"/>
  <c r="C19" i="26"/>
  <c r="D19" i="26"/>
  <c r="E19" i="26"/>
  <c r="F19" i="26"/>
  <c r="G19" i="26"/>
  <c r="H19" i="26"/>
  <c r="I19" i="26"/>
  <c r="J19" i="26"/>
  <c r="B20" i="26"/>
  <c r="C20" i="26"/>
  <c r="D20" i="26"/>
  <c r="E20" i="26"/>
  <c r="F20" i="26"/>
  <c r="G20" i="26"/>
  <c r="H20" i="26"/>
  <c r="I20" i="26"/>
  <c r="J20" i="26"/>
  <c r="B21" i="26"/>
  <c r="C21" i="26"/>
  <c r="D21" i="26"/>
  <c r="E21" i="26"/>
  <c r="F21" i="26"/>
  <c r="G21" i="26"/>
  <c r="H21" i="26"/>
  <c r="I21" i="26"/>
  <c r="J21" i="26"/>
  <c r="B22" i="26"/>
  <c r="C22" i="26"/>
  <c r="D22" i="26"/>
  <c r="E22" i="26"/>
  <c r="F22" i="26"/>
  <c r="G22" i="26"/>
  <c r="H22" i="26"/>
  <c r="I22" i="26"/>
  <c r="J22" i="26"/>
  <c r="B23" i="26"/>
  <c r="C23" i="26"/>
  <c r="D23" i="26"/>
  <c r="E23" i="26"/>
  <c r="F23" i="26"/>
  <c r="G23" i="26"/>
  <c r="H23" i="26"/>
  <c r="I23" i="26"/>
  <c r="J23" i="26"/>
  <c r="L17" i="26"/>
  <c r="M17" i="26"/>
  <c r="L18" i="26"/>
  <c r="M18" i="26"/>
  <c r="L19" i="26"/>
  <c r="M19" i="26"/>
  <c r="L20" i="26"/>
  <c r="M20" i="26"/>
  <c r="L21" i="26"/>
  <c r="M21" i="26"/>
  <c r="L22" i="26"/>
  <c r="M22" i="26"/>
  <c r="L23" i="26"/>
  <c r="M23" i="26"/>
  <c r="P17" i="26"/>
  <c r="P18" i="26"/>
  <c r="P19" i="26"/>
  <c r="P20" i="26"/>
  <c r="P21" i="26"/>
  <c r="P22" i="26"/>
  <c r="P23" i="26"/>
  <c r="P1" i="116"/>
  <c r="J9" i="24" l="1"/>
  <c r="H9" i="24"/>
  <c r="I9" i="24"/>
  <c r="N12" i="116"/>
  <c r="O12" i="116" s="1"/>
  <c r="Q12" i="116" s="1"/>
  <c r="K12" i="116"/>
  <c r="N11" i="116"/>
  <c r="O11" i="116" s="1"/>
  <c r="Q11" i="116" s="1"/>
  <c r="K11" i="116"/>
  <c r="R11" i="116" s="1"/>
  <c r="N10" i="116"/>
  <c r="O10" i="116" s="1"/>
  <c r="Q10" i="116" s="1"/>
  <c r="R10" i="116" s="1"/>
  <c r="K10" i="116"/>
  <c r="N9" i="116"/>
  <c r="O9" i="116" s="1"/>
  <c r="Q9" i="116" s="1"/>
  <c r="K9" i="116"/>
  <c r="N8" i="116"/>
  <c r="O8" i="116" s="1"/>
  <c r="Q8" i="116" s="1"/>
  <c r="K8" i="116"/>
  <c r="N7" i="116"/>
  <c r="O7" i="116" s="1"/>
  <c r="Q7" i="116" s="1"/>
  <c r="K7" i="116"/>
  <c r="N6" i="116"/>
  <c r="O6" i="116" s="1"/>
  <c r="Q6" i="116" s="1"/>
  <c r="K6" i="116"/>
  <c r="D1" i="119"/>
  <c r="D53" i="119"/>
  <c r="D9" i="27"/>
  <c r="D10" i="27"/>
  <c r="D11" i="27"/>
  <c r="D13" i="27"/>
  <c r="D14" i="27"/>
  <c r="D15" i="27"/>
  <c r="D16" i="27"/>
  <c r="D17" i="27"/>
  <c r="D18" i="27"/>
  <c r="D19" i="27"/>
  <c r="D20" i="27"/>
  <c r="D22" i="27"/>
  <c r="D23" i="27"/>
  <c r="D25" i="27"/>
  <c r="D26" i="27"/>
  <c r="D27" i="27"/>
  <c r="D29" i="27"/>
  <c r="D30" i="27"/>
  <c r="D31" i="27"/>
  <c r="D32" i="27"/>
  <c r="D34" i="27"/>
  <c r="D35" i="27"/>
  <c r="D36" i="27"/>
  <c r="D37" i="27"/>
  <c r="D38" i="27"/>
  <c r="D39" i="27"/>
  <c r="D41" i="27"/>
  <c r="D42" i="27"/>
  <c r="D44" i="27"/>
  <c r="D45" i="27"/>
  <c r="D46" i="27"/>
  <c r="D47" i="27"/>
  <c r="D49" i="27"/>
  <c r="D51" i="27"/>
  <c r="D52" i="27"/>
  <c r="D53" i="27"/>
  <c r="C5" i="27"/>
  <c r="D4" i="27"/>
  <c r="B4" i="27"/>
  <c r="B4" i="119"/>
  <c r="D48" i="119"/>
  <c r="D50" i="119" s="1"/>
  <c r="D40" i="119"/>
  <c r="D33" i="119"/>
  <c r="D28" i="119"/>
  <c r="D24" i="119"/>
  <c r="D21" i="119"/>
  <c r="D12" i="119"/>
  <c r="D8" i="119"/>
  <c r="L14" i="120"/>
  <c r="L14" i="28" s="1"/>
  <c r="C6" i="28"/>
  <c r="D6" i="28"/>
  <c r="E6" i="28"/>
  <c r="F6" i="28"/>
  <c r="G6" i="28"/>
  <c r="H6" i="28"/>
  <c r="I6" i="28"/>
  <c r="J6" i="28"/>
  <c r="K6" i="28"/>
  <c r="L6" i="28"/>
  <c r="C7" i="28"/>
  <c r="D7" i="28"/>
  <c r="E7" i="28"/>
  <c r="F7" i="28"/>
  <c r="G7" i="28"/>
  <c r="H7" i="28"/>
  <c r="I7" i="28"/>
  <c r="J7" i="28"/>
  <c r="K7" i="28"/>
  <c r="L7" i="28"/>
  <c r="C9" i="28"/>
  <c r="D9" i="28"/>
  <c r="E9" i="28"/>
  <c r="F9" i="28"/>
  <c r="G9" i="28"/>
  <c r="H9" i="28"/>
  <c r="I9" i="28"/>
  <c r="J9" i="28"/>
  <c r="K9" i="28"/>
  <c r="L9" i="28"/>
  <c r="C10" i="28"/>
  <c r="D10" i="28"/>
  <c r="E10" i="28"/>
  <c r="F10" i="28"/>
  <c r="G10" i="28"/>
  <c r="H10" i="28"/>
  <c r="I10" i="28"/>
  <c r="J10" i="28"/>
  <c r="K10" i="28"/>
  <c r="L10" i="28"/>
  <c r="C12" i="28"/>
  <c r="D12" i="28"/>
  <c r="E12" i="28"/>
  <c r="F12" i="28"/>
  <c r="G12" i="28"/>
  <c r="H12" i="28"/>
  <c r="I12" i="28"/>
  <c r="J12" i="28"/>
  <c r="K12" i="28"/>
  <c r="C13" i="28"/>
  <c r="D13" i="28"/>
  <c r="E13" i="28"/>
  <c r="F13" i="28"/>
  <c r="G13" i="28"/>
  <c r="H13" i="28"/>
  <c r="I13" i="28"/>
  <c r="J13" i="28"/>
  <c r="K13" i="28"/>
  <c r="L12" i="28"/>
  <c r="L13" i="28"/>
  <c r="F15" i="28"/>
  <c r="G15" i="28"/>
  <c r="H15" i="28"/>
  <c r="I15" i="28"/>
  <c r="J15" i="28"/>
  <c r="F16" i="28"/>
  <c r="G16" i="28"/>
  <c r="H16" i="28"/>
  <c r="I16" i="28"/>
  <c r="J16" i="28"/>
  <c r="C15" i="28"/>
  <c r="C16" i="28"/>
  <c r="C18" i="28"/>
  <c r="D18" i="28"/>
  <c r="E18" i="28"/>
  <c r="F18" i="28"/>
  <c r="G18" i="28"/>
  <c r="H18" i="28"/>
  <c r="I18" i="28"/>
  <c r="J18" i="28"/>
  <c r="K18" i="28"/>
  <c r="L18" i="28"/>
  <c r="C19" i="28"/>
  <c r="D19" i="28"/>
  <c r="E19" i="28"/>
  <c r="F19" i="28"/>
  <c r="G19" i="28"/>
  <c r="H19" i="28"/>
  <c r="I19" i="28"/>
  <c r="J19" i="28"/>
  <c r="K19" i="28"/>
  <c r="L19" i="28"/>
  <c r="C21" i="28"/>
  <c r="D21" i="28"/>
  <c r="E21" i="28"/>
  <c r="F21" i="28"/>
  <c r="G21" i="28"/>
  <c r="H21" i="28"/>
  <c r="I21" i="28"/>
  <c r="J21" i="28"/>
  <c r="K21" i="28"/>
  <c r="L21" i="28"/>
  <c r="C22" i="28"/>
  <c r="D22" i="28"/>
  <c r="E22" i="28"/>
  <c r="F22" i="28"/>
  <c r="G22" i="28"/>
  <c r="H22" i="28"/>
  <c r="I22" i="28"/>
  <c r="J22" i="28"/>
  <c r="K22" i="28"/>
  <c r="L22" i="28"/>
  <c r="C24" i="28"/>
  <c r="D24" i="28"/>
  <c r="E24" i="28"/>
  <c r="F24" i="28"/>
  <c r="G24" i="28"/>
  <c r="H24" i="28"/>
  <c r="I24" i="28"/>
  <c r="J24" i="28"/>
  <c r="K24" i="28"/>
  <c r="L24" i="28"/>
  <c r="C25" i="28"/>
  <c r="D25" i="28"/>
  <c r="E25" i="28"/>
  <c r="F25" i="28"/>
  <c r="G25" i="28"/>
  <c r="H25" i="28"/>
  <c r="I25" i="28"/>
  <c r="J25" i="28"/>
  <c r="K25" i="28"/>
  <c r="L25" i="28"/>
  <c r="K1" i="120"/>
  <c r="L26" i="120"/>
  <c r="K26" i="120"/>
  <c r="M26" i="120" s="1"/>
  <c r="J26" i="120"/>
  <c r="I26" i="120"/>
  <c r="H26" i="120"/>
  <c r="G26" i="120"/>
  <c r="F26" i="120"/>
  <c r="M25" i="120"/>
  <c r="M24" i="120"/>
  <c r="L23" i="120"/>
  <c r="K23" i="120"/>
  <c r="J23" i="120"/>
  <c r="I23" i="120"/>
  <c r="H23" i="120"/>
  <c r="G23" i="120"/>
  <c r="F23" i="120"/>
  <c r="M22" i="120"/>
  <c r="M21" i="120"/>
  <c r="L20" i="120"/>
  <c r="K20" i="120"/>
  <c r="M20" i="120" s="1"/>
  <c r="J20" i="120"/>
  <c r="I20" i="120"/>
  <c r="H20" i="120"/>
  <c r="G20" i="120"/>
  <c r="F20" i="120"/>
  <c r="M19" i="120"/>
  <c r="M18" i="120"/>
  <c r="J17" i="120"/>
  <c r="I17" i="120"/>
  <c r="H17" i="120"/>
  <c r="G17" i="120"/>
  <c r="F17" i="120"/>
  <c r="L17" i="120" s="1"/>
  <c r="L17" i="28" s="1"/>
  <c r="M14" i="120"/>
  <c r="K14" i="120"/>
  <c r="J14" i="120"/>
  <c r="I14" i="120"/>
  <c r="H14" i="120"/>
  <c r="G14" i="120"/>
  <c r="F14" i="120"/>
  <c r="M13" i="120"/>
  <c r="M12" i="120"/>
  <c r="L11" i="120"/>
  <c r="K11" i="120"/>
  <c r="M11" i="120" s="1"/>
  <c r="J11" i="120"/>
  <c r="J27" i="120" s="1"/>
  <c r="I11" i="120"/>
  <c r="H11" i="120"/>
  <c r="G11" i="120"/>
  <c r="F11" i="120"/>
  <c r="F27" i="120" s="1"/>
  <c r="M10" i="120"/>
  <c r="M9" i="120"/>
  <c r="L8" i="120"/>
  <c r="K8" i="120"/>
  <c r="J8" i="120"/>
  <c r="I8" i="120"/>
  <c r="H8" i="120"/>
  <c r="G8" i="120"/>
  <c r="G27" i="120" s="1"/>
  <c r="F8" i="120"/>
  <c r="M7" i="120"/>
  <c r="M6" i="120"/>
  <c r="D15" i="29"/>
  <c r="E15" i="29"/>
  <c r="D16" i="29"/>
  <c r="E16" i="29"/>
  <c r="C17" i="29"/>
  <c r="D19" i="29"/>
  <c r="E19" i="29"/>
  <c r="D6" i="29"/>
  <c r="E6" i="29"/>
  <c r="C9" i="29"/>
  <c r="D12" i="29"/>
  <c r="E12" i="29"/>
  <c r="C1" i="122"/>
  <c r="D1" i="121"/>
  <c r="E22" i="121"/>
  <c r="D22" i="121"/>
  <c r="C19" i="121"/>
  <c r="C16" i="121"/>
  <c r="C18" i="121" s="1"/>
  <c r="C20" i="121" s="1"/>
  <c r="C15" i="121"/>
  <c r="E8" i="121"/>
  <c r="D8" i="121"/>
  <c r="C6" i="121"/>
  <c r="C8" i="121" s="1"/>
  <c r="C10" i="121" s="1"/>
  <c r="I38" i="31"/>
  <c r="I37" i="31"/>
  <c r="F23" i="31"/>
  <c r="G23" i="31"/>
  <c r="H23" i="31"/>
  <c r="F24" i="31"/>
  <c r="G24" i="31"/>
  <c r="H24" i="31"/>
  <c r="F25" i="31"/>
  <c r="G25" i="31"/>
  <c r="H25" i="31"/>
  <c r="F26" i="31"/>
  <c r="G26" i="31"/>
  <c r="H26" i="31"/>
  <c r="F27" i="31"/>
  <c r="G27" i="31"/>
  <c r="H27" i="31"/>
  <c r="F28" i="31"/>
  <c r="G28" i="31"/>
  <c r="H28" i="31"/>
  <c r="F29" i="31"/>
  <c r="G29" i="31"/>
  <c r="H29" i="31"/>
  <c r="F32" i="31"/>
  <c r="G32" i="31"/>
  <c r="H32" i="31"/>
  <c r="F33" i="31"/>
  <c r="G33" i="31"/>
  <c r="H33" i="31"/>
  <c r="I24" i="31"/>
  <c r="I25" i="31"/>
  <c r="I28" i="31"/>
  <c r="I29" i="31"/>
  <c r="I32" i="31"/>
  <c r="I33" i="31"/>
  <c r="F35" i="31"/>
  <c r="G35" i="31"/>
  <c r="H35" i="31"/>
  <c r="I10" i="31"/>
  <c r="I11" i="31"/>
  <c r="I13" i="31"/>
  <c r="I14" i="31"/>
  <c r="I16" i="31"/>
  <c r="I17" i="31"/>
  <c r="I18" i="31"/>
  <c r="G7" i="31"/>
  <c r="E7" i="31"/>
  <c r="D7" i="31"/>
  <c r="I4" i="31"/>
  <c r="D4" i="31"/>
  <c r="I18" i="123"/>
  <c r="I12" i="123"/>
  <c r="I12" i="31" s="1"/>
  <c r="I23" i="123"/>
  <c r="I23" i="31" s="1"/>
  <c r="I24" i="123"/>
  <c r="I25" i="123"/>
  <c r="I26" i="123"/>
  <c r="I26" i="31" s="1"/>
  <c r="I27" i="123"/>
  <c r="I27" i="31" s="1"/>
  <c r="I28" i="123"/>
  <c r="I29" i="123"/>
  <c r="I32" i="123"/>
  <c r="I33" i="123"/>
  <c r="I35" i="123"/>
  <c r="I35" i="31" s="1"/>
  <c r="C30" i="115" l="1"/>
  <c r="C30" i="25" s="1"/>
  <c r="L27" i="120"/>
  <c r="K17" i="120"/>
  <c r="H27" i="120"/>
  <c r="I27" i="120"/>
  <c r="M23" i="120"/>
  <c r="D7" i="119"/>
  <c r="D43" i="119" s="1"/>
  <c r="R12" i="116"/>
  <c r="R9" i="116"/>
  <c r="R6" i="116"/>
  <c r="R8" i="116"/>
  <c r="R7" i="116"/>
  <c r="D55" i="119"/>
  <c r="D54" i="119"/>
  <c r="K27" i="120"/>
  <c r="M8" i="120"/>
  <c r="H1" i="123"/>
  <c r="K17" i="28" l="1"/>
  <c r="M17" i="120"/>
  <c r="M27" i="120"/>
  <c r="R13" i="116"/>
  <c r="H34" i="123"/>
  <c r="G34" i="123"/>
  <c r="G31" i="123" s="1"/>
  <c r="F34" i="123"/>
  <c r="I34" i="123" s="1"/>
  <c r="I34" i="31" s="1"/>
  <c r="H31" i="123"/>
  <c r="H30" i="123"/>
  <c r="H22" i="123" s="1"/>
  <c r="H21" i="123" s="1"/>
  <c r="G30" i="123"/>
  <c r="G22" i="123" s="1"/>
  <c r="G21" i="123" s="1"/>
  <c r="F30" i="123"/>
  <c r="F22" i="123"/>
  <c r="I9" i="123"/>
  <c r="G1" i="122"/>
  <c r="I22" i="123" l="1"/>
  <c r="I22" i="31" s="1"/>
  <c r="I9" i="31"/>
  <c r="I15" i="123"/>
  <c r="I15" i="31" s="1"/>
  <c r="F31" i="123"/>
  <c r="I31" i="123" s="1"/>
  <c r="I31" i="31" s="1"/>
  <c r="I30" i="123"/>
  <c r="I30" i="31" s="1"/>
  <c r="E20" i="32"/>
  <c r="E17" i="32"/>
  <c r="E18" i="32"/>
  <c r="E19" i="32"/>
  <c r="E22" i="32"/>
  <c r="E23" i="32"/>
  <c r="E26" i="32"/>
  <c r="E27" i="32"/>
  <c r="E28" i="32"/>
  <c r="E29" i="32"/>
  <c r="E30" i="32"/>
  <c r="E31" i="32"/>
  <c r="E32" i="32"/>
  <c r="E34" i="32"/>
  <c r="E35" i="32"/>
  <c r="E37" i="32"/>
  <c r="E28" i="124"/>
  <c r="E36" i="32" s="1"/>
  <c r="E25" i="124"/>
  <c r="E33" i="32" s="1"/>
  <c r="E22" i="124"/>
  <c r="E20" i="124"/>
  <c r="E17" i="124"/>
  <c r="E25" i="32" s="1"/>
  <c r="E13" i="124"/>
  <c r="E21" i="32" s="1"/>
  <c r="E12" i="124"/>
  <c r="D15" i="32"/>
  <c r="B13" i="32"/>
  <c r="D11" i="32"/>
  <c r="B10" i="32"/>
  <c r="F2" i="32"/>
  <c r="E9" i="32" s="1"/>
  <c r="D6" i="124"/>
  <c r="F21" i="123" l="1"/>
  <c r="I21" i="123" s="1"/>
  <c r="D9" i="32"/>
  <c r="E6" i="32"/>
  <c r="E7" i="32"/>
  <c r="E12" i="32"/>
  <c r="E8" i="32"/>
  <c r="E13" i="32"/>
  <c r="E10" i="32"/>
  <c r="E11" i="32"/>
  <c r="E5" i="32"/>
  <c r="E1" i="124"/>
  <c r="L1" i="125"/>
  <c r="R1" i="126"/>
  <c r="Q1" i="127"/>
  <c r="G9" i="33"/>
  <c r="H9" i="33"/>
  <c r="H10" i="33"/>
  <c r="I9" i="33"/>
  <c r="I10" i="33"/>
  <c r="I11" i="33"/>
  <c r="J9" i="33"/>
  <c r="J10" i="33"/>
  <c r="J11" i="33"/>
  <c r="J12" i="33"/>
  <c r="D9" i="33"/>
  <c r="D10" i="33"/>
  <c r="D11" i="33"/>
  <c r="D12" i="33"/>
  <c r="D13" i="33"/>
  <c r="K9" i="33"/>
  <c r="K10" i="33"/>
  <c r="K11" i="33"/>
  <c r="K12" i="33"/>
  <c r="K13" i="33"/>
  <c r="E9" i="33"/>
  <c r="E10" i="33"/>
  <c r="E11" i="33"/>
  <c r="E12" i="33"/>
  <c r="E13" i="33"/>
  <c r="E14" i="33"/>
  <c r="M9" i="33"/>
  <c r="M10" i="33"/>
  <c r="M11" i="33"/>
  <c r="M12" i="33"/>
  <c r="M13" i="33"/>
  <c r="M14" i="33"/>
  <c r="K18" i="33"/>
  <c r="K19" i="33"/>
  <c r="K17" i="33"/>
  <c r="L13" i="34"/>
  <c r="L14" i="34"/>
  <c r="L15" i="34"/>
  <c r="L16" i="34"/>
  <c r="L17" i="34"/>
  <c r="L18" i="34"/>
  <c r="L19" i="34"/>
  <c r="L20" i="34"/>
  <c r="L21" i="34"/>
  <c r="P13" i="34"/>
  <c r="Q13" i="34"/>
  <c r="R13" i="34"/>
  <c r="P14" i="34"/>
  <c r="Q14" i="34"/>
  <c r="R14" i="34"/>
  <c r="P15" i="34"/>
  <c r="Q15" i="34"/>
  <c r="R15" i="34"/>
  <c r="P16" i="34"/>
  <c r="Q16" i="34"/>
  <c r="R16" i="34"/>
  <c r="P17" i="34"/>
  <c r="Q17" i="34"/>
  <c r="R17" i="34"/>
  <c r="P18" i="34"/>
  <c r="Q18" i="34"/>
  <c r="R18" i="34"/>
  <c r="P19" i="34"/>
  <c r="Q19" i="34"/>
  <c r="R19" i="34"/>
  <c r="P20" i="34"/>
  <c r="Q20" i="34"/>
  <c r="R20" i="34"/>
  <c r="P21" i="34"/>
  <c r="Q21" i="34"/>
  <c r="R21" i="34"/>
  <c r="G13" i="34"/>
  <c r="G14" i="34"/>
  <c r="G15" i="34"/>
  <c r="G16" i="34"/>
  <c r="G17" i="34"/>
  <c r="G18" i="34"/>
  <c r="G19" i="34"/>
  <c r="G20" i="34"/>
  <c r="G21" i="34"/>
  <c r="I13" i="34"/>
  <c r="I14" i="34"/>
  <c r="I15" i="34"/>
  <c r="I16" i="34"/>
  <c r="I17" i="34"/>
  <c r="I18" i="34"/>
  <c r="I19" i="34"/>
  <c r="I20" i="34"/>
  <c r="I21" i="34"/>
  <c r="P15" i="35"/>
  <c r="Q15" i="35"/>
  <c r="R15" i="35"/>
  <c r="P16" i="35"/>
  <c r="Q16" i="35"/>
  <c r="R16" i="35"/>
  <c r="P17" i="35"/>
  <c r="Q17" i="35"/>
  <c r="R17" i="35"/>
  <c r="P18" i="35"/>
  <c r="Q18" i="35"/>
  <c r="R18" i="35"/>
  <c r="P19" i="35"/>
  <c r="Q19" i="35"/>
  <c r="R19" i="35"/>
  <c r="P20" i="35"/>
  <c r="Q20" i="35"/>
  <c r="R20" i="35"/>
  <c r="P21" i="35"/>
  <c r="Q21" i="35"/>
  <c r="R21" i="35"/>
  <c r="P22" i="35"/>
  <c r="Q22" i="35"/>
  <c r="R22" i="35"/>
  <c r="Q14" i="35"/>
  <c r="R14" i="35"/>
  <c r="P14" i="35"/>
  <c r="K15" i="35"/>
  <c r="L15" i="35"/>
  <c r="M15" i="35"/>
  <c r="K16" i="35"/>
  <c r="L16" i="35"/>
  <c r="M16" i="35"/>
  <c r="K17" i="35"/>
  <c r="L17" i="35"/>
  <c r="M17" i="35"/>
  <c r="K18" i="35"/>
  <c r="L18" i="35"/>
  <c r="M18" i="35"/>
  <c r="K19" i="35"/>
  <c r="L19" i="35"/>
  <c r="M19" i="35"/>
  <c r="K20" i="35"/>
  <c r="L20" i="35"/>
  <c r="M20" i="35"/>
  <c r="K21" i="35"/>
  <c r="L21" i="35"/>
  <c r="M21" i="35"/>
  <c r="K22" i="35"/>
  <c r="L22" i="35"/>
  <c r="M22" i="35"/>
  <c r="L14" i="35"/>
  <c r="M14" i="35"/>
  <c r="K14" i="35"/>
  <c r="B15" i="35"/>
  <c r="C15" i="35"/>
  <c r="D15" i="35"/>
  <c r="E15" i="35"/>
  <c r="F15" i="35"/>
  <c r="G15" i="35"/>
  <c r="H15" i="35"/>
  <c r="I15" i="35"/>
  <c r="B16" i="35"/>
  <c r="C16" i="35"/>
  <c r="D16" i="35"/>
  <c r="E16" i="35"/>
  <c r="F16" i="35"/>
  <c r="G16" i="35"/>
  <c r="H16" i="35"/>
  <c r="I16" i="35"/>
  <c r="B17" i="35"/>
  <c r="C17" i="35"/>
  <c r="D17" i="35"/>
  <c r="E17" i="35"/>
  <c r="F17" i="35"/>
  <c r="G17" i="35"/>
  <c r="H17" i="35"/>
  <c r="I17" i="35"/>
  <c r="B18" i="35"/>
  <c r="C18" i="35"/>
  <c r="D18" i="35"/>
  <c r="E18" i="35"/>
  <c r="F18" i="35"/>
  <c r="G18" i="35"/>
  <c r="H18" i="35"/>
  <c r="I18" i="35"/>
  <c r="B19" i="35"/>
  <c r="C19" i="35"/>
  <c r="D19" i="35"/>
  <c r="E19" i="35"/>
  <c r="F19" i="35"/>
  <c r="G19" i="35"/>
  <c r="H19" i="35"/>
  <c r="I19" i="35"/>
  <c r="B20" i="35"/>
  <c r="C20" i="35"/>
  <c r="D20" i="35"/>
  <c r="E20" i="35"/>
  <c r="F20" i="35"/>
  <c r="G20" i="35"/>
  <c r="H20" i="35"/>
  <c r="I20" i="35"/>
  <c r="B21" i="35"/>
  <c r="C21" i="35"/>
  <c r="D21" i="35"/>
  <c r="E21" i="35"/>
  <c r="F21" i="35"/>
  <c r="G21" i="35"/>
  <c r="H21" i="35"/>
  <c r="I21" i="35"/>
  <c r="B22" i="35"/>
  <c r="C22" i="35"/>
  <c r="D22" i="35"/>
  <c r="E22" i="35"/>
  <c r="F22" i="35"/>
  <c r="G22" i="35"/>
  <c r="H22" i="35"/>
  <c r="I22" i="35"/>
  <c r="C14" i="35"/>
  <c r="D14" i="35"/>
  <c r="E14" i="35"/>
  <c r="F14" i="35"/>
  <c r="G14" i="35"/>
  <c r="H14" i="35"/>
  <c r="I14" i="35"/>
  <c r="B14" i="35"/>
  <c r="R1" i="128"/>
  <c r="M14" i="36"/>
  <c r="N14" i="36"/>
  <c r="O14" i="36"/>
  <c r="P14" i="36"/>
  <c r="Q14" i="36"/>
  <c r="R14" i="36"/>
  <c r="S14" i="36"/>
  <c r="M15" i="36"/>
  <c r="N15" i="36"/>
  <c r="O15" i="36"/>
  <c r="P15" i="36"/>
  <c r="Q15" i="36"/>
  <c r="R15" i="36"/>
  <c r="S15" i="36"/>
  <c r="M16" i="36"/>
  <c r="N16" i="36"/>
  <c r="O16" i="36"/>
  <c r="P16" i="36"/>
  <c r="Q16" i="36"/>
  <c r="R16" i="36"/>
  <c r="S16" i="36"/>
  <c r="M17" i="36"/>
  <c r="N17" i="36"/>
  <c r="O17" i="36"/>
  <c r="P17" i="36"/>
  <c r="Q17" i="36"/>
  <c r="R17" i="36"/>
  <c r="S17" i="36"/>
  <c r="M18" i="36"/>
  <c r="N18" i="36"/>
  <c r="O18" i="36"/>
  <c r="P18" i="36"/>
  <c r="Q18" i="36"/>
  <c r="R18" i="36"/>
  <c r="S18" i="36"/>
  <c r="M19" i="36"/>
  <c r="N19" i="36"/>
  <c r="O19" i="36"/>
  <c r="P19" i="36"/>
  <c r="Q19" i="36"/>
  <c r="R19" i="36"/>
  <c r="S19" i="36"/>
  <c r="M20" i="36"/>
  <c r="N20" i="36"/>
  <c r="O20" i="36"/>
  <c r="P20" i="36"/>
  <c r="Q20" i="36"/>
  <c r="R20" i="36"/>
  <c r="S20" i="36"/>
  <c r="M21" i="36"/>
  <c r="N21" i="36"/>
  <c r="O21" i="36"/>
  <c r="P21" i="36"/>
  <c r="Q21" i="36"/>
  <c r="R21" i="36"/>
  <c r="S21" i="36"/>
  <c r="N13" i="36"/>
  <c r="O13" i="36"/>
  <c r="P13" i="36"/>
  <c r="Q13" i="36"/>
  <c r="R13" i="36"/>
  <c r="S13" i="36"/>
  <c r="M13" i="36"/>
  <c r="G14" i="36"/>
  <c r="H14" i="36"/>
  <c r="I14" i="36"/>
  <c r="J14" i="36"/>
  <c r="K14" i="36"/>
  <c r="G15" i="36"/>
  <c r="H15" i="36"/>
  <c r="I15" i="36"/>
  <c r="J15" i="36"/>
  <c r="K15" i="36"/>
  <c r="G16" i="36"/>
  <c r="H16" i="36"/>
  <c r="I16" i="36"/>
  <c r="J16" i="36"/>
  <c r="K16" i="36"/>
  <c r="G17" i="36"/>
  <c r="H17" i="36"/>
  <c r="I17" i="36"/>
  <c r="J17" i="36"/>
  <c r="K17" i="36"/>
  <c r="G18" i="36"/>
  <c r="H18" i="36"/>
  <c r="I18" i="36"/>
  <c r="J18" i="36"/>
  <c r="K18" i="36"/>
  <c r="G19" i="36"/>
  <c r="H19" i="36"/>
  <c r="I19" i="36"/>
  <c r="J19" i="36"/>
  <c r="K19" i="36"/>
  <c r="G20" i="36"/>
  <c r="H20" i="36"/>
  <c r="I20" i="36"/>
  <c r="J20" i="36"/>
  <c r="K20" i="36"/>
  <c r="G21" i="36"/>
  <c r="H21" i="36"/>
  <c r="I21" i="36"/>
  <c r="J21" i="36"/>
  <c r="K21" i="36"/>
  <c r="H13" i="36"/>
  <c r="I13" i="36"/>
  <c r="J13" i="36"/>
  <c r="K13" i="36"/>
  <c r="G13" i="36"/>
  <c r="C14" i="36"/>
  <c r="D14" i="36"/>
  <c r="E14" i="36"/>
  <c r="C15" i="36"/>
  <c r="D15" i="36"/>
  <c r="E15" i="36"/>
  <c r="C16" i="36"/>
  <c r="D16" i="36"/>
  <c r="E16" i="36"/>
  <c r="C17" i="36"/>
  <c r="D17" i="36"/>
  <c r="E17" i="36"/>
  <c r="C18" i="36"/>
  <c r="D18" i="36"/>
  <c r="E18" i="36"/>
  <c r="C19" i="36"/>
  <c r="D19" i="36"/>
  <c r="E19" i="36"/>
  <c r="C20" i="36"/>
  <c r="D20" i="36"/>
  <c r="E20" i="36"/>
  <c r="C21" i="36"/>
  <c r="D21" i="36"/>
  <c r="E21" i="36"/>
  <c r="C13" i="36"/>
  <c r="D13" i="36"/>
  <c r="E13" i="36"/>
  <c r="I9" i="37"/>
  <c r="J9" i="37"/>
  <c r="K9" i="37"/>
  <c r="L9" i="37"/>
  <c r="M9" i="37"/>
  <c r="I10" i="37"/>
  <c r="J10" i="37"/>
  <c r="K10" i="37"/>
  <c r="L10" i="37"/>
  <c r="M10" i="37"/>
  <c r="I11" i="37"/>
  <c r="J11" i="37"/>
  <c r="K11" i="37"/>
  <c r="L11" i="37"/>
  <c r="M11" i="37"/>
  <c r="I12" i="37"/>
  <c r="J12" i="37"/>
  <c r="K12" i="37"/>
  <c r="L12" i="37"/>
  <c r="M12" i="37"/>
  <c r="I13" i="37"/>
  <c r="J13" i="37"/>
  <c r="K13" i="37"/>
  <c r="L13" i="37"/>
  <c r="M13" i="37"/>
  <c r="I14" i="37"/>
  <c r="J14" i="37"/>
  <c r="K14" i="37"/>
  <c r="L14" i="37"/>
  <c r="M14" i="37"/>
  <c r="I15" i="37"/>
  <c r="J15" i="37"/>
  <c r="K15" i="37"/>
  <c r="L15" i="37"/>
  <c r="M15" i="37"/>
  <c r="I16" i="37"/>
  <c r="J16" i="37"/>
  <c r="K16" i="37"/>
  <c r="L16" i="37"/>
  <c r="M16" i="37"/>
  <c r="J8" i="37"/>
  <c r="K8" i="37"/>
  <c r="L8" i="37"/>
  <c r="M8" i="37"/>
  <c r="I8" i="37"/>
  <c r="C9" i="37"/>
  <c r="D9" i="37"/>
  <c r="E9" i="37"/>
  <c r="F9" i="37"/>
  <c r="G9" i="37"/>
  <c r="C10" i="37"/>
  <c r="D10" i="37"/>
  <c r="E10" i="37"/>
  <c r="F10" i="37"/>
  <c r="G10" i="37"/>
  <c r="C11" i="37"/>
  <c r="D11" i="37"/>
  <c r="E11" i="37"/>
  <c r="F11" i="37"/>
  <c r="G11" i="37"/>
  <c r="C12" i="37"/>
  <c r="D12" i="37"/>
  <c r="E12" i="37"/>
  <c r="F12" i="37"/>
  <c r="G12" i="37"/>
  <c r="C13" i="37"/>
  <c r="D13" i="37"/>
  <c r="E13" i="37"/>
  <c r="F13" i="37"/>
  <c r="G13" i="37"/>
  <c r="C14" i="37"/>
  <c r="D14" i="37"/>
  <c r="E14" i="37"/>
  <c r="F14" i="37"/>
  <c r="G14" i="37"/>
  <c r="C15" i="37"/>
  <c r="D15" i="37"/>
  <c r="E15" i="37"/>
  <c r="F15" i="37"/>
  <c r="G15" i="37"/>
  <c r="C16" i="37"/>
  <c r="D16" i="37"/>
  <c r="E16" i="37"/>
  <c r="F16" i="37"/>
  <c r="G16" i="37"/>
  <c r="D8" i="37"/>
  <c r="E8" i="37"/>
  <c r="F8" i="37"/>
  <c r="G8" i="37"/>
  <c r="C8" i="37"/>
  <c r="B9" i="37"/>
  <c r="B10" i="37"/>
  <c r="B11" i="37"/>
  <c r="B12" i="37"/>
  <c r="B13" i="37"/>
  <c r="B14" i="37"/>
  <c r="B15" i="37"/>
  <c r="B16" i="37"/>
  <c r="B8" i="37"/>
  <c r="R1" i="129"/>
  <c r="C1" i="130"/>
  <c r="C18" i="38"/>
  <c r="C10" i="38"/>
  <c r="C11" i="38"/>
  <c r="C12" i="38"/>
  <c r="C13" i="38"/>
  <c r="C9" i="38"/>
  <c r="C19" i="130"/>
  <c r="F1" i="131"/>
  <c r="I21" i="31" l="1"/>
  <c r="G32" i="2" s="1"/>
  <c r="I36" i="123"/>
  <c r="I36" i="31" s="1"/>
  <c r="D11" i="39"/>
  <c r="E11" i="39"/>
  <c r="F11" i="39"/>
  <c r="D12" i="39"/>
  <c r="E12" i="39"/>
  <c r="F12" i="39"/>
  <c r="D13" i="39"/>
  <c r="E13" i="39"/>
  <c r="F13" i="39"/>
  <c r="D14" i="39"/>
  <c r="E14" i="39"/>
  <c r="F14" i="39"/>
  <c r="D15" i="39"/>
  <c r="E15" i="39"/>
  <c r="F15" i="39"/>
  <c r="D16" i="39"/>
  <c r="E16" i="39"/>
  <c r="F16" i="39"/>
  <c r="D17" i="39"/>
  <c r="E17" i="39"/>
  <c r="F17" i="39"/>
  <c r="D18" i="39"/>
  <c r="E18" i="39"/>
  <c r="F18" i="39"/>
  <c r="D19" i="39"/>
  <c r="E19" i="39"/>
  <c r="F19" i="39"/>
  <c r="D20" i="39"/>
  <c r="E20" i="39"/>
  <c r="F20" i="39"/>
  <c r="D21" i="39"/>
  <c r="E21" i="39"/>
  <c r="F21" i="39"/>
  <c r="D22" i="39"/>
  <c r="E22" i="39"/>
  <c r="F22" i="39"/>
  <c r="D23" i="39"/>
  <c r="E23" i="39"/>
  <c r="F23" i="39"/>
  <c r="E10" i="39"/>
  <c r="F10" i="39"/>
  <c r="D10" i="39"/>
  <c r="C10" i="39"/>
  <c r="C11" i="39"/>
  <c r="C12" i="39"/>
  <c r="C13" i="39"/>
  <c r="C14" i="39"/>
  <c r="C15" i="39"/>
  <c r="C16" i="39"/>
  <c r="C17" i="39"/>
  <c r="C18" i="39"/>
  <c r="C19" i="39"/>
  <c r="C20" i="39"/>
  <c r="C21" i="39"/>
  <c r="C22" i="39"/>
  <c r="C23" i="39"/>
  <c r="B11" i="39"/>
  <c r="B12" i="39"/>
  <c r="B13" i="39"/>
  <c r="B14" i="39"/>
  <c r="B15" i="39"/>
  <c r="B16" i="39"/>
  <c r="B17" i="39"/>
  <c r="B18" i="39"/>
  <c r="B19" i="39"/>
  <c r="B20" i="39"/>
  <c r="B21" i="39"/>
  <c r="B22" i="39"/>
  <c r="B23" i="39"/>
  <c r="B10" i="39"/>
  <c r="A5" i="39"/>
  <c r="A4" i="39"/>
  <c r="G7" i="131"/>
  <c r="D32" i="2" l="1"/>
  <c r="C32" i="2"/>
  <c r="F24" i="131"/>
  <c r="E24" i="131"/>
  <c r="D24" i="131"/>
  <c r="G10" i="131" s="1"/>
  <c r="G23" i="131"/>
  <c r="G22" i="131"/>
  <c r="G21" i="131"/>
  <c r="G20" i="131"/>
  <c r="G19" i="131"/>
  <c r="G18" i="131"/>
  <c r="G17" i="131"/>
  <c r="G16" i="131"/>
  <c r="G15" i="131"/>
  <c r="G14" i="131"/>
  <c r="G13" i="131"/>
  <c r="G12" i="131"/>
  <c r="G11" i="131"/>
  <c r="G34" i="154" l="1"/>
  <c r="A20" i="154"/>
  <c r="A5" i="154"/>
  <c r="A2" i="154"/>
  <c r="B29" i="49" l="1"/>
  <c r="B27" i="49"/>
  <c r="B24" i="49"/>
  <c r="B23" i="49"/>
  <c r="B22" i="49"/>
  <c r="B21" i="49"/>
  <c r="B20" i="49"/>
  <c r="B19" i="49"/>
  <c r="B18" i="49"/>
  <c r="B17" i="49"/>
  <c r="M1" i="52"/>
  <c r="L1" i="52"/>
  <c r="K1" i="52"/>
  <c r="A32" i="3" l="1"/>
  <c r="A36" i="3"/>
  <c r="A43" i="47"/>
  <c r="A29" i="3" s="1"/>
  <c r="A44" i="47"/>
  <c r="A30" i="3" s="1"/>
  <c r="A45" i="47"/>
  <c r="A31" i="3" s="1"/>
  <c r="A46" i="47"/>
  <c r="A47" i="47"/>
  <c r="A33" i="3" s="1"/>
  <c r="A48" i="47"/>
  <c r="A34" i="3" s="1"/>
  <c r="A49" i="47"/>
  <c r="A35" i="3" s="1"/>
  <c r="A50" i="47"/>
  <c r="A51" i="47"/>
  <c r="A37" i="3" s="1"/>
  <c r="A42" i="47"/>
  <c r="A28" i="3" s="1"/>
  <c r="H11" i="53" l="1"/>
  <c r="E15" i="140" s="1"/>
  <c r="F15" i="53"/>
  <c r="F19" i="53" s="1"/>
  <c r="H14" i="69"/>
  <c r="F48" i="47" s="1"/>
  <c r="C48" i="47" s="1"/>
  <c r="F13" i="69"/>
  <c r="H13" i="69" s="1"/>
  <c r="F47" i="47" s="1"/>
  <c r="C47" i="47" s="1"/>
  <c r="F14" i="69"/>
  <c r="F15" i="69"/>
  <c r="H15" i="69" s="1"/>
  <c r="F49" i="47" s="1"/>
  <c r="C49" i="47" s="1"/>
  <c r="F16" i="69"/>
  <c r="H16" i="69" s="1"/>
  <c r="F50" i="47" s="1"/>
  <c r="C50" i="47" s="1"/>
  <c r="F17" i="69"/>
  <c r="H17" i="69" s="1"/>
  <c r="F51" i="47" s="1"/>
  <c r="C51" i="47" s="1"/>
  <c r="K11" i="24" l="1"/>
  <c r="K12" i="24"/>
  <c r="C13" i="24"/>
  <c r="C12" i="24"/>
  <c r="C11" i="24" s="1"/>
  <c r="C10" i="24" s="1"/>
  <c r="C9" i="24" s="1"/>
  <c r="C8" i="24" s="1"/>
  <c r="C36" i="30"/>
  <c r="C37" i="30"/>
  <c r="C38" i="30"/>
  <c r="C35" i="30"/>
  <c r="C9" i="30"/>
  <c r="C10" i="30"/>
  <c r="C11" i="30"/>
  <c r="C12" i="30"/>
  <c r="C13" i="30"/>
  <c r="C14" i="30"/>
  <c r="C15" i="30"/>
  <c r="C16" i="30"/>
  <c r="E30" i="124" s="1"/>
  <c r="E38" i="32" s="1"/>
  <c r="G33" i="2" s="1"/>
  <c r="C17" i="30"/>
  <c r="C18" i="30"/>
  <c r="C19" i="30"/>
  <c r="C20" i="30"/>
  <c r="C21" i="30"/>
  <c r="C22" i="30"/>
  <c r="C23" i="30"/>
  <c r="C24" i="30"/>
  <c r="C25" i="30"/>
  <c r="C26" i="30"/>
  <c r="C27" i="30"/>
  <c r="C28" i="30"/>
  <c r="C29" i="30"/>
  <c r="C30" i="30"/>
  <c r="C31" i="30"/>
  <c r="C32" i="30"/>
  <c r="C33" i="30"/>
  <c r="C8" i="30"/>
  <c r="C34" i="122"/>
  <c r="C7" i="122"/>
  <c r="C6" i="122"/>
  <c r="C5" i="122"/>
  <c r="D49" i="19"/>
  <c r="E49" i="19"/>
  <c r="H49" i="19"/>
  <c r="K49" i="19"/>
  <c r="K48" i="19"/>
  <c r="H48" i="19"/>
  <c r="E48" i="19"/>
  <c r="D48" i="19"/>
  <c r="K44" i="19"/>
  <c r="K45" i="19"/>
  <c r="K46" i="19"/>
  <c r="D44" i="19"/>
  <c r="E44" i="19"/>
  <c r="H44" i="19"/>
  <c r="D45" i="19"/>
  <c r="E45" i="19"/>
  <c r="H45" i="19"/>
  <c r="D46" i="19"/>
  <c r="E46" i="19"/>
  <c r="H46" i="19"/>
  <c r="K43" i="19"/>
  <c r="H43" i="19"/>
  <c r="E43" i="19"/>
  <c r="D43" i="19"/>
  <c r="K34" i="19"/>
  <c r="K35" i="19"/>
  <c r="K36" i="19"/>
  <c r="K37" i="19"/>
  <c r="K38" i="19"/>
  <c r="K39" i="19"/>
  <c r="K40" i="19"/>
  <c r="K41" i="19"/>
  <c r="D34" i="19"/>
  <c r="E34" i="19"/>
  <c r="H34" i="19"/>
  <c r="D35" i="19"/>
  <c r="E35" i="19"/>
  <c r="H35" i="19"/>
  <c r="D36" i="19"/>
  <c r="E36" i="19"/>
  <c r="H36" i="19"/>
  <c r="D37" i="19"/>
  <c r="E37" i="19"/>
  <c r="H37" i="19"/>
  <c r="D38" i="19"/>
  <c r="E38" i="19"/>
  <c r="H38" i="19"/>
  <c r="D39" i="19"/>
  <c r="E39" i="19"/>
  <c r="H39" i="19"/>
  <c r="D40" i="19"/>
  <c r="E40" i="19"/>
  <c r="H40" i="19"/>
  <c r="D41" i="19"/>
  <c r="E41" i="19"/>
  <c r="H41" i="19"/>
  <c r="K33" i="19"/>
  <c r="H33" i="19"/>
  <c r="E33" i="19"/>
  <c r="D33" i="19"/>
  <c r="E24" i="94"/>
  <c r="G39" i="19" s="1"/>
  <c r="E25" i="94"/>
  <c r="G40" i="19" s="1"/>
  <c r="K24" i="94"/>
  <c r="F39" i="19" s="1"/>
  <c r="K25" i="94"/>
  <c r="F40" i="19" s="1"/>
  <c r="O24" i="94"/>
  <c r="O25" i="94"/>
  <c r="N17" i="94"/>
  <c r="M17" i="94"/>
  <c r="J17" i="94"/>
  <c r="I17" i="94"/>
  <c r="G17" i="94"/>
  <c r="F17" i="94"/>
  <c r="D17" i="94"/>
  <c r="C17" i="94"/>
  <c r="K31" i="19"/>
  <c r="D31" i="19"/>
  <c r="G31" i="19" s="1"/>
  <c r="E31" i="19"/>
  <c r="F31" i="19"/>
  <c r="H31" i="19"/>
  <c r="K30" i="19"/>
  <c r="H30" i="19"/>
  <c r="F30" i="19"/>
  <c r="E30" i="19"/>
  <c r="D30" i="19"/>
  <c r="G30" i="19" s="1"/>
  <c r="G18" i="19"/>
  <c r="J21" i="98"/>
  <c r="I21" i="98"/>
  <c r="H21" i="98"/>
  <c r="G21" i="98"/>
  <c r="F21" i="98"/>
  <c r="E21" i="98"/>
  <c r="D21" i="98"/>
  <c r="C21" i="98"/>
  <c r="B10" i="18"/>
  <c r="B9" i="18"/>
  <c r="B8" i="18"/>
  <c r="D10" i="18"/>
  <c r="D9" i="18"/>
  <c r="D8" i="18"/>
  <c r="B11" i="18"/>
  <c r="C15" i="17"/>
  <c r="C14" i="17"/>
  <c r="C11" i="17"/>
  <c r="C5" i="17"/>
  <c r="G17" i="16"/>
  <c r="C33" i="2" l="1"/>
  <c r="D33" i="2"/>
  <c r="C17" i="16"/>
  <c r="D17" i="16" s="1"/>
  <c r="F10" i="16"/>
  <c r="C11" i="16"/>
  <c r="D11" i="16" s="1"/>
  <c r="G11" i="16" s="1"/>
  <c r="C7" i="16"/>
  <c r="D7" i="16" s="1"/>
  <c r="D8" i="15"/>
  <c r="E8" i="15"/>
  <c r="F8" i="15"/>
  <c r="G8" i="15"/>
  <c r="G14" i="15" s="1"/>
  <c r="L8" i="15"/>
  <c r="M8" i="15"/>
  <c r="L9" i="15"/>
  <c r="M9" i="15"/>
  <c r="L10" i="15"/>
  <c r="M10" i="15"/>
  <c r="L11" i="15"/>
  <c r="M11" i="15"/>
  <c r="L12" i="15"/>
  <c r="M12" i="15"/>
  <c r="L13" i="15"/>
  <c r="M13" i="15"/>
  <c r="O8" i="15"/>
  <c r="P8" i="15"/>
  <c r="O9" i="15"/>
  <c r="P9" i="15"/>
  <c r="O10" i="15"/>
  <c r="P10" i="15"/>
  <c r="O11" i="15"/>
  <c r="P11" i="15"/>
  <c r="O12" i="15"/>
  <c r="P12" i="15"/>
  <c r="O13" i="15"/>
  <c r="P13" i="15"/>
  <c r="D9" i="15"/>
  <c r="E9" i="15"/>
  <c r="F9" i="15"/>
  <c r="D10" i="15"/>
  <c r="E10" i="15"/>
  <c r="F10" i="15"/>
  <c r="D11" i="15"/>
  <c r="E11" i="15"/>
  <c r="F11" i="15"/>
  <c r="D12" i="15"/>
  <c r="E12" i="15"/>
  <c r="F12" i="15"/>
  <c r="D13" i="15"/>
  <c r="E13" i="15"/>
  <c r="F13" i="15"/>
  <c r="H8" i="15"/>
  <c r="H9" i="15"/>
  <c r="I8" i="15"/>
  <c r="I9" i="15"/>
  <c r="I10" i="15"/>
  <c r="J8" i="15"/>
  <c r="J9" i="15"/>
  <c r="J10" i="15"/>
  <c r="J11" i="15"/>
  <c r="K8" i="15"/>
  <c r="K9" i="15"/>
  <c r="K10" i="15"/>
  <c r="K11" i="15"/>
  <c r="K12" i="15"/>
  <c r="N14" i="15"/>
  <c r="O14" i="15"/>
  <c r="P14" i="15"/>
  <c r="C9" i="14"/>
  <c r="D9" i="14"/>
  <c r="C10" i="14"/>
  <c r="D10" i="14"/>
  <c r="C11" i="14"/>
  <c r="D11" i="14"/>
  <c r="C12" i="14"/>
  <c r="D12" i="14"/>
  <c r="C13" i="14"/>
  <c r="D13" i="14"/>
  <c r="C14" i="14"/>
  <c r="D14" i="14"/>
  <c r="C15" i="14"/>
  <c r="D15" i="14"/>
  <c r="C16" i="14"/>
  <c r="D16" i="14"/>
  <c r="C17" i="14"/>
  <c r="D17" i="14"/>
  <c r="F9" i="14"/>
  <c r="G9" i="14"/>
  <c r="H9" i="14"/>
  <c r="I9" i="14"/>
  <c r="F10" i="14"/>
  <c r="G10" i="14"/>
  <c r="H10" i="14"/>
  <c r="I10" i="14"/>
  <c r="F11" i="14"/>
  <c r="G11" i="14"/>
  <c r="H11" i="14"/>
  <c r="I11" i="14"/>
  <c r="F12" i="14"/>
  <c r="G12" i="14"/>
  <c r="H12" i="14"/>
  <c r="I12" i="14"/>
  <c r="F13" i="14"/>
  <c r="G13" i="14"/>
  <c r="H13" i="14"/>
  <c r="I13" i="14"/>
  <c r="F14" i="14"/>
  <c r="G14" i="14"/>
  <c r="H14" i="14"/>
  <c r="I14" i="14"/>
  <c r="F15" i="14"/>
  <c r="G15" i="14"/>
  <c r="H15" i="14"/>
  <c r="I15" i="14"/>
  <c r="F16" i="14"/>
  <c r="G16" i="14"/>
  <c r="H16" i="14"/>
  <c r="I16" i="14"/>
  <c r="F17" i="14"/>
  <c r="G17" i="14"/>
  <c r="H17" i="14"/>
  <c r="I17" i="14"/>
  <c r="J14" i="15" l="1"/>
  <c r="H14" i="15"/>
  <c r="K14" i="15"/>
  <c r="I14" i="15"/>
  <c r="C8" i="13"/>
  <c r="D8" i="13"/>
  <c r="E8" i="13"/>
  <c r="F8" i="13"/>
  <c r="G8" i="13"/>
  <c r="C9" i="13"/>
  <c r="D9" i="13"/>
  <c r="E9" i="13"/>
  <c r="F9" i="13"/>
  <c r="G9" i="13"/>
  <c r="C10" i="13"/>
  <c r="D10" i="13"/>
  <c r="E10" i="13"/>
  <c r="F10" i="13"/>
  <c r="G10" i="13"/>
  <c r="C12" i="13"/>
  <c r="D12" i="13"/>
  <c r="E12" i="13"/>
  <c r="F12" i="13"/>
  <c r="G12" i="13"/>
  <c r="C13" i="13"/>
  <c r="D13" i="13"/>
  <c r="E13" i="13"/>
  <c r="F13" i="13"/>
  <c r="G13" i="13"/>
  <c r="C14" i="13"/>
  <c r="D14" i="13"/>
  <c r="E14" i="13"/>
  <c r="F14" i="13"/>
  <c r="G14" i="13"/>
  <c r="C16" i="13"/>
  <c r="D16" i="13"/>
  <c r="E16" i="13"/>
  <c r="F16" i="13"/>
  <c r="G16" i="13"/>
  <c r="C17" i="13"/>
  <c r="D17" i="13"/>
  <c r="E17" i="13"/>
  <c r="F17" i="13"/>
  <c r="G17" i="13"/>
  <c r="C18" i="13"/>
  <c r="D18" i="13"/>
  <c r="E18" i="13"/>
  <c r="F18" i="13"/>
  <c r="G18" i="13"/>
  <c r="C19" i="13"/>
  <c r="D19" i="13"/>
  <c r="E19" i="13"/>
  <c r="F19" i="13"/>
  <c r="G19" i="13"/>
  <c r="D36" i="12"/>
  <c r="C36" i="12"/>
  <c r="D35" i="12"/>
  <c r="C35" i="12"/>
  <c r="C34" i="12"/>
  <c r="C33" i="12"/>
  <c r="D31" i="12"/>
  <c r="C31" i="12"/>
  <c r="C29" i="12"/>
  <c r="C28" i="12"/>
  <c r="C27" i="12"/>
  <c r="D27" i="12"/>
  <c r="C24" i="12"/>
  <c r="C23" i="12"/>
  <c r="C22" i="12"/>
  <c r="C21" i="12"/>
  <c r="C20" i="12"/>
  <c r="C19" i="12"/>
  <c r="C18" i="12"/>
  <c r="C17" i="12"/>
  <c r="C16" i="12"/>
  <c r="C14" i="12"/>
  <c r="C13" i="12"/>
  <c r="C12" i="12"/>
  <c r="C11" i="12"/>
  <c r="C10" i="12"/>
  <c r="C9" i="12"/>
  <c r="C8" i="12"/>
  <c r="C7" i="12"/>
  <c r="C6" i="12"/>
  <c r="D45" i="11"/>
  <c r="C45" i="11"/>
  <c r="D33" i="11"/>
  <c r="D30" i="11"/>
  <c r="D27" i="11"/>
  <c r="D26" i="11"/>
  <c r="C26" i="11"/>
  <c r="D14" i="11" l="1"/>
  <c r="C14" i="11"/>
  <c r="C11" i="11"/>
  <c r="E10" i="11"/>
  <c r="F9" i="11"/>
  <c r="D42" i="143"/>
  <c r="H42" i="143" s="1"/>
  <c r="F49" i="153" l="1"/>
  <c r="C33" i="11" s="1"/>
  <c r="E29" i="10"/>
  <c r="H30" i="10"/>
  <c r="F30" i="10"/>
  <c r="D30" i="10"/>
  <c r="H27" i="10"/>
  <c r="H26" i="10"/>
  <c r="F24" i="10"/>
  <c r="F23" i="10"/>
  <c r="F21" i="10"/>
  <c r="F20" i="10"/>
  <c r="F16" i="10"/>
  <c r="H11" i="10"/>
  <c r="F11" i="10"/>
  <c r="F8" i="10"/>
  <c r="F7" i="10"/>
  <c r="D24" i="10"/>
  <c r="D23" i="10"/>
  <c r="D21" i="10"/>
  <c r="D20" i="10"/>
  <c r="D16" i="10"/>
  <c r="D11" i="10"/>
  <c r="D8" i="10"/>
  <c r="D7" i="10"/>
  <c r="D35" i="4"/>
  <c r="G42" i="154" s="1"/>
  <c r="D12" i="4"/>
  <c r="D11" i="4"/>
  <c r="D10" i="4"/>
  <c r="N20" i="3"/>
  <c r="F20" i="3" s="1"/>
  <c r="O20" i="3"/>
  <c r="H20" i="3" s="1"/>
  <c r="N21" i="3"/>
  <c r="F21" i="3" s="1"/>
  <c r="O21" i="3"/>
  <c r="H21" i="3" s="1"/>
  <c r="O19" i="3"/>
  <c r="H19" i="3" s="1"/>
  <c r="N19" i="3"/>
  <c r="F19" i="3" s="1"/>
  <c r="U10" i="3"/>
  <c r="S8" i="3"/>
  <c r="R8" i="3"/>
  <c r="P8" i="3"/>
  <c r="O8" i="3"/>
  <c r="N8" i="3"/>
  <c r="D8" i="3" s="1"/>
  <c r="Q7" i="3"/>
  <c r="P7" i="3"/>
  <c r="N7" i="3"/>
  <c r="O7" i="3"/>
  <c r="O6" i="3"/>
  <c r="H6" i="3" s="1"/>
  <c r="N6" i="3"/>
  <c r="T4" i="3"/>
  <c r="S4" i="3"/>
  <c r="R4" i="3"/>
  <c r="N4" i="3" s="1"/>
  <c r="Q4" i="3"/>
  <c r="P4" i="3"/>
  <c r="O4" i="3"/>
  <c r="D6" i="3"/>
  <c r="G3" i="122" l="1"/>
  <c r="D7" i="3"/>
  <c r="H7" i="3"/>
  <c r="H8" i="3"/>
  <c r="C4" i="3"/>
  <c r="G5" i="2"/>
  <c r="G4" i="2"/>
  <c r="G25" i="2"/>
  <c r="G12" i="2"/>
  <c r="D12" i="2" l="1"/>
  <c r="C12" i="2"/>
  <c r="C4" i="2"/>
  <c r="D4" i="2"/>
  <c r="D25" i="2"/>
  <c r="C25" i="2"/>
  <c r="C5" i="2"/>
  <c r="D5" i="2"/>
  <c r="E124" i="150"/>
  <c r="E125" i="150"/>
  <c r="E126" i="150"/>
  <c r="E123" i="150"/>
  <c r="A128" i="150"/>
  <c r="F124" i="150"/>
  <c r="F125" i="150"/>
  <c r="F126" i="150"/>
  <c r="C124" i="150"/>
  <c r="C125" i="150"/>
  <c r="C126" i="150"/>
  <c r="F123" i="150"/>
  <c r="C123" i="150"/>
  <c r="D16" i="150" l="1"/>
  <c r="E16" i="150"/>
  <c r="B16" i="150"/>
  <c r="E9" i="153" l="1"/>
  <c r="E10" i="153"/>
  <c r="E11" i="153"/>
  <c r="J11" i="153" s="1"/>
  <c r="E12" i="153"/>
  <c r="J12" i="153" s="1"/>
  <c r="E13" i="153"/>
  <c r="E14" i="153"/>
  <c r="J14" i="153" s="1"/>
  <c r="K14" i="153" s="1"/>
  <c r="E15" i="153"/>
  <c r="E16" i="153"/>
  <c r="E17" i="153"/>
  <c r="E18" i="153"/>
  <c r="J18" i="153" s="1"/>
  <c r="K18" i="153" s="1"/>
  <c r="E19" i="153"/>
  <c r="E20" i="153"/>
  <c r="E21" i="153"/>
  <c r="E22" i="153"/>
  <c r="E23" i="153"/>
  <c r="E24" i="153"/>
  <c r="E25" i="153"/>
  <c r="J25" i="153" s="1"/>
  <c r="K25" i="153" s="1"/>
  <c r="E26" i="153"/>
  <c r="E27" i="153"/>
  <c r="E28" i="153"/>
  <c r="E29" i="153"/>
  <c r="E30" i="153"/>
  <c r="E37" i="153"/>
  <c r="E38" i="153"/>
  <c r="E39" i="153"/>
  <c r="E40" i="153"/>
  <c r="E41" i="153"/>
  <c r="E42" i="153"/>
  <c r="E43" i="153"/>
  <c r="J43" i="153" s="1"/>
  <c r="K43" i="153" s="1"/>
  <c r="E44" i="153"/>
  <c r="E45" i="153"/>
  <c r="J45" i="153" s="1"/>
  <c r="K45" i="153" s="1"/>
  <c r="E46" i="153"/>
  <c r="E47" i="153"/>
  <c r="E48" i="153"/>
  <c r="E49" i="153"/>
  <c r="E50" i="153"/>
  <c r="J50" i="153" s="1"/>
  <c r="K50" i="153" s="1"/>
  <c r="E51" i="153"/>
  <c r="E52" i="153"/>
  <c r="E53" i="153"/>
  <c r="E54" i="153"/>
  <c r="E55" i="153"/>
  <c r="E56" i="153"/>
  <c r="E57" i="153"/>
  <c r="E58" i="153"/>
  <c r="E59" i="153"/>
  <c r="E60" i="153"/>
  <c r="J60" i="153" s="1"/>
  <c r="K60" i="153" s="1"/>
  <c r="E61" i="153"/>
  <c r="E62" i="153"/>
  <c r="E63" i="153"/>
  <c r="E64" i="153"/>
  <c r="J64" i="153" s="1"/>
  <c r="K64" i="153" s="1"/>
  <c r="E65" i="153"/>
  <c r="E66" i="153"/>
  <c r="E67" i="153"/>
  <c r="E68" i="153"/>
  <c r="J68" i="153" s="1"/>
  <c r="K68" i="153" s="1"/>
  <c r="E69" i="153"/>
  <c r="E70" i="153"/>
  <c r="E71" i="153"/>
  <c r="E72" i="153"/>
  <c r="E73" i="153"/>
  <c r="E74" i="153"/>
  <c r="J74" i="153" s="1"/>
  <c r="K74" i="153" s="1"/>
  <c r="E75" i="153"/>
  <c r="E76" i="153"/>
  <c r="E77" i="153"/>
  <c r="E78" i="153"/>
  <c r="E79" i="153"/>
  <c r="E80" i="153"/>
  <c r="J80" i="153" s="1"/>
  <c r="K80" i="153" s="1"/>
  <c r="E81" i="153"/>
  <c r="J81" i="153" s="1"/>
  <c r="K81" i="153" s="1"/>
  <c r="E82" i="153"/>
  <c r="J82" i="153" s="1"/>
  <c r="K82" i="153" s="1"/>
  <c r="E83" i="153"/>
  <c r="J83" i="153" s="1"/>
  <c r="K83" i="153" s="1"/>
  <c r="E84" i="153"/>
  <c r="J84" i="153" s="1"/>
  <c r="K84" i="153" s="1"/>
  <c r="E85" i="153"/>
  <c r="J85" i="153" s="1"/>
  <c r="K85" i="153" s="1"/>
  <c r="E86" i="153"/>
  <c r="J86" i="153" s="1"/>
  <c r="K86" i="153" s="1"/>
  <c r="E87" i="153"/>
  <c r="J87" i="153" s="1"/>
  <c r="K87" i="153" s="1"/>
  <c r="E88" i="153"/>
  <c r="J88" i="153" s="1"/>
  <c r="K88" i="153" s="1"/>
  <c r="E89" i="153"/>
  <c r="J89" i="153" s="1"/>
  <c r="K89" i="153" s="1"/>
  <c r="E90" i="153"/>
  <c r="J90" i="153" s="1"/>
  <c r="K90" i="153" s="1"/>
  <c r="E91" i="153"/>
  <c r="J91" i="153" s="1"/>
  <c r="K91" i="153" s="1"/>
  <c r="E92" i="153"/>
  <c r="J92" i="153" s="1"/>
  <c r="K92" i="153" s="1"/>
  <c r="E93" i="153"/>
  <c r="J93" i="153" s="1"/>
  <c r="K93" i="153" s="1"/>
  <c r="E94" i="153"/>
  <c r="J94" i="153" s="1"/>
  <c r="K94" i="153" s="1"/>
  <c r="E8" i="153"/>
  <c r="H5" i="153"/>
  <c r="I4" i="153"/>
  <c r="H4" i="153"/>
  <c r="G1" i="153"/>
  <c r="I88" i="153" l="1"/>
  <c r="H88" i="153"/>
  <c r="I81" i="153"/>
  <c r="H81" i="153"/>
  <c r="H76" i="153"/>
  <c r="I76" i="153"/>
  <c r="H77" i="153"/>
  <c r="I77" i="153"/>
  <c r="H78" i="153"/>
  <c r="J78" i="153" s="1"/>
  <c r="K78" i="153" s="1"/>
  <c r="I78" i="153"/>
  <c r="H79" i="153"/>
  <c r="J79" i="153" s="1"/>
  <c r="K79" i="153" s="1"/>
  <c r="I79" i="153"/>
  <c r="I75" i="153"/>
  <c r="H75" i="153"/>
  <c r="I73" i="153"/>
  <c r="H73" i="153"/>
  <c r="I71" i="153"/>
  <c r="H71" i="153"/>
  <c r="I69" i="153"/>
  <c r="H69" i="153"/>
  <c r="G50" i="153"/>
  <c r="D34" i="11" s="1"/>
  <c r="G64" i="153"/>
  <c r="F64" i="153"/>
  <c r="C39" i="11" s="1"/>
  <c r="H65" i="153"/>
  <c r="I65" i="153"/>
  <c r="J65" i="153" s="1"/>
  <c r="K65" i="153" s="1"/>
  <c r="H66" i="153"/>
  <c r="I66" i="153"/>
  <c r="H67" i="153"/>
  <c r="I67" i="153"/>
  <c r="F55" i="153"/>
  <c r="I55" i="153" s="1"/>
  <c r="F56" i="153"/>
  <c r="I56" i="153" s="1"/>
  <c r="F57" i="153"/>
  <c r="H57" i="153" s="1"/>
  <c r="F58" i="153"/>
  <c r="I58" i="153" s="1"/>
  <c r="F59" i="153"/>
  <c r="I59" i="153" s="1"/>
  <c r="G18" i="153"/>
  <c r="D15" i="11" s="1"/>
  <c r="F18" i="153"/>
  <c r="C15" i="11" s="1"/>
  <c r="H19" i="153"/>
  <c r="I19" i="153"/>
  <c r="H20" i="153"/>
  <c r="I20" i="153"/>
  <c r="H21" i="153"/>
  <c r="I21" i="153"/>
  <c r="H22" i="153"/>
  <c r="J22" i="153" s="1"/>
  <c r="K22" i="153" s="1"/>
  <c r="I22" i="153"/>
  <c r="H23" i="153"/>
  <c r="I23" i="153"/>
  <c r="H24" i="153"/>
  <c r="J24" i="153" s="1"/>
  <c r="K24" i="153" s="1"/>
  <c r="I24" i="153"/>
  <c r="F47" i="153"/>
  <c r="F46" i="153"/>
  <c r="F54" i="153"/>
  <c r="I54" i="153" s="1"/>
  <c r="F53" i="153"/>
  <c r="H53" i="153" s="1"/>
  <c r="F52" i="153"/>
  <c r="I52" i="153" s="1"/>
  <c r="F51" i="153"/>
  <c r="H51" i="153" s="1"/>
  <c r="F39" i="153"/>
  <c r="F38" i="153"/>
  <c r="I49" i="153"/>
  <c r="F33" i="11" s="1"/>
  <c r="H49" i="153"/>
  <c r="I41" i="153"/>
  <c r="H41" i="153"/>
  <c r="J41" i="153" s="1"/>
  <c r="K41" i="153" s="1"/>
  <c r="I16" i="153"/>
  <c r="H16" i="153"/>
  <c r="J20" i="153" l="1"/>
  <c r="K20" i="153" s="1"/>
  <c r="J66" i="153"/>
  <c r="K66" i="153" s="1"/>
  <c r="J21" i="153"/>
  <c r="K21" i="153" s="1"/>
  <c r="J19" i="153"/>
  <c r="K19" i="153" s="1"/>
  <c r="H55" i="153"/>
  <c r="J55" i="153" s="1"/>
  <c r="K55" i="153" s="1"/>
  <c r="H47" i="153"/>
  <c r="J47" i="153" s="1"/>
  <c r="K47" i="153" s="1"/>
  <c r="C31" i="11"/>
  <c r="J67" i="153"/>
  <c r="K67" i="153" s="1"/>
  <c r="J73" i="153"/>
  <c r="K73" i="153" s="1"/>
  <c r="H87" i="153"/>
  <c r="E47" i="11"/>
  <c r="H38" i="153"/>
  <c r="J38" i="153" s="1"/>
  <c r="C23" i="11"/>
  <c r="J77" i="153"/>
  <c r="K77" i="153" s="1"/>
  <c r="I87" i="153"/>
  <c r="F47" i="11"/>
  <c r="H39" i="153"/>
  <c r="J39" i="153" s="1"/>
  <c r="K39" i="153" s="1"/>
  <c r="C24" i="11"/>
  <c r="H64" i="153"/>
  <c r="D39" i="11"/>
  <c r="J71" i="153"/>
  <c r="K71" i="153" s="1"/>
  <c r="I74" i="153"/>
  <c r="F46" i="11" s="1"/>
  <c r="H94" i="153"/>
  <c r="E48" i="11"/>
  <c r="J16" i="153"/>
  <c r="K16" i="153" s="1"/>
  <c r="I46" i="153"/>
  <c r="C30" i="11"/>
  <c r="J23" i="153"/>
  <c r="K23" i="153" s="1"/>
  <c r="J76" i="153"/>
  <c r="K76" i="153" s="1"/>
  <c r="I94" i="153"/>
  <c r="F48" i="11"/>
  <c r="J75" i="153"/>
  <c r="K75" i="153" s="1"/>
  <c r="J49" i="153"/>
  <c r="K49" i="153" s="1"/>
  <c r="E33" i="11"/>
  <c r="J69" i="153"/>
  <c r="K69" i="153" s="1"/>
  <c r="H59" i="153"/>
  <c r="J59" i="153" s="1"/>
  <c r="K59" i="153" s="1"/>
  <c r="H56" i="153"/>
  <c r="J56" i="153" s="1"/>
  <c r="K56" i="153" s="1"/>
  <c r="I64" i="153"/>
  <c r="H74" i="153"/>
  <c r="E46" i="11" s="1"/>
  <c r="H54" i="153"/>
  <c r="J54" i="153" s="1"/>
  <c r="K54" i="153" s="1"/>
  <c r="I53" i="153"/>
  <c r="J53" i="153" s="1"/>
  <c r="K53" i="153" s="1"/>
  <c r="H52" i="153"/>
  <c r="J52" i="153" s="1"/>
  <c r="K52" i="153" s="1"/>
  <c r="I51" i="153"/>
  <c r="J51" i="153" s="1"/>
  <c r="I57" i="153"/>
  <c r="J57" i="153" s="1"/>
  <c r="K57" i="153" s="1"/>
  <c r="H58" i="153"/>
  <c r="J58" i="153" s="1"/>
  <c r="K58" i="153" s="1"/>
  <c r="F50" i="153"/>
  <c r="C34" i="11" s="1"/>
  <c r="H46" i="153"/>
  <c r="J46" i="153" l="1"/>
  <c r="H50" i="153"/>
  <c r="I50" i="153"/>
  <c r="I18" i="153" l="1"/>
  <c r="H18" i="153"/>
  <c r="I17" i="153"/>
  <c r="H17" i="153"/>
  <c r="I13" i="153"/>
  <c r="H13" i="153"/>
  <c r="N8" i="88"/>
  <c r="N9" i="88"/>
  <c r="N10" i="88"/>
  <c r="N11" i="88"/>
  <c r="N12" i="88"/>
  <c r="N13" i="88"/>
  <c r="N14" i="88"/>
  <c r="N15" i="88"/>
  <c r="N16" i="88"/>
  <c r="N17" i="88"/>
  <c r="N18" i="88"/>
  <c r="N19" i="88"/>
  <c r="N20" i="88"/>
  <c r="N21" i="88"/>
  <c r="N22" i="88"/>
  <c r="N23" i="88"/>
  <c r="N24" i="88"/>
  <c r="N25" i="88"/>
  <c r="N26" i="88"/>
  <c r="N27" i="88"/>
  <c r="N28" i="88"/>
  <c r="N29" i="88"/>
  <c r="N30" i="88"/>
  <c r="N31" i="88"/>
  <c r="N32" i="88"/>
  <c r="N33" i="88"/>
  <c r="N34" i="88"/>
  <c r="N35" i="88"/>
  <c r="N36" i="88"/>
  <c r="N37" i="88"/>
  <c r="N38" i="88"/>
  <c r="N39" i="88"/>
  <c r="N40" i="88"/>
  <c r="N41" i="88"/>
  <c r="N42" i="88"/>
  <c r="N43" i="88"/>
  <c r="N44" i="88"/>
  <c r="N45" i="88"/>
  <c r="N46" i="88"/>
  <c r="N47" i="88"/>
  <c r="N48" i="88"/>
  <c r="N49" i="88"/>
  <c r="N50" i="88"/>
  <c r="N51" i="88"/>
  <c r="N52" i="88"/>
  <c r="N53" i="88"/>
  <c r="N54" i="88"/>
  <c r="N55" i="88"/>
  <c r="N56" i="88"/>
  <c r="N57" i="88"/>
  <c r="N58" i="88"/>
  <c r="N59" i="88"/>
  <c r="N60" i="88"/>
  <c r="N61" i="88"/>
  <c r="N62" i="88"/>
  <c r="N63" i="88"/>
  <c r="N64" i="88"/>
  <c r="N65" i="88"/>
  <c r="N66" i="88"/>
  <c r="N67" i="88"/>
  <c r="N68" i="88"/>
  <c r="N69" i="88"/>
  <c r="N70" i="88"/>
  <c r="N71" i="88"/>
  <c r="N72" i="88"/>
  <c r="N73" i="88"/>
  <c r="N74" i="88"/>
  <c r="N75" i="88"/>
  <c r="N76" i="88"/>
  <c r="N77" i="88"/>
  <c r="N78" i="88"/>
  <c r="N79" i="88"/>
  <c r="N80" i="88"/>
  <c r="N81" i="88"/>
  <c r="N82" i="88"/>
  <c r="N83" i="88"/>
  <c r="N84" i="88"/>
  <c r="N85" i="88"/>
  <c r="N86" i="88"/>
  <c r="N87" i="88"/>
  <c r="N88" i="88"/>
  <c r="N89" i="88"/>
  <c r="N90" i="88"/>
  <c r="N91" i="88"/>
  <c r="N92" i="88"/>
  <c r="N93" i="88"/>
  <c r="N94" i="88"/>
  <c r="N95" i="88"/>
  <c r="N96" i="88"/>
  <c r="N97" i="88"/>
  <c r="N98" i="88"/>
  <c r="N99" i="88"/>
  <c r="N100" i="88"/>
  <c r="N101" i="88"/>
  <c r="N102" i="88"/>
  <c r="N103" i="88"/>
  <c r="N104" i="88"/>
  <c r="N105" i="88"/>
  <c r="N106" i="88"/>
  <c r="N107" i="88"/>
  <c r="N108" i="88"/>
  <c r="N109" i="88"/>
  <c r="N110" i="88"/>
  <c r="N111" i="88"/>
  <c r="N112" i="88"/>
  <c r="N113" i="88"/>
  <c r="N114" i="88"/>
  <c r="N115" i="88"/>
  <c r="N116" i="88"/>
  <c r="N117" i="88"/>
  <c r="N118" i="88"/>
  <c r="N119" i="88"/>
  <c r="N120" i="88"/>
  <c r="N121" i="88"/>
  <c r="N122" i="88"/>
  <c r="N123" i="88"/>
  <c r="N124" i="88"/>
  <c r="N125" i="88"/>
  <c r="N126" i="88"/>
  <c r="N127" i="88"/>
  <c r="N128" i="88"/>
  <c r="N129" i="88"/>
  <c r="N130" i="88"/>
  <c r="N131" i="88"/>
  <c r="N132" i="88"/>
  <c r="N133" i="88"/>
  <c r="N134" i="88"/>
  <c r="N135" i="88"/>
  <c r="N136" i="88"/>
  <c r="N137" i="88"/>
  <c r="N138" i="88"/>
  <c r="N139" i="88"/>
  <c r="N140" i="88"/>
  <c r="N141" i="88"/>
  <c r="N142" i="88"/>
  <c r="N143" i="88"/>
  <c r="N144" i="88"/>
  <c r="N145" i="88"/>
  <c r="N146" i="88"/>
  <c r="N147" i="88"/>
  <c r="N148" i="88"/>
  <c r="N149" i="88"/>
  <c r="N150" i="88"/>
  <c r="N151" i="88"/>
  <c r="N152" i="88"/>
  <c r="N153" i="88"/>
  <c r="N154" i="88"/>
  <c r="N155" i="88"/>
  <c r="N156" i="88"/>
  <c r="N157" i="88"/>
  <c r="N158" i="88"/>
  <c r="N159" i="88"/>
  <c r="N160" i="88"/>
  <c r="N161" i="88"/>
  <c r="N162" i="88"/>
  <c r="N163" i="88"/>
  <c r="N164" i="88"/>
  <c r="N165" i="88"/>
  <c r="N166" i="88"/>
  <c r="N167" i="88"/>
  <c r="N168" i="88"/>
  <c r="N169" i="88"/>
  <c r="N170" i="88"/>
  <c r="N171" i="88"/>
  <c r="N172" i="88"/>
  <c r="N173" i="88"/>
  <c r="N174" i="88"/>
  <c r="N175" i="88"/>
  <c r="N176" i="88"/>
  <c r="N177" i="88"/>
  <c r="N178" i="88"/>
  <c r="N179" i="88"/>
  <c r="N180" i="88"/>
  <c r="N181" i="88"/>
  <c r="N182" i="88"/>
  <c r="N183" i="88"/>
  <c r="N184" i="88"/>
  <c r="N185" i="88"/>
  <c r="N186" i="88"/>
  <c r="N187" i="88"/>
  <c r="N188" i="88"/>
  <c r="N189" i="88"/>
  <c r="N190" i="88"/>
  <c r="N191" i="88"/>
  <c r="N192" i="88"/>
  <c r="N193" i="88"/>
  <c r="N194" i="88"/>
  <c r="N195" i="88"/>
  <c r="N196" i="88"/>
  <c r="N197" i="88"/>
  <c r="N198" i="88"/>
  <c r="N199" i="88"/>
  <c r="N200" i="88"/>
  <c r="N201" i="88"/>
  <c r="N202" i="88"/>
  <c r="N203" i="88"/>
  <c r="N204" i="88"/>
  <c r="N205" i="88"/>
  <c r="N206" i="88"/>
  <c r="N7" i="88"/>
  <c r="F42" i="142" s="1"/>
  <c r="F10" i="142" l="1"/>
  <c r="F7" i="142"/>
  <c r="F8" i="142"/>
  <c r="F25" i="136"/>
  <c r="F24" i="136"/>
  <c r="F23" i="136"/>
  <c r="F26" i="136"/>
  <c r="J17" i="153"/>
  <c r="K17" i="153" s="1"/>
  <c r="J13" i="153"/>
  <c r="K13" i="153" s="1"/>
  <c r="C29" i="92" l="1"/>
  <c r="D22" i="92"/>
  <c r="D21" i="92"/>
  <c r="D20" i="92"/>
  <c r="D19" i="92"/>
  <c r="D18" i="92"/>
  <c r="D13" i="19"/>
  <c r="G13" i="19" s="1"/>
  <c r="D17" i="19"/>
  <c r="G17" i="19" s="1"/>
  <c r="D16" i="19"/>
  <c r="G16" i="19" s="1"/>
  <c r="D15" i="19"/>
  <c r="G15" i="19" s="1"/>
  <c r="D14" i="19"/>
  <c r="G14" i="19" s="1"/>
  <c r="G22" i="92"/>
  <c r="G20" i="92"/>
  <c r="G19" i="92"/>
  <c r="F15" i="19" l="1"/>
  <c r="E15" i="19"/>
  <c r="F16" i="19"/>
  <c r="E16" i="19"/>
  <c r="F13" i="19"/>
  <c r="E13" i="19"/>
  <c r="E17" i="19"/>
  <c r="F17" i="19"/>
  <c r="H14" i="19"/>
  <c r="K14" i="19"/>
  <c r="K15" i="19"/>
  <c r="H15" i="19"/>
  <c r="H17" i="19"/>
  <c r="K17" i="19"/>
  <c r="F14" i="19"/>
  <c r="E14" i="19"/>
  <c r="E10" i="91"/>
  <c r="I1" i="91"/>
  <c r="C8" i="90"/>
  <c r="F9" i="90"/>
  <c r="E9" i="90"/>
  <c r="C9" i="90"/>
  <c r="F1" i="90"/>
  <c r="E1" i="145" l="1"/>
  <c r="F1" i="143"/>
  <c r="F1" i="144"/>
  <c r="D14" i="144"/>
  <c r="D13" i="144"/>
  <c r="D11" i="144"/>
  <c r="D10" i="144"/>
  <c r="D9" i="144"/>
  <c r="D7" i="144"/>
  <c r="D6" i="144"/>
  <c r="D43" i="143" l="1"/>
  <c r="D41" i="143"/>
  <c r="D40" i="143"/>
  <c r="D39" i="143"/>
  <c r="D38" i="143"/>
  <c r="D37" i="143"/>
  <c r="D36" i="143"/>
  <c r="D35" i="143"/>
  <c r="D34" i="143"/>
  <c r="D33" i="143"/>
  <c r="D32" i="143"/>
  <c r="D31" i="143"/>
  <c r="D30" i="143"/>
  <c r="D29" i="143"/>
  <c r="D28" i="143"/>
  <c r="D27" i="143"/>
  <c r="D26" i="143"/>
  <c r="D25" i="143"/>
  <c r="D24" i="143"/>
  <c r="D23" i="143"/>
  <c r="D22" i="143"/>
  <c r="D21" i="143"/>
  <c r="D20" i="143"/>
  <c r="E29" i="92" s="1"/>
  <c r="D19" i="143"/>
  <c r="D18" i="143"/>
  <c r="D17" i="143"/>
  <c r="D16" i="143"/>
  <c r="D15" i="143"/>
  <c r="D14" i="143"/>
  <c r="D13" i="143"/>
  <c r="D12" i="143"/>
  <c r="D11" i="143"/>
  <c r="D10" i="143"/>
  <c r="E9" i="91" s="1"/>
  <c r="D9" i="143"/>
  <c r="G11" i="90" s="1"/>
  <c r="D8" i="143"/>
  <c r="F11" i="90" s="1"/>
  <c r="D7" i="143"/>
  <c r="E11" i="90" s="1"/>
  <c r="D6" i="143"/>
  <c r="C11" i="90" s="1"/>
  <c r="F1" i="142"/>
  <c r="D42" i="142" l="1"/>
  <c r="D41" i="142"/>
  <c r="D40" i="142"/>
  <c r="D39" i="142"/>
  <c r="D38" i="142"/>
  <c r="D37" i="142"/>
  <c r="D36" i="142"/>
  <c r="D35" i="142"/>
  <c r="D34" i="142"/>
  <c r="D33" i="142"/>
  <c r="D32" i="142"/>
  <c r="D31" i="142"/>
  <c r="D30" i="142"/>
  <c r="D29" i="142"/>
  <c r="D28" i="142"/>
  <c r="D27" i="142"/>
  <c r="D26" i="142"/>
  <c r="D25" i="142"/>
  <c r="D24" i="142"/>
  <c r="D23" i="142"/>
  <c r="D22" i="142"/>
  <c r="D21" i="142"/>
  <c r="D20" i="142"/>
  <c r="D29" i="92" s="1"/>
  <c r="D19" i="142"/>
  <c r="D18" i="142"/>
  <c r="D17" i="142"/>
  <c r="D16" i="142"/>
  <c r="D15" i="142"/>
  <c r="D14" i="142"/>
  <c r="D13" i="142"/>
  <c r="D12" i="142"/>
  <c r="D11" i="142"/>
  <c r="D10" i="142"/>
  <c r="E8" i="91" s="1"/>
  <c r="D9" i="142"/>
  <c r="G10" i="90" s="1"/>
  <c r="D8" i="142"/>
  <c r="F10" i="90" s="1"/>
  <c r="D7" i="142"/>
  <c r="E10" i="90" s="1"/>
  <c r="D6" i="142"/>
  <c r="C10" i="90" s="1"/>
  <c r="F30" i="140"/>
  <c r="F29" i="140"/>
  <c r="G33" i="140"/>
  <c r="H32" i="140"/>
  <c r="G32" i="140"/>
  <c r="F1" i="140"/>
  <c r="H1" i="139" l="1"/>
  <c r="E1" i="136" l="1"/>
  <c r="F19" i="135"/>
  <c r="E19" i="135"/>
  <c r="D19" i="135"/>
  <c r="C19" i="135"/>
  <c r="F18" i="135"/>
  <c r="E18" i="135"/>
  <c r="D18" i="135"/>
  <c r="C18" i="135"/>
  <c r="F17" i="135"/>
  <c r="E17" i="135"/>
  <c r="D17" i="135"/>
  <c r="C17" i="135"/>
  <c r="F16" i="135"/>
  <c r="E16" i="135"/>
  <c r="D16" i="135"/>
  <c r="C16" i="135"/>
  <c r="F15" i="135"/>
  <c r="E15" i="135"/>
  <c r="D15" i="135"/>
  <c r="C15" i="135"/>
  <c r="F14" i="135"/>
  <c r="E14" i="135"/>
  <c r="D14" i="135"/>
  <c r="C14" i="135"/>
  <c r="F13" i="135"/>
  <c r="E13" i="135"/>
  <c r="D13" i="135"/>
  <c r="C13" i="135"/>
  <c r="F12" i="135"/>
  <c r="E12" i="135"/>
  <c r="D12" i="135"/>
  <c r="C12" i="135"/>
  <c r="F11" i="135"/>
  <c r="E11" i="135"/>
  <c r="D11" i="135"/>
  <c r="C11" i="135"/>
  <c r="F10" i="135"/>
  <c r="E10" i="135"/>
  <c r="D10" i="135"/>
  <c r="C10" i="135"/>
  <c r="F9" i="135"/>
  <c r="E9" i="135"/>
  <c r="D9" i="135"/>
  <c r="C9" i="135"/>
  <c r="F8" i="135"/>
  <c r="E8" i="135"/>
  <c r="D8" i="135"/>
  <c r="C8" i="135"/>
  <c r="F1" i="137"/>
  <c r="H2" i="141" l="1"/>
  <c r="H1" i="141"/>
  <c r="E3" i="105"/>
  <c r="F4" i="101"/>
  <c r="H3" i="100"/>
  <c r="J3" i="99"/>
  <c r="I4" i="98"/>
  <c r="K3" i="97"/>
  <c r="I5" i="96"/>
  <c r="F4" i="95"/>
  <c r="K2" i="94"/>
  <c r="K2" i="93"/>
  <c r="F3" i="92"/>
  <c r="L4" i="91"/>
  <c r="H4" i="90"/>
  <c r="G3" i="145"/>
  <c r="H3" i="144"/>
  <c r="H3" i="143"/>
  <c r="H3" i="142"/>
  <c r="H4" i="140"/>
  <c r="J4" i="139"/>
  <c r="M3" i="138"/>
  <c r="H4" i="137"/>
  <c r="G4" i="136"/>
  <c r="G4" i="135"/>
  <c r="J3" i="134"/>
  <c r="J4" i="141"/>
  <c r="D4" i="105"/>
  <c r="E4" i="104"/>
  <c r="E3" i="103"/>
  <c r="E5" i="101"/>
  <c r="F4" i="100"/>
  <c r="H4" i="99"/>
  <c r="H5" i="98"/>
  <c r="G6" i="96"/>
  <c r="E5" i="95"/>
  <c r="H3" i="94"/>
  <c r="H3" i="93"/>
  <c r="E4" i="92"/>
  <c r="K5" i="91"/>
  <c r="G5" i="90"/>
  <c r="F4" i="145"/>
  <c r="G4" i="144"/>
  <c r="G4" i="143"/>
  <c r="G4" i="142"/>
  <c r="G5" i="140"/>
  <c r="I5" i="139"/>
  <c r="K4" i="138"/>
  <c r="G5" i="137"/>
  <c r="F5" i="136"/>
  <c r="F5" i="135"/>
  <c r="I4" i="134"/>
  <c r="I5" i="141"/>
  <c r="D3" i="105"/>
  <c r="E3" i="104"/>
  <c r="E2" i="103"/>
  <c r="E4" i="101"/>
  <c r="F3" i="100"/>
  <c r="H3" i="99"/>
  <c r="H4" i="98"/>
  <c r="G3" i="97"/>
  <c r="G5" i="96"/>
  <c r="E4" i="95"/>
  <c r="H2" i="94"/>
  <c r="H2" i="93"/>
  <c r="E3" i="92"/>
  <c r="K4" i="91"/>
  <c r="G4" i="90"/>
  <c r="F3" i="145"/>
  <c r="G3" i="144"/>
  <c r="G3" i="143"/>
  <c r="G3" i="142"/>
  <c r="G4" i="140"/>
  <c r="I4" i="139"/>
  <c r="K3" i="138"/>
  <c r="G4" i="137"/>
  <c r="F4" i="136"/>
  <c r="F4" i="135"/>
  <c r="I3" i="134"/>
  <c r="I4" i="141"/>
  <c r="I18" i="141"/>
  <c r="I19" i="141" s="1"/>
  <c r="G18" i="141"/>
  <c r="G19" i="141" s="1"/>
  <c r="F18" i="141"/>
  <c r="F19" i="141" s="1"/>
  <c r="D18" i="141"/>
  <c r="D19" i="141" s="1"/>
  <c r="C18" i="141"/>
  <c r="F2" i="71"/>
  <c r="C7" i="7" l="1"/>
  <c r="C7" i="5"/>
  <c r="F1" i="71"/>
  <c r="E1" i="70"/>
  <c r="F1" i="69" l="1"/>
  <c r="I2" i="68"/>
  <c r="I1" i="68"/>
  <c r="D2" i="67"/>
  <c r="D1" i="67"/>
  <c r="D2" i="66"/>
  <c r="D1" i="66"/>
  <c r="D2" i="65"/>
  <c r="D1" i="65"/>
  <c r="H2" i="64"/>
  <c r="F2" i="63"/>
  <c r="H1" i="64"/>
  <c r="F1" i="63"/>
  <c r="E61" i="147" l="1"/>
  <c r="D61" i="147"/>
  <c r="F60" i="147"/>
  <c r="F59" i="147"/>
  <c r="F56" i="147"/>
  <c r="E57" i="147"/>
  <c r="F52" i="147"/>
  <c r="E53" i="147"/>
  <c r="F48" i="147"/>
  <c r="E49" i="147"/>
  <c r="F44" i="147"/>
  <c r="E45" i="147"/>
  <c r="F40" i="147"/>
  <c r="E41" i="147"/>
  <c r="F36" i="147"/>
  <c r="E37" i="147"/>
  <c r="F32" i="147"/>
  <c r="E33" i="147"/>
  <c r="F28" i="147"/>
  <c r="E29" i="147"/>
  <c r="F24" i="147"/>
  <c r="E25" i="147"/>
  <c r="F20" i="147"/>
  <c r="E21" i="147"/>
  <c r="F16" i="147"/>
  <c r="E17" i="147"/>
  <c r="F12" i="147"/>
  <c r="F8" i="147"/>
  <c r="E9" i="147"/>
  <c r="E36" i="145"/>
  <c r="E35" i="145"/>
  <c r="E34" i="145"/>
  <c r="E33" i="145"/>
  <c r="D32" i="145"/>
  <c r="D37" i="145" s="1"/>
  <c r="C32" i="145"/>
  <c r="C37" i="145" s="1"/>
  <c r="D38" i="145" s="1"/>
  <c r="E31" i="145"/>
  <c r="C28" i="7" s="1"/>
  <c r="E30" i="145"/>
  <c r="C27" i="7" s="1"/>
  <c r="E29" i="145"/>
  <c r="C26" i="7" s="1"/>
  <c r="E28" i="145"/>
  <c r="E27" i="145"/>
  <c r="E26" i="145"/>
  <c r="C23" i="7" s="1"/>
  <c r="E25" i="145"/>
  <c r="C22" i="7" s="1"/>
  <c r="E24" i="145"/>
  <c r="C21" i="7" s="1"/>
  <c r="E23" i="145"/>
  <c r="C20" i="7" s="1"/>
  <c r="E21" i="145"/>
  <c r="E20" i="145"/>
  <c r="E19" i="145"/>
  <c r="E18" i="145"/>
  <c r="E17" i="145"/>
  <c r="D16" i="145"/>
  <c r="D22" i="145" s="1"/>
  <c r="C39" i="145" s="1"/>
  <c r="C16" i="145"/>
  <c r="E15" i="145"/>
  <c r="C28" i="5" s="1"/>
  <c r="E14" i="145"/>
  <c r="C27" i="5" s="1"/>
  <c r="E13" i="145"/>
  <c r="C26" i="5" s="1"/>
  <c r="E12" i="145"/>
  <c r="C25" i="5" s="1"/>
  <c r="E11" i="145"/>
  <c r="C24" i="5" s="1"/>
  <c r="E10" i="145"/>
  <c r="C23" i="5" s="1"/>
  <c r="E9" i="145"/>
  <c r="C22" i="5" s="1"/>
  <c r="E8" i="145"/>
  <c r="C21" i="5" s="1"/>
  <c r="E7" i="145"/>
  <c r="C20" i="5" s="1"/>
  <c r="G27" i="144"/>
  <c r="F27" i="144"/>
  <c r="D29" i="144" s="1"/>
  <c r="H26" i="144"/>
  <c r="H25" i="144"/>
  <c r="H24" i="144"/>
  <c r="H23" i="144"/>
  <c r="H22" i="144"/>
  <c r="H21" i="144"/>
  <c r="H20" i="144"/>
  <c r="H19" i="144"/>
  <c r="H18" i="144"/>
  <c r="H17" i="144"/>
  <c r="H16" i="144"/>
  <c r="H15" i="144"/>
  <c r="H14" i="144"/>
  <c r="G30" i="10" s="1"/>
  <c r="H13" i="144"/>
  <c r="H12" i="144"/>
  <c r="H11" i="144"/>
  <c r="H10" i="144"/>
  <c r="G28" i="10" s="1"/>
  <c r="H9" i="144"/>
  <c r="G27" i="10" s="1"/>
  <c r="H8" i="144"/>
  <c r="H7" i="144"/>
  <c r="H6" i="144"/>
  <c r="G11" i="10" s="1"/>
  <c r="G45" i="143"/>
  <c r="H44" i="143"/>
  <c r="H41" i="143"/>
  <c r="E24" i="10" s="1"/>
  <c r="H40" i="143"/>
  <c r="E23" i="10" s="1"/>
  <c r="H39" i="143"/>
  <c r="E22" i="10" s="1"/>
  <c r="H38" i="143"/>
  <c r="E21" i="10" s="1"/>
  <c r="H37" i="143"/>
  <c r="E20" i="10" s="1"/>
  <c r="H36" i="143"/>
  <c r="E19" i="10" s="1"/>
  <c r="H35" i="143"/>
  <c r="E18" i="10" s="1"/>
  <c r="H34" i="143"/>
  <c r="E17" i="10" s="1"/>
  <c r="H33" i="143"/>
  <c r="E15" i="10" s="1"/>
  <c r="H32" i="143"/>
  <c r="E14" i="10" s="1"/>
  <c r="H31" i="143"/>
  <c r="E11" i="10" s="1"/>
  <c r="H30" i="143"/>
  <c r="E8" i="10" s="1"/>
  <c r="H29" i="143"/>
  <c r="E7" i="10" s="1"/>
  <c r="H28" i="143"/>
  <c r="H27" i="143"/>
  <c r="H26" i="143"/>
  <c r="H25" i="143"/>
  <c r="H24" i="143"/>
  <c r="H23" i="143"/>
  <c r="H22" i="143"/>
  <c r="H21" i="143"/>
  <c r="H20" i="143"/>
  <c r="H19" i="143"/>
  <c r="E13" i="10" s="1"/>
  <c r="H18" i="143"/>
  <c r="H17" i="143"/>
  <c r="C24" i="95" s="1"/>
  <c r="H16" i="143"/>
  <c r="H15" i="143"/>
  <c r="H14" i="143"/>
  <c r="H13" i="143"/>
  <c r="C27" i="95" s="1"/>
  <c r="H12" i="143"/>
  <c r="D18" i="98" s="1"/>
  <c r="H11" i="143"/>
  <c r="G9" i="91"/>
  <c r="J9" i="91" s="1"/>
  <c r="H9" i="143"/>
  <c r="H8" i="143"/>
  <c r="H6" i="143"/>
  <c r="G44" i="142"/>
  <c r="H43" i="142"/>
  <c r="H41" i="142"/>
  <c r="C24" i="10" s="1"/>
  <c r="H40" i="142"/>
  <c r="C23" i="10" s="1"/>
  <c r="H39" i="142"/>
  <c r="C22" i="10" s="1"/>
  <c r="H38" i="142"/>
  <c r="C21" i="10" s="1"/>
  <c r="H37" i="142"/>
  <c r="C20" i="10" s="1"/>
  <c r="H36" i="142"/>
  <c r="C19" i="10" s="1"/>
  <c r="H35" i="142"/>
  <c r="C18" i="10" s="1"/>
  <c r="H34" i="142"/>
  <c r="C17" i="10" s="1"/>
  <c r="H33" i="142"/>
  <c r="C15" i="10" s="1"/>
  <c r="H32" i="142"/>
  <c r="C14" i="10" s="1"/>
  <c r="H31" i="142"/>
  <c r="C11" i="10" s="1"/>
  <c r="H30" i="142"/>
  <c r="H29" i="142"/>
  <c r="C7" i="10" s="1"/>
  <c r="H28" i="142"/>
  <c r="H27" i="142"/>
  <c r="H26" i="142"/>
  <c r="H25" i="142"/>
  <c r="H24" i="142"/>
  <c r="H23" i="142"/>
  <c r="H22" i="142"/>
  <c r="H21" i="142"/>
  <c r="H20" i="142"/>
  <c r="H19" i="142"/>
  <c r="C13" i="10" s="1"/>
  <c r="H18" i="142"/>
  <c r="H17" i="142"/>
  <c r="E24" i="95" s="1"/>
  <c r="H16" i="142"/>
  <c r="H15" i="142"/>
  <c r="H14" i="142"/>
  <c r="H13" i="142"/>
  <c r="E27" i="95" s="1"/>
  <c r="H12" i="142"/>
  <c r="F18" i="98" s="1"/>
  <c r="H11" i="142"/>
  <c r="G8" i="91"/>
  <c r="H9" i="142"/>
  <c r="H17" i="141"/>
  <c r="J17" i="141" s="1"/>
  <c r="E17" i="141"/>
  <c r="H16" i="141"/>
  <c r="J16" i="141" s="1"/>
  <c r="E16" i="141"/>
  <c r="H15" i="141"/>
  <c r="J15" i="141" s="1"/>
  <c r="E15" i="141"/>
  <c r="H14" i="141"/>
  <c r="E14" i="141"/>
  <c r="E18" i="141" s="1"/>
  <c r="C18" i="5" s="1"/>
  <c r="H13" i="141"/>
  <c r="E13" i="141"/>
  <c r="C17" i="5" s="1"/>
  <c r="J12" i="141"/>
  <c r="C16" i="7" s="1"/>
  <c r="H12" i="141"/>
  <c r="E12" i="141"/>
  <c r="C16" i="5" s="1"/>
  <c r="H11" i="141"/>
  <c r="E11" i="141"/>
  <c r="C15" i="5" s="1"/>
  <c r="H10" i="141"/>
  <c r="J10" i="141" s="1"/>
  <c r="C14" i="7" s="1"/>
  <c r="E10" i="141"/>
  <c r="C14" i="5" s="1"/>
  <c r="H9" i="141"/>
  <c r="J9" i="141" s="1"/>
  <c r="C13" i="7" s="1"/>
  <c r="G56" i="140"/>
  <c r="F56" i="140" s="1"/>
  <c r="G55" i="140"/>
  <c r="F55" i="140" s="1"/>
  <c r="G54" i="140"/>
  <c r="G53" i="140"/>
  <c r="F53" i="140" s="1"/>
  <c r="G52" i="140"/>
  <c r="F52" i="140" s="1"/>
  <c r="E51" i="140"/>
  <c r="C16" i="140" s="1"/>
  <c r="C51" i="140"/>
  <c r="G50" i="140"/>
  <c r="F50" i="140" s="1"/>
  <c r="G49" i="140"/>
  <c r="F49" i="140" s="1"/>
  <c r="G48" i="140"/>
  <c r="F48" i="140" s="1"/>
  <c r="G47" i="140"/>
  <c r="F47" i="140" s="1"/>
  <c r="G46" i="140"/>
  <c r="F46" i="140" s="1"/>
  <c r="G45" i="140"/>
  <c r="F45" i="140" s="1"/>
  <c r="G44" i="140"/>
  <c r="F44" i="140" s="1"/>
  <c r="G43" i="140"/>
  <c r="F43" i="140" s="1"/>
  <c r="G42" i="140"/>
  <c r="F42" i="140" s="1"/>
  <c r="G41" i="140"/>
  <c r="F41" i="140" s="1"/>
  <c r="G40" i="140"/>
  <c r="F40" i="140" s="1"/>
  <c r="G39" i="140"/>
  <c r="F39" i="140" s="1"/>
  <c r="G38" i="140"/>
  <c r="E37" i="140"/>
  <c r="C37" i="140"/>
  <c r="G25" i="140"/>
  <c r="F24" i="140"/>
  <c r="F23" i="140"/>
  <c r="F21" i="140"/>
  <c r="F20" i="140"/>
  <c r="C19" i="140"/>
  <c r="F18" i="140"/>
  <c r="E25" i="140"/>
  <c r="F14" i="140"/>
  <c r="F13" i="140"/>
  <c r="F9" i="140"/>
  <c r="F8" i="140"/>
  <c r="E13" i="147" s="1"/>
  <c r="G20" i="139"/>
  <c r="C21" i="139" s="1"/>
  <c r="H19" i="139"/>
  <c r="H20" i="138"/>
  <c r="G20" i="138"/>
  <c r="E20" i="138"/>
  <c r="F19" i="138"/>
  <c r="F18" i="138"/>
  <c r="F17" i="138"/>
  <c r="F16" i="138"/>
  <c r="F15" i="138"/>
  <c r="F14" i="138"/>
  <c r="F13" i="138"/>
  <c r="F12" i="138"/>
  <c r="F11" i="138"/>
  <c r="F10" i="138"/>
  <c r="F9" i="138"/>
  <c r="B9" i="138"/>
  <c r="K9" i="138" s="1"/>
  <c r="K8" i="138"/>
  <c r="L8" i="138" s="1"/>
  <c r="C9" i="138" s="1"/>
  <c r="F8" i="138"/>
  <c r="C8" i="138"/>
  <c r="E14" i="137"/>
  <c r="E19" i="137" s="1"/>
  <c r="E25" i="137" s="1"/>
  <c r="E40" i="137" s="1"/>
  <c r="D14" i="137"/>
  <c r="D19" i="137" s="1"/>
  <c r="D25" i="137" s="1"/>
  <c r="D40" i="137" s="1"/>
  <c r="E40" i="136"/>
  <c r="G40" i="136" s="1"/>
  <c r="E39" i="136"/>
  <c r="G39" i="136" s="1"/>
  <c r="E38" i="136"/>
  <c r="E37" i="136"/>
  <c r="G37" i="136" s="1"/>
  <c r="E36" i="136"/>
  <c r="G36" i="136" s="1"/>
  <c r="E35" i="136"/>
  <c r="G35" i="136" s="1"/>
  <c r="E34" i="136"/>
  <c r="G34" i="136" s="1"/>
  <c r="E33" i="136"/>
  <c r="G33" i="136" s="1"/>
  <c r="E32" i="136"/>
  <c r="G32" i="136" s="1"/>
  <c r="E31" i="136"/>
  <c r="G31" i="136" s="1"/>
  <c r="E30" i="136"/>
  <c r="G30" i="136" s="1"/>
  <c r="E29" i="136"/>
  <c r="G29" i="136" s="1"/>
  <c r="G28" i="136"/>
  <c r="E28" i="136"/>
  <c r="E27" i="136"/>
  <c r="G27" i="136" s="1"/>
  <c r="E26" i="136"/>
  <c r="G26" i="136" s="1"/>
  <c r="G10" i="91"/>
  <c r="J10" i="91" s="1"/>
  <c r="E25" i="136"/>
  <c r="E24" i="136"/>
  <c r="E23" i="136"/>
  <c r="E22" i="136"/>
  <c r="G22" i="136" s="1"/>
  <c r="D21" i="136"/>
  <c r="C21" i="136"/>
  <c r="B21" i="136"/>
  <c r="E20" i="136"/>
  <c r="G20" i="136" s="1"/>
  <c r="E19" i="136"/>
  <c r="G19" i="136" s="1"/>
  <c r="E18" i="136"/>
  <c r="G18" i="136" s="1"/>
  <c r="E17" i="136"/>
  <c r="G17" i="136" s="1"/>
  <c r="E16" i="136"/>
  <c r="G16" i="136" s="1"/>
  <c r="E15" i="136"/>
  <c r="G15" i="136" s="1"/>
  <c r="E14" i="136"/>
  <c r="G14" i="136" s="1"/>
  <c r="F13" i="136"/>
  <c r="D13" i="136"/>
  <c r="C13" i="136"/>
  <c r="B13" i="136"/>
  <c r="E12" i="136"/>
  <c r="G12" i="136" s="1"/>
  <c r="E11" i="136"/>
  <c r="G11" i="136" s="1"/>
  <c r="E10" i="136"/>
  <c r="G10" i="136" s="1"/>
  <c r="F9" i="136"/>
  <c r="D9" i="136"/>
  <c r="C9" i="136"/>
  <c r="B9" i="136"/>
  <c r="F34" i="135"/>
  <c r="E34" i="135"/>
  <c r="D34" i="135"/>
  <c r="C34" i="135"/>
  <c r="I13" i="134"/>
  <c r="F13" i="134"/>
  <c r="D13" i="134"/>
  <c r="J12" i="134"/>
  <c r="H12" i="134"/>
  <c r="J11" i="134"/>
  <c r="H11" i="134"/>
  <c r="C9" i="141"/>
  <c r="C19" i="141" s="1"/>
  <c r="J9" i="134"/>
  <c r="H9" i="134"/>
  <c r="J8" i="134"/>
  <c r="G16" i="133"/>
  <c r="G15" i="133"/>
  <c r="G14" i="133"/>
  <c r="G13" i="133"/>
  <c r="F12" i="133"/>
  <c r="E12" i="133"/>
  <c r="D12" i="133"/>
  <c r="C12" i="133"/>
  <c r="G11" i="133"/>
  <c r="G10" i="133"/>
  <c r="G9" i="133"/>
  <c r="F8" i="133"/>
  <c r="E8" i="133"/>
  <c r="D8" i="133"/>
  <c r="C8" i="133"/>
  <c r="F22" i="132"/>
  <c r="E22" i="132"/>
  <c r="D22" i="132"/>
  <c r="C22" i="132"/>
  <c r="H21" i="132"/>
  <c r="H20" i="132"/>
  <c r="H19" i="132"/>
  <c r="H18" i="132"/>
  <c r="H17" i="132"/>
  <c r="H16" i="132"/>
  <c r="H15" i="132"/>
  <c r="H14" i="132"/>
  <c r="H13" i="132"/>
  <c r="H12" i="132"/>
  <c r="H11" i="132"/>
  <c r="H9" i="132"/>
  <c r="H8" i="132"/>
  <c r="H7" i="132"/>
  <c r="H6" i="132"/>
  <c r="C8" i="130"/>
  <c r="M15" i="129"/>
  <c r="L15" i="129"/>
  <c r="K15" i="129"/>
  <c r="J15" i="129"/>
  <c r="I15" i="129"/>
  <c r="G15" i="129"/>
  <c r="F15" i="129"/>
  <c r="E15" i="129"/>
  <c r="D15" i="129"/>
  <c r="C15" i="129"/>
  <c r="R14" i="129"/>
  <c r="Q14" i="129"/>
  <c r="P14" i="129"/>
  <c r="O14" i="129"/>
  <c r="N14" i="129"/>
  <c r="H14" i="129"/>
  <c r="R13" i="129"/>
  <c r="Q13" i="129"/>
  <c r="P13" i="129"/>
  <c r="O13" i="129"/>
  <c r="N13" i="129"/>
  <c r="H13" i="129"/>
  <c r="R12" i="129"/>
  <c r="Q12" i="129"/>
  <c r="P12" i="129"/>
  <c r="O12" i="129"/>
  <c r="N12" i="129"/>
  <c r="H12" i="129"/>
  <c r="R11" i="129"/>
  <c r="Q11" i="129"/>
  <c r="P11" i="129"/>
  <c r="O11" i="129"/>
  <c r="N11" i="129"/>
  <c r="H11" i="129"/>
  <c r="R10" i="129"/>
  <c r="Q10" i="129"/>
  <c r="P10" i="129"/>
  <c r="O10" i="129"/>
  <c r="N10" i="129"/>
  <c r="H10" i="129"/>
  <c r="R9" i="129"/>
  <c r="Q9" i="129"/>
  <c r="P9" i="129"/>
  <c r="O9" i="129"/>
  <c r="N9" i="129"/>
  <c r="H9" i="129"/>
  <c r="R8" i="129"/>
  <c r="Q8" i="129"/>
  <c r="P8" i="129"/>
  <c r="O8" i="129"/>
  <c r="N8" i="129"/>
  <c r="H8" i="129"/>
  <c r="R7" i="129"/>
  <c r="Q7" i="129"/>
  <c r="P7" i="129"/>
  <c r="O7" i="129"/>
  <c r="N7" i="129"/>
  <c r="H7" i="129"/>
  <c r="R6" i="129"/>
  <c r="Q6" i="129"/>
  <c r="P6" i="129"/>
  <c r="O6" i="129"/>
  <c r="N6" i="129"/>
  <c r="H6" i="129"/>
  <c r="S18" i="128"/>
  <c r="R18" i="128"/>
  <c r="Q18" i="128"/>
  <c r="P18" i="128"/>
  <c r="O18" i="128"/>
  <c r="N18" i="128"/>
  <c r="M18" i="128"/>
  <c r="K18" i="128"/>
  <c r="J18" i="128"/>
  <c r="I18" i="128"/>
  <c r="H18" i="128"/>
  <c r="G18" i="128"/>
  <c r="E18" i="128"/>
  <c r="D18" i="128"/>
  <c r="C18" i="128"/>
  <c r="T17" i="128"/>
  <c r="L17" i="128"/>
  <c r="F17" i="128"/>
  <c r="B17" i="128"/>
  <c r="B21" i="36" s="1"/>
  <c r="T16" i="128"/>
  <c r="L16" i="128"/>
  <c r="F16" i="128"/>
  <c r="B16" i="128"/>
  <c r="B20" i="36" s="1"/>
  <c r="T15" i="128"/>
  <c r="L15" i="128"/>
  <c r="F15" i="128"/>
  <c r="B15" i="128"/>
  <c r="B19" i="36" s="1"/>
  <c r="T14" i="128"/>
  <c r="L14" i="128"/>
  <c r="F14" i="128"/>
  <c r="B14" i="128"/>
  <c r="B18" i="36" s="1"/>
  <c r="T13" i="128"/>
  <c r="L13" i="128"/>
  <c r="F13" i="128"/>
  <c r="B13" i="128"/>
  <c r="B17" i="36" s="1"/>
  <c r="T12" i="128"/>
  <c r="L12" i="128"/>
  <c r="F12" i="128"/>
  <c r="B12" i="128"/>
  <c r="B16" i="36" s="1"/>
  <c r="T11" i="128"/>
  <c r="L11" i="128"/>
  <c r="F11" i="128"/>
  <c r="B11" i="128"/>
  <c r="B15" i="36" s="1"/>
  <c r="T10" i="128"/>
  <c r="L10" i="128"/>
  <c r="F10" i="128"/>
  <c r="B10" i="128"/>
  <c r="B14" i="36" s="1"/>
  <c r="T9" i="128"/>
  <c r="T18" i="128" s="1"/>
  <c r="L9" i="128"/>
  <c r="L18" i="128" s="1"/>
  <c r="F9" i="128"/>
  <c r="F18" i="128" s="1"/>
  <c r="B9" i="128"/>
  <c r="B13" i="36" s="1"/>
  <c r="R15" i="127"/>
  <c r="Q15" i="127"/>
  <c r="P15" i="127"/>
  <c r="M15" i="127"/>
  <c r="L15" i="127"/>
  <c r="K15" i="127"/>
  <c r="I15" i="127"/>
  <c r="H15" i="127"/>
  <c r="G15" i="127"/>
  <c r="F15" i="127"/>
  <c r="E15" i="127"/>
  <c r="D15" i="127"/>
  <c r="C15" i="127"/>
  <c r="N14" i="127"/>
  <c r="K14" i="126" s="1"/>
  <c r="J14" i="127"/>
  <c r="O14" i="127" s="1"/>
  <c r="N13" i="127"/>
  <c r="K13" i="126" s="1"/>
  <c r="J13" i="127"/>
  <c r="O13" i="127" s="1"/>
  <c r="N12" i="127"/>
  <c r="K12" i="126" s="1"/>
  <c r="J12" i="127"/>
  <c r="O12" i="127" s="1"/>
  <c r="N11" i="127"/>
  <c r="K11" i="126" s="1"/>
  <c r="J11" i="127"/>
  <c r="O11" i="127" s="1"/>
  <c r="N10" i="127"/>
  <c r="K10" i="126" s="1"/>
  <c r="J10" i="127"/>
  <c r="O10" i="127" s="1"/>
  <c r="N9" i="127"/>
  <c r="K9" i="126" s="1"/>
  <c r="J9" i="127"/>
  <c r="O9" i="127" s="1"/>
  <c r="N8" i="127"/>
  <c r="K8" i="126" s="1"/>
  <c r="J8" i="127"/>
  <c r="O8" i="127" s="1"/>
  <c r="N7" i="127"/>
  <c r="K7" i="126" s="1"/>
  <c r="J7" i="127"/>
  <c r="O7" i="127" s="1"/>
  <c r="N6" i="127"/>
  <c r="K6" i="126" s="1"/>
  <c r="J6" i="127"/>
  <c r="O6" i="127" s="1"/>
  <c r="R15" i="126"/>
  <c r="Q15" i="126"/>
  <c r="P15" i="126"/>
  <c r="S14" i="126"/>
  <c r="E14" i="126"/>
  <c r="E21" i="34" s="1"/>
  <c r="B14" i="126"/>
  <c r="B21" i="34" s="1"/>
  <c r="S13" i="126"/>
  <c r="E13" i="126"/>
  <c r="E20" i="34" s="1"/>
  <c r="B13" i="126"/>
  <c r="B20" i="34" s="1"/>
  <c r="S12" i="126"/>
  <c r="E12" i="126"/>
  <c r="E19" i="34" s="1"/>
  <c r="B12" i="126"/>
  <c r="B19" i="34" s="1"/>
  <c r="S11" i="126"/>
  <c r="E11" i="126"/>
  <c r="E18" i="34" s="1"/>
  <c r="B11" i="126"/>
  <c r="B18" i="34" s="1"/>
  <c r="S10" i="126"/>
  <c r="E10" i="126"/>
  <c r="E17" i="34" s="1"/>
  <c r="B10" i="126"/>
  <c r="B17" i="34" s="1"/>
  <c r="S9" i="126"/>
  <c r="E9" i="126"/>
  <c r="E16" i="34" s="1"/>
  <c r="B9" i="126"/>
  <c r="B16" i="34" s="1"/>
  <c r="S8" i="126"/>
  <c r="M8" i="126"/>
  <c r="E8" i="126"/>
  <c r="E15" i="34" s="1"/>
  <c r="B8" i="126"/>
  <c r="B15" i="34" s="1"/>
  <c r="S7" i="126"/>
  <c r="E7" i="126"/>
  <c r="E14" i="34" s="1"/>
  <c r="B7" i="126"/>
  <c r="B14" i="34" s="1"/>
  <c r="S6" i="126"/>
  <c r="E6" i="126"/>
  <c r="E13" i="34" s="1"/>
  <c r="B6" i="126"/>
  <c r="B13" i="34" s="1"/>
  <c r="F11" i="125"/>
  <c r="L10" i="125"/>
  <c r="F10" i="125"/>
  <c r="L9" i="125"/>
  <c r="F9" i="125"/>
  <c r="L8" i="125"/>
  <c r="F8" i="125"/>
  <c r="L7" i="125"/>
  <c r="F7" i="125"/>
  <c r="L6" i="125"/>
  <c r="F6" i="125"/>
  <c r="M13" i="108"/>
  <c r="M14" i="15" s="1"/>
  <c r="L13" i="108"/>
  <c r="L14" i="15" s="1"/>
  <c r="F13" i="108"/>
  <c r="F14" i="15" s="1"/>
  <c r="E13" i="108"/>
  <c r="E14" i="15" s="1"/>
  <c r="D13" i="108"/>
  <c r="D14" i="15" s="1"/>
  <c r="N12" i="108"/>
  <c r="N11" i="108"/>
  <c r="N10" i="108"/>
  <c r="N9" i="108"/>
  <c r="N8" i="108"/>
  <c r="N7" i="108"/>
  <c r="I15" i="107"/>
  <c r="H15" i="107"/>
  <c r="G15" i="107"/>
  <c r="F15" i="107"/>
  <c r="D15" i="107"/>
  <c r="C15" i="107"/>
  <c r="K14" i="107"/>
  <c r="J14" i="107"/>
  <c r="E14" i="107"/>
  <c r="K13" i="107"/>
  <c r="J13" i="107"/>
  <c r="E13" i="107"/>
  <c r="K12" i="107"/>
  <c r="J12" i="107"/>
  <c r="E12" i="107"/>
  <c r="K11" i="107"/>
  <c r="L11" i="107" s="1"/>
  <c r="J11" i="107"/>
  <c r="E11" i="107"/>
  <c r="K10" i="107"/>
  <c r="J10" i="107"/>
  <c r="E10" i="107"/>
  <c r="K9" i="107"/>
  <c r="J9" i="107"/>
  <c r="E9" i="107"/>
  <c r="K8" i="107"/>
  <c r="J8" i="107"/>
  <c r="E8" i="107"/>
  <c r="K7" i="107"/>
  <c r="J7" i="107"/>
  <c r="E7" i="107"/>
  <c r="K6" i="107"/>
  <c r="J6" i="107"/>
  <c r="E6" i="107"/>
  <c r="H18" i="106"/>
  <c r="H17" i="106"/>
  <c r="H16" i="106"/>
  <c r="H15" i="106"/>
  <c r="G14" i="106"/>
  <c r="F14" i="106"/>
  <c r="E14" i="106"/>
  <c r="D14" i="106"/>
  <c r="H14" i="106" s="1"/>
  <c r="C14" i="106"/>
  <c r="H13" i="106"/>
  <c r="H12" i="106"/>
  <c r="H11" i="106"/>
  <c r="G10" i="106"/>
  <c r="F10" i="106"/>
  <c r="E10" i="106"/>
  <c r="D10" i="106"/>
  <c r="H10" i="106" s="1"/>
  <c r="C10" i="106"/>
  <c r="H9" i="106"/>
  <c r="H8" i="106"/>
  <c r="H7" i="106"/>
  <c r="G6" i="106"/>
  <c r="F6" i="106"/>
  <c r="F19" i="106" s="1"/>
  <c r="E6" i="106"/>
  <c r="E19" i="106" s="1"/>
  <c r="D6" i="106"/>
  <c r="D19" i="106" s="1"/>
  <c r="C6" i="106"/>
  <c r="D36" i="105"/>
  <c r="D35" i="105"/>
  <c r="C33" i="105"/>
  <c r="C30" i="12" s="1"/>
  <c r="D32" i="105"/>
  <c r="D31" i="105"/>
  <c r="C29" i="105"/>
  <c r="D27" i="105"/>
  <c r="D26" i="105"/>
  <c r="D25" i="105"/>
  <c r="D24" i="105"/>
  <c r="D23" i="105"/>
  <c r="D22" i="105"/>
  <c r="D21" i="105"/>
  <c r="D20" i="105"/>
  <c r="D19" i="105"/>
  <c r="C18" i="105"/>
  <c r="D17" i="105"/>
  <c r="D16" i="105"/>
  <c r="D15" i="105"/>
  <c r="D14" i="105"/>
  <c r="D13" i="105"/>
  <c r="D12" i="105"/>
  <c r="D11" i="105"/>
  <c r="D10" i="105"/>
  <c r="D9" i="105"/>
  <c r="C8" i="105"/>
  <c r="F17" i="104"/>
  <c r="D17" i="104"/>
  <c r="D18" i="100"/>
  <c r="D28" i="100" s="1"/>
  <c r="D17" i="100"/>
  <c r="D16" i="100"/>
  <c r="D14" i="100"/>
  <c r="D13" i="100"/>
  <c r="D12" i="100"/>
  <c r="D11" i="100"/>
  <c r="D9" i="100"/>
  <c r="D8" i="100"/>
  <c r="I18" i="99"/>
  <c r="G37" i="153" s="1"/>
  <c r="D22" i="11" s="1"/>
  <c r="H18" i="99"/>
  <c r="F37" i="153" s="1"/>
  <c r="C22" i="11" s="1"/>
  <c r="D18" i="99"/>
  <c r="J17" i="99"/>
  <c r="J16" i="99"/>
  <c r="J15" i="99"/>
  <c r="J14" i="99"/>
  <c r="J13" i="99"/>
  <c r="J12" i="99"/>
  <c r="J11" i="99"/>
  <c r="J10" i="99"/>
  <c r="J9" i="99"/>
  <c r="J8" i="99"/>
  <c r="I16" i="98"/>
  <c r="C11" i="18" s="1"/>
  <c r="D16" i="98"/>
  <c r="C6" i="18" s="1"/>
  <c r="F32" i="153" s="1"/>
  <c r="C16" i="98"/>
  <c r="J15" i="98"/>
  <c r="J14" i="98"/>
  <c r="J13" i="98"/>
  <c r="J12" i="98"/>
  <c r="J11" i="98"/>
  <c r="J10" i="98"/>
  <c r="J9" i="98"/>
  <c r="J8" i="98"/>
  <c r="J34" i="97"/>
  <c r="D41" i="97" s="1"/>
  <c r="G23" i="97"/>
  <c r="J20" i="97"/>
  <c r="E20" i="97"/>
  <c r="J19" i="97"/>
  <c r="G19" i="97" s="1"/>
  <c r="J18" i="97"/>
  <c r="G18" i="97" s="1"/>
  <c r="J17" i="97"/>
  <c r="G17" i="97" s="1"/>
  <c r="J16" i="97"/>
  <c r="J15" i="97" s="1"/>
  <c r="J37" i="96"/>
  <c r="H37" i="96"/>
  <c r="F37" i="96"/>
  <c r="D16" i="95" s="1"/>
  <c r="C16" i="16" s="1"/>
  <c r="D16" i="16" s="1"/>
  <c r="D37" i="96"/>
  <c r="B37" i="96"/>
  <c r="J22" i="96"/>
  <c r="H22" i="96"/>
  <c r="F22" i="96"/>
  <c r="E17" i="95" s="1"/>
  <c r="G14" i="16" s="1"/>
  <c r="D22" i="96"/>
  <c r="B22" i="96"/>
  <c r="F19" i="95"/>
  <c r="F18" i="95"/>
  <c r="D15" i="95"/>
  <c r="C15" i="16" s="1"/>
  <c r="D15" i="16" s="1"/>
  <c r="O29" i="94"/>
  <c r="K29" i="94"/>
  <c r="F49" i="19" s="1"/>
  <c r="E29" i="94"/>
  <c r="G49" i="19" s="1"/>
  <c r="O28" i="94"/>
  <c r="K28" i="94"/>
  <c r="F48" i="19" s="1"/>
  <c r="E28" i="94"/>
  <c r="G48" i="19" s="1"/>
  <c r="N27" i="94"/>
  <c r="M27" i="94"/>
  <c r="J27" i="94"/>
  <c r="I27" i="94"/>
  <c r="G27" i="94"/>
  <c r="F27" i="94"/>
  <c r="D27" i="94"/>
  <c r="C27" i="94"/>
  <c r="O26" i="94"/>
  <c r="K26" i="94"/>
  <c r="F41" i="19" s="1"/>
  <c r="E26" i="94"/>
  <c r="G41" i="19" s="1"/>
  <c r="O23" i="94"/>
  <c r="K23" i="94"/>
  <c r="F38" i="19" s="1"/>
  <c r="E23" i="94"/>
  <c r="G38" i="19" s="1"/>
  <c r="O22" i="94"/>
  <c r="K22" i="94"/>
  <c r="F37" i="19" s="1"/>
  <c r="E22" i="94"/>
  <c r="G37" i="19" s="1"/>
  <c r="O21" i="94"/>
  <c r="K21" i="94"/>
  <c r="F36" i="19" s="1"/>
  <c r="E21" i="94"/>
  <c r="G36" i="19" s="1"/>
  <c r="O20" i="94"/>
  <c r="K20" i="94"/>
  <c r="F35" i="19" s="1"/>
  <c r="E20" i="94"/>
  <c r="G35" i="19" s="1"/>
  <c r="O19" i="94"/>
  <c r="K19" i="94"/>
  <c r="F34" i="19" s="1"/>
  <c r="E19" i="94"/>
  <c r="G34" i="19" s="1"/>
  <c r="O18" i="94"/>
  <c r="K18" i="94"/>
  <c r="E18" i="94"/>
  <c r="O16" i="94"/>
  <c r="K16" i="94"/>
  <c r="E16" i="94"/>
  <c r="O15" i="94"/>
  <c r="K15" i="94"/>
  <c r="E15" i="94"/>
  <c r="O14" i="94"/>
  <c r="K14" i="94"/>
  <c r="E14" i="94"/>
  <c r="O13" i="94"/>
  <c r="K13" i="94"/>
  <c r="E13" i="94"/>
  <c r="E12" i="94" s="1"/>
  <c r="G47" i="19" s="1"/>
  <c r="N12" i="94"/>
  <c r="K47" i="19" s="1"/>
  <c r="M12" i="94"/>
  <c r="J12" i="94"/>
  <c r="I12" i="94"/>
  <c r="G12" i="94"/>
  <c r="G7" i="94" s="1"/>
  <c r="F12" i="94"/>
  <c r="F7" i="94" s="1"/>
  <c r="D12" i="94"/>
  <c r="D7" i="94" s="1"/>
  <c r="C12" i="94"/>
  <c r="O11" i="94"/>
  <c r="K11" i="94"/>
  <c r="F46" i="19" s="1"/>
  <c r="E11" i="94"/>
  <c r="G46" i="19" s="1"/>
  <c r="O10" i="94"/>
  <c r="K10" i="94"/>
  <c r="F45" i="19" s="1"/>
  <c r="E10" i="94"/>
  <c r="G45" i="19" s="1"/>
  <c r="O9" i="94"/>
  <c r="K9" i="94"/>
  <c r="F44" i="19" s="1"/>
  <c r="E9" i="94"/>
  <c r="G44" i="19" s="1"/>
  <c r="O8" i="94"/>
  <c r="K8" i="94"/>
  <c r="F43" i="19" s="1"/>
  <c r="E8" i="94"/>
  <c r="G43" i="19" s="1"/>
  <c r="N7" i="94"/>
  <c r="J7" i="94"/>
  <c r="J1004" i="93"/>
  <c r="I1004" i="93"/>
  <c r="F1004" i="93"/>
  <c r="J1003" i="93"/>
  <c r="I1003" i="93"/>
  <c r="F1003" i="93"/>
  <c r="J1002" i="93"/>
  <c r="I1002" i="93"/>
  <c r="F1002" i="93"/>
  <c r="J1001" i="93"/>
  <c r="I1001" i="93"/>
  <c r="F1001" i="93"/>
  <c r="J1000" i="93"/>
  <c r="I1000" i="93"/>
  <c r="F1000" i="93"/>
  <c r="J999" i="93"/>
  <c r="I999" i="93"/>
  <c r="F999" i="93"/>
  <c r="J998" i="93"/>
  <c r="I998" i="93"/>
  <c r="F998" i="93"/>
  <c r="J997" i="93"/>
  <c r="I997" i="93"/>
  <c r="F997" i="93"/>
  <c r="J996" i="93"/>
  <c r="I996" i="93"/>
  <c r="F996" i="93"/>
  <c r="J995" i="93"/>
  <c r="I995" i="93"/>
  <c r="F995" i="93"/>
  <c r="J994" i="93"/>
  <c r="I994" i="93"/>
  <c r="F994" i="93"/>
  <c r="J993" i="93"/>
  <c r="I993" i="93"/>
  <c r="F993" i="93"/>
  <c r="J992" i="93"/>
  <c r="I992" i="93"/>
  <c r="F992" i="93"/>
  <c r="J991" i="93"/>
  <c r="I991" i="93"/>
  <c r="F991" i="93"/>
  <c r="J990" i="93"/>
  <c r="I990" i="93"/>
  <c r="K990" i="93" s="1"/>
  <c r="N990" i="93" s="1"/>
  <c r="O990" i="93" s="1"/>
  <c r="F990" i="93"/>
  <c r="J989" i="93"/>
  <c r="I989" i="93"/>
  <c r="F989" i="93"/>
  <c r="J988" i="93"/>
  <c r="I988" i="93"/>
  <c r="K988" i="93" s="1"/>
  <c r="N988" i="93" s="1"/>
  <c r="O988" i="93" s="1"/>
  <c r="F988" i="93"/>
  <c r="J987" i="93"/>
  <c r="I987" i="93"/>
  <c r="F987" i="93"/>
  <c r="J986" i="93"/>
  <c r="I986" i="93"/>
  <c r="K986" i="93" s="1"/>
  <c r="N986" i="93" s="1"/>
  <c r="O986" i="93" s="1"/>
  <c r="F986" i="93"/>
  <c r="J985" i="93"/>
  <c r="I985" i="93"/>
  <c r="F985" i="93"/>
  <c r="J984" i="93"/>
  <c r="I984" i="93"/>
  <c r="K984" i="93" s="1"/>
  <c r="N984" i="93" s="1"/>
  <c r="O984" i="93" s="1"/>
  <c r="F984" i="93"/>
  <c r="J983" i="93"/>
  <c r="I983" i="93"/>
  <c r="F983" i="93"/>
  <c r="J982" i="93"/>
  <c r="I982" i="93"/>
  <c r="F982" i="93"/>
  <c r="J981" i="93"/>
  <c r="I981" i="93"/>
  <c r="F981" i="93"/>
  <c r="J980" i="93"/>
  <c r="I980" i="93"/>
  <c r="F980" i="93"/>
  <c r="J979" i="93"/>
  <c r="I979" i="93"/>
  <c r="F979" i="93"/>
  <c r="K979" i="93" s="1"/>
  <c r="N979" i="93" s="1"/>
  <c r="O979" i="93" s="1"/>
  <c r="J978" i="93"/>
  <c r="I978" i="93"/>
  <c r="F978" i="93"/>
  <c r="J977" i="93"/>
  <c r="I977" i="93"/>
  <c r="F977" i="93"/>
  <c r="K977" i="93" s="1"/>
  <c r="N977" i="93" s="1"/>
  <c r="O977" i="93" s="1"/>
  <c r="J976" i="93"/>
  <c r="I976" i="93"/>
  <c r="F976" i="93"/>
  <c r="J975" i="93"/>
  <c r="I975" i="93"/>
  <c r="F975" i="93"/>
  <c r="J974" i="93"/>
  <c r="I974" i="93"/>
  <c r="F974" i="93"/>
  <c r="J973" i="93"/>
  <c r="I973" i="93"/>
  <c r="F973" i="93"/>
  <c r="J972" i="93"/>
  <c r="I972" i="93"/>
  <c r="F972" i="93"/>
  <c r="J971" i="93"/>
  <c r="I971" i="93"/>
  <c r="F971" i="93"/>
  <c r="J970" i="93"/>
  <c r="I970" i="93"/>
  <c r="F970" i="93"/>
  <c r="J969" i="93"/>
  <c r="I969" i="93"/>
  <c r="F969" i="93"/>
  <c r="J968" i="93"/>
  <c r="I968" i="93"/>
  <c r="F968" i="93"/>
  <c r="J967" i="93"/>
  <c r="I967" i="93"/>
  <c r="F967" i="93"/>
  <c r="J966" i="93"/>
  <c r="I966" i="93"/>
  <c r="F966" i="93"/>
  <c r="J965" i="93"/>
  <c r="I965" i="93"/>
  <c r="F965" i="93"/>
  <c r="J964" i="93"/>
  <c r="I964" i="93"/>
  <c r="F964" i="93"/>
  <c r="J963" i="93"/>
  <c r="I963" i="93"/>
  <c r="F963" i="93"/>
  <c r="J962" i="93"/>
  <c r="I962" i="93"/>
  <c r="F962" i="93"/>
  <c r="J961" i="93"/>
  <c r="I961" i="93"/>
  <c r="F961" i="93"/>
  <c r="J960" i="93"/>
  <c r="I960" i="93"/>
  <c r="F960" i="93"/>
  <c r="J959" i="93"/>
  <c r="I959" i="93"/>
  <c r="F959" i="93"/>
  <c r="J958" i="93"/>
  <c r="I958" i="93"/>
  <c r="F958" i="93"/>
  <c r="J957" i="93"/>
  <c r="I957" i="93"/>
  <c r="F957" i="93"/>
  <c r="J956" i="93"/>
  <c r="I956" i="93"/>
  <c r="K956" i="93" s="1"/>
  <c r="N956" i="93" s="1"/>
  <c r="O956" i="93" s="1"/>
  <c r="F956" i="93"/>
  <c r="J955" i="93"/>
  <c r="I955" i="93"/>
  <c r="F955" i="93"/>
  <c r="J954" i="93"/>
  <c r="I954" i="93"/>
  <c r="K954" i="93" s="1"/>
  <c r="N954" i="93" s="1"/>
  <c r="O954" i="93" s="1"/>
  <c r="F954" i="93"/>
  <c r="J953" i="93"/>
  <c r="I953" i="93"/>
  <c r="F953" i="93"/>
  <c r="J952" i="93"/>
  <c r="I952" i="93"/>
  <c r="K952" i="93" s="1"/>
  <c r="N952" i="93" s="1"/>
  <c r="O952" i="93" s="1"/>
  <c r="F952" i="93"/>
  <c r="J951" i="93"/>
  <c r="I951" i="93"/>
  <c r="F951" i="93"/>
  <c r="J950" i="93"/>
  <c r="I950" i="93"/>
  <c r="F950" i="93"/>
  <c r="J949" i="93"/>
  <c r="I949" i="93"/>
  <c r="F949" i="93"/>
  <c r="J948" i="93"/>
  <c r="I948" i="93"/>
  <c r="F948" i="93"/>
  <c r="J947" i="93"/>
  <c r="I947" i="93"/>
  <c r="F947" i="93"/>
  <c r="J946" i="93"/>
  <c r="I946" i="93"/>
  <c r="F946" i="93"/>
  <c r="J945" i="93"/>
  <c r="I945" i="93"/>
  <c r="F945" i="93"/>
  <c r="J944" i="93"/>
  <c r="I944" i="93"/>
  <c r="F944" i="93"/>
  <c r="J943" i="93"/>
  <c r="I943" i="93"/>
  <c r="F943" i="93"/>
  <c r="J942" i="93"/>
  <c r="I942" i="93"/>
  <c r="F942" i="93"/>
  <c r="J941" i="93"/>
  <c r="I941" i="93"/>
  <c r="F941" i="93"/>
  <c r="J940" i="93"/>
  <c r="I940" i="93"/>
  <c r="F940" i="93"/>
  <c r="J939" i="93"/>
  <c r="I939" i="93"/>
  <c r="F939" i="93"/>
  <c r="J938" i="93"/>
  <c r="I938" i="93"/>
  <c r="F938" i="93"/>
  <c r="J937" i="93"/>
  <c r="I937" i="93"/>
  <c r="F937" i="93"/>
  <c r="J936" i="93"/>
  <c r="I936" i="93"/>
  <c r="F936" i="93"/>
  <c r="J935" i="93"/>
  <c r="I935" i="93"/>
  <c r="F935" i="93"/>
  <c r="J934" i="93"/>
  <c r="I934" i="93"/>
  <c r="F934" i="93"/>
  <c r="J933" i="93"/>
  <c r="I933" i="93"/>
  <c r="F933" i="93"/>
  <c r="J932" i="93"/>
  <c r="I932" i="93"/>
  <c r="F932" i="93"/>
  <c r="J931" i="93"/>
  <c r="I931" i="93"/>
  <c r="F931" i="93"/>
  <c r="J930" i="93"/>
  <c r="I930" i="93"/>
  <c r="F930" i="93"/>
  <c r="J929" i="93"/>
  <c r="I929" i="93"/>
  <c r="F929" i="93"/>
  <c r="J928" i="93"/>
  <c r="I928" i="93"/>
  <c r="F928" i="93"/>
  <c r="J927" i="93"/>
  <c r="I927" i="93"/>
  <c r="F927" i="93"/>
  <c r="J926" i="93"/>
  <c r="I926" i="93"/>
  <c r="F926" i="93"/>
  <c r="J925" i="93"/>
  <c r="I925" i="93"/>
  <c r="F925" i="93"/>
  <c r="J924" i="93"/>
  <c r="I924" i="93"/>
  <c r="F924" i="93"/>
  <c r="J923" i="93"/>
  <c r="I923" i="93"/>
  <c r="F923" i="93"/>
  <c r="J922" i="93"/>
  <c r="I922" i="93"/>
  <c r="F922" i="93"/>
  <c r="J921" i="93"/>
  <c r="I921" i="93"/>
  <c r="F921" i="93"/>
  <c r="J920" i="93"/>
  <c r="I920" i="93"/>
  <c r="F920" i="93"/>
  <c r="J919" i="93"/>
  <c r="I919" i="93"/>
  <c r="F919" i="93"/>
  <c r="J918" i="93"/>
  <c r="I918" i="93"/>
  <c r="F918" i="93"/>
  <c r="J917" i="93"/>
  <c r="I917" i="93"/>
  <c r="F917" i="93"/>
  <c r="J916" i="93"/>
  <c r="I916" i="93"/>
  <c r="F916" i="93"/>
  <c r="J915" i="93"/>
  <c r="I915" i="93"/>
  <c r="F915" i="93"/>
  <c r="J914" i="93"/>
  <c r="I914" i="93"/>
  <c r="F914" i="93"/>
  <c r="J913" i="93"/>
  <c r="I913" i="93"/>
  <c r="F913" i="93"/>
  <c r="J912" i="93"/>
  <c r="I912" i="93"/>
  <c r="F912" i="93"/>
  <c r="J911" i="93"/>
  <c r="I911" i="93"/>
  <c r="F911" i="93"/>
  <c r="J910" i="93"/>
  <c r="I910" i="93"/>
  <c r="F910" i="93"/>
  <c r="J909" i="93"/>
  <c r="I909" i="93"/>
  <c r="F909" i="93"/>
  <c r="J908" i="93"/>
  <c r="I908" i="93"/>
  <c r="F908" i="93"/>
  <c r="J907" i="93"/>
  <c r="I907" i="93"/>
  <c r="F907" i="93"/>
  <c r="J906" i="93"/>
  <c r="I906" i="93"/>
  <c r="F906" i="93"/>
  <c r="J905" i="93"/>
  <c r="I905" i="93"/>
  <c r="F905" i="93"/>
  <c r="J904" i="93"/>
  <c r="I904" i="93"/>
  <c r="F904" i="93"/>
  <c r="J903" i="93"/>
  <c r="I903" i="93"/>
  <c r="F903" i="93"/>
  <c r="J902" i="93"/>
  <c r="I902" i="93"/>
  <c r="F902" i="93"/>
  <c r="J901" i="93"/>
  <c r="I901" i="93"/>
  <c r="F901" i="93"/>
  <c r="J900" i="93"/>
  <c r="I900" i="93"/>
  <c r="F900" i="93"/>
  <c r="J899" i="93"/>
  <c r="I899" i="93"/>
  <c r="F899" i="93"/>
  <c r="J898" i="93"/>
  <c r="I898" i="93"/>
  <c r="F898" i="93"/>
  <c r="J897" i="93"/>
  <c r="I897" i="93"/>
  <c r="F897" i="93"/>
  <c r="J896" i="93"/>
  <c r="I896" i="93"/>
  <c r="F896" i="93"/>
  <c r="J895" i="93"/>
  <c r="I895" i="93"/>
  <c r="F895" i="93"/>
  <c r="J894" i="93"/>
  <c r="I894" i="93"/>
  <c r="F894" i="93"/>
  <c r="J893" i="93"/>
  <c r="I893" i="93"/>
  <c r="F893" i="93"/>
  <c r="J892" i="93"/>
  <c r="I892" i="93"/>
  <c r="F892" i="93"/>
  <c r="J891" i="93"/>
  <c r="I891" i="93"/>
  <c r="F891" i="93"/>
  <c r="J890" i="93"/>
  <c r="I890" i="93"/>
  <c r="F890" i="93"/>
  <c r="J889" i="93"/>
  <c r="I889" i="93"/>
  <c r="F889" i="93"/>
  <c r="J888" i="93"/>
  <c r="I888" i="93"/>
  <c r="F888" i="93"/>
  <c r="J887" i="93"/>
  <c r="I887" i="93"/>
  <c r="F887" i="93"/>
  <c r="J886" i="93"/>
  <c r="I886" i="93"/>
  <c r="F886" i="93"/>
  <c r="J885" i="93"/>
  <c r="I885" i="93"/>
  <c r="F885" i="93"/>
  <c r="J884" i="93"/>
  <c r="I884" i="93"/>
  <c r="F884" i="93"/>
  <c r="J883" i="93"/>
  <c r="I883" i="93"/>
  <c r="F883" i="93"/>
  <c r="J882" i="93"/>
  <c r="I882" i="93"/>
  <c r="F882" i="93"/>
  <c r="J881" i="93"/>
  <c r="I881" i="93"/>
  <c r="F881" i="93"/>
  <c r="J880" i="93"/>
  <c r="I880" i="93"/>
  <c r="F880" i="93"/>
  <c r="J879" i="93"/>
  <c r="I879" i="93"/>
  <c r="F879" i="93"/>
  <c r="J878" i="93"/>
  <c r="I878" i="93"/>
  <c r="F878" i="93"/>
  <c r="J877" i="93"/>
  <c r="I877" i="93"/>
  <c r="F877" i="93"/>
  <c r="J876" i="93"/>
  <c r="I876" i="93"/>
  <c r="F876" i="93"/>
  <c r="J875" i="93"/>
  <c r="I875" i="93"/>
  <c r="F875" i="93"/>
  <c r="J874" i="93"/>
  <c r="I874" i="93"/>
  <c r="F874" i="93"/>
  <c r="J873" i="93"/>
  <c r="I873" i="93"/>
  <c r="F873" i="93"/>
  <c r="J872" i="93"/>
  <c r="I872" i="93"/>
  <c r="F872" i="93"/>
  <c r="J871" i="93"/>
  <c r="I871" i="93"/>
  <c r="F871" i="93"/>
  <c r="J870" i="93"/>
  <c r="I870" i="93"/>
  <c r="F870" i="93"/>
  <c r="J869" i="93"/>
  <c r="I869" i="93"/>
  <c r="F869" i="93"/>
  <c r="J868" i="93"/>
  <c r="I868" i="93"/>
  <c r="F868" i="93"/>
  <c r="J867" i="93"/>
  <c r="I867" i="93"/>
  <c r="F867" i="93"/>
  <c r="J866" i="93"/>
  <c r="I866" i="93"/>
  <c r="F866" i="93"/>
  <c r="J865" i="93"/>
  <c r="I865" i="93"/>
  <c r="F865" i="93"/>
  <c r="J864" i="93"/>
  <c r="I864" i="93"/>
  <c r="F864" i="93"/>
  <c r="J863" i="93"/>
  <c r="I863" i="93"/>
  <c r="F863" i="93"/>
  <c r="J862" i="93"/>
  <c r="I862" i="93"/>
  <c r="F862" i="93"/>
  <c r="J861" i="93"/>
  <c r="I861" i="93"/>
  <c r="F861" i="93"/>
  <c r="J860" i="93"/>
  <c r="I860" i="93"/>
  <c r="F860" i="93"/>
  <c r="J859" i="93"/>
  <c r="I859" i="93"/>
  <c r="F859" i="93"/>
  <c r="J858" i="93"/>
  <c r="I858" i="93"/>
  <c r="F858" i="93"/>
  <c r="J857" i="93"/>
  <c r="I857" i="93"/>
  <c r="F857" i="93"/>
  <c r="J856" i="93"/>
  <c r="I856" i="93"/>
  <c r="F856" i="93"/>
  <c r="J855" i="93"/>
  <c r="I855" i="93"/>
  <c r="F855" i="93"/>
  <c r="J854" i="93"/>
  <c r="I854" i="93"/>
  <c r="F854" i="93"/>
  <c r="J853" i="93"/>
  <c r="I853" i="93"/>
  <c r="F853" i="93"/>
  <c r="J852" i="93"/>
  <c r="I852" i="93"/>
  <c r="F852" i="93"/>
  <c r="J851" i="93"/>
  <c r="I851" i="93"/>
  <c r="F851" i="93"/>
  <c r="J850" i="93"/>
  <c r="I850" i="93"/>
  <c r="F850" i="93"/>
  <c r="J849" i="93"/>
  <c r="I849" i="93"/>
  <c r="F849" i="93"/>
  <c r="J848" i="93"/>
  <c r="I848" i="93"/>
  <c r="F848" i="93"/>
  <c r="J847" i="93"/>
  <c r="I847" i="93"/>
  <c r="F847" i="93"/>
  <c r="J846" i="93"/>
  <c r="I846" i="93"/>
  <c r="F846" i="93"/>
  <c r="J845" i="93"/>
  <c r="I845" i="93"/>
  <c r="F845" i="93"/>
  <c r="J844" i="93"/>
  <c r="I844" i="93"/>
  <c r="F844" i="93"/>
  <c r="J843" i="93"/>
  <c r="I843" i="93"/>
  <c r="F843" i="93"/>
  <c r="J842" i="93"/>
  <c r="I842" i="93"/>
  <c r="F842" i="93"/>
  <c r="J841" i="93"/>
  <c r="I841" i="93"/>
  <c r="F841" i="93"/>
  <c r="J840" i="93"/>
  <c r="I840" i="93"/>
  <c r="F840" i="93"/>
  <c r="J839" i="93"/>
  <c r="I839" i="93"/>
  <c r="F839" i="93"/>
  <c r="J838" i="93"/>
  <c r="I838" i="93"/>
  <c r="F838" i="93"/>
  <c r="J837" i="93"/>
  <c r="I837" i="93"/>
  <c r="F837" i="93"/>
  <c r="J836" i="93"/>
  <c r="I836" i="93"/>
  <c r="F836" i="93"/>
  <c r="J835" i="93"/>
  <c r="I835" i="93"/>
  <c r="F835" i="93"/>
  <c r="J834" i="93"/>
  <c r="I834" i="93"/>
  <c r="F834" i="93"/>
  <c r="J833" i="93"/>
  <c r="I833" i="93"/>
  <c r="F833" i="93"/>
  <c r="J832" i="93"/>
  <c r="I832" i="93"/>
  <c r="F832" i="93"/>
  <c r="J831" i="93"/>
  <c r="I831" i="93"/>
  <c r="F831" i="93"/>
  <c r="J830" i="93"/>
  <c r="I830" i="93"/>
  <c r="F830" i="93"/>
  <c r="J829" i="93"/>
  <c r="I829" i="93"/>
  <c r="F829" i="93"/>
  <c r="J828" i="93"/>
  <c r="I828" i="93"/>
  <c r="F828" i="93"/>
  <c r="J827" i="93"/>
  <c r="I827" i="93"/>
  <c r="F827" i="93"/>
  <c r="J826" i="93"/>
  <c r="I826" i="93"/>
  <c r="F826" i="93"/>
  <c r="J825" i="93"/>
  <c r="I825" i="93"/>
  <c r="F825" i="93"/>
  <c r="J824" i="93"/>
  <c r="I824" i="93"/>
  <c r="F824" i="93"/>
  <c r="J823" i="93"/>
  <c r="I823" i="93"/>
  <c r="F823" i="93"/>
  <c r="J822" i="93"/>
  <c r="I822" i="93"/>
  <c r="F822" i="93"/>
  <c r="J821" i="93"/>
  <c r="I821" i="93"/>
  <c r="F821" i="93"/>
  <c r="J820" i="93"/>
  <c r="I820" i="93"/>
  <c r="F820" i="93"/>
  <c r="J819" i="93"/>
  <c r="I819" i="93"/>
  <c r="F819" i="93"/>
  <c r="J818" i="93"/>
  <c r="I818" i="93"/>
  <c r="F818" i="93"/>
  <c r="J817" i="93"/>
  <c r="I817" i="93"/>
  <c r="F817" i="93"/>
  <c r="J816" i="93"/>
  <c r="I816" i="93"/>
  <c r="F816" i="93"/>
  <c r="J815" i="93"/>
  <c r="I815" i="93"/>
  <c r="F815" i="93"/>
  <c r="J814" i="93"/>
  <c r="I814" i="93"/>
  <c r="F814" i="93"/>
  <c r="J813" i="93"/>
  <c r="I813" i="93"/>
  <c r="F813" i="93"/>
  <c r="J812" i="93"/>
  <c r="I812" i="93"/>
  <c r="F812" i="93"/>
  <c r="J811" i="93"/>
  <c r="I811" i="93"/>
  <c r="F811" i="93"/>
  <c r="J810" i="93"/>
  <c r="I810" i="93"/>
  <c r="F810" i="93"/>
  <c r="J809" i="93"/>
  <c r="I809" i="93"/>
  <c r="F809" i="93"/>
  <c r="J808" i="93"/>
  <c r="I808" i="93"/>
  <c r="F808" i="93"/>
  <c r="J807" i="93"/>
  <c r="I807" i="93"/>
  <c r="F807" i="93"/>
  <c r="J806" i="93"/>
  <c r="I806" i="93"/>
  <c r="F806" i="93"/>
  <c r="J805" i="93"/>
  <c r="I805" i="93"/>
  <c r="F805" i="93"/>
  <c r="J804" i="93"/>
  <c r="I804" i="93"/>
  <c r="F804" i="93"/>
  <c r="J803" i="93"/>
  <c r="I803" i="93"/>
  <c r="F803" i="93"/>
  <c r="J802" i="93"/>
  <c r="I802" i="93"/>
  <c r="F802" i="93"/>
  <c r="J801" i="93"/>
  <c r="I801" i="93"/>
  <c r="F801" i="93"/>
  <c r="J800" i="93"/>
  <c r="I800" i="93"/>
  <c r="F800" i="93"/>
  <c r="J799" i="93"/>
  <c r="I799" i="93"/>
  <c r="F799" i="93"/>
  <c r="J798" i="93"/>
  <c r="I798" i="93"/>
  <c r="F798" i="93"/>
  <c r="J797" i="93"/>
  <c r="I797" i="93"/>
  <c r="F797" i="93"/>
  <c r="J796" i="93"/>
  <c r="I796" i="93"/>
  <c r="F796" i="93"/>
  <c r="J795" i="93"/>
  <c r="I795" i="93"/>
  <c r="F795" i="93"/>
  <c r="J794" i="93"/>
  <c r="I794" i="93"/>
  <c r="F794" i="93"/>
  <c r="J793" i="93"/>
  <c r="I793" i="93"/>
  <c r="F793" i="93"/>
  <c r="J792" i="93"/>
  <c r="I792" i="93"/>
  <c r="F792" i="93"/>
  <c r="J791" i="93"/>
  <c r="I791" i="93"/>
  <c r="F791" i="93"/>
  <c r="J790" i="93"/>
  <c r="I790" i="93"/>
  <c r="F790" i="93"/>
  <c r="J789" i="93"/>
  <c r="I789" i="93"/>
  <c r="F789" i="93"/>
  <c r="J788" i="93"/>
  <c r="I788" i="93"/>
  <c r="F788" i="93"/>
  <c r="J787" i="93"/>
  <c r="I787" i="93"/>
  <c r="F787" i="93"/>
  <c r="J786" i="93"/>
  <c r="I786" i="93"/>
  <c r="F786" i="93"/>
  <c r="J785" i="93"/>
  <c r="I785" i="93"/>
  <c r="F785" i="93"/>
  <c r="J784" i="93"/>
  <c r="I784" i="93"/>
  <c r="F784" i="93"/>
  <c r="J783" i="93"/>
  <c r="I783" i="93"/>
  <c r="F783" i="93"/>
  <c r="J782" i="93"/>
  <c r="I782" i="93"/>
  <c r="F782" i="93"/>
  <c r="J781" i="93"/>
  <c r="I781" i="93"/>
  <c r="F781" i="93"/>
  <c r="J780" i="93"/>
  <c r="I780" i="93"/>
  <c r="F780" i="93"/>
  <c r="J779" i="93"/>
  <c r="I779" i="93"/>
  <c r="F779" i="93"/>
  <c r="J778" i="93"/>
  <c r="I778" i="93"/>
  <c r="F778" i="93"/>
  <c r="J777" i="93"/>
  <c r="I777" i="93"/>
  <c r="F777" i="93"/>
  <c r="J776" i="93"/>
  <c r="I776" i="93"/>
  <c r="F776" i="93"/>
  <c r="J775" i="93"/>
  <c r="I775" i="93"/>
  <c r="F775" i="93"/>
  <c r="J774" i="93"/>
  <c r="I774" i="93"/>
  <c r="F774" i="93"/>
  <c r="J773" i="93"/>
  <c r="I773" i="93"/>
  <c r="F773" i="93"/>
  <c r="J772" i="93"/>
  <c r="I772" i="93"/>
  <c r="F772" i="93"/>
  <c r="J771" i="93"/>
  <c r="I771" i="93"/>
  <c r="F771" i="93"/>
  <c r="J770" i="93"/>
  <c r="I770" i="93"/>
  <c r="F770" i="93"/>
  <c r="J769" i="93"/>
  <c r="I769" i="93"/>
  <c r="F769" i="93"/>
  <c r="J768" i="93"/>
  <c r="I768" i="93"/>
  <c r="F768" i="93"/>
  <c r="J767" i="93"/>
  <c r="I767" i="93"/>
  <c r="F767" i="93"/>
  <c r="J766" i="93"/>
  <c r="I766" i="93"/>
  <c r="F766" i="93"/>
  <c r="J765" i="93"/>
  <c r="I765" i="93"/>
  <c r="F765" i="93"/>
  <c r="J764" i="93"/>
  <c r="I764" i="93"/>
  <c r="K764" i="93" s="1"/>
  <c r="N764" i="93" s="1"/>
  <c r="O764" i="93" s="1"/>
  <c r="F764" i="93"/>
  <c r="J763" i="93"/>
  <c r="I763" i="93"/>
  <c r="F763" i="93"/>
  <c r="J762" i="93"/>
  <c r="I762" i="93"/>
  <c r="F762" i="93"/>
  <c r="J761" i="93"/>
  <c r="I761" i="93"/>
  <c r="F761" i="93"/>
  <c r="J760" i="93"/>
  <c r="I760" i="93"/>
  <c r="F760" i="93"/>
  <c r="J759" i="93"/>
  <c r="I759" i="93"/>
  <c r="F759" i="93"/>
  <c r="J758" i="93"/>
  <c r="I758" i="93"/>
  <c r="F758" i="93"/>
  <c r="J757" i="93"/>
  <c r="I757" i="93"/>
  <c r="F757" i="93"/>
  <c r="J756" i="93"/>
  <c r="I756" i="93"/>
  <c r="F756" i="93"/>
  <c r="J755" i="93"/>
  <c r="I755" i="93"/>
  <c r="F755" i="93"/>
  <c r="J754" i="93"/>
  <c r="I754" i="93"/>
  <c r="F754" i="93"/>
  <c r="J753" i="93"/>
  <c r="I753" i="93"/>
  <c r="F753" i="93"/>
  <c r="J752" i="93"/>
  <c r="I752" i="93"/>
  <c r="F752" i="93"/>
  <c r="J751" i="93"/>
  <c r="I751" i="93"/>
  <c r="F751" i="93"/>
  <c r="J750" i="93"/>
  <c r="I750" i="93"/>
  <c r="F750" i="93"/>
  <c r="K750" i="93" s="1"/>
  <c r="N750" i="93" s="1"/>
  <c r="O750" i="93" s="1"/>
  <c r="J749" i="93"/>
  <c r="I749" i="93"/>
  <c r="F749" i="93"/>
  <c r="K748" i="93"/>
  <c r="N748" i="93" s="1"/>
  <c r="O748" i="93" s="1"/>
  <c r="J748" i="93"/>
  <c r="I748" i="93"/>
  <c r="F748" i="93"/>
  <c r="J747" i="93"/>
  <c r="I747" i="93"/>
  <c r="F747" i="93"/>
  <c r="J746" i="93"/>
  <c r="I746" i="93"/>
  <c r="F746" i="93"/>
  <c r="J745" i="93"/>
  <c r="I745" i="93"/>
  <c r="F745" i="93"/>
  <c r="J744" i="93"/>
  <c r="I744" i="93"/>
  <c r="F744" i="93"/>
  <c r="J743" i="93"/>
  <c r="I743" i="93"/>
  <c r="F743" i="93"/>
  <c r="J742" i="93"/>
  <c r="I742" i="93"/>
  <c r="F742" i="93"/>
  <c r="J741" i="93"/>
  <c r="I741" i="93"/>
  <c r="F741" i="93"/>
  <c r="J740" i="93"/>
  <c r="I740" i="93"/>
  <c r="F740" i="93"/>
  <c r="J739" i="93"/>
  <c r="I739" i="93"/>
  <c r="F739" i="93"/>
  <c r="J738" i="93"/>
  <c r="I738" i="93"/>
  <c r="F738" i="93"/>
  <c r="J737" i="93"/>
  <c r="I737" i="93"/>
  <c r="F737" i="93"/>
  <c r="J736" i="93"/>
  <c r="I736" i="93"/>
  <c r="F736" i="93"/>
  <c r="J735" i="93"/>
  <c r="I735" i="93"/>
  <c r="F735" i="93"/>
  <c r="J734" i="93"/>
  <c r="I734" i="93"/>
  <c r="F734" i="93"/>
  <c r="J733" i="93"/>
  <c r="I733" i="93"/>
  <c r="F733" i="93"/>
  <c r="J732" i="93"/>
  <c r="I732" i="93"/>
  <c r="F732" i="93"/>
  <c r="J731" i="93"/>
  <c r="I731" i="93"/>
  <c r="F731" i="93"/>
  <c r="J730" i="93"/>
  <c r="I730" i="93"/>
  <c r="F730" i="93"/>
  <c r="J729" i="93"/>
  <c r="I729" i="93"/>
  <c r="F729" i="93"/>
  <c r="J728" i="93"/>
  <c r="I728" i="93"/>
  <c r="F728" i="93"/>
  <c r="J727" i="93"/>
  <c r="I727" i="93"/>
  <c r="F727" i="93"/>
  <c r="J726" i="93"/>
  <c r="I726" i="93"/>
  <c r="F726" i="93"/>
  <c r="J725" i="93"/>
  <c r="I725" i="93"/>
  <c r="F725" i="93"/>
  <c r="J724" i="93"/>
  <c r="I724" i="93"/>
  <c r="F724" i="93"/>
  <c r="J723" i="93"/>
  <c r="I723" i="93"/>
  <c r="F723" i="93"/>
  <c r="J722" i="93"/>
  <c r="I722" i="93"/>
  <c r="F722" i="93"/>
  <c r="J721" i="93"/>
  <c r="I721" i="93"/>
  <c r="F721" i="93"/>
  <c r="J720" i="93"/>
  <c r="I720" i="93"/>
  <c r="F720" i="93"/>
  <c r="J719" i="93"/>
  <c r="I719" i="93"/>
  <c r="F719" i="93"/>
  <c r="J718" i="93"/>
  <c r="I718" i="93"/>
  <c r="F718" i="93"/>
  <c r="J717" i="93"/>
  <c r="I717" i="93"/>
  <c r="F717" i="93"/>
  <c r="J716" i="93"/>
  <c r="I716" i="93"/>
  <c r="F716" i="93"/>
  <c r="J715" i="93"/>
  <c r="I715" i="93"/>
  <c r="F715" i="93"/>
  <c r="J714" i="93"/>
  <c r="I714" i="93"/>
  <c r="F714" i="93"/>
  <c r="K714" i="93" s="1"/>
  <c r="N714" i="93" s="1"/>
  <c r="O714" i="93" s="1"/>
  <c r="J713" i="93"/>
  <c r="I713" i="93"/>
  <c r="F713" i="93"/>
  <c r="K712" i="93"/>
  <c r="N712" i="93" s="1"/>
  <c r="O712" i="93" s="1"/>
  <c r="J712" i="93"/>
  <c r="I712" i="93"/>
  <c r="F712" i="93"/>
  <c r="J711" i="93"/>
  <c r="I711" i="93"/>
  <c r="F711" i="93"/>
  <c r="J710" i="93"/>
  <c r="I710" i="93"/>
  <c r="F710" i="93"/>
  <c r="J709" i="93"/>
  <c r="I709" i="93"/>
  <c r="F709" i="93"/>
  <c r="K709" i="93" s="1"/>
  <c r="N709" i="93" s="1"/>
  <c r="O709" i="93" s="1"/>
  <c r="J708" i="93"/>
  <c r="I708" i="93"/>
  <c r="F708" i="93"/>
  <c r="J707" i="93"/>
  <c r="I707" i="93"/>
  <c r="F707" i="93"/>
  <c r="J706" i="93"/>
  <c r="I706" i="93"/>
  <c r="F706" i="93"/>
  <c r="J705" i="93"/>
  <c r="I705" i="93"/>
  <c r="F705" i="93"/>
  <c r="J704" i="93"/>
  <c r="I704" i="93"/>
  <c r="F704" i="93"/>
  <c r="J703" i="93"/>
  <c r="I703" i="93"/>
  <c r="F703" i="93"/>
  <c r="J702" i="93"/>
  <c r="I702" i="93"/>
  <c r="F702" i="93"/>
  <c r="J701" i="93"/>
  <c r="I701" i="93"/>
  <c r="F701" i="93"/>
  <c r="J700" i="93"/>
  <c r="I700" i="93"/>
  <c r="F700" i="93"/>
  <c r="J699" i="93"/>
  <c r="I699" i="93"/>
  <c r="F699" i="93"/>
  <c r="J698" i="93"/>
  <c r="I698" i="93"/>
  <c r="F698" i="93"/>
  <c r="J697" i="93"/>
  <c r="I697" i="93"/>
  <c r="F697" i="93"/>
  <c r="J696" i="93"/>
  <c r="I696" i="93"/>
  <c r="F696" i="93"/>
  <c r="J695" i="93"/>
  <c r="I695" i="93"/>
  <c r="F695" i="93"/>
  <c r="J694" i="93"/>
  <c r="I694" i="93"/>
  <c r="F694" i="93"/>
  <c r="J693" i="93"/>
  <c r="I693" i="93"/>
  <c r="F693" i="93"/>
  <c r="J692" i="93"/>
  <c r="I692" i="93"/>
  <c r="F692" i="93"/>
  <c r="J691" i="93"/>
  <c r="I691" i="93"/>
  <c r="F691" i="93"/>
  <c r="J690" i="93"/>
  <c r="I690" i="93"/>
  <c r="K690" i="93" s="1"/>
  <c r="N690" i="93" s="1"/>
  <c r="O690" i="93" s="1"/>
  <c r="F690" i="93"/>
  <c r="J689" i="93"/>
  <c r="I689" i="93"/>
  <c r="F689" i="93"/>
  <c r="J688" i="93"/>
  <c r="I688" i="93"/>
  <c r="F688" i="93"/>
  <c r="J687" i="93"/>
  <c r="I687" i="93"/>
  <c r="F687" i="93"/>
  <c r="J686" i="93"/>
  <c r="I686" i="93"/>
  <c r="F686" i="93"/>
  <c r="J685" i="93"/>
  <c r="I685" i="93"/>
  <c r="F685" i="93"/>
  <c r="J684" i="93"/>
  <c r="I684" i="93"/>
  <c r="F684" i="93"/>
  <c r="J683" i="93"/>
  <c r="I683" i="93"/>
  <c r="F683" i="93"/>
  <c r="J682" i="93"/>
  <c r="I682" i="93"/>
  <c r="F682" i="93"/>
  <c r="J681" i="93"/>
  <c r="I681" i="93"/>
  <c r="F681" i="93"/>
  <c r="J680" i="93"/>
  <c r="I680" i="93"/>
  <c r="F680" i="93"/>
  <c r="J679" i="93"/>
  <c r="I679" i="93"/>
  <c r="F679" i="93"/>
  <c r="J678" i="93"/>
  <c r="I678" i="93"/>
  <c r="F678" i="93"/>
  <c r="J677" i="93"/>
  <c r="I677" i="93"/>
  <c r="F677" i="93"/>
  <c r="J676" i="93"/>
  <c r="I676" i="93"/>
  <c r="F676" i="93"/>
  <c r="J675" i="93"/>
  <c r="I675" i="93"/>
  <c r="F675" i="93"/>
  <c r="J674" i="93"/>
  <c r="I674" i="93"/>
  <c r="F674" i="93"/>
  <c r="J673" i="93"/>
  <c r="I673" i="93"/>
  <c r="F673" i="93"/>
  <c r="J672" i="93"/>
  <c r="I672" i="93"/>
  <c r="F672" i="93"/>
  <c r="J671" i="93"/>
  <c r="I671" i="93"/>
  <c r="F671" i="93"/>
  <c r="K671" i="93" s="1"/>
  <c r="N671" i="93" s="1"/>
  <c r="O671" i="93" s="1"/>
  <c r="J670" i="93"/>
  <c r="I670" i="93"/>
  <c r="F670" i="93"/>
  <c r="J669" i="93"/>
  <c r="I669" i="93"/>
  <c r="F669" i="93"/>
  <c r="J668" i="93"/>
  <c r="I668" i="93"/>
  <c r="K668" i="93" s="1"/>
  <c r="N668" i="93" s="1"/>
  <c r="O668" i="93" s="1"/>
  <c r="F668" i="93"/>
  <c r="J667" i="93"/>
  <c r="I667" i="93"/>
  <c r="F667" i="93"/>
  <c r="J666" i="93"/>
  <c r="I666" i="93"/>
  <c r="F666" i="93"/>
  <c r="J665" i="93"/>
  <c r="I665" i="93"/>
  <c r="F665" i="93"/>
  <c r="J664" i="93"/>
  <c r="I664" i="93"/>
  <c r="F664" i="93"/>
  <c r="J663" i="93"/>
  <c r="I663" i="93"/>
  <c r="F663" i="93"/>
  <c r="K663" i="93" s="1"/>
  <c r="N663" i="93" s="1"/>
  <c r="O663" i="93" s="1"/>
  <c r="J662" i="93"/>
  <c r="I662" i="93"/>
  <c r="F662" i="93"/>
  <c r="J661" i="93"/>
  <c r="I661" i="93"/>
  <c r="F661" i="93"/>
  <c r="J660" i="93"/>
  <c r="I660" i="93"/>
  <c r="F660" i="93"/>
  <c r="J659" i="93"/>
  <c r="I659" i="93"/>
  <c r="F659" i="93"/>
  <c r="J658" i="93"/>
  <c r="I658" i="93"/>
  <c r="F658" i="93"/>
  <c r="J657" i="93"/>
  <c r="I657" i="93"/>
  <c r="F657" i="93"/>
  <c r="J656" i="93"/>
  <c r="I656" i="93"/>
  <c r="F656" i="93"/>
  <c r="J655" i="93"/>
  <c r="I655" i="93"/>
  <c r="F655" i="93"/>
  <c r="J654" i="93"/>
  <c r="I654" i="93"/>
  <c r="F654" i="93"/>
  <c r="J653" i="93"/>
  <c r="I653" i="93"/>
  <c r="F653" i="93"/>
  <c r="J652" i="93"/>
  <c r="I652" i="93"/>
  <c r="F652" i="93"/>
  <c r="J651" i="93"/>
  <c r="I651" i="93"/>
  <c r="F651" i="93"/>
  <c r="J650" i="93"/>
  <c r="I650" i="93"/>
  <c r="F650" i="93"/>
  <c r="J649" i="93"/>
  <c r="I649" i="93"/>
  <c r="F649" i="93"/>
  <c r="J648" i="93"/>
  <c r="I648" i="93"/>
  <c r="F648" i="93"/>
  <c r="J647" i="93"/>
  <c r="I647" i="93"/>
  <c r="F647" i="93"/>
  <c r="J646" i="93"/>
  <c r="I646" i="93"/>
  <c r="F646" i="93"/>
  <c r="J645" i="93"/>
  <c r="I645" i="93"/>
  <c r="F645" i="93"/>
  <c r="J644" i="93"/>
  <c r="I644" i="93"/>
  <c r="F644" i="93"/>
  <c r="J643" i="93"/>
  <c r="I643" i="93"/>
  <c r="F643" i="93"/>
  <c r="J642" i="93"/>
  <c r="I642" i="93"/>
  <c r="F642" i="93"/>
  <c r="J641" i="93"/>
  <c r="I641" i="93"/>
  <c r="F641" i="93"/>
  <c r="J640" i="93"/>
  <c r="I640" i="93"/>
  <c r="F640" i="93"/>
  <c r="J639" i="93"/>
  <c r="I639" i="93"/>
  <c r="F639" i="93"/>
  <c r="J638" i="93"/>
  <c r="I638" i="93"/>
  <c r="F638" i="93"/>
  <c r="J637" i="93"/>
  <c r="I637" i="93"/>
  <c r="F637" i="93"/>
  <c r="J636" i="93"/>
  <c r="I636" i="93"/>
  <c r="F636" i="93"/>
  <c r="J635" i="93"/>
  <c r="I635" i="93"/>
  <c r="F635" i="93"/>
  <c r="J634" i="93"/>
  <c r="I634" i="93"/>
  <c r="F634" i="93"/>
  <c r="J633" i="93"/>
  <c r="I633" i="93"/>
  <c r="F633" i="93"/>
  <c r="J632" i="93"/>
  <c r="I632" i="93"/>
  <c r="F632" i="93"/>
  <c r="J631" i="93"/>
  <c r="I631" i="93"/>
  <c r="F631" i="93"/>
  <c r="J630" i="93"/>
  <c r="I630" i="93"/>
  <c r="F630" i="93"/>
  <c r="J629" i="93"/>
  <c r="I629" i="93"/>
  <c r="F629" i="93"/>
  <c r="J628" i="93"/>
  <c r="I628" i="93"/>
  <c r="F628" i="93"/>
  <c r="J627" i="93"/>
  <c r="I627" i="93"/>
  <c r="F627" i="93"/>
  <c r="J626" i="93"/>
  <c r="I626" i="93"/>
  <c r="F626" i="93"/>
  <c r="K626" i="93" s="1"/>
  <c r="N626" i="93" s="1"/>
  <c r="O626" i="93" s="1"/>
  <c r="J625" i="93"/>
  <c r="I625" i="93"/>
  <c r="F625" i="93"/>
  <c r="J624" i="93"/>
  <c r="I624" i="93"/>
  <c r="F624" i="93"/>
  <c r="J623" i="93"/>
  <c r="I623" i="93"/>
  <c r="F623" i="93"/>
  <c r="J622" i="93"/>
  <c r="I622" i="93"/>
  <c r="F622" i="93"/>
  <c r="J621" i="93"/>
  <c r="I621" i="93"/>
  <c r="F621" i="93"/>
  <c r="J620" i="93"/>
  <c r="I620" i="93"/>
  <c r="F620" i="93"/>
  <c r="K620" i="93" s="1"/>
  <c r="N620" i="93" s="1"/>
  <c r="O620" i="93" s="1"/>
  <c r="J619" i="93"/>
  <c r="I619" i="93"/>
  <c r="F619" i="93"/>
  <c r="J618" i="93"/>
  <c r="I618" i="93"/>
  <c r="F618" i="93"/>
  <c r="K618" i="93" s="1"/>
  <c r="N618" i="93" s="1"/>
  <c r="O618" i="93" s="1"/>
  <c r="J617" i="93"/>
  <c r="I617" i="93"/>
  <c r="F617" i="93"/>
  <c r="J616" i="93"/>
  <c r="I616" i="93"/>
  <c r="F616" i="93"/>
  <c r="J615" i="93"/>
  <c r="I615" i="93"/>
  <c r="F615" i="93"/>
  <c r="J614" i="93"/>
  <c r="I614" i="93"/>
  <c r="F614" i="93"/>
  <c r="K614" i="93" s="1"/>
  <c r="N614" i="93" s="1"/>
  <c r="O614" i="93" s="1"/>
  <c r="J613" i="93"/>
  <c r="I613" i="93"/>
  <c r="F613" i="93"/>
  <c r="J612" i="93"/>
  <c r="I612" i="93"/>
  <c r="F612" i="93"/>
  <c r="J611" i="93"/>
  <c r="I611" i="93"/>
  <c r="F611" i="93"/>
  <c r="J610" i="93"/>
  <c r="I610" i="93"/>
  <c r="F610" i="93"/>
  <c r="K610" i="93" s="1"/>
  <c r="N610" i="93" s="1"/>
  <c r="O610" i="93" s="1"/>
  <c r="J609" i="93"/>
  <c r="I609" i="93"/>
  <c r="F609" i="93"/>
  <c r="J608" i="93"/>
  <c r="I608" i="93"/>
  <c r="F608" i="93"/>
  <c r="J607" i="93"/>
  <c r="I607" i="93"/>
  <c r="F607" i="93"/>
  <c r="J606" i="93"/>
  <c r="I606" i="93"/>
  <c r="F606" i="93"/>
  <c r="K606" i="93" s="1"/>
  <c r="N606" i="93" s="1"/>
  <c r="O606" i="93" s="1"/>
  <c r="J605" i="93"/>
  <c r="I605" i="93"/>
  <c r="F605" i="93"/>
  <c r="J604" i="93"/>
  <c r="I604" i="93"/>
  <c r="K604" i="93" s="1"/>
  <c r="N604" i="93" s="1"/>
  <c r="O604" i="93" s="1"/>
  <c r="F604" i="93"/>
  <c r="J603" i="93"/>
  <c r="I603" i="93"/>
  <c r="F603" i="93"/>
  <c r="J602" i="93"/>
  <c r="I602" i="93"/>
  <c r="F602" i="93"/>
  <c r="J601" i="93"/>
  <c r="I601" i="93"/>
  <c r="F601" i="93"/>
  <c r="J600" i="93"/>
  <c r="I600" i="93"/>
  <c r="F600" i="93"/>
  <c r="J599" i="93"/>
  <c r="I599" i="93"/>
  <c r="F599" i="93"/>
  <c r="J598" i="93"/>
  <c r="I598" i="93"/>
  <c r="F598" i="93"/>
  <c r="J597" i="93"/>
  <c r="I597" i="93"/>
  <c r="F597" i="93"/>
  <c r="J596" i="93"/>
  <c r="I596" i="93"/>
  <c r="F596" i="93"/>
  <c r="J595" i="93"/>
  <c r="I595" i="93"/>
  <c r="F595" i="93"/>
  <c r="J594" i="93"/>
  <c r="I594" i="93"/>
  <c r="F594" i="93"/>
  <c r="J593" i="93"/>
  <c r="I593" i="93"/>
  <c r="F593" i="93"/>
  <c r="J592" i="93"/>
  <c r="I592" i="93"/>
  <c r="F592" i="93"/>
  <c r="J591" i="93"/>
  <c r="I591" i="93"/>
  <c r="F591" i="93"/>
  <c r="J590" i="93"/>
  <c r="I590" i="93"/>
  <c r="F590" i="93"/>
  <c r="J589" i="93"/>
  <c r="I589" i="93"/>
  <c r="F589" i="93"/>
  <c r="J588" i="93"/>
  <c r="I588" i="93"/>
  <c r="F588" i="93"/>
  <c r="J587" i="93"/>
  <c r="I587" i="93"/>
  <c r="F587" i="93"/>
  <c r="J586" i="93"/>
  <c r="I586" i="93"/>
  <c r="F586" i="93"/>
  <c r="K586" i="93" s="1"/>
  <c r="N586" i="93" s="1"/>
  <c r="O586" i="93" s="1"/>
  <c r="J585" i="93"/>
  <c r="I585" i="93"/>
  <c r="F585" i="93"/>
  <c r="J584" i="93"/>
  <c r="I584" i="93"/>
  <c r="F584" i="93"/>
  <c r="J583" i="93"/>
  <c r="I583" i="93"/>
  <c r="F583" i="93"/>
  <c r="J582" i="93"/>
  <c r="I582" i="93"/>
  <c r="F582" i="93"/>
  <c r="J581" i="93"/>
  <c r="I581" i="93"/>
  <c r="F581" i="93"/>
  <c r="J580" i="93"/>
  <c r="I580" i="93"/>
  <c r="F580" i="93"/>
  <c r="J579" i="93"/>
  <c r="I579" i="93"/>
  <c r="F579" i="93"/>
  <c r="J578" i="93"/>
  <c r="I578" i="93"/>
  <c r="F578" i="93"/>
  <c r="J577" i="93"/>
  <c r="I577" i="93"/>
  <c r="F577" i="93"/>
  <c r="J576" i="93"/>
  <c r="I576" i="93"/>
  <c r="F576" i="93"/>
  <c r="J575" i="93"/>
  <c r="I575" i="93"/>
  <c r="F575" i="93"/>
  <c r="J574" i="93"/>
  <c r="I574" i="93"/>
  <c r="F574" i="93"/>
  <c r="J573" i="93"/>
  <c r="I573" i="93"/>
  <c r="F573" i="93"/>
  <c r="J572" i="93"/>
  <c r="I572" i="93"/>
  <c r="F572" i="93"/>
  <c r="J571" i="93"/>
  <c r="I571" i="93"/>
  <c r="F571" i="93"/>
  <c r="J570" i="93"/>
  <c r="I570" i="93"/>
  <c r="F570" i="93"/>
  <c r="K570" i="93" s="1"/>
  <c r="N570" i="93" s="1"/>
  <c r="O570" i="93" s="1"/>
  <c r="J569" i="93"/>
  <c r="I569" i="93"/>
  <c r="F569" i="93"/>
  <c r="J568" i="93"/>
  <c r="I568" i="93"/>
  <c r="K568" i="93" s="1"/>
  <c r="N568" i="93" s="1"/>
  <c r="O568" i="93" s="1"/>
  <c r="F568" i="93"/>
  <c r="J567" i="93"/>
  <c r="I567" i="93"/>
  <c r="F567" i="93"/>
  <c r="J566" i="93"/>
  <c r="I566" i="93"/>
  <c r="F566" i="93"/>
  <c r="J565" i="93"/>
  <c r="I565" i="93"/>
  <c r="F565" i="93"/>
  <c r="K565" i="93" s="1"/>
  <c r="N565" i="93" s="1"/>
  <c r="O565" i="93" s="1"/>
  <c r="J564" i="93"/>
  <c r="I564" i="93"/>
  <c r="F564" i="93"/>
  <c r="J563" i="93"/>
  <c r="I563" i="93"/>
  <c r="F563" i="93"/>
  <c r="J562" i="93"/>
  <c r="I562" i="93"/>
  <c r="F562" i="93"/>
  <c r="J561" i="93"/>
  <c r="I561" i="93"/>
  <c r="F561" i="93"/>
  <c r="J560" i="93"/>
  <c r="I560" i="93"/>
  <c r="F560" i="93"/>
  <c r="J559" i="93"/>
  <c r="I559" i="93"/>
  <c r="F559" i="93"/>
  <c r="J558" i="93"/>
  <c r="I558" i="93"/>
  <c r="F558" i="93"/>
  <c r="J557" i="93"/>
  <c r="I557" i="93"/>
  <c r="F557" i="93"/>
  <c r="J556" i="93"/>
  <c r="I556" i="93"/>
  <c r="F556" i="93"/>
  <c r="J555" i="93"/>
  <c r="I555" i="93"/>
  <c r="F555" i="93"/>
  <c r="J554" i="93"/>
  <c r="I554" i="93"/>
  <c r="F554" i="93"/>
  <c r="J553" i="93"/>
  <c r="I553" i="93"/>
  <c r="F553" i="93"/>
  <c r="K553" i="93" s="1"/>
  <c r="N553" i="93" s="1"/>
  <c r="O553" i="93" s="1"/>
  <c r="J552" i="93"/>
  <c r="I552" i="93"/>
  <c r="F552" i="93"/>
  <c r="J551" i="93"/>
  <c r="I551" i="93"/>
  <c r="F551" i="93"/>
  <c r="J550" i="93"/>
  <c r="I550" i="93"/>
  <c r="F550" i="93"/>
  <c r="J549" i="93"/>
  <c r="I549" i="93"/>
  <c r="F549" i="93"/>
  <c r="J548" i="93"/>
  <c r="I548" i="93"/>
  <c r="F548" i="93"/>
  <c r="J547" i="93"/>
  <c r="I547" i="93"/>
  <c r="F547" i="93"/>
  <c r="J546" i="93"/>
  <c r="I546" i="93"/>
  <c r="F546" i="93"/>
  <c r="J545" i="93"/>
  <c r="I545" i="93"/>
  <c r="F545" i="93"/>
  <c r="J544" i="93"/>
  <c r="I544" i="93"/>
  <c r="F544" i="93"/>
  <c r="J543" i="93"/>
  <c r="I543" i="93"/>
  <c r="F543" i="93"/>
  <c r="J542" i="93"/>
  <c r="I542" i="93"/>
  <c r="F542" i="93"/>
  <c r="J541" i="93"/>
  <c r="I541" i="93"/>
  <c r="F541" i="93"/>
  <c r="J540" i="93"/>
  <c r="I540" i="93"/>
  <c r="F540" i="93"/>
  <c r="J539" i="93"/>
  <c r="I539" i="93"/>
  <c r="F539" i="93"/>
  <c r="J538" i="93"/>
  <c r="I538" i="93"/>
  <c r="F538" i="93"/>
  <c r="J537" i="93"/>
  <c r="I537" i="93"/>
  <c r="F537" i="93"/>
  <c r="J536" i="93"/>
  <c r="I536" i="93"/>
  <c r="F536" i="93"/>
  <c r="J535" i="93"/>
  <c r="I535" i="93"/>
  <c r="F535" i="93"/>
  <c r="J534" i="93"/>
  <c r="I534" i="93"/>
  <c r="F534" i="93"/>
  <c r="J533" i="93"/>
  <c r="I533" i="93"/>
  <c r="F533" i="93"/>
  <c r="J532" i="93"/>
  <c r="I532" i="93"/>
  <c r="F532" i="93"/>
  <c r="J531" i="93"/>
  <c r="I531" i="93"/>
  <c r="F531" i="93"/>
  <c r="J530" i="93"/>
  <c r="I530" i="93"/>
  <c r="F530" i="93"/>
  <c r="J529" i="93"/>
  <c r="I529" i="93"/>
  <c r="F529" i="93"/>
  <c r="J528" i="93"/>
  <c r="I528" i="93"/>
  <c r="F528" i="93"/>
  <c r="J527" i="93"/>
  <c r="I527" i="93"/>
  <c r="F527" i="93"/>
  <c r="J526" i="93"/>
  <c r="I526" i="93"/>
  <c r="F526" i="93"/>
  <c r="J525" i="93"/>
  <c r="I525" i="93"/>
  <c r="F525" i="93"/>
  <c r="J524" i="93"/>
  <c r="I524" i="93"/>
  <c r="K524" i="93" s="1"/>
  <c r="N524" i="93" s="1"/>
  <c r="O524" i="93" s="1"/>
  <c r="F524" i="93"/>
  <c r="J523" i="93"/>
  <c r="I523" i="93"/>
  <c r="F523" i="93"/>
  <c r="J522" i="93"/>
  <c r="I522" i="93"/>
  <c r="F522" i="93"/>
  <c r="J521" i="93"/>
  <c r="I521" i="93"/>
  <c r="F521" i="93"/>
  <c r="J520" i="93"/>
  <c r="I520" i="93"/>
  <c r="F520" i="93"/>
  <c r="J519" i="93"/>
  <c r="I519" i="93"/>
  <c r="F519" i="93"/>
  <c r="J518" i="93"/>
  <c r="I518" i="93"/>
  <c r="F518" i="93"/>
  <c r="J517" i="93"/>
  <c r="I517" i="93"/>
  <c r="F517" i="93"/>
  <c r="J516" i="93"/>
  <c r="I516" i="93"/>
  <c r="F516" i="93"/>
  <c r="J515" i="93"/>
  <c r="I515" i="93"/>
  <c r="F515" i="93"/>
  <c r="J514" i="93"/>
  <c r="I514" i="93"/>
  <c r="F514" i="93"/>
  <c r="K514" i="93" s="1"/>
  <c r="N514" i="93" s="1"/>
  <c r="O514" i="93" s="1"/>
  <c r="J513" i="93"/>
  <c r="I513" i="93"/>
  <c r="F513" i="93"/>
  <c r="J512" i="93"/>
  <c r="I512" i="93"/>
  <c r="F512" i="93"/>
  <c r="J511" i="93"/>
  <c r="I511" i="93"/>
  <c r="F511" i="93"/>
  <c r="J510" i="93"/>
  <c r="I510" i="93"/>
  <c r="F510" i="93"/>
  <c r="K510" i="93" s="1"/>
  <c r="N510" i="93" s="1"/>
  <c r="O510" i="93" s="1"/>
  <c r="J509" i="93"/>
  <c r="I509" i="93"/>
  <c r="F509" i="93"/>
  <c r="J508" i="93"/>
  <c r="I508" i="93"/>
  <c r="F508" i="93"/>
  <c r="J507" i="93"/>
  <c r="I507" i="93"/>
  <c r="F507" i="93"/>
  <c r="J506" i="93"/>
  <c r="I506" i="93"/>
  <c r="F506" i="93"/>
  <c r="K506" i="93" s="1"/>
  <c r="N506" i="93" s="1"/>
  <c r="O506" i="93" s="1"/>
  <c r="J505" i="93"/>
  <c r="I505" i="93"/>
  <c r="F505" i="93"/>
  <c r="J504" i="93"/>
  <c r="I504" i="93"/>
  <c r="F504" i="93"/>
  <c r="J503" i="93"/>
  <c r="I503" i="93"/>
  <c r="F503" i="93"/>
  <c r="J502" i="93"/>
  <c r="I502" i="93"/>
  <c r="F502" i="93"/>
  <c r="K502" i="93" s="1"/>
  <c r="N502" i="93" s="1"/>
  <c r="O502" i="93" s="1"/>
  <c r="J501" i="93"/>
  <c r="I501" i="93"/>
  <c r="F501" i="93"/>
  <c r="K500" i="93"/>
  <c r="N500" i="93" s="1"/>
  <c r="O500" i="93" s="1"/>
  <c r="J500" i="93"/>
  <c r="I500" i="93"/>
  <c r="F500" i="93"/>
  <c r="J499" i="93"/>
  <c r="I499" i="93"/>
  <c r="F499" i="93"/>
  <c r="J498" i="93"/>
  <c r="I498" i="93"/>
  <c r="F498" i="93"/>
  <c r="J497" i="93"/>
  <c r="I497" i="93"/>
  <c r="F497" i="93"/>
  <c r="K497" i="93" s="1"/>
  <c r="N497" i="93" s="1"/>
  <c r="O497" i="93" s="1"/>
  <c r="J496" i="93"/>
  <c r="I496" i="93"/>
  <c r="F496" i="93"/>
  <c r="J495" i="93"/>
  <c r="I495" i="93"/>
  <c r="F495" i="93"/>
  <c r="J494" i="93"/>
  <c r="I494" i="93"/>
  <c r="F494" i="93"/>
  <c r="J493" i="93"/>
  <c r="I493" i="93"/>
  <c r="F493" i="93"/>
  <c r="J492" i="93"/>
  <c r="I492" i="93"/>
  <c r="F492" i="93"/>
  <c r="J491" i="93"/>
  <c r="I491" i="93"/>
  <c r="F491" i="93"/>
  <c r="J490" i="93"/>
  <c r="I490" i="93"/>
  <c r="F490" i="93"/>
  <c r="J489" i="93"/>
  <c r="I489" i="93"/>
  <c r="F489" i="93"/>
  <c r="K489" i="93" s="1"/>
  <c r="N489" i="93" s="1"/>
  <c r="O489" i="93" s="1"/>
  <c r="J488" i="93"/>
  <c r="I488" i="93"/>
  <c r="F488" i="93"/>
  <c r="J487" i="93"/>
  <c r="I487" i="93"/>
  <c r="F487" i="93"/>
  <c r="J486" i="93"/>
  <c r="I486" i="93"/>
  <c r="F486" i="93"/>
  <c r="J485" i="93"/>
  <c r="I485" i="93"/>
  <c r="F485" i="93"/>
  <c r="J484" i="93"/>
  <c r="I484" i="93"/>
  <c r="F484" i="93"/>
  <c r="J483" i="93"/>
  <c r="I483" i="93"/>
  <c r="F483" i="93"/>
  <c r="J482" i="93"/>
  <c r="I482" i="93"/>
  <c r="F482" i="93"/>
  <c r="J481" i="93"/>
  <c r="I481" i="93"/>
  <c r="F481" i="93"/>
  <c r="J480" i="93"/>
  <c r="I480" i="93"/>
  <c r="F480" i="93"/>
  <c r="J479" i="93"/>
  <c r="I479" i="93"/>
  <c r="F479" i="93"/>
  <c r="J478" i="93"/>
  <c r="I478" i="93"/>
  <c r="F478" i="93"/>
  <c r="J477" i="93"/>
  <c r="I477" i="93"/>
  <c r="F477" i="93"/>
  <c r="J476" i="93"/>
  <c r="I476" i="93"/>
  <c r="F476" i="93"/>
  <c r="J475" i="93"/>
  <c r="I475" i="93"/>
  <c r="F475" i="93"/>
  <c r="J474" i="93"/>
  <c r="I474" i="93"/>
  <c r="F474" i="93"/>
  <c r="J473" i="93"/>
  <c r="I473" i="93"/>
  <c r="F473" i="93"/>
  <c r="J472" i="93"/>
  <c r="I472" i="93"/>
  <c r="F472" i="93"/>
  <c r="K472" i="93" s="1"/>
  <c r="N472" i="93" s="1"/>
  <c r="O472" i="93" s="1"/>
  <c r="J471" i="93"/>
  <c r="I471" i="93"/>
  <c r="F471" i="93"/>
  <c r="J470" i="93"/>
  <c r="I470" i="93"/>
  <c r="F470" i="93"/>
  <c r="J469" i="93"/>
  <c r="I469" i="93"/>
  <c r="F469" i="93"/>
  <c r="J468" i="93"/>
  <c r="I468" i="93"/>
  <c r="F468" i="93"/>
  <c r="K468" i="93" s="1"/>
  <c r="N468" i="93" s="1"/>
  <c r="O468" i="93" s="1"/>
  <c r="J467" i="93"/>
  <c r="I467" i="93"/>
  <c r="F467" i="93"/>
  <c r="J466" i="93"/>
  <c r="I466" i="93"/>
  <c r="F466" i="93"/>
  <c r="J465" i="93"/>
  <c r="I465" i="93"/>
  <c r="F465" i="93"/>
  <c r="J464" i="93"/>
  <c r="I464" i="93"/>
  <c r="F464" i="93"/>
  <c r="J463" i="93"/>
  <c r="I463" i="93"/>
  <c r="F463" i="93"/>
  <c r="J462" i="93"/>
  <c r="I462" i="93"/>
  <c r="F462" i="93"/>
  <c r="J461" i="93"/>
  <c r="I461" i="93"/>
  <c r="F461" i="93"/>
  <c r="J460" i="93"/>
  <c r="I460" i="93"/>
  <c r="F460" i="93"/>
  <c r="J459" i="93"/>
  <c r="I459" i="93"/>
  <c r="F459" i="93"/>
  <c r="J458" i="93"/>
  <c r="I458" i="93"/>
  <c r="F458" i="93"/>
  <c r="J457" i="93"/>
  <c r="I457" i="93"/>
  <c r="F457" i="93"/>
  <c r="J456" i="93"/>
  <c r="I456" i="93"/>
  <c r="F456" i="93"/>
  <c r="J455" i="93"/>
  <c r="I455" i="93"/>
  <c r="F455" i="93"/>
  <c r="J454" i="93"/>
  <c r="I454" i="93"/>
  <c r="F454" i="93"/>
  <c r="J453" i="93"/>
  <c r="I453" i="93"/>
  <c r="F453" i="93"/>
  <c r="J452" i="93"/>
  <c r="I452" i="93"/>
  <c r="F452" i="93"/>
  <c r="K452" i="93" s="1"/>
  <c r="N452" i="93" s="1"/>
  <c r="O452" i="93" s="1"/>
  <c r="J451" i="93"/>
  <c r="I451" i="93"/>
  <c r="F451" i="93"/>
  <c r="J450" i="93"/>
  <c r="I450" i="93"/>
  <c r="F450" i="93"/>
  <c r="J449" i="93"/>
  <c r="I449" i="93"/>
  <c r="F449" i="93"/>
  <c r="J448" i="93"/>
  <c r="I448" i="93"/>
  <c r="F448" i="93"/>
  <c r="J447" i="93"/>
  <c r="I447" i="93"/>
  <c r="F447" i="93"/>
  <c r="J446" i="93"/>
  <c r="I446" i="93"/>
  <c r="F446" i="93"/>
  <c r="J445" i="93"/>
  <c r="I445" i="93"/>
  <c r="F445" i="93"/>
  <c r="J444" i="93"/>
  <c r="I444" i="93"/>
  <c r="F444" i="93"/>
  <c r="J443" i="93"/>
  <c r="I443" i="93"/>
  <c r="F443" i="93"/>
  <c r="J442" i="93"/>
  <c r="I442" i="93"/>
  <c r="K442" i="93" s="1"/>
  <c r="N442" i="93" s="1"/>
  <c r="O442" i="93" s="1"/>
  <c r="F442" i="93"/>
  <c r="J441" i="93"/>
  <c r="I441" i="93"/>
  <c r="F441" i="93"/>
  <c r="J440" i="93"/>
  <c r="I440" i="93"/>
  <c r="F440" i="93"/>
  <c r="J439" i="93"/>
  <c r="I439" i="93"/>
  <c r="F439" i="93"/>
  <c r="J438" i="93"/>
  <c r="I438" i="93"/>
  <c r="F438" i="93"/>
  <c r="J437" i="93"/>
  <c r="I437" i="93"/>
  <c r="F437" i="93"/>
  <c r="J436" i="93"/>
  <c r="I436" i="93"/>
  <c r="F436" i="93"/>
  <c r="J435" i="93"/>
  <c r="I435" i="93"/>
  <c r="F435" i="93"/>
  <c r="J434" i="93"/>
  <c r="I434" i="93"/>
  <c r="F434" i="93"/>
  <c r="J433" i="93"/>
  <c r="I433" i="93"/>
  <c r="F433" i="93"/>
  <c r="J432" i="93"/>
  <c r="I432" i="93"/>
  <c r="F432" i="93"/>
  <c r="J431" i="93"/>
  <c r="I431" i="93"/>
  <c r="F431" i="93"/>
  <c r="J430" i="93"/>
  <c r="I430" i="93"/>
  <c r="F430" i="93"/>
  <c r="J429" i="93"/>
  <c r="I429" i="93"/>
  <c r="F429" i="93"/>
  <c r="J428" i="93"/>
  <c r="I428" i="93"/>
  <c r="F428" i="93"/>
  <c r="J427" i="93"/>
  <c r="I427" i="93"/>
  <c r="F427" i="93"/>
  <c r="J426" i="93"/>
  <c r="I426" i="93"/>
  <c r="F426" i="93"/>
  <c r="J425" i="93"/>
  <c r="I425" i="93"/>
  <c r="F425" i="93"/>
  <c r="J424" i="93"/>
  <c r="I424" i="93"/>
  <c r="F424" i="93"/>
  <c r="J423" i="93"/>
  <c r="I423" i="93"/>
  <c r="F423" i="93"/>
  <c r="J422" i="93"/>
  <c r="I422" i="93"/>
  <c r="F422" i="93"/>
  <c r="J421" i="93"/>
  <c r="I421" i="93"/>
  <c r="F421" i="93"/>
  <c r="J420" i="93"/>
  <c r="I420" i="93"/>
  <c r="F420" i="93"/>
  <c r="J419" i="93"/>
  <c r="I419" i="93"/>
  <c r="F419" i="93"/>
  <c r="J418" i="93"/>
  <c r="I418" i="93"/>
  <c r="F418" i="93"/>
  <c r="J417" i="93"/>
  <c r="I417" i="93"/>
  <c r="F417" i="93"/>
  <c r="J416" i="93"/>
  <c r="I416" i="93"/>
  <c r="F416" i="93"/>
  <c r="J415" i="93"/>
  <c r="I415" i="93"/>
  <c r="F415" i="93"/>
  <c r="J414" i="93"/>
  <c r="I414" i="93"/>
  <c r="F414" i="93"/>
  <c r="J413" i="93"/>
  <c r="I413" i="93"/>
  <c r="F413" i="93"/>
  <c r="J412" i="93"/>
  <c r="I412" i="93"/>
  <c r="F412" i="93"/>
  <c r="J411" i="93"/>
  <c r="I411" i="93"/>
  <c r="F411" i="93"/>
  <c r="J410" i="93"/>
  <c r="I410" i="93"/>
  <c r="F410" i="93"/>
  <c r="J409" i="93"/>
  <c r="I409" i="93"/>
  <c r="F409" i="93"/>
  <c r="J408" i="93"/>
  <c r="I408" i="93"/>
  <c r="F408" i="93"/>
  <c r="J407" i="93"/>
  <c r="I407" i="93"/>
  <c r="F407" i="93"/>
  <c r="J406" i="93"/>
  <c r="I406" i="93"/>
  <c r="F406" i="93"/>
  <c r="J405" i="93"/>
  <c r="I405" i="93"/>
  <c r="F405" i="93"/>
  <c r="J404" i="93"/>
  <c r="I404" i="93"/>
  <c r="F404" i="93"/>
  <c r="K404" i="93" s="1"/>
  <c r="N404" i="93" s="1"/>
  <c r="O404" i="93" s="1"/>
  <c r="J403" i="93"/>
  <c r="I403" i="93"/>
  <c r="F403" i="93"/>
  <c r="K402" i="93"/>
  <c r="N402" i="93" s="1"/>
  <c r="O402" i="93" s="1"/>
  <c r="J402" i="93"/>
  <c r="I402" i="93"/>
  <c r="F402" i="93"/>
  <c r="J401" i="93"/>
  <c r="I401" i="93"/>
  <c r="F401" i="93"/>
  <c r="J400" i="93"/>
  <c r="I400" i="93"/>
  <c r="F400" i="93"/>
  <c r="J399" i="93"/>
  <c r="I399" i="93"/>
  <c r="F399" i="93"/>
  <c r="K399" i="93" s="1"/>
  <c r="N399" i="93" s="1"/>
  <c r="O399" i="93" s="1"/>
  <c r="J398" i="93"/>
  <c r="I398" i="93"/>
  <c r="F398" i="93"/>
  <c r="J397" i="93"/>
  <c r="I397" i="93"/>
  <c r="F397" i="93"/>
  <c r="J396" i="93"/>
  <c r="I396" i="93"/>
  <c r="K396" i="93" s="1"/>
  <c r="N396" i="93" s="1"/>
  <c r="O396" i="93" s="1"/>
  <c r="F396" i="93"/>
  <c r="J395" i="93"/>
  <c r="I395" i="93"/>
  <c r="F395" i="93"/>
  <c r="J394" i="93"/>
  <c r="I394" i="93"/>
  <c r="K394" i="93" s="1"/>
  <c r="N394" i="93" s="1"/>
  <c r="O394" i="93" s="1"/>
  <c r="F394" i="93"/>
  <c r="J393" i="93"/>
  <c r="I393" i="93"/>
  <c r="F393" i="93"/>
  <c r="J392" i="93"/>
  <c r="I392" i="93"/>
  <c r="F392" i="93"/>
  <c r="J391" i="93"/>
  <c r="I391" i="93"/>
  <c r="F391" i="93"/>
  <c r="K391" i="93" s="1"/>
  <c r="N391" i="93" s="1"/>
  <c r="O391" i="93" s="1"/>
  <c r="J390" i="93"/>
  <c r="I390" i="93"/>
  <c r="F390" i="93"/>
  <c r="J389" i="93"/>
  <c r="I389" i="93"/>
  <c r="F389" i="93"/>
  <c r="J388" i="93"/>
  <c r="I388" i="93"/>
  <c r="F388" i="93"/>
  <c r="J387" i="93"/>
  <c r="I387" i="93"/>
  <c r="F387" i="93"/>
  <c r="J386" i="93"/>
  <c r="I386" i="93"/>
  <c r="F386" i="93"/>
  <c r="J385" i="93"/>
  <c r="I385" i="93"/>
  <c r="F385" i="93"/>
  <c r="J384" i="93"/>
  <c r="I384" i="93"/>
  <c r="F384" i="93"/>
  <c r="J383" i="93"/>
  <c r="I383" i="93"/>
  <c r="F383" i="93"/>
  <c r="J382" i="93"/>
  <c r="I382" i="93"/>
  <c r="F382" i="93"/>
  <c r="J381" i="93"/>
  <c r="I381" i="93"/>
  <c r="F381" i="93"/>
  <c r="J380" i="93"/>
  <c r="I380" i="93"/>
  <c r="K380" i="93" s="1"/>
  <c r="N380" i="93" s="1"/>
  <c r="O380" i="93" s="1"/>
  <c r="F380" i="93"/>
  <c r="J379" i="93"/>
  <c r="I379" i="93"/>
  <c r="F379" i="93"/>
  <c r="J378" i="93"/>
  <c r="I378" i="93"/>
  <c r="K378" i="93" s="1"/>
  <c r="N378" i="93" s="1"/>
  <c r="O378" i="93" s="1"/>
  <c r="F378" i="93"/>
  <c r="J377" i="93"/>
  <c r="I377" i="93"/>
  <c r="F377" i="93"/>
  <c r="J376" i="93"/>
  <c r="I376" i="93"/>
  <c r="F376" i="93"/>
  <c r="J375" i="93"/>
  <c r="I375" i="93"/>
  <c r="F375" i="93"/>
  <c r="J374" i="93"/>
  <c r="I374" i="93"/>
  <c r="F374" i="93"/>
  <c r="J373" i="93"/>
  <c r="I373" i="93"/>
  <c r="F373" i="93"/>
  <c r="J372" i="93"/>
  <c r="I372" i="93"/>
  <c r="F372" i="93"/>
  <c r="J371" i="93"/>
  <c r="I371" i="93"/>
  <c r="F371" i="93"/>
  <c r="J370" i="93"/>
  <c r="I370" i="93"/>
  <c r="F370" i="93"/>
  <c r="J369" i="93"/>
  <c r="I369" i="93"/>
  <c r="F369" i="93"/>
  <c r="J368" i="93"/>
  <c r="I368" i="93"/>
  <c r="F368" i="93"/>
  <c r="J367" i="93"/>
  <c r="I367" i="93"/>
  <c r="F367" i="93"/>
  <c r="J366" i="93"/>
  <c r="I366" i="93"/>
  <c r="F366" i="93"/>
  <c r="J365" i="93"/>
  <c r="I365" i="93"/>
  <c r="F365" i="93"/>
  <c r="J364" i="93"/>
  <c r="I364" i="93"/>
  <c r="F364" i="93"/>
  <c r="J363" i="93"/>
  <c r="I363" i="93"/>
  <c r="F363" i="93"/>
  <c r="J362" i="93"/>
  <c r="I362" i="93"/>
  <c r="F362" i="93"/>
  <c r="J361" i="93"/>
  <c r="I361" i="93"/>
  <c r="F361" i="93"/>
  <c r="J360" i="93"/>
  <c r="I360" i="93"/>
  <c r="F360" i="93"/>
  <c r="J359" i="93"/>
  <c r="I359" i="93"/>
  <c r="F359" i="93"/>
  <c r="J358" i="93"/>
  <c r="I358" i="93"/>
  <c r="F358" i="93"/>
  <c r="J357" i="93"/>
  <c r="I357" i="93"/>
  <c r="F357" i="93"/>
  <c r="J356" i="93"/>
  <c r="I356" i="93"/>
  <c r="F356" i="93"/>
  <c r="J355" i="93"/>
  <c r="I355" i="93"/>
  <c r="F355" i="93"/>
  <c r="J354" i="93"/>
  <c r="I354" i="93"/>
  <c r="F354" i="93"/>
  <c r="J353" i="93"/>
  <c r="I353" i="93"/>
  <c r="F353" i="93"/>
  <c r="J352" i="93"/>
  <c r="I352" i="93"/>
  <c r="F352" i="93"/>
  <c r="J351" i="93"/>
  <c r="I351" i="93"/>
  <c r="F351" i="93"/>
  <c r="J350" i="93"/>
  <c r="I350" i="93"/>
  <c r="F350" i="93"/>
  <c r="J349" i="93"/>
  <c r="I349" i="93"/>
  <c r="F349" i="93"/>
  <c r="K349" i="93" s="1"/>
  <c r="N349" i="93" s="1"/>
  <c r="O349" i="93" s="1"/>
  <c r="J348" i="93"/>
  <c r="I348" i="93"/>
  <c r="F348" i="93"/>
  <c r="J347" i="93"/>
  <c r="I347" i="93"/>
  <c r="F347" i="93"/>
  <c r="J346" i="93"/>
  <c r="I346" i="93"/>
  <c r="F346" i="93"/>
  <c r="J345" i="93"/>
  <c r="I345" i="93"/>
  <c r="F345" i="93"/>
  <c r="J344" i="93"/>
  <c r="I344" i="93"/>
  <c r="F344" i="93"/>
  <c r="J343" i="93"/>
  <c r="I343" i="93"/>
  <c r="F343" i="93"/>
  <c r="J342" i="93"/>
  <c r="I342" i="93"/>
  <c r="F342" i="93"/>
  <c r="J341" i="93"/>
  <c r="I341" i="93"/>
  <c r="F341" i="93"/>
  <c r="K341" i="93" s="1"/>
  <c r="N341" i="93" s="1"/>
  <c r="O341" i="93" s="1"/>
  <c r="J340" i="93"/>
  <c r="I340" i="93"/>
  <c r="F340" i="93"/>
  <c r="J339" i="93"/>
  <c r="I339" i="93"/>
  <c r="F339" i="93"/>
  <c r="K339" i="93" s="1"/>
  <c r="N339" i="93" s="1"/>
  <c r="O339" i="93" s="1"/>
  <c r="J338" i="93"/>
  <c r="I338" i="93"/>
  <c r="K338" i="93" s="1"/>
  <c r="N338" i="93" s="1"/>
  <c r="O338" i="93" s="1"/>
  <c r="F338" i="93"/>
  <c r="J337" i="93"/>
  <c r="I337" i="93"/>
  <c r="F337" i="93"/>
  <c r="J336" i="93"/>
  <c r="I336" i="93"/>
  <c r="F336" i="93"/>
  <c r="J335" i="93"/>
  <c r="I335" i="93"/>
  <c r="F335" i="93"/>
  <c r="K335" i="93" s="1"/>
  <c r="N335" i="93" s="1"/>
  <c r="O335" i="93" s="1"/>
  <c r="J334" i="93"/>
  <c r="I334" i="93"/>
  <c r="K334" i="93" s="1"/>
  <c r="N334" i="93" s="1"/>
  <c r="O334" i="93" s="1"/>
  <c r="F334" i="93"/>
  <c r="J333" i="93"/>
  <c r="I333" i="93"/>
  <c r="F333" i="93"/>
  <c r="J332" i="93"/>
  <c r="I332" i="93"/>
  <c r="F332" i="93"/>
  <c r="J331" i="93"/>
  <c r="I331" i="93"/>
  <c r="F331" i="93"/>
  <c r="J330" i="93"/>
  <c r="I330" i="93"/>
  <c r="F330" i="93"/>
  <c r="J329" i="93"/>
  <c r="I329" i="93"/>
  <c r="F329" i="93"/>
  <c r="J328" i="93"/>
  <c r="I328" i="93"/>
  <c r="F328" i="93"/>
  <c r="J327" i="93"/>
  <c r="I327" i="93"/>
  <c r="F327" i="93"/>
  <c r="J326" i="93"/>
  <c r="I326" i="93"/>
  <c r="F326" i="93"/>
  <c r="J325" i="93"/>
  <c r="I325" i="93"/>
  <c r="F325" i="93"/>
  <c r="J324" i="93"/>
  <c r="I324" i="93"/>
  <c r="F324" i="93"/>
  <c r="J323" i="93"/>
  <c r="I323" i="93"/>
  <c r="F323" i="93"/>
  <c r="K323" i="93" s="1"/>
  <c r="N323" i="93" s="1"/>
  <c r="O323" i="93" s="1"/>
  <c r="J322" i="93"/>
  <c r="I322" i="93"/>
  <c r="K322" i="93" s="1"/>
  <c r="N322" i="93" s="1"/>
  <c r="O322" i="93" s="1"/>
  <c r="F322" i="93"/>
  <c r="J321" i="93"/>
  <c r="I321" i="93"/>
  <c r="F321" i="93"/>
  <c r="J320" i="93"/>
  <c r="I320" i="93"/>
  <c r="F320" i="93"/>
  <c r="J319" i="93"/>
  <c r="I319" i="93"/>
  <c r="F319" i="93"/>
  <c r="K319" i="93" s="1"/>
  <c r="N319" i="93" s="1"/>
  <c r="O319" i="93" s="1"/>
  <c r="J318" i="93"/>
  <c r="I318" i="93"/>
  <c r="K318" i="93" s="1"/>
  <c r="N318" i="93" s="1"/>
  <c r="O318" i="93" s="1"/>
  <c r="F318" i="93"/>
  <c r="J317" i="93"/>
  <c r="I317" i="93"/>
  <c r="F317" i="93"/>
  <c r="J316" i="93"/>
  <c r="I316" i="93"/>
  <c r="F316" i="93"/>
  <c r="J315" i="93"/>
  <c r="I315" i="93"/>
  <c r="F315" i="93"/>
  <c r="K315" i="93" s="1"/>
  <c r="N315" i="93" s="1"/>
  <c r="O315" i="93" s="1"/>
  <c r="J314" i="93"/>
  <c r="I314" i="93"/>
  <c r="F314" i="93"/>
  <c r="J313" i="93"/>
  <c r="I313" i="93"/>
  <c r="F313" i="93"/>
  <c r="J312" i="93"/>
  <c r="I312" i="93"/>
  <c r="F312" i="93"/>
  <c r="J311" i="93"/>
  <c r="I311" i="93"/>
  <c r="F311" i="93"/>
  <c r="K311" i="93" s="1"/>
  <c r="N311" i="93" s="1"/>
  <c r="O311" i="93" s="1"/>
  <c r="J310" i="93"/>
  <c r="I310" i="93"/>
  <c r="F310" i="93"/>
  <c r="J309" i="93"/>
  <c r="I309" i="93"/>
  <c r="F309" i="93"/>
  <c r="J308" i="93"/>
  <c r="I308" i="93"/>
  <c r="F308" i="93"/>
  <c r="J307" i="93"/>
  <c r="I307" i="93"/>
  <c r="F307" i="93"/>
  <c r="J306" i="93"/>
  <c r="I306" i="93"/>
  <c r="F306" i="93"/>
  <c r="J305" i="93"/>
  <c r="I305" i="93"/>
  <c r="F305" i="93"/>
  <c r="J304" i="93"/>
  <c r="I304" i="93"/>
  <c r="F304" i="93"/>
  <c r="J303" i="93"/>
  <c r="I303" i="93"/>
  <c r="F303" i="93"/>
  <c r="J302" i="93"/>
  <c r="I302" i="93"/>
  <c r="F302" i="93"/>
  <c r="J301" i="93"/>
  <c r="I301" i="93"/>
  <c r="F301" i="93"/>
  <c r="J300" i="93"/>
  <c r="I300" i="93"/>
  <c r="F300" i="93"/>
  <c r="J299" i="93"/>
  <c r="I299" i="93"/>
  <c r="F299" i="93"/>
  <c r="J298" i="93"/>
  <c r="I298" i="93"/>
  <c r="F298" i="93"/>
  <c r="J297" i="93"/>
  <c r="I297" i="93"/>
  <c r="F297" i="93"/>
  <c r="J296" i="93"/>
  <c r="I296" i="93"/>
  <c r="F296" i="93"/>
  <c r="J295" i="93"/>
  <c r="I295" i="93"/>
  <c r="F295" i="93"/>
  <c r="J294" i="93"/>
  <c r="I294" i="93"/>
  <c r="F294" i="93"/>
  <c r="J293" i="93"/>
  <c r="I293" i="93"/>
  <c r="F293" i="93"/>
  <c r="J292" i="93"/>
  <c r="I292" i="93"/>
  <c r="F292" i="93"/>
  <c r="J291" i="93"/>
  <c r="I291" i="93"/>
  <c r="F291" i="93"/>
  <c r="J290" i="93"/>
  <c r="I290" i="93"/>
  <c r="F290" i="93"/>
  <c r="J289" i="93"/>
  <c r="I289" i="93"/>
  <c r="F289" i="93"/>
  <c r="J288" i="93"/>
  <c r="I288" i="93"/>
  <c r="F288" i="93"/>
  <c r="J287" i="93"/>
  <c r="I287" i="93"/>
  <c r="F287" i="93"/>
  <c r="J286" i="93"/>
  <c r="I286" i="93"/>
  <c r="F286" i="93"/>
  <c r="J285" i="93"/>
  <c r="I285" i="93"/>
  <c r="F285" i="93"/>
  <c r="J284" i="93"/>
  <c r="I284" i="93"/>
  <c r="F284" i="93"/>
  <c r="J283" i="93"/>
  <c r="I283" i="93"/>
  <c r="F283" i="93"/>
  <c r="J282" i="93"/>
  <c r="I282" i="93"/>
  <c r="F282" i="93"/>
  <c r="J281" i="93"/>
  <c r="I281" i="93"/>
  <c r="F281" i="93"/>
  <c r="J280" i="93"/>
  <c r="I280" i="93"/>
  <c r="F280" i="93"/>
  <c r="J279" i="93"/>
  <c r="I279" i="93"/>
  <c r="F279" i="93"/>
  <c r="J278" i="93"/>
  <c r="I278" i="93"/>
  <c r="F278" i="93"/>
  <c r="J277" i="93"/>
  <c r="I277" i="93"/>
  <c r="F277" i="93"/>
  <c r="J276" i="93"/>
  <c r="I276" i="93"/>
  <c r="F276" i="93"/>
  <c r="J275" i="93"/>
  <c r="I275" i="93"/>
  <c r="F275" i="93"/>
  <c r="J274" i="93"/>
  <c r="I274" i="93"/>
  <c r="F274" i="93"/>
  <c r="J273" i="93"/>
  <c r="I273" i="93"/>
  <c r="F273" i="93"/>
  <c r="K273" i="93" s="1"/>
  <c r="N273" i="93" s="1"/>
  <c r="O273" i="93" s="1"/>
  <c r="J272" i="93"/>
  <c r="I272" i="93"/>
  <c r="F272" i="93"/>
  <c r="J271" i="93"/>
  <c r="I271" i="93"/>
  <c r="F271" i="93"/>
  <c r="J270" i="93"/>
  <c r="I270" i="93"/>
  <c r="F270" i="93"/>
  <c r="J269" i="93"/>
  <c r="I269" i="93"/>
  <c r="F269" i="93"/>
  <c r="J268" i="93"/>
  <c r="I268" i="93"/>
  <c r="F268" i="93"/>
  <c r="J267" i="93"/>
  <c r="I267" i="93"/>
  <c r="F267" i="93"/>
  <c r="J266" i="93"/>
  <c r="I266" i="93"/>
  <c r="F266" i="93"/>
  <c r="J265" i="93"/>
  <c r="I265" i="93"/>
  <c r="F265" i="93"/>
  <c r="J264" i="93"/>
  <c r="I264" i="93"/>
  <c r="F264" i="93"/>
  <c r="J263" i="93"/>
  <c r="I263" i="93"/>
  <c r="F263" i="93"/>
  <c r="J262" i="93"/>
  <c r="I262" i="93"/>
  <c r="F262" i="93"/>
  <c r="J261" i="93"/>
  <c r="I261" i="93"/>
  <c r="F261" i="93"/>
  <c r="J260" i="93"/>
  <c r="I260" i="93"/>
  <c r="F260" i="93"/>
  <c r="J259" i="93"/>
  <c r="I259" i="93"/>
  <c r="F259" i="93"/>
  <c r="K259" i="93" s="1"/>
  <c r="N259" i="93" s="1"/>
  <c r="O259" i="93" s="1"/>
  <c r="J258" i="93"/>
  <c r="I258" i="93"/>
  <c r="K258" i="93" s="1"/>
  <c r="N258" i="93" s="1"/>
  <c r="O258" i="93" s="1"/>
  <c r="F258" i="93"/>
  <c r="J257" i="93"/>
  <c r="I257" i="93"/>
  <c r="F257" i="93"/>
  <c r="J256" i="93"/>
  <c r="I256" i="93"/>
  <c r="F256" i="93"/>
  <c r="J255" i="93"/>
  <c r="I255" i="93"/>
  <c r="F255" i="93"/>
  <c r="K255" i="93" s="1"/>
  <c r="N255" i="93" s="1"/>
  <c r="O255" i="93" s="1"/>
  <c r="J254" i="93"/>
  <c r="I254" i="93"/>
  <c r="K254" i="93" s="1"/>
  <c r="N254" i="93" s="1"/>
  <c r="O254" i="93" s="1"/>
  <c r="F254" i="93"/>
  <c r="J253" i="93"/>
  <c r="I253" i="93"/>
  <c r="F253" i="93"/>
  <c r="J252" i="93"/>
  <c r="I252" i="93"/>
  <c r="K252" i="93" s="1"/>
  <c r="N252" i="93" s="1"/>
  <c r="O252" i="93" s="1"/>
  <c r="F252" i="93"/>
  <c r="J251" i="93"/>
  <c r="I251" i="93"/>
  <c r="F251" i="93"/>
  <c r="K251" i="93" s="1"/>
  <c r="N251" i="93" s="1"/>
  <c r="O251" i="93" s="1"/>
  <c r="J250" i="93"/>
  <c r="I250" i="93"/>
  <c r="F250" i="93"/>
  <c r="J249" i="93"/>
  <c r="I249" i="93"/>
  <c r="F249" i="93"/>
  <c r="J248" i="93"/>
  <c r="I248" i="93"/>
  <c r="K248" i="93" s="1"/>
  <c r="N248" i="93" s="1"/>
  <c r="O248" i="93" s="1"/>
  <c r="F248" i="93"/>
  <c r="J247" i="93"/>
  <c r="I247" i="93"/>
  <c r="F247" i="93"/>
  <c r="J246" i="93"/>
  <c r="I246" i="93"/>
  <c r="F246" i="93"/>
  <c r="J245" i="93"/>
  <c r="I245" i="93"/>
  <c r="F245" i="93"/>
  <c r="J244" i="93"/>
  <c r="I244" i="93"/>
  <c r="F244" i="93"/>
  <c r="J243" i="93"/>
  <c r="I243" i="93"/>
  <c r="F243" i="93"/>
  <c r="J242" i="93"/>
  <c r="I242" i="93"/>
  <c r="F242" i="93"/>
  <c r="J241" i="93"/>
  <c r="I241" i="93"/>
  <c r="F241" i="93"/>
  <c r="J240" i="93"/>
  <c r="I240" i="93"/>
  <c r="F240" i="93"/>
  <c r="J239" i="93"/>
  <c r="I239" i="93"/>
  <c r="F239" i="93"/>
  <c r="K239" i="93" s="1"/>
  <c r="N239" i="93" s="1"/>
  <c r="O239" i="93" s="1"/>
  <c r="J238" i="93"/>
  <c r="I238" i="93"/>
  <c r="K238" i="93" s="1"/>
  <c r="N238" i="93" s="1"/>
  <c r="O238" i="93" s="1"/>
  <c r="F238" i="93"/>
  <c r="J237" i="93"/>
  <c r="I237" i="93"/>
  <c r="F237" i="93"/>
  <c r="J236" i="93"/>
  <c r="I236" i="93"/>
  <c r="K236" i="93" s="1"/>
  <c r="N236" i="93" s="1"/>
  <c r="O236" i="93" s="1"/>
  <c r="F236" i="93"/>
  <c r="J235" i="93"/>
  <c r="I235" i="93"/>
  <c r="F235" i="93"/>
  <c r="K235" i="93" s="1"/>
  <c r="N235" i="93" s="1"/>
  <c r="O235" i="93" s="1"/>
  <c r="J234" i="93"/>
  <c r="I234" i="93"/>
  <c r="F234" i="93"/>
  <c r="J233" i="93"/>
  <c r="I233" i="93"/>
  <c r="F233" i="93"/>
  <c r="J232" i="93"/>
  <c r="I232" i="93"/>
  <c r="K232" i="93" s="1"/>
  <c r="N232" i="93" s="1"/>
  <c r="O232" i="93" s="1"/>
  <c r="F232" i="93"/>
  <c r="J231" i="93"/>
  <c r="I231" i="93"/>
  <c r="F231" i="93"/>
  <c r="J230" i="93"/>
  <c r="I230" i="93"/>
  <c r="F230" i="93"/>
  <c r="J229" i="93"/>
  <c r="I229" i="93"/>
  <c r="F229" i="93"/>
  <c r="J228" i="93"/>
  <c r="I228" i="93"/>
  <c r="F228" i="93"/>
  <c r="J227" i="93"/>
  <c r="I227" i="93"/>
  <c r="F227" i="93"/>
  <c r="J226" i="93"/>
  <c r="I226" i="93"/>
  <c r="F226" i="93"/>
  <c r="J225" i="93"/>
  <c r="I225" i="93"/>
  <c r="F225" i="93"/>
  <c r="J224" i="93"/>
  <c r="I224" i="93"/>
  <c r="F224" i="93"/>
  <c r="J223" i="93"/>
  <c r="I223" i="93"/>
  <c r="F223" i="93"/>
  <c r="J222" i="93"/>
  <c r="I222" i="93"/>
  <c r="F222" i="93"/>
  <c r="J221" i="93"/>
  <c r="I221" i="93"/>
  <c r="F221" i="93"/>
  <c r="J220" i="93"/>
  <c r="I220" i="93"/>
  <c r="F220" i="93"/>
  <c r="J219" i="93"/>
  <c r="I219" i="93"/>
  <c r="F219" i="93"/>
  <c r="J218" i="93"/>
  <c r="I218" i="93"/>
  <c r="F218" i="93"/>
  <c r="J217" i="93"/>
  <c r="I217" i="93"/>
  <c r="F217" i="93"/>
  <c r="J216" i="93"/>
  <c r="I216" i="93"/>
  <c r="F216" i="93"/>
  <c r="J215" i="93"/>
  <c r="I215" i="93"/>
  <c r="F215" i="93"/>
  <c r="J214" i="93"/>
  <c r="I214" i="93"/>
  <c r="F214" i="93"/>
  <c r="J213" i="93"/>
  <c r="I213" i="93"/>
  <c r="F213" i="93"/>
  <c r="J212" i="93"/>
  <c r="I212" i="93"/>
  <c r="F212" i="93"/>
  <c r="J211" i="93"/>
  <c r="I211" i="93"/>
  <c r="F211" i="93"/>
  <c r="J210" i="93"/>
  <c r="I210" i="93"/>
  <c r="F210" i="93"/>
  <c r="J209" i="93"/>
  <c r="I209" i="93"/>
  <c r="F209" i="93"/>
  <c r="J208" i="93"/>
  <c r="I208" i="93"/>
  <c r="F208" i="93"/>
  <c r="J207" i="93"/>
  <c r="I207" i="93"/>
  <c r="F207" i="93"/>
  <c r="J206" i="93"/>
  <c r="I206" i="93"/>
  <c r="F206" i="93"/>
  <c r="J205" i="93"/>
  <c r="I205" i="93"/>
  <c r="F205" i="93"/>
  <c r="J204" i="93"/>
  <c r="I204" i="93"/>
  <c r="F204" i="93"/>
  <c r="J203" i="93"/>
  <c r="I203" i="93"/>
  <c r="F203" i="93"/>
  <c r="J202" i="93"/>
  <c r="I202" i="93"/>
  <c r="F202" i="93"/>
  <c r="J201" i="93"/>
  <c r="I201" i="93"/>
  <c r="F201" i="93"/>
  <c r="J200" i="93"/>
  <c r="I200" i="93"/>
  <c r="F200" i="93"/>
  <c r="J199" i="93"/>
  <c r="I199" i="93"/>
  <c r="F199" i="93"/>
  <c r="K199" i="93" s="1"/>
  <c r="N199" i="93" s="1"/>
  <c r="O199" i="93" s="1"/>
  <c r="J198" i="93"/>
  <c r="I198" i="93"/>
  <c r="F198" i="93"/>
  <c r="J197" i="93"/>
  <c r="I197" i="93"/>
  <c r="F197" i="93"/>
  <c r="J196" i="93"/>
  <c r="I196" i="93"/>
  <c r="F196" i="93"/>
  <c r="J195" i="93"/>
  <c r="I195" i="93"/>
  <c r="F195" i="93"/>
  <c r="J194" i="93"/>
  <c r="I194" i="93"/>
  <c r="F194" i="93"/>
  <c r="J193" i="93"/>
  <c r="I193" i="93"/>
  <c r="F193" i="93"/>
  <c r="J192" i="93"/>
  <c r="I192" i="93"/>
  <c r="F192" i="93"/>
  <c r="J191" i="93"/>
  <c r="I191" i="93"/>
  <c r="F191" i="93"/>
  <c r="K191" i="93" s="1"/>
  <c r="N191" i="93" s="1"/>
  <c r="O191" i="93" s="1"/>
  <c r="J190" i="93"/>
  <c r="I190" i="93"/>
  <c r="K190" i="93" s="1"/>
  <c r="N190" i="93" s="1"/>
  <c r="O190" i="93" s="1"/>
  <c r="F190" i="93"/>
  <c r="J189" i="93"/>
  <c r="I189" i="93"/>
  <c r="F189" i="93"/>
  <c r="J188" i="93"/>
  <c r="I188" i="93"/>
  <c r="K188" i="93" s="1"/>
  <c r="N188" i="93" s="1"/>
  <c r="O188" i="93" s="1"/>
  <c r="F188" i="93"/>
  <c r="J187" i="93"/>
  <c r="I187" i="93"/>
  <c r="F187" i="93"/>
  <c r="K187" i="93" s="1"/>
  <c r="N187" i="93" s="1"/>
  <c r="O187" i="93" s="1"/>
  <c r="J186" i="93"/>
  <c r="I186" i="93"/>
  <c r="F186" i="93"/>
  <c r="J185" i="93"/>
  <c r="I185" i="93"/>
  <c r="F185" i="93"/>
  <c r="J184" i="93"/>
  <c r="I184" i="93"/>
  <c r="K184" i="93" s="1"/>
  <c r="N184" i="93" s="1"/>
  <c r="O184" i="93" s="1"/>
  <c r="F184" i="93"/>
  <c r="J183" i="93"/>
  <c r="I183" i="93"/>
  <c r="F183" i="93"/>
  <c r="J182" i="93"/>
  <c r="I182" i="93"/>
  <c r="F182" i="93"/>
  <c r="J181" i="93"/>
  <c r="I181" i="93"/>
  <c r="F181" i="93"/>
  <c r="J180" i="93"/>
  <c r="I180" i="93"/>
  <c r="F180" i="93"/>
  <c r="J179" i="93"/>
  <c r="I179" i="93"/>
  <c r="F179" i="93"/>
  <c r="J178" i="93"/>
  <c r="I178" i="93"/>
  <c r="F178" i="93"/>
  <c r="J177" i="93"/>
  <c r="I177" i="93"/>
  <c r="F177" i="93"/>
  <c r="J176" i="93"/>
  <c r="I176" i="93"/>
  <c r="F176" i="93"/>
  <c r="J175" i="93"/>
  <c r="I175" i="93"/>
  <c r="F175" i="93"/>
  <c r="K175" i="93" s="1"/>
  <c r="N175" i="93" s="1"/>
  <c r="O175" i="93" s="1"/>
  <c r="J174" i="93"/>
  <c r="I174" i="93"/>
  <c r="K174" i="93" s="1"/>
  <c r="N174" i="93" s="1"/>
  <c r="O174" i="93" s="1"/>
  <c r="F174" i="93"/>
  <c r="J173" i="93"/>
  <c r="I173" i="93"/>
  <c r="F173" i="93"/>
  <c r="J172" i="93"/>
  <c r="I172" i="93"/>
  <c r="K172" i="93" s="1"/>
  <c r="N172" i="93" s="1"/>
  <c r="O172" i="93" s="1"/>
  <c r="F172" i="93"/>
  <c r="J171" i="93"/>
  <c r="I171" i="93"/>
  <c r="F171" i="93"/>
  <c r="K171" i="93" s="1"/>
  <c r="N171" i="93" s="1"/>
  <c r="O171" i="93" s="1"/>
  <c r="J170" i="93"/>
  <c r="I170" i="93"/>
  <c r="F170" i="93"/>
  <c r="J169" i="93"/>
  <c r="I169" i="93"/>
  <c r="F169" i="93"/>
  <c r="J168" i="93"/>
  <c r="I168" i="93"/>
  <c r="K168" i="93" s="1"/>
  <c r="N168" i="93" s="1"/>
  <c r="O168" i="93" s="1"/>
  <c r="F168" i="93"/>
  <c r="J167" i="93"/>
  <c r="I167" i="93"/>
  <c r="F167" i="93"/>
  <c r="K167" i="93" s="1"/>
  <c r="N167" i="93" s="1"/>
  <c r="O167" i="93" s="1"/>
  <c r="J166" i="93"/>
  <c r="I166" i="93"/>
  <c r="F166" i="93"/>
  <c r="J165" i="93"/>
  <c r="I165" i="93"/>
  <c r="F165" i="93"/>
  <c r="J164" i="93"/>
  <c r="I164" i="93"/>
  <c r="F164" i="93"/>
  <c r="J163" i="93"/>
  <c r="I163" i="93"/>
  <c r="F163" i="93"/>
  <c r="J162" i="93"/>
  <c r="I162" i="93"/>
  <c r="F162" i="93"/>
  <c r="J161" i="93"/>
  <c r="I161" i="93"/>
  <c r="F161" i="93"/>
  <c r="J160" i="93"/>
  <c r="I160" i="93"/>
  <c r="F160" i="93"/>
  <c r="J159" i="93"/>
  <c r="I159" i="93"/>
  <c r="F159" i="93"/>
  <c r="J158" i="93"/>
  <c r="I158" i="93"/>
  <c r="F158" i="93"/>
  <c r="J157" i="93"/>
  <c r="I157" i="93"/>
  <c r="F157" i="93"/>
  <c r="J156" i="93"/>
  <c r="I156" i="93"/>
  <c r="F156" i="93"/>
  <c r="J155" i="93"/>
  <c r="I155" i="93"/>
  <c r="F155" i="93"/>
  <c r="J154" i="93"/>
  <c r="I154" i="93"/>
  <c r="F154" i="93"/>
  <c r="J153" i="93"/>
  <c r="I153" i="93"/>
  <c r="F153" i="93"/>
  <c r="J152" i="93"/>
  <c r="I152" i="93"/>
  <c r="F152" i="93"/>
  <c r="J151" i="93"/>
  <c r="I151" i="93"/>
  <c r="K151" i="93" s="1"/>
  <c r="N151" i="93" s="1"/>
  <c r="O151" i="93" s="1"/>
  <c r="F151" i="93"/>
  <c r="J150" i="93"/>
  <c r="I150" i="93"/>
  <c r="F150" i="93"/>
  <c r="J149" i="93"/>
  <c r="I149" i="93"/>
  <c r="F149" i="93"/>
  <c r="J148" i="93"/>
  <c r="I148" i="93"/>
  <c r="F148" i="93"/>
  <c r="J147" i="93"/>
  <c r="I147" i="93"/>
  <c r="F147" i="93"/>
  <c r="J146" i="93"/>
  <c r="I146" i="93"/>
  <c r="F146" i="93"/>
  <c r="K146" i="93" s="1"/>
  <c r="N146" i="93" s="1"/>
  <c r="O146" i="93" s="1"/>
  <c r="J145" i="93"/>
  <c r="I145" i="93"/>
  <c r="F145" i="93"/>
  <c r="J144" i="93"/>
  <c r="I144" i="93"/>
  <c r="F144" i="93"/>
  <c r="J143" i="93"/>
  <c r="I143" i="93"/>
  <c r="F143" i="93"/>
  <c r="J142" i="93"/>
  <c r="I142" i="93"/>
  <c r="F142" i="93"/>
  <c r="J141" i="93"/>
  <c r="I141" i="93"/>
  <c r="F141" i="93"/>
  <c r="J140" i="93"/>
  <c r="I140" i="93"/>
  <c r="F140" i="93"/>
  <c r="J139" i="93"/>
  <c r="I139" i="93"/>
  <c r="F139" i="93"/>
  <c r="J138" i="93"/>
  <c r="I138" i="93"/>
  <c r="F138" i="93"/>
  <c r="J137" i="93"/>
  <c r="I137" i="93"/>
  <c r="F137" i="93"/>
  <c r="J136" i="93"/>
  <c r="I136" i="93"/>
  <c r="F136" i="93"/>
  <c r="J135" i="93"/>
  <c r="I135" i="93"/>
  <c r="F135" i="93"/>
  <c r="J134" i="93"/>
  <c r="I134" i="93"/>
  <c r="F134" i="93"/>
  <c r="J133" i="93"/>
  <c r="I133" i="93"/>
  <c r="F133" i="93"/>
  <c r="J132" i="93"/>
  <c r="I132" i="93"/>
  <c r="F132" i="93"/>
  <c r="J131" i="93"/>
  <c r="I131" i="93"/>
  <c r="F131" i="93"/>
  <c r="J130" i="93"/>
  <c r="I130" i="93"/>
  <c r="F130" i="93"/>
  <c r="J129" i="93"/>
  <c r="I129" i="93"/>
  <c r="F129" i="93"/>
  <c r="J128" i="93"/>
  <c r="I128" i="93"/>
  <c r="F128" i="93"/>
  <c r="J127" i="93"/>
  <c r="I127" i="93"/>
  <c r="F127" i="93"/>
  <c r="J126" i="93"/>
  <c r="I126" i="93"/>
  <c r="F126" i="93"/>
  <c r="J125" i="93"/>
  <c r="I125" i="93"/>
  <c r="F125" i="93"/>
  <c r="J124" i="93"/>
  <c r="I124" i="93"/>
  <c r="F124" i="93"/>
  <c r="J123" i="93"/>
  <c r="I123" i="93"/>
  <c r="F123" i="93"/>
  <c r="J122" i="93"/>
  <c r="I122" i="93"/>
  <c r="F122" i="93"/>
  <c r="J121" i="93"/>
  <c r="I121" i="93"/>
  <c r="F121" i="93"/>
  <c r="J120" i="93"/>
  <c r="I120" i="93"/>
  <c r="F120" i="93"/>
  <c r="J119" i="93"/>
  <c r="I119" i="93"/>
  <c r="F119" i="93"/>
  <c r="J118" i="93"/>
  <c r="I118" i="93"/>
  <c r="F118" i="93"/>
  <c r="J117" i="93"/>
  <c r="I117" i="93"/>
  <c r="F117" i="93"/>
  <c r="J116" i="93"/>
  <c r="I116" i="93"/>
  <c r="F116" i="93"/>
  <c r="J115" i="93"/>
  <c r="I115" i="93"/>
  <c r="F115" i="93"/>
  <c r="J114" i="93"/>
  <c r="I114" i="93"/>
  <c r="F114" i="93"/>
  <c r="J113" i="93"/>
  <c r="I113" i="93"/>
  <c r="F113" i="93"/>
  <c r="J112" i="93"/>
  <c r="I112" i="93"/>
  <c r="F112" i="93"/>
  <c r="J111" i="93"/>
  <c r="I111" i="93"/>
  <c r="F111" i="93"/>
  <c r="J110" i="93"/>
  <c r="I110" i="93"/>
  <c r="F110" i="93"/>
  <c r="J109" i="93"/>
  <c r="I109" i="93"/>
  <c r="F109" i="93"/>
  <c r="J108" i="93"/>
  <c r="I108" i="93"/>
  <c r="F108" i="93"/>
  <c r="J107" i="93"/>
  <c r="I107" i="93"/>
  <c r="F107" i="93"/>
  <c r="J106" i="93"/>
  <c r="I106" i="93"/>
  <c r="F106" i="93"/>
  <c r="J105" i="93"/>
  <c r="I105" i="93"/>
  <c r="F105" i="93"/>
  <c r="K105" i="93" s="1"/>
  <c r="N105" i="93" s="1"/>
  <c r="O105" i="93" s="1"/>
  <c r="J104" i="93"/>
  <c r="I104" i="93"/>
  <c r="F104" i="93"/>
  <c r="J103" i="93"/>
  <c r="I103" i="93"/>
  <c r="K103" i="93" s="1"/>
  <c r="N103" i="93" s="1"/>
  <c r="O103" i="93" s="1"/>
  <c r="F103" i="93"/>
  <c r="J102" i="93"/>
  <c r="I102" i="93"/>
  <c r="F102" i="93"/>
  <c r="J101" i="93"/>
  <c r="I101" i="93"/>
  <c r="F101" i="93"/>
  <c r="J100" i="93"/>
  <c r="I100" i="93"/>
  <c r="F100" i="93"/>
  <c r="J99" i="93"/>
  <c r="I99" i="93"/>
  <c r="F99" i="93"/>
  <c r="J98" i="93"/>
  <c r="I98" i="93"/>
  <c r="F98" i="93"/>
  <c r="K98" i="93" s="1"/>
  <c r="N98" i="93" s="1"/>
  <c r="O98" i="93" s="1"/>
  <c r="J97" i="93"/>
  <c r="I97" i="93"/>
  <c r="F97" i="93"/>
  <c r="J96" i="93"/>
  <c r="I96" i="93"/>
  <c r="F96" i="93"/>
  <c r="J95" i="93"/>
  <c r="I95" i="93"/>
  <c r="F95" i="93"/>
  <c r="J94" i="93"/>
  <c r="I94" i="93"/>
  <c r="F94" i="93"/>
  <c r="J93" i="93"/>
  <c r="I93" i="93"/>
  <c r="F93" i="93"/>
  <c r="J92" i="93"/>
  <c r="I92" i="93"/>
  <c r="F92" i="93"/>
  <c r="J91" i="93"/>
  <c r="I91" i="93"/>
  <c r="F91" i="93"/>
  <c r="J90" i="93"/>
  <c r="I90" i="93"/>
  <c r="F90" i="93"/>
  <c r="J89" i="93"/>
  <c r="I89" i="93"/>
  <c r="F89" i="93"/>
  <c r="J88" i="93"/>
  <c r="I88" i="93"/>
  <c r="F88" i="93"/>
  <c r="J87" i="93"/>
  <c r="I87" i="93"/>
  <c r="K87" i="93" s="1"/>
  <c r="N87" i="93" s="1"/>
  <c r="O87" i="93" s="1"/>
  <c r="F87" i="93"/>
  <c r="J86" i="93"/>
  <c r="I86" i="93"/>
  <c r="F86" i="93"/>
  <c r="J85" i="93"/>
  <c r="I85" i="93"/>
  <c r="F85" i="93"/>
  <c r="J84" i="93"/>
  <c r="I84" i="93"/>
  <c r="F84" i="93"/>
  <c r="J83" i="93"/>
  <c r="I83" i="93"/>
  <c r="F83" i="93"/>
  <c r="J82" i="93"/>
  <c r="I82" i="93"/>
  <c r="F82" i="93"/>
  <c r="K82" i="93" s="1"/>
  <c r="N82" i="93" s="1"/>
  <c r="O82" i="93" s="1"/>
  <c r="J81" i="93"/>
  <c r="I81" i="93"/>
  <c r="F81" i="93"/>
  <c r="J80" i="93"/>
  <c r="I80" i="93"/>
  <c r="F80" i="93"/>
  <c r="J79" i="93"/>
  <c r="I79" i="93"/>
  <c r="F79" i="93"/>
  <c r="J78" i="93"/>
  <c r="I78" i="93"/>
  <c r="F78" i="93"/>
  <c r="J77" i="93"/>
  <c r="I77" i="93"/>
  <c r="F77" i="93"/>
  <c r="J76" i="93"/>
  <c r="I76" i="93"/>
  <c r="F76" i="93"/>
  <c r="J75" i="93"/>
  <c r="I75" i="93"/>
  <c r="F75" i="93"/>
  <c r="J74" i="93"/>
  <c r="I74" i="93"/>
  <c r="F74" i="93"/>
  <c r="J73" i="93"/>
  <c r="I73" i="93"/>
  <c r="F73" i="93"/>
  <c r="J72" i="93"/>
  <c r="I72" i="93"/>
  <c r="F72" i="93"/>
  <c r="J71" i="93"/>
  <c r="I71" i="93"/>
  <c r="F71" i="93"/>
  <c r="J70" i="93"/>
  <c r="I70" i="93"/>
  <c r="F70" i="93"/>
  <c r="J69" i="93"/>
  <c r="I69" i="93"/>
  <c r="F69" i="93"/>
  <c r="J68" i="93"/>
  <c r="I68" i="93"/>
  <c r="F68" i="93"/>
  <c r="J67" i="93"/>
  <c r="I67" i="93"/>
  <c r="F67" i="93"/>
  <c r="J66" i="93"/>
  <c r="I66" i="93"/>
  <c r="F66" i="93"/>
  <c r="J65" i="93"/>
  <c r="I65" i="93"/>
  <c r="F65" i="93"/>
  <c r="J64" i="93"/>
  <c r="I64" i="93"/>
  <c r="F64" i="93"/>
  <c r="J63" i="93"/>
  <c r="I63" i="93"/>
  <c r="F63" i="93"/>
  <c r="J62" i="93"/>
  <c r="I62" i="93"/>
  <c r="F62" i="93"/>
  <c r="J61" i="93"/>
  <c r="I61" i="93"/>
  <c r="F61" i="93"/>
  <c r="K61" i="93" s="1"/>
  <c r="N61" i="93" s="1"/>
  <c r="O61" i="93" s="1"/>
  <c r="J60" i="93"/>
  <c r="I60" i="93"/>
  <c r="F60" i="93"/>
  <c r="J59" i="93"/>
  <c r="I59" i="93"/>
  <c r="F59" i="93"/>
  <c r="J58" i="93"/>
  <c r="I58" i="93"/>
  <c r="F58" i="93"/>
  <c r="J57" i="93"/>
  <c r="I57" i="93"/>
  <c r="F57" i="93"/>
  <c r="K57" i="93" s="1"/>
  <c r="N57" i="93" s="1"/>
  <c r="O57" i="93" s="1"/>
  <c r="J56" i="93"/>
  <c r="I56" i="93"/>
  <c r="F56" i="93"/>
  <c r="J55" i="93"/>
  <c r="I55" i="93"/>
  <c r="F55" i="93"/>
  <c r="J54" i="93"/>
  <c r="I54" i="93"/>
  <c r="F54" i="93"/>
  <c r="J53" i="93"/>
  <c r="I53" i="93"/>
  <c r="F53" i="93"/>
  <c r="J52" i="93"/>
  <c r="I52" i="93"/>
  <c r="F52" i="93"/>
  <c r="J51" i="93"/>
  <c r="I51" i="93"/>
  <c r="F51" i="93"/>
  <c r="J50" i="93"/>
  <c r="I50" i="93"/>
  <c r="F50" i="93"/>
  <c r="J49" i="93"/>
  <c r="I49" i="93"/>
  <c r="F49" i="93"/>
  <c r="J48" i="93"/>
  <c r="I48" i="93"/>
  <c r="F48" i="93"/>
  <c r="J47" i="93"/>
  <c r="I47" i="93"/>
  <c r="F47" i="93"/>
  <c r="J46" i="93"/>
  <c r="I46" i="93"/>
  <c r="F46" i="93"/>
  <c r="J45" i="93"/>
  <c r="I45" i="93"/>
  <c r="F45" i="93"/>
  <c r="K45" i="93" s="1"/>
  <c r="N45" i="93" s="1"/>
  <c r="O45" i="93" s="1"/>
  <c r="J44" i="93"/>
  <c r="I44" i="93"/>
  <c r="F44" i="93"/>
  <c r="J43" i="93"/>
  <c r="I43" i="93"/>
  <c r="F43" i="93"/>
  <c r="J42" i="93"/>
  <c r="I42" i="93"/>
  <c r="F42" i="93"/>
  <c r="J41" i="93"/>
  <c r="I41" i="93"/>
  <c r="F41" i="93"/>
  <c r="K41" i="93" s="1"/>
  <c r="N41" i="93" s="1"/>
  <c r="O41" i="93" s="1"/>
  <c r="J40" i="93"/>
  <c r="I40" i="93"/>
  <c r="F40" i="93"/>
  <c r="J39" i="93"/>
  <c r="I39" i="93"/>
  <c r="K39" i="93" s="1"/>
  <c r="N39" i="93" s="1"/>
  <c r="O39" i="93" s="1"/>
  <c r="F39" i="93"/>
  <c r="J38" i="93"/>
  <c r="I38" i="93"/>
  <c r="F38" i="93"/>
  <c r="J37" i="93"/>
  <c r="I37" i="93"/>
  <c r="F37" i="93"/>
  <c r="J36" i="93"/>
  <c r="I36" i="93"/>
  <c r="F36" i="93"/>
  <c r="J35" i="93"/>
  <c r="I35" i="93"/>
  <c r="F35" i="93"/>
  <c r="J34" i="93"/>
  <c r="I34" i="93"/>
  <c r="F34" i="93"/>
  <c r="J33" i="93"/>
  <c r="I33" i="93"/>
  <c r="F33" i="93"/>
  <c r="J32" i="93"/>
  <c r="I32" i="93"/>
  <c r="F32" i="93"/>
  <c r="J31" i="93"/>
  <c r="I31" i="93"/>
  <c r="F31" i="93"/>
  <c r="J30" i="93"/>
  <c r="I30" i="93"/>
  <c r="F30" i="93"/>
  <c r="J29" i="93"/>
  <c r="I29" i="93"/>
  <c r="F29" i="93"/>
  <c r="J28" i="93"/>
  <c r="I28" i="93"/>
  <c r="F28" i="93"/>
  <c r="J27" i="93"/>
  <c r="I27" i="93"/>
  <c r="F27" i="93"/>
  <c r="J26" i="93"/>
  <c r="I26" i="93"/>
  <c r="F26" i="93"/>
  <c r="J25" i="93"/>
  <c r="I25" i="93"/>
  <c r="F25" i="93"/>
  <c r="J24" i="93"/>
  <c r="I24" i="93"/>
  <c r="F24" i="93"/>
  <c r="J23" i="93"/>
  <c r="I23" i="93"/>
  <c r="K23" i="93" s="1"/>
  <c r="N23" i="93" s="1"/>
  <c r="O23" i="93" s="1"/>
  <c r="F23" i="93"/>
  <c r="J22" i="93"/>
  <c r="I22" i="93"/>
  <c r="F22" i="93"/>
  <c r="J21" i="93"/>
  <c r="I21" i="93"/>
  <c r="F21" i="93"/>
  <c r="J20" i="93"/>
  <c r="I20" i="93"/>
  <c r="F20" i="93"/>
  <c r="J19" i="93"/>
  <c r="I19" i="93"/>
  <c r="F19" i="93"/>
  <c r="J18" i="93"/>
  <c r="I18" i="93"/>
  <c r="F18" i="93"/>
  <c r="J17" i="93"/>
  <c r="I17" i="93"/>
  <c r="F17" i="93"/>
  <c r="J16" i="93"/>
  <c r="I16" i="93"/>
  <c r="F16" i="93"/>
  <c r="J15" i="93"/>
  <c r="I15" i="93"/>
  <c r="F15" i="93"/>
  <c r="J14" i="93"/>
  <c r="I14" i="93"/>
  <c r="F14" i="93"/>
  <c r="J13" i="93"/>
  <c r="I13" i="93"/>
  <c r="F13" i="93"/>
  <c r="J12" i="93"/>
  <c r="I12" i="93"/>
  <c r="F12" i="93"/>
  <c r="J11" i="93"/>
  <c r="I11" i="93"/>
  <c r="F11" i="93"/>
  <c r="J10" i="93"/>
  <c r="I10" i="93"/>
  <c r="F10" i="93"/>
  <c r="J9" i="93"/>
  <c r="I9" i="93"/>
  <c r="F9" i="93"/>
  <c r="M8" i="93"/>
  <c r="L8" i="93"/>
  <c r="H8" i="93"/>
  <c r="E8" i="93"/>
  <c r="C8" i="93"/>
  <c r="E26" i="92"/>
  <c r="D26" i="92"/>
  <c r="C26" i="92"/>
  <c r="F25" i="92"/>
  <c r="F24" i="92"/>
  <c r="E23" i="92"/>
  <c r="C23" i="92"/>
  <c r="A12" i="92"/>
  <c r="F22" i="92"/>
  <c r="F21" i="92"/>
  <c r="F20" i="92"/>
  <c r="A9" i="92"/>
  <c r="F19" i="92"/>
  <c r="F18" i="92"/>
  <c r="E16" i="92"/>
  <c r="D16" i="92"/>
  <c r="C16" i="92"/>
  <c r="F15" i="92"/>
  <c r="F14" i="92"/>
  <c r="G14" i="92" s="1"/>
  <c r="A10" i="92"/>
  <c r="J24" i="91"/>
  <c r="J14" i="91"/>
  <c r="J13" i="91"/>
  <c r="J12" i="91"/>
  <c r="J11" i="91"/>
  <c r="G33" i="90"/>
  <c r="H26" i="90"/>
  <c r="C19" i="90"/>
  <c r="G15" i="90"/>
  <c r="C12" i="16" s="1"/>
  <c r="D33" i="86"/>
  <c r="F33" i="86"/>
  <c r="F13" i="79"/>
  <c r="D14" i="79" s="1"/>
  <c r="J13" i="79"/>
  <c r="D2" i="77"/>
  <c r="H2" i="77"/>
  <c r="E4" i="77"/>
  <c r="C10" i="77"/>
  <c r="D10" i="77"/>
  <c r="E10" i="77"/>
  <c r="F10" i="77"/>
  <c r="G10" i="77"/>
  <c r="H10" i="77"/>
  <c r="G11" i="77"/>
  <c r="H11" i="77"/>
  <c r="G12" i="77"/>
  <c r="H12" i="77"/>
  <c r="G13" i="77"/>
  <c r="H13" i="77"/>
  <c r="G14" i="77"/>
  <c r="H14" i="77"/>
  <c r="G15" i="77"/>
  <c r="H15" i="77"/>
  <c r="J32" i="77"/>
  <c r="J34" i="77"/>
  <c r="A33" i="76"/>
  <c r="E16" i="90" l="1"/>
  <c r="K109" i="93"/>
  <c r="N109" i="93" s="1"/>
  <c r="O109" i="93" s="1"/>
  <c r="K121" i="93"/>
  <c r="N121" i="93" s="1"/>
  <c r="O121" i="93" s="1"/>
  <c r="K125" i="93"/>
  <c r="N125" i="93" s="1"/>
  <c r="O125" i="93" s="1"/>
  <c r="K215" i="93"/>
  <c r="N215" i="93" s="1"/>
  <c r="O215" i="93" s="1"/>
  <c r="K231" i="93"/>
  <c r="N231" i="93" s="1"/>
  <c r="O231" i="93" s="1"/>
  <c r="K370" i="93"/>
  <c r="N370" i="93" s="1"/>
  <c r="O370" i="93" s="1"/>
  <c r="K444" i="93"/>
  <c r="N444" i="93" s="1"/>
  <c r="O444" i="93" s="1"/>
  <c r="K562" i="93"/>
  <c r="N562" i="93" s="1"/>
  <c r="O562" i="93" s="1"/>
  <c r="K679" i="93"/>
  <c r="N679" i="93" s="1"/>
  <c r="O679" i="93" s="1"/>
  <c r="K704" i="93"/>
  <c r="N704" i="93" s="1"/>
  <c r="O704" i="93" s="1"/>
  <c r="M7" i="94"/>
  <c r="H47" i="19"/>
  <c r="K169" i="93"/>
  <c r="N169" i="93" s="1"/>
  <c r="O169" i="93" s="1"/>
  <c r="K173" i="93"/>
  <c r="N173" i="93" s="1"/>
  <c r="O173" i="93" s="1"/>
  <c r="K185" i="93"/>
  <c r="N185" i="93" s="1"/>
  <c r="O185" i="93" s="1"/>
  <c r="K189" i="93"/>
  <c r="N189" i="93" s="1"/>
  <c r="O189" i="93" s="1"/>
  <c r="K233" i="93"/>
  <c r="N233" i="93" s="1"/>
  <c r="O233" i="93" s="1"/>
  <c r="K237" i="93"/>
  <c r="N237" i="93" s="1"/>
  <c r="O237" i="93" s="1"/>
  <c r="K249" i="93"/>
  <c r="N249" i="93" s="1"/>
  <c r="O249" i="93" s="1"/>
  <c r="K253" i="93"/>
  <c r="N253" i="93" s="1"/>
  <c r="O253" i="93" s="1"/>
  <c r="K261" i="93"/>
  <c r="N261" i="93" s="1"/>
  <c r="O261" i="93" s="1"/>
  <c r="K377" i="93"/>
  <c r="N377" i="93" s="1"/>
  <c r="O377" i="93" s="1"/>
  <c r="K385" i="93"/>
  <c r="N385" i="93" s="1"/>
  <c r="O385" i="93" s="1"/>
  <c r="K434" i="93"/>
  <c r="N434" i="93" s="1"/>
  <c r="O434" i="93" s="1"/>
  <c r="K479" i="93"/>
  <c r="N479" i="93" s="1"/>
  <c r="O479" i="93" s="1"/>
  <c r="K516" i="93"/>
  <c r="N516" i="93" s="1"/>
  <c r="O516" i="93" s="1"/>
  <c r="K589" i="93"/>
  <c r="N589" i="93" s="1"/>
  <c r="O589" i="93" s="1"/>
  <c r="K593" i="93"/>
  <c r="N593" i="93" s="1"/>
  <c r="O593" i="93" s="1"/>
  <c r="K601" i="93"/>
  <c r="N601" i="93" s="1"/>
  <c r="O601" i="93" s="1"/>
  <c r="K642" i="93"/>
  <c r="N642" i="93" s="1"/>
  <c r="O642" i="93" s="1"/>
  <c r="K658" i="93"/>
  <c r="N658" i="93" s="1"/>
  <c r="O658" i="93" s="1"/>
  <c r="K719" i="93"/>
  <c r="N719" i="93" s="1"/>
  <c r="O719" i="93" s="1"/>
  <c r="K727" i="93"/>
  <c r="N727" i="93" s="1"/>
  <c r="O727" i="93" s="1"/>
  <c r="K756" i="93"/>
  <c r="N756" i="93" s="1"/>
  <c r="O756" i="93" s="1"/>
  <c r="K776" i="93"/>
  <c r="N776" i="93" s="1"/>
  <c r="O776" i="93" s="1"/>
  <c r="K780" i="93"/>
  <c r="N780" i="93" s="1"/>
  <c r="O780" i="93" s="1"/>
  <c r="K788" i="93"/>
  <c r="N788" i="93" s="1"/>
  <c r="O788" i="93" s="1"/>
  <c r="K797" i="93"/>
  <c r="N797" i="93" s="1"/>
  <c r="O797" i="93" s="1"/>
  <c r="K836" i="93"/>
  <c r="N836" i="93" s="1"/>
  <c r="O836" i="93" s="1"/>
  <c r="K868" i="93"/>
  <c r="N868" i="93" s="1"/>
  <c r="O868" i="93" s="1"/>
  <c r="K880" i="93"/>
  <c r="N880" i="93" s="1"/>
  <c r="O880" i="93" s="1"/>
  <c r="K904" i="93"/>
  <c r="N904" i="93" s="1"/>
  <c r="O904" i="93" s="1"/>
  <c r="K908" i="93"/>
  <c r="N908" i="93" s="1"/>
  <c r="O908" i="93" s="1"/>
  <c r="K912" i="93"/>
  <c r="N912" i="93" s="1"/>
  <c r="O912" i="93" s="1"/>
  <c r="K936" i="93"/>
  <c r="N936" i="93" s="1"/>
  <c r="O936" i="93" s="1"/>
  <c r="C16" i="10"/>
  <c r="B21" i="100"/>
  <c r="E10" i="10"/>
  <c r="E27" i="97"/>
  <c r="C24" i="7"/>
  <c r="H18" i="98"/>
  <c r="K18" i="93"/>
  <c r="N18" i="93" s="1"/>
  <c r="O18" i="93" s="1"/>
  <c r="K34" i="93"/>
  <c r="N34" i="93" s="1"/>
  <c r="O34" i="93" s="1"/>
  <c r="K43" i="93"/>
  <c r="N43" i="93" s="1"/>
  <c r="O43" i="93" s="1"/>
  <c r="K47" i="93"/>
  <c r="N47" i="93" s="1"/>
  <c r="O47" i="93" s="1"/>
  <c r="K59" i="93"/>
  <c r="N59" i="93" s="1"/>
  <c r="O59" i="93" s="1"/>
  <c r="K63" i="93"/>
  <c r="N63" i="93" s="1"/>
  <c r="O63" i="93" s="1"/>
  <c r="K71" i="93"/>
  <c r="N71" i="93" s="1"/>
  <c r="O71" i="93" s="1"/>
  <c r="K107" i="93"/>
  <c r="N107" i="93" s="1"/>
  <c r="O107" i="93" s="1"/>
  <c r="K111" i="93"/>
  <c r="N111" i="93" s="1"/>
  <c r="O111" i="93" s="1"/>
  <c r="K123" i="93"/>
  <c r="N123" i="93" s="1"/>
  <c r="O123" i="93" s="1"/>
  <c r="K127" i="93"/>
  <c r="N127" i="93" s="1"/>
  <c r="O127" i="93" s="1"/>
  <c r="K135" i="93"/>
  <c r="N135" i="93" s="1"/>
  <c r="O135" i="93" s="1"/>
  <c r="K281" i="93"/>
  <c r="N281" i="93" s="1"/>
  <c r="O281" i="93" s="1"/>
  <c r="K285" i="93"/>
  <c r="N285" i="93" s="1"/>
  <c r="O285" i="93" s="1"/>
  <c r="K289" i="93"/>
  <c r="N289" i="93" s="1"/>
  <c r="O289" i="93" s="1"/>
  <c r="K309" i="93"/>
  <c r="N309" i="93" s="1"/>
  <c r="O309" i="93" s="1"/>
  <c r="K441" i="93"/>
  <c r="N441" i="93" s="1"/>
  <c r="O441" i="93" s="1"/>
  <c r="K449" i="93"/>
  <c r="N449" i="93" s="1"/>
  <c r="O449" i="93" s="1"/>
  <c r="K454" i="93"/>
  <c r="N454" i="93" s="1"/>
  <c r="O454" i="93" s="1"/>
  <c r="K458" i="93"/>
  <c r="N458" i="93" s="1"/>
  <c r="O458" i="93" s="1"/>
  <c r="K462" i="93"/>
  <c r="N462" i="93" s="1"/>
  <c r="O462" i="93" s="1"/>
  <c r="K466" i="93"/>
  <c r="N466" i="93" s="1"/>
  <c r="O466" i="93" s="1"/>
  <c r="K519" i="93"/>
  <c r="N519" i="93" s="1"/>
  <c r="O519" i="93" s="1"/>
  <c r="K527" i="93"/>
  <c r="N527" i="93" s="1"/>
  <c r="O527" i="93" s="1"/>
  <c r="K535" i="93"/>
  <c r="N535" i="93" s="1"/>
  <c r="O535" i="93" s="1"/>
  <c r="K543" i="93"/>
  <c r="N543" i="93" s="1"/>
  <c r="O543" i="93" s="1"/>
  <c r="K584" i="93"/>
  <c r="N584" i="93" s="1"/>
  <c r="O584" i="93" s="1"/>
  <c r="C7" i="94"/>
  <c r="D47" i="19"/>
  <c r="I7" i="94"/>
  <c r="E47" i="19"/>
  <c r="K628" i="93"/>
  <c r="N628" i="93" s="1"/>
  <c r="O628" i="93" s="1"/>
  <c r="K636" i="93"/>
  <c r="N636" i="93" s="1"/>
  <c r="O636" i="93" s="1"/>
  <c r="K640" i="93"/>
  <c r="N640" i="93" s="1"/>
  <c r="O640" i="93" s="1"/>
  <c r="K660" i="93"/>
  <c r="N660" i="93" s="1"/>
  <c r="O660" i="93" s="1"/>
  <c r="K751" i="93"/>
  <c r="N751" i="93" s="1"/>
  <c r="O751" i="93" s="1"/>
  <c r="K754" i="93"/>
  <c r="N754" i="93" s="1"/>
  <c r="O754" i="93" s="1"/>
  <c r="K778" i="93"/>
  <c r="N778" i="93" s="1"/>
  <c r="O778" i="93" s="1"/>
  <c r="K798" i="93"/>
  <c r="N798" i="93" s="1"/>
  <c r="O798" i="93" s="1"/>
  <c r="K802" i="93"/>
  <c r="N802" i="93" s="1"/>
  <c r="O802" i="93" s="1"/>
  <c r="K838" i="93"/>
  <c r="N838" i="93" s="1"/>
  <c r="O838" i="93" s="1"/>
  <c r="K870" i="93"/>
  <c r="N870" i="93" s="1"/>
  <c r="O870" i="93" s="1"/>
  <c r="K878" i="93"/>
  <c r="N878" i="93" s="1"/>
  <c r="O878" i="93" s="1"/>
  <c r="K882" i="93"/>
  <c r="N882" i="93" s="1"/>
  <c r="O882" i="93" s="1"/>
  <c r="K906" i="93"/>
  <c r="N906" i="93" s="1"/>
  <c r="O906" i="93" s="1"/>
  <c r="K910" i="93"/>
  <c r="N910" i="93" s="1"/>
  <c r="O910" i="93" s="1"/>
  <c r="K914" i="93"/>
  <c r="N914" i="93" s="1"/>
  <c r="O914" i="93" s="1"/>
  <c r="K930" i="93"/>
  <c r="N930" i="93" s="1"/>
  <c r="O930" i="93" s="1"/>
  <c r="K934" i="93"/>
  <c r="N934" i="93" s="1"/>
  <c r="O934" i="93" s="1"/>
  <c r="C10" i="10"/>
  <c r="D27" i="97"/>
  <c r="E16" i="10"/>
  <c r="D21" i="100"/>
  <c r="G26" i="10"/>
  <c r="C21" i="99"/>
  <c r="J21" i="99" s="1"/>
  <c r="C10" i="125"/>
  <c r="C14" i="33"/>
  <c r="F36" i="153"/>
  <c r="K13" i="34"/>
  <c r="K15" i="34"/>
  <c r="S8" i="129"/>
  <c r="S10" i="37" s="1"/>
  <c r="K17" i="34"/>
  <c r="M12" i="126"/>
  <c r="S12" i="129" s="1"/>
  <c r="K19" i="34"/>
  <c r="K21" i="34"/>
  <c r="K14" i="34"/>
  <c r="M9" i="126"/>
  <c r="K16" i="34"/>
  <c r="S9" i="129"/>
  <c r="S11" i="37" s="1"/>
  <c r="K18" i="34"/>
  <c r="M13" i="126"/>
  <c r="S13" i="129" s="1"/>
  <c r="K20" i="34"/>
  <c r="C12" i="10"/>
  <c r="E12" i="10"/>
  <c r="O17" i="94"/>
  <c r="G33" i="19"/>
  <c r="E17" i="94"/>
  <c r="F33" i="19"/>
  <c r="K17" i="94"/>
  <c r="H30" i="94" s="1"/>
  <c r="D25" i="98"/>
  <c r="C5" i="18"/>
  <c r="F31" i="153" s="1"/>
  <c r="H31" i="153" s="1"/>
  <c r="J31" i="153" s="1"/>
  <c r="G17" i="90"/>
  <c r="D12" i="16" s="1"/>
  <c r="C11" i="108"/>
  <c r="C13" i="15"/>
  <c r="K11" i="93"/>
  <c r="N11" i="93" s="1"/>
  <c r="O11" i="93" s="1"/>
  <c r="K15" i="93"/>
  <c r="N15" i="93" s="1"/>
  <c r="O15" i="93" s="1"/>
  <c r="K27" i="93"/>
  <c r="N27" i="93" s="1"/>
  <c r="O27" i="93" s="1"/>
  <c r="K31" i="93"/>
  <c r="N31" i="93" s="1"/>
  <c r="O31" i="93" s="1"/>
  <c r="K73" i="93"/>
  <c r="N73" i="93" s="1"/>
  <c r="O73" i="93" s="1"/>
  <c r="K77" i="93"/>
  <c r="N77" i="93" s="1"/>
  <c r="O77" i="93" s="1"/>
  <c r="K89" i="93"/>
  <c r="N89" i="93" s="1"/>
  <c r="O89" i="93" s="1"/>
  <c r="K93" i="93"/>
  <c r="N93" i="93" s="1"/>
  <c r="O93" i="93" s="1"/>
  <c r="K114" i="93"/>
  <c r="N114" i="93" s="1"/>
  <c r="O114" i="93" s="1"/>
  <c r="K119" i="93"/>
  <c r="N119" i="93" s="1"/>
  <c r="O119" i="93" s="1"/>
  <c r="K130" i="93"/>
  <c r="N130" i="93" s="1"/>
  <c r="O130" i="93" s="1"/>
  <c r="K139" i="93"/>
  <c r="N139" i="93" s="1"/>
  <c r="O139" i="93" s="1"/>
  <c r="K143" i="93"/>
  <c r="N143" i="93" s="1"/>
  <c r="O143" i="93" s="1"/>
  <c r="K152" i="93"/>
  <c r="N152" i="93" s="1"/>
  <c r="O152" i="93" s="1"/>
  <c r="K155" i="93"/>
  <c r="N155" i="93" s="1"/>
  <c r="O155" i="93" s="1"/>
  <c r="K156" i="93"/>
  <c r="N156" i="93" s="1"/>
  <c r="O156" i="93" s="1"/>
  <c r="K159" i="93"/>
  <c r="N159" i="93" s="1"/>
  <c r="O159" i="93" s="1"/>
  <c r="K201" i="93"/>
  <c r="N201" i="93" s="1"/>
  <c r="O201" i="93" s="1"/>
  <c r="K205" i="93"/>
  <c r="N205" i="93" s="1"/>
  <c r="O205" i="93" s="1"/>
  <c r="K206" i="93"/>
  <c r="N206" i="93" s="1"/>
  <c r="O206" i="93" s="1"/>
  <c r="K217" i="93"/>
  <c r="N217" i="93" s="1"/>
  <c r="O217" i="93" s="1"/>
  <c r="K221" i="93"/>
  <c r="N221" i="93" s="1"/>
  <c r="O221" i="93" s="1"/>
  <c r="K222" i="93"/>
  <c r="N222" i="93" s="1"/>
  <c r="O222" i="93" s="1"/>
  <c r="K247" i="93"/>
  <c r="N247" i="93" s="1"/>
  <c r="O247" i="93" s="1"/>
  <c r="K275" i="93"/>
  <c r="N275" i="93" s="1"/>
  <c r="O275" i="93" s="1"/>
  <c r="K291" i="93"/>
  <c r="N291" i="93" s="1"/>
  <c r="O291" i="93" s="1"/>
  <c r="K313" i="93"/>
  <c r="N313" i="93" s="1"/>
  <c r="O313" i="93" s="1"/>
  <c r="K317" i="93"/>
  <c r="N317" i="93" s="1"/>
  <c r="O317" i="93" s="1"/>
  <c r="K321" i="93"/>
  <c r="N321" i="93" s="1"/>
  <c r="O321" i="93" s="1"/>
  <c r="K329" i="93"/>
  <c r="N329" i="93" s="1"/>
  <c r="O329" i="93" s="1"/>
  <c r="K333" i="93"/>
  <c r="N333" i="93" s="1"/>
  <c r="O333" i="93" s="1"/>
  <c r="K345" i="93"/>
  <c r="N345" i="93" s="1"/>
  <c r="O345" i="93" s="1"/>
  <c r="K350" i="93"/>
  <c r="N350" i="93" s="1"/>
  <c r="O350" i="93" s="1"/>
  <c r="K354" i="93"/>
  <c r="N354" i="93" s="1"/>
  <c r="O354" i="93" s="1"/>
  <c r="K361" i="93"/>
  <c r="N361" i="93" s="1"/>
  <c r="O361" i="93" s="1"/>
  <c r="K362" i="93"/>
  <c r="N362" i="93" s="1"/>
  <c r="O362" i="93" s="1"/>
  <c r="K412" i="93"/>
  <c r="N412" i="93" s="1"/>
  <c r="O412" i="93" s="1"/>
  <c r="K423" i="93"/>
  <c r="N423" i="93" s="1"/>
  <c r="O423" i="93" s="1"/>
  <c r="K428" i="93"/>
  <c r="N428" i="93" s="1"/>
  <c r="O428" i="93" s="1"/>
  <c r="K431" i="93"/>
  <c r="N431" i="93" s="1"/>
  <c r="O431" i="93" s="1"/>
  <c r="K436" i="93"/>
  <c r="N436" i="93" s="1"/>
  <c r="O436" i="93" s="1"/>
  <c r="K9" i="93"/>
  <c r="N9" i="93" s="1"/>
  <c r="G21" i="92" s="1"/>
  <c r="K13" i="93"/>
  <c r="N13" i="93" s="1"/>
  <c r="O13" i="93" s="1"/>
  <c r="K25" i="93"/>
  <c r="N25" i="93" s="1"/>
  <c r="O25" i="93" s="1"/>
  <c r="K29" i="93"/>
  <c r="N29" i="93" s="1"/>
  <c r="O29" i="93" s="1"/>
  <c r="K50" i="93"/>
  <c r="N50" i="93" s="1"/>
  <c r="O50" i="93" s="1"/>
  <c r="K55" i="93"/>
  <c r="N55" i="93" s="1"/>
  <c r="O55" i="93" s="1"/>
  <c r="K66" i="93"/>
  <c r="N66" i="93" s="1"/>
  <c r="O66" i="93" s="1"/>
  <c r="K75" i="93"/>
  <c r="N75" i="93" s="1"/>
  <c r="O75" i="93" s="1"/>
  <c r="K79" i="93"/>
  <c r="N79" i="93" s="1"/>
  <c r="O79" i="93" s="1"/>
  <c r="K91" i="93"/>
  <c r="N91" i="93" s="1"/>
  <c r="O91" i="93" s="1"/>
  <c r="K95" i="93"/>
  <c r="N95" i="93" s="1"/>
  <c r="O95" i="93" s="1"/>
  <c r="K137" i="93"/>
  <c r="N137" i="93" s="1"/>
  <c r="O137" i="93" s="1"/>
  <c r="K141" i="93"/>
  <c r="N141" i="93" s="1"/>
  <c r="O141" i="93" s="1"/>
  <c r="K153" i="93"/>
  <c r="N153" i="93" s="1"/>
  <c r="O153" i="93" s="1"/>
  <c r="K157" i="93"/>
  <c r="N157" i="93" s="1"/>
  <c r="O157" i="93" s="1"/>
  <c r="K158" i="93"/>
  <c r="N158" i="93" s="1"/>
  <c r="O158" i="93" s="1"/>
  <c r="K183" i="93"/>
  <c r="N183" i="93" s="1"/>
  <c r="O183" i="93" s="1"/>
  <c r="K200" i="93"/>
  <c r="N200" i="93" s="1"/>
  <c r="O200" i="93" s="1"/>
  <c r="K203" i="93"/>
  <c r="N203" i="93" s="1"/>
  <c r="O203" i="93" s="1"/>
  <c r="K204" i="93"/>
  <c r="N204" i="93" s="1"/>
  <c r="O204" i="93" s="1"/>
  <c r="K207" i="93"/>
  <c r="N207" i="93" s="1"/>
  <c r="O207" i="93" s="1"/>
  <c r="K216" i="93"/>
  <c r="N216" i="93" s="1"/>
  <c r="O216" i="93" s="1"/>
  <c r="K219" i="93"/>
  <c r="N219" i="93" s="1"/>
  <c r="O219" i="93" s="1"/>
  <c r="K220" i="93"/>
  <c r="N220" i="93" s="1"/>
  <c r="O220" i="93" s="1"/>
  <c r="K223" i="93"/>
  <c r="N223" i="93" s="1"/>
  <c r="O223" i="93" s="1"/>
  <c r="K257" i="93"/>
  <c r="N257" i="93" s="1"/>
  <c r="O257" i="93" s="1"/>
  <c r="K265" i="93"/>
  <c r="N265" i="93" s="1"/>
  <c r="O265" i="93" s="1"/>
  <c r="K269" i="93"/>
  <c r="N269" i="93" s="1"/>
  <c r="O269" i="93" s="1"/>
  <c r="K274" i="93"/>
  <c r="N274" i="93" s="1"/>
  <c r="O274" i="93" s="1"/>
  <c r="K277" i="93"/>
  <c r="N277" i="93" s="1"/>
  <c r="O277" i="93" s="1"/>
  <c r="K290" i="93"/>
  <c r="N290" i="93" s="1"/>
  <c r="O290" i="93" s="1"/>
  <c r="K293" i="93"/>
  <c r="N293" i="93" s="1"/>
  <c r="O293" i="93" s="1"/>
  <c r="K351" i="93"/>
  <c r="N351" i="93" s="1"/>
  <c r="O351" i="93" s="1"/>
  <c r="K355" i="93"/>
  <c r="N355" i="93" s="1"/>
  <c r="O355" i="93" s="1"/>
  <c r="K359" i="93"/>
  <c r="N359" i="93" s="1"/>
  <c r="O359" i="93" s="1"/>
  <c r="K364" i="93"/>
  <c r="N364" i="93" s="1"/>
  <c r="O364" i="93" s="1"/>
  <c r="K367" i="93"/>
  <c r="N367" i="93" s="1"/>
  <c r="O367" i="93" s="1"/>
  <c r="K372" i="93"/>
  <c r="N372" i="93" s="1"/>
  <c r="O372" i="93" s="1"/>
  <c r="K409" i="93"/>
  <c r="N409" i="93" s="1"/>
  <c r="O409" i="93" s="1"/>
  <c r="K410" i="93"/>
  <c r="N410" i="93" s="1"/>
  <c r="O410" i="93" s="1"/>
  <c r="K417" i="93"/>
  <c r="N417" i="93" s="1"/>
  <c r="O417" i="93" s="1"/>
  <c r="K426" i="93"/>
  <c r="N426" i="93" s="1"/>
  <c r="O426" i="93" s="1"/>
  <c r="K460" i="93"/>
  <c r="N460" i="93" s="1"/>
  <c r="O460" i="93" s="1"/>
  <c r="K471" i="93"/>
  <c r="N471" i="93" s="1"/>
  <c r="O471" i="93" s="1"/>
  <c r="D14" i="95"/>
  <c r="C11" i="148"/>
  <c r="F61" i="147"/>
  <c r="K480" i="93"/>
  <c r="N480" i="93" s="1"/>
  <c r="O480" i="93" s="1"/>
  <c r="K484" i="93"/>
  <c r="N484" i="93" s="1"/>
  <c r="O484" i="93" s="1"/>
  <c r="K488" i="93"/>
  <c r="N488" i="93" s="1"/>
  <c r="O488" i="93" s="1"/>
  <c r="K496" i="93"/>
  <c r="N496" i="93" s="1"/>
  <c r="O496" i="93" s="1"/>
  <c r="K505" i="93"/>
  <c r="N505" i="93" s="1"/>
  <c r="O505" i="93" s="1"/>
  <c r="K513" i="93"/>
  <c r="N513" i="93" s="1"/>
  <c r="O513" i="93" s="1"/>
  <c r="K518" i="93"/>
  <c r="N518" i="93" s="1"/>
  <c r="O518" i="93" s="1"/>
  <c r="K522" i="93"/>
  <c r="N522" i="93" s="1"/>
  <c r="O522" i="93" s="1"/>
  <c r="K526" i="93"/>
  <c r="N526" i="93" s="1"/>
  <c r="O526" i="93" s="1"/>
  <c r="K530" i="93"/>
  <c r="N530" i="93" s="1"/>
  <c r="O530" i="93" s="1"/>
  <c r="K576" i="93"/>
  <c r="N576" i="93" s="1"/>
  <c r="O576" i="93" s="1"/>
  <c r="K588" i="93"/>
  <c r="N588" i="93" s="1"/>
  <c r="O588" i="93" s="1"/>
  <c r="K600" i="93"/>
  <c r="N600" i="93" s="1"/>
  <c r="O600" i="93" s="1"/>
  <c r="K609" i="93"/>
  <c r="N609" i="93" s="1"/>
  <c r="O609" i="93" s="1"/>
  <c r="K617" i="93"/>
  <c r="N617" i="93" s="1"/>
  <c r="O617" i="93" s="1"/>
  <c r="K622" i="93"/>
  <c r="N622" i="93" s="1"/>
  <c r="O622" i="93" s="1"/>
  <c r="K648" i="93"/>
  <c r="N648" i="93" s="1"/>
  <c r="O648" i="93" s="1"/>
  <c r="K676" i="93"/>
  <c r="N676" i="93" s="1"/>
  <c r="O676" i="93" s="1"/>
  <c r="K680" i="93"/>
  <c r="N680" i="93" s="1"/>
  <c r="O680" i="93" s="1"/>
  <c r="K688" i="93"/>
  <c r="N688" i="93" s="1"/>
  <c r="O688" i="93" s="1"/>
  <c r="K692" i="93"/>
  <c r="N692" i="93" s="1"/>
  <c r="O692" i="93" s="1"/>
  <c r="K696" i="93"/>
  <c r="N696" i="93" s="1"/>
  <c r="O696" i="93" s="1"/>
  <c r="K757" i="93"/>
  <c r="N757" i="93" s="1"/>
  <c r="O757" i="93" s="1"/>
  <c r="K765" i="93"/>
  <c r="N765" i="93" s="1"/>
  <c r="O765" i="93" s="1"/>
  <c r="K773" i="93"/>
  <c r="N773" i="93" s="1"/>
  <c r="O773" i="93" s="1"/>
  <c r="K786" i="93"/>
  <c r="N786" i="93" s="1"/>
  <c r="O786" i="93" s="1"/>
  <c r="K822" i="93"/>
  <c r="N822" i="93" s="1"/>
  <c r="O822" i="93" s="1"/>
  <c r="K826" i="93"/>
  <c r="N826" i="93" s="1"/>
  <c r="O826" i="93" s="1"/>
  <c r="K830" i="93"/>
  <c r="N830" i="93" s="1"/>
  <c r="O830" i="93" s="1"/>
  <c r="K834" i="93"/>
  <c r="N834" i="93" s="1"/>
  <c r="O834" i="93" s="1"/>
  <c r="K837" i="93"/>
  <c r="N837" i="93" s="1"/>
  <c r="O837" i="93" s="1"/>
  <c r="K841" i="93"/>
  <c r="N841" i="93" s="1"/>
  <c r="O841" i="93" s="1"/>
  <c r="K845" i="93"/>
  <c r="N845" i="93" s="1"/>
  <c r="O845" i="93" s="1"/>
  <c r="K849" i="93"/>
  <c r="N849" i="93" s="1"/>
  <c r="O849" i="93" s="1"/>
  <c r="K854" i="93"/>
  <c r="N854" i="93" s="1"/>
  <c r="O854" i="93" s="1"/>
  <c r="K858" i="93"/>
  <c r="N858" i="93" s="1"/>
  <c r="O858" i="93" s="1"/>
  <c r="K862" i="93"/>
  <c r="N862" i="93" s="1"/>
  <c r="O862" i="93" s="1"/>
  <c r="K866" i="93"/>
  <c r="N866" i="93" s="1"/>
  <c r="O866" i="93" s="1"/>
  <c r="K869" i="93"/>
  <c r="N869" i="93" s="1"/>
  <c r="O869" i="93" s="1"/>
  <c r="K877" i="93"/>
  <c r="N877" i="93" s="1"/>
  <c r="O877" i="93" s="1"/>
  <c r="K881" i="93"/>
  <c r="N881" i="93" s="1"/>
  <c r="O881" i="93" s="1"/>
  <c r="K885" i="93"/>
  <c r="N885" i="93" s="1"/>
  <c r="O885" i="93" s="1"/>
  <c r="K898" i="93"/>
  <c r="N898" i="93" s="1"/>
  <c r="O898" i="93" s="1"/>
  <c r="K902" i="93"/>
  <c r="N902" i="93" s="1"/>
  <c r="O902" i="93" s="1"/>
  <c r="K905" i="93"/>
  <c r="N905" i="93" s="1"/>
  <c r="O905" i="93" s="1"/>
  <c r="K909" i="93"/>
  <c r="N909" i="93" s="1"/>
  <c r="O909" i="93" s="1"/>
  <c r="K913" i="93"/>
  <c r="N913" i="93" s="1"/>
  <c r="O913" i="93" s="1"/>
  <c r="K917" i="93"/>
  <c r="N917" i="93" s="1"/>
  <c r="O917" i="93" s="1"/>
  <c r="K938" i="93"/>
  <c r="N938" i="93" s="1"/>
  <c r="O938" i="93" s="1"/>
  <c r="K942" i="93"/>
  <c r="N942" i="93" s="1"/>
  <c r="O942" i="93" s="1"/>
  <c r="K946" i="93"/>
  <c r="N946" i="93" s="1"/>
  <c r="O946" i="93" s="1"/>
  <c r="K950" i="93"/>
  <c r="N950" i="93" s="1"/>
  <c r="O950" i="93" s="1"/>
  <c r="K958" i="93"/>
  <c r="N958" i="93" s="1"/>
  <c r="O958" i="93" s="1"/>
  <c r="K962" i="93"/>
  <c r="N962" i="93" s="1"/>
  <c r="O962" i="93" s="1"/>
  <c r="K966" i="93"/>
  <c r="N966" i="93" s="1"/>
  <c r="O966" i="93" s="1"/>
  <c r="K974" i="93"/>
  <c r="N974" i="93" s="1"/>
  <c r="O974" i="93" s="1"/>
  <c r="K994" i="93"/>
  <c r="N994" i="93" s="1"/>
  <c r="O994" i="93" s="1"/>
  <c r="K998" i="93"/>
  <c r="N998" i="93" s="1"/>
  <c r="O998" i="93" s="1"/>
  <c r="K1002" i="93"/>
  <c r="N1002" i="93" s="1"/>
  <c r="O1002" i="93" s="1"/>
  <c r="D8" i="136"/>
  <c r="F8" i="136"/>
  <c r="E57" i="140"/>
  <c r="E15" i="107"/>
  <c r="F40" i="153"/>
  <c r="C25" i="7"/>
  <c r="K508" i="93"/>
  <c r="N508" i="93" s="1"/>
  <c r="O508" i="93" s="1"/>
  <c r="K532" i="93"/>
  <c r="N532" i="93" s="1"/>
  <c r="O532" i="93" s="1"/>
  <c r="K536" i="93"/>
  <c r="N536" i="93" s="1"/>
  <c r="O536" i="93" s="1"/>
  <c r="K544" i="93"/>
  <c r="N544" i="93" s="1"/>
  <c r="O544" i="93" s="1"/>
  <c r="K548" i="93"/>
  <c r="N548" i="93" s="1"/>
  <c r="O548" i="93" s="1"/>
  <c r="K552" i="93"/>
  <c r="N552" i="93" s="1"/>
  <c r="O552" i="93" s="1"/>
  <c r="K560" i="93"/>
  <c r="N560" i="93" s="1"/>
  <c r="O560" i="93" s="1"/>
  <c r="K564" i="93"/>
  <c r="N564" i="93" s="1"/>
  <c r="O564" i="93" s="1"/>
  <c r="K612" i="93"/>
  <c r="N612" i="93" s="1"/>
  <c r="O612" i="93" s="1"/>
  <c r="K634" i="93"/>
  <c r="N634" i="93" s="1"/>
  <c r="O634" i="93" s="1"/>
  <c r="K645" i="93"/>
  <c r="N645" i="93" s="1"/>
  <c r="O645" i="93" s="1"/>
  <c r="K653" i="93"/>
  <c r="N653" i="93" s="1"/>
  <c r="O653" i="93" s="1"/>
  <c r="K657" i="93"/>
  <c r="N657" i="93" s="1"/>
  <c r="O657" i="93" s="1"/>
  <c r="K662" i="93"/>
  <c r="N662" i="93" s="1"/>
  <c r="O662" i="93" s="1"/>
  <c r="K666" i="93"/>
  <c r="N666" i="93" s="1"/>
  <c r="O666" i="93" s="1"/>
  <c r="K670" i="93"/>
  <c r="N670" i="93" s="1"/>
  <c r="O670" i="93" s="1"/>
  <c r="K674" i="93"/>
  <c r="N674" i="93" s="1"/>
  <c r="O674" i="93" s="1"/>
  <c r="K698" i="93"/>
  <c r="N698" i="93" s="1"/>
  <c r="O698" i="93" s="1"/>
  <c r="K716" i="93"/>
  <c r="N716" i="93" s="1"/>
  <c r="O716" i="93" s="1"/>
  <c r="K728" i="93"/>
  <c r="N728" i="93" s="1"/>
  <c r="O728" i="93" s="1"/>
  <c r="K732" i="93"/>
  <c r="N732" i="93" s="1"/>
  <c r="O732" i="93" s="1"/>
  <c r="K736" i="93"/>
  <c r="N736" i="93" s="1"/>
  <c r="O736" i="93" s="1"/>
  <c r="K744" i="93"/>
  <c r="N744" i="93" s="1"/>
  <c r="O744" i="93" s="1"/>
  <c r="K758" i="93"/>
  <c r="N758" i="93" s="1"/>
  <c r="O758" i="93" s="1"/>
  <c r="K762" i="93"/>
  <c r="N762" i="93" s="1"/>
  <c r="O762" i="93" s="1"/>
  <c r="K766" i="93"/>
  <c r="N766" i="93" s="1"/>
  <c r="O766" i="93" s="1"/>
  <c r="K770" i="93"/>
  <c r="N770" i="93" s="1"/>
  <c r="O770" i="93" s="1"/>
  <c r="K774" i="93"/>
  <c r="N774" i="93" s="1"/>
  <c r="O774" i="93" s="1"/>
  <c r="K800" i="93"/>
  <c r="N800" i="93" s="1"/>
  <c r="O800" i="93" s="1"/>
  <c r="K812" i="93"/>
  <c r="N812" i="93" s="1"/>
  <c r="O812" i="93" s="1"/>
  <c r="K820" i="93"/>
  <c r="N820" i="93" s="1"/>
  <c r="O820" i="93" s="1"/>
  <c r="K828" i="93"/>
  <c r="N828" i="93" s="1"/>
  <c r="O828" i="93" s="1"/>
  <c r="K832" i="93"/>
  <c r="N832" i="93" s="1"/>
  <c r="O832" i="93" s="1"/>
  <c r="K843" i="93"/>
  <c r="N843" i="93" s="1"/>
  <c r="O843" i="93" s="1"/>
  <c r="K847" i="93"/>
  <c r="N847" i="93" s="1"/>
  <c r="O847" i="93" s="1"/>
  <c r="K852" i="93"/>
  <c r="N852" i="93" s="1"/>
  <c r="O852" i="93" s="1"/>
  <c r="K860" i="93"/>
  <c r="N860" i="93" s="1"/>
  <c r="O860" i="93" s="1"/>
  <c r="K864" i="93"/>
  <c r="N864" i="93" s="1"/>
  <c r="O864" i="93" s="1"/>
  <c r="K871" i="93"/>
  <c r="N871" i="93" s="1"/>
  <c r="O871" i="93" s="1"/>
  <c r="K879" i="93"/>
  <c r="N879" i="93" s="1"/>
  <c r="O879" i="93" s="1"/>
  <c r="K887" i="93"/>
  <c r="N887" i="93" s="1"/>
  <c r="O887" i="93" s="1"/>
  <c r="K900" i="93"/>
  <c r="N900" i="93" s="1"/>
  <c r="O900" i="93" s="1"/>
  <c r="K907" i="93"/>
  <c r="N907" i="93" s="1"/>
  <c r="O907" i="93" s="1"/>
  <c r="K911" i="93"/>
  <c r="N911" i="93" s="1"/>
  <c r="O911" i="93" s="1"/>
  <c r="K919" i="93"/>
  <c r="N919" i="93" s="1"/>
  <c r="O919" i="93" s="1"/>
  <c r="K932" i="93"/>
  <c r="N932" i="93" s="1"/>
  <c r="O932" i="93" s="1"/>
  <c r="K940" i="93"/>
  <c r="N940" i="93" s="1"/>
  <c r="O940" i="93" s="1"/>
  <c r="K944" i="93"/>
  <c r="N944" i="93" s="1"/>
  <c r="O944" i="93" s="1"/>
  <c r="K948" i="93"/>
  <c r="N948" i="93" s="1"/>
  <c r="O948" i="93" s="1"/>
  <c r="K960" i="93"/>
  <c r="N960" i="93" s="1"/>
  <c r="O960" i="93" s="1"/>
  <c r="K964" i="93"/>
  <c r="N964" i="93" s="1"/>
  <c r="O964" i="93" s="1"/>
  <c r="K968" i="93"/>
  <c r="N968" i="93" s="1"/>
  <c r="O968" i="93" s="1"/>
  <c r="K992" i="93"/>
  <c r="N992" i="93" s="1"/>
  <c r="O992" i="93" s="1"/>
  <c r="K996" i="93"/>
  <c r="N996" i="93" s="1"/>
  <c r="O996" i="93" s="1"/>
  <c r="G20" i="97"/>
  <c r="J16" i="98"/>
  <c r="C28" i="105"/>
  <c r="C26" i="12"/>
  <c r="L6" i="107"/>
  <c r="L10" i="107"/>
  <c r="D17" i="133"/>
  <c r="B8" i="136"/>
  <c r="E13" i="136"/>
  <c r="G13" i="136" s="1"/>
  <c r="E25" i="10"/>
  <c r="C25" i="10"/>
  <c r="F42" i="153"/>
  <c r="C8" i="10"/>
  <c r="F8" i="93"/>
  <c r="K17" i="93"/>
  <c r="N17" i="93" s="1"/>
  <c r="O17" i="93" s="1"/>
  <c r="K21" i="93"/>
  <c r="N21" i="93" s="1"/>
  <c r="O21" i="93" s="1"/>
  <c r="K26" i="93"/>
  <c r="N26" i="93" s="1"/>
  <c r="O26" i="93" s="1"/>
  <c r="K35" i="93"/>
  <c r="N35" i="93" s="1"/>
  <c r="O35" i="93" s="1"/>
  <c r="K49" i="93"/>
  <c r="N49" i="93" s="1"/>
  <c r="O49" i="93" s="1"/>
  <c r="K53" i="93"/>
  <c r="N53" i="93" s="1"/>
  <c r="O53" i="93" s="1"/>
  <c r="K58" i="93"/>
  <c r="N58" i="93" s="1"/>
  <c r="O58" i="93" s="1"/>
  <c r="K67" i="93"/>
  <c r="N67" i="93" s="1"/>
  <c r="O67" i="93" s="1"/>
  <c r="K81" i="93"/>
  <c r="N81" i="93" s="1"/>
  <c r="O81" i="93" s="1"/>
  <c r="K85" i="93"/>
  <c r="N85" i="93" s="1"/>
  <c r="O85" i="93" s="1"/>
  <c r="K90" i="93"/>
  <c r="N90" i="93" s="1"/>
  <c r="O90" i="93" s="1"/>
  <c r="K99" i="93"/>
  <c r="N99" i="93" s="1"/>
  <c r="O99" i="93" s="1"/>
  <c r="K113" i="93"/>
  <c r="N113" i="93" s="1"/>
  <c r="O113" i="93" s="1"/>
  <c r="K117" i="93"/>
  <c r="N117" i="93" s="1"/>
  <c r="O117" i="93" s="1"/>
  <c r="K122" i="93"/>
  <c r="N122" i="93" s="1"/>
  <c r="O122" i="93" s="1"/>
  <c r="K131" i="93"/>
  <c r="N131" i="93" s="1"/>
  <c r="O131" i="93" s="1"/>
  <c r="K145" i="93"/>
  <c r="N145" i="93" s="1"/>
  <c r="O145" i="93" s="1"/>
  <c r="K149" i="93"/>
  <c r="N149" i="93" s="1"/>
  <c r="O149" i="93" s="1"/>
  <c r="K150" i="93"/>
  <c r="N150" i="93" s="1"/>
  <c r="O150" i="93" s="1"/>
  <c r="K160" i="93"/>
  <c r="N160" i="93" s="1"/>
  <c r="O160" i="93" s="1"/>
  <c r="K163" i="93"/>
  <c r="N163" i="93" s="1"/>
  <c r="O163" i="93" s="1"/>
  <c r="K164" i="93"/>
  <c r="N164" i="93" s="1"/>
  <c r="O164" i="93" s="1"/>
  <c r="K177" i="93"/>
  <c r="N177" i="93" s="1"/>
  <c r="O177" i="93" s="1"/>
  <c r="K181" i="93"/>
  <c r="N181" i="93" s="1"/>
  <c r="O181" i="93" s="1"/>
  <c r="K182" i="93"/>
  <c r="N182" i="93" s="1"/>
  <c r="O182" i="93" s="1"/>
  <c r="K192" i="93"/>
  <c r="N192" i="93" s="1"/>
  <c r="O192" i="93" s="1"/>
  <c r="K195" i="93"/>
  <c r="N195" i="93" s="1"/>
  <c r="O195" i="93" s="1"/>
  <c r="K196" i="93"/>
  <c r="N196" i="93" s="1"/>
  <c r="O196" i="93" s="1"/>
  <c r="K209" i="93"/>
  <c r="N209" i="93" s="1"/>
  <c r="O209" i="93" s="1"/>
  <c r="K213" i="93"/>
  <c r="N213" i="93" s="1"/>
  <c r="O213" i="93" s="1"/>
  <c r="K214" i="93"/>
  <c r="N214" i="93" s="1"/>
  <c r="O214" i="93" s="1"/>
  <c r="K224" i="93"/>
  <c r="N224" i="93" s="1"/>
  <c r="O224" i="93" s="1"/>
  <c r="K227" i="93"/>
  <c r="N227" i="93" s="1"/>
  <c r="O227" i="93" s="1"/>
  <c r="K228" i="93"/>
  <c r="N228" i="93" s="1"/>
  <c r="O228" i="93" s="1"/>
  <c r="K241" i="93"/>
  <c r="N241" i="93" s="1"/>
  <c r="O241" i="93" s="1"/>
  <c r="K245" i="93"/>
  <c r="N245" i="93" s="1"/>
  <c r="O245" i="93" s="1"/>
  <c r="K246" i="93"/>
  <c r="N246" i="93" s="1"/>
  <c r="O246" i="93" s="1"/>
  <c r="K262" i="93"/>
  <c r="N262" i="93" s="1"/>
  <c r="O262" i="93" s="1"/>
  <c r="K266" i="93"/>
  <c r="N266" i="93" s="1"/>
  <c r="O266" i="93" s="1"/>
  <c r="K270" i="93"/>
  <c r="N270" i="93" s="1"/>
  <c r="O270" i="93" s="1"/>
  <c r="K279" i="93"/>
  <c r="N279" i="93" s="1"/>
  <c r="O279" i="93" s="1"/>
  <c r="K283" i="93"/>
  <c r="N283" i="93" s="1"/>
  <c r="O283" i="93" s="1"/>
  <c r="K287" i="93"/>
  <c r="N287" i="93" s="1"/>
  <c r="O287" i="93" s="1"/>
  <c r="K294" i="93"/>
  <c r="N294" i="93" s="1"/>
  <c r="O294" i="93" s="1"/>
  <c r="K298" i="93"/>
  <c r="N298" i="93" s="1"/>
  <c r="O298" i="93" s="1"/>
  <c r="K302" i="93"/>
  <c r="N302" i="93" s="1"/>
  <c r="O302" i="93" s="1"/>
  <c r="K306" i="93"/>
  <c r="N306" i="93" s="1"/>
  <c r="O306" i="93" s="1"/>
  <c r="K388" i="93"/>
  <c r="N388" i="93" s="1"/>
  <c r="O388" i="93" s="1"/>
  <c r="K392" i="93"/>
  <c r="N392" i="93" s="1"/>
  <c r="O392" i="93" s="1"/>
  <c r="K400" i="93"/>
  <c r="N400" i="93" s="1"/>
  <c r="O400" i="93" s="1"/>
  <c r="K406" i="93"/>
  <c r="N406" i="93" s="1"/>
  <c r="O406" i="93" s="1"/>
  <c r="K414" i="93"/>
  <c r="N414" i="93" s="1"/>
  <c r="O414" i="93" s="1"/>
  <c r="K418" i="93"/>
  <c r="N418" i="93" s="1"/>
  <c r="O418" i="93" s="1"/>
  <c r="K19" i="93"/>
  <c r="N19" i="93" s="1"/>
  <c r="O19" i="93" s="1"/>
  <c r="K33" i="93"/>
  <c r="N33" i="93" s="1"/>
  <c r="O33" i="93" s="1"/>
  <c r="K37" i="93"/>
  <c r="N37" i="93" s="1"/>
  <c r="O37" i="93" s="1"/>
  <c r="K42" i="93"/>
  <c r="N42" i="93" s="1"/>
  <c r="O42" i="93" s="1"/>
  <c r="K51" i="93"/>
  <c r="N51" i="93" s="1"/>
  <c r="O51" i="93" s="1"/>
  <c r="K65" i="93"/>
  <c r="N65" i="93" s="1"/>
  <c r="O65" i="93" s="1"/>
  <c r="K69" i="93"/>
  <c r="N69" i="93" s="1"/>
  <c r="O69" i="93" s="1"/>
  <c r="K74" i="93"/>
  <c r="N74" i="93" s="1"/>
  <c r="O74" i="93" s="1"/>
  <c r="K83" i="93"/>
  <c r="N83" i="93" s="1"/>
  <c r="O83" i="93" s="1"/>
  <c r="K97" i="93"/>
  <c r="N97" i="93" s="1"/>
  <c r="O97" i="93" s="1"/>
  <c r="K101" i="93"/>
  <c r="N101" i="93" s="1"/>
  <c r="O101" i="93" s="1"/>
  <c r="K106" i="93"/>
  <c r="N106" i="93" s="1"/>
  <c r="O106" i="93" s="1"/>
  <c r="K115" i="93"/>
  <c r="N115" i="93" s="1"/>
  <c r="O115" i="93" s="1"/>
  <c r="K129" i="93"/>
  <c r="N129" i="93" s="1"/>
  <c r="O129" i="93" s="1"/>
  <c r="K133" i="93"/>
  <c r="N133" i="93" s="1"/>
  <c r="O133" i="93" s="1"/>
  <c r="K138" i="93"/>
  <c r="N138" i="93" s="1"/>
  <c r="O138" i="93" s="1"/>
  <c r="K147" i="93"/>
  <c r="N147" i="93" s="1"/>
  <c r="O147" i="93" s="1"/>
  <c r="K148" i="93"/>
  <c r="N148" i="93" s="1"/>
  <c r="O148" i="93" s="1"/>
  <c r="K161" i="93"/>
  <c r="N161" i="93" s="1"/>
  <c r="O161" i="93" s="1"/>
  <c r="K165" i="93"/>
  <c r="N165" i="93" s="1"/>
  <c r="O165" i="93" s="1"/>
  <c r="K166" i="93"/>
  <c r="N166" i="93" s="1"/>
  <c r="O166" i="93" s="1"/>
  <c r="K176" i="93"/>
  <c r="N176" i="93" s="1"/>
  <c r="O176" i="93" s="1"/>
  <c r="K179" i="93"/>
  <c r="N179" i="93" s="1"/>
  <c r="O179" i="93" s="1"/>
  <c r="K180" i="93"/>
  <c r="N180" i="93" s="1"/>
  <c r="O180" i="93" s="1"/>
  <c r="K193" i="93"/>
  <c r="N193" i="93" s="1"/>
  <c r="O193" i="93" s="1"/>
  <c r="K197" i="93"/>
  <c r="N197" i="93" s="1"/>
  <c r="O197" i="93" s="1"/>
  <c r="K198" i="93"/>
  <c r="N198" i="93" s="1"/>
  <c r="O198" i="93" s="1"/>
  <c r="K208" i="93"/>
  <c r="N208" i="93" s="1"/>
  <c r="O208" i="93" s="1"/>
  <c r="K211" i="93"/>
  <c r="N211" i="93" s="1"/>
  <c r="O211" i="93" s="1"/>
  <c r="K212" i="93"/>
  <c r="N212" i="93" s="1"/>
  <c r="O212" i="93" s="1"/>
  <c r="K225" i="93"/>
  <c r="N225" i="93" s="1"/>
  <c r="O225" i="93" s="1"/>
  <c r="K229" i="93"/>
  <c r="N229" i="93" s="1"/>
  <c r="O229" i="93" s="1"/>
  <c r="K230" i="93"/>
  <c r="N230" i="93" s="1"/>
  <c r="O230" i="93" s="1"/>
  <c r="K240" i="93"/>
  <c r="N240" i="93" s="1"/>
  <c r="O240" i="93" s="1"/>
  <c r="K243" i="93"/>
  <c r="N243" i="93" s="1"/>
  <c r="O243" i="93" s="1"/>
  <c r="K244" i="93"/>
  <c r="N244" i="93" s="1"/>
  <c r="O244" i="93" s="1"/>
  <c r="K263" i="93"/>
  <c r="N263" i="93" s="1"/>
  <c r="O263" i="93" s="1"/>
  <c r="K267" i="93"/>
  <c r="N267" i="93" s="1"/>
  <c r="O267" i="93" s="1"/>
  <c r="K271" i="93"/>
  <c r="N271" i="93" s="1"/>
  <c r="O271" i="93" s="1"/>
  <c r="K278" i="93"/>
  <c r="N278" i="93" s="1"/>
  <c r="O278" i="93" s="1"/>
  <c r="K282" i="93"/>
  <c r="N282" i="93" s="1"/>
  <c r="O282" i="93" s="1"/>
  <c r="K286" i="93"/>
  <c r="N286" i="93" s="1"/>
  <c r="O286" i="93" s="1"/>
  <c r="K295" i="93"/>
  <c r="N295" i="93" s="1"/>
  <c r="O295" i="93" s="1"/>
  <c r="K299" i="93"/>
  <c r="N299" i="93" s="1"/>
  <c r="O299" i="93" s="1"/>
  <c r="K303" i="93"/>
  <c r="N303" i="93" s="1"/>
  <c r="O303" i="93" s="1"/>
  <c r="K307" i="93"/>
  <c r="N307" i="93" s="1"/>
  <c r="O307" i="93" s="1"/>
  <c r="K325" i="93"/>
  <c r="N325" i="93" s="1"/>
  <c r="O325" i="93" s="1"/>
  <c r="K326" i="93"/>
  <c r="N326" i="93" s="1"/>
  <c r="O326" i="93" s="1"/>
  <c r="K330" i="93"/>
  <c r="N330" i="93" s="1"/>
  <c r="O330" i="93" s="1"/>
  <c r="K343" i="93"/>
  <c r="N343" i="93" s="1"/>
  <c r="O343" i="93" s="1"/>
  <c r="K347" i="93"/>
  <c r="N347" i="93" s="1"/>
  <c r="O347" i="93" s="1"/>
  <c r="K353" i="93"/>
  <c r="N353" i="93" s="1"/>
  <c r="O353" i="93" s="1"/>
  <c r="K360" i="93"/>
  <c r="N360" i="93" s="1"/>
  <c r="O360" i="93" s="1"/>
  <c r="K368" i="93"/>
  <c r="N368" i="93" s="1"/>
  <c r="O368" i="93" s="1"/>
  <c r="K374" i="93"/>
  <c r="N374" i="93" s="1"/>
  <c r="O374" i="93" s="1"/>
  <c r="K382" i="93"/>
  <c r="N382" i="93" s="1"/>
  <c r="O382" i="93" s="1"/>
  <c r="K386" i="93"/>
  <c r="N386" i="93" s="1"/>
  <c r="O386" i="93" s="1"/>
  <c r="K420" i="93"/>
  <c r="N420" i="93" s="1"/>
  <c r="O420" i="93" s="1"/>
  <c r="K424" i="93"/>
  <c r="N424" i="93" s="1"/>
  <c r="O424" i="93" s="1"/>
  <c r="K432" i="93"/>
  <c r="N432" i="93" s="1"/>
  <c r="O432" i="93" s="1"/>
  <c r="K438" i="93"/>
  <c r="N438" i="93" s="1"/>
  <c r="O438" i="93" s="1"/>
  <c r="K446" i="93"/>
  <c r="N446" i="93" s="1"/>
  <c r="O446" i="93" s="1"/>
  <c r="K450" i="93"/>
  <c r="N450" i="93" s="1"/>
  <c r="O450" i="93" s="1"/>
  <c r="K455" i="93"/>
  <c r="N455" i="93" s="1"/>
  <c r="O455" i="93" s="1"/>
  <c r="K463" i="93"/>
  <c r="N463" i="93" s="1"/>
  <c r="O463" i="93" s="1"/>
  <c r="K476" i="93"/>
  <c r="N476" i="93" s="1"/>
  <c r="O476" i="93" s="1"/>
  <c r="K540" i="93"/>
  <c r="N540" i="93" s="1"/>
  <c r="O540" i="93" s="1"/>
  <c r="K632" i="93"/>
  <c r="N632" i="93" s="1"/>
  <c r="O632" i="93" s="1"/>
  <c r="K650" i="93"/>
  <c r="N650" i="93" s="1"/>
  <c r="O650" i="93" s="1"/>
  <c r="K684" i="93"/>
  <c r="N684" i="93" s="1"/>
  <c r="O684" i="93" s="1"/>
  <c r="K706" i="93"/>
  <c r="N706" i="93" s="1"/>
  <c r="O706" i="93" s="1"/>
  <c r="K724" i="93"/>
  <c r="N724" i="93" s="1"/>
  <c r="O724" i="93" s="1"/>
  <c r="K741" i="93"/>
  <c r="N741" i="93" s="1"/>
  <c r="O741" i="93" s="1"/>
  <c r="K771" i="93"/>
  <c r="N771" i="93" s="1"/>
  <c r="O771" i="93" s="1"/>
  <c r="K297" i="93"/>
  <c r="N297" i="93" s="1"/>
  <c r="O297" i="93" s="1"/>
  <c r="K301" i="93"/>
  <c r="N301" i="93" s="1"/>
  <c r="O301" i="93" s="1"/>
  <c r="K305" i="93"/>
  <c r="N305" i="93" s="1"/>
  <c r="O305" i="93" s="1"/>
  <c r="K310" i="93"/>
  <c r="N310" i="93" s="1"/>
  <c r="O310" i="93" s="1"/>
  <c r="K314" i="93"/>
  <c r="N314" i="93" s="1"/>
  <c r="O314" i="93" s="1"/>
  <c r="K327" i="93"/>
  <c r="N327" i="93" s="1"/>
  <c r="O327" i="93" s="1"/>
  <c r="K331" i="93"/>
  <c r="N331" i="93" s="1"/>
  <c r="O331" i="93" s="1"/>
  <c r="K337" i="93"/>
  <c r="N337" i="93" s="1"/>
  <c r="O337" i="93" s="1"/>
  <c r="K342" i="93"/>
  <c r="N342" i="93" s="1"/>
  <c r="O342" i="93" s="1"/>
  <c r="K346" i="93"/>
  <c r="N346" i="93" s="1"/>
  <c r="O346" i="93" s="1"/>
  <c r="K358" i="93"/>
  <c r="N358" i="93" s="1"/>
  <c r="O358" i="93" s="1"/>
  <c r="K366" i="93"/>
  <c r="N366" i="93" s="1"/>
  <c r="O366" i="93" s="1"/>
  <c r="K376" i="93"/>
  <c r="N376" i="93" s="1"/>
  <c r="O376" i="93" s="1"/>
  <c r="K384" i="93"/>
  <c r="N384" i="93" s="1"/>
  <c r="O384" i="93" s="1"/>
  <c r="K390" i="93"/>
  <c r="N390" i="93" s="1"/>
  <c r="O390" i="93" s="1"/>
  <c r="K398" i="93"/>
  <c r="N398" i="93" s="1"/>
  <c r="O398" i="93" s="1"/>
  <c r="K408" i="93"/>
  <c r="N408" i="93" s="1"/>
  <c r="O408" i="93" s="1"/>
  <c r="K416" i="93"/>
  <c r="N416" i="93" s="1"/>
  <c r="O416" i="93" s="1"/>
  <c r="K422" i="93"/>
  <c r="N422" i="93" s="1"/>
  <c r="O422" i="93" s="1"/>
  <c r="K430" i="93"/>
  <c r="N430" i="93" s="1"/>
  <c r="O430" i="93" s="1"/>
  <c r="K440" i="93"/>
  <c r="N440" i="93" s="1"/>
  <c r="O440" i="93" s="1"/>
  <c r="K448" i="93"/>
  <c r="N448" i="93" s="1"/>
  <c r="O448" i="93" s="1"/>
  <c r="K457" i="93"/>
  <c r="N457" i="93" s="1"/>
  <c r="O457" i="93" s="1"/>
  <c r="K465" i="93"/>
  <c r="N465" i="93" s="1"/>
  <c r="O465" i="93" s="1"/>
  <c r="K470" i="93"/>
  <c r="N470" i="93" s="1"/>
  <c r="O470" i="93" s="1"/>
  <c r="K474" i="93"/>
  <c r="N474" i="93" s="1"/>
  <c r="O474" i="93" s="1"/>
  <c r="K478" i="93"/>
  <c r="N478" i="93" s="1"/>
  <c r="O478" i="93" s="1"/>
  <c r="K482" i="93"/>
  <c r="N482" i="93" s="1"/>
  <c r="O482" i="93" s="1"/>
  <c r="K487" i="93"/>
  <c r="N487" i="93" s="1"/>
  <c r="O487" i="93" s="1"/>
  <c r="K492" i="93"/>
  <c r="N492" i="93" s="1"/>
  <c r="O492" i="93" s="1"/>
  <c r="K495" i="93"/>
  <c r="N495" i="93" s="1"/>
  <c r="O495" i="93" s="1"/>
  <c r="K504" i="93"/>
  <c r="N504" i="93" s="1"/>
  <c r="O504" i="93" s="1"/>
  <c r="K512" i="93"/>
  <c r="N512" i="93" s="1"/>
  <c r="O512" i="93" s="1"/>
  <c r="K521" i="93"/>
  <c r="N521" i="93" s="1"/>
  <c r="O521" i="93" s="1"/>
  <c r="K529" i="93"/>
  <c r="N529" i="93" s="1"/>
  <c r="O529" i="93" s="1"/>
  <c r="K534" i="93"/>
  <c r="N534" i="93" s="1"/>
  <c r="O534" i="93" s="1"/>
  <c r="K538" i="93"/>
  <c r="N538" i="93" s="1"/>
  <c r="O538" i="93" s="1"/>
  <c r="K542" i="93"/>
  <c r="N542" i="93" s="1"/>
  <c r="O542" i="93" s="1"/>
  <c r="K546" i="93"/>
  <c r="N546" i="93" s="1"/>
  <c r="O546" i="93" s="1"/>
  <c r="K551" i="93"/>
  <c r="N551" i="93" s="1"/>
  <c r="O551" i="93" s="1"/>
  <c r="K556" i="93"/>
  <c r="N556" i="93" s="1"/>
  <c r="O556" i="93" s="1"/>
  <c r="K578" i="93"/>
  <c r="N578" i="93" s="1"/>
  <c r="O578" i="93" s="1"/>
  <c r="K581" i="93"/>
  <c r="N581" i="93" s="1"/>
  <c r="O581" i="93" s="1"/>
  <c r="K591" i="93"/>
  <c r="N591" i="93" s="1"/>
  <c r="O591" i="93" s="1"/>
  <c r="K596" i="93"/>
  <c r="N596" i="93" s="1"/>
  <c r="O596" i="93" s="1"/>
  <c r="K599" i="93"/>
  <c r="N599" i="93" s="1"/>
  <c r="O599" i="93" s="1"/>
  <c r="K608" i="93"/>
  <c r="N608" i="93" s="1"/>
  <c r="O608" i="93" s="1"/>
  <c r="K616" i="93"/>
  <c r="N616" i="93" s="1"/>
  <c r="O616" i="93" s="1"/>
  <c r="K644" i="93"/>
  <c r="N644" i="93" s="1"/>
  <c r="O644" i="93" s="1"/>
  <c r="K652" i="93"/>
  <c r="N652" i="93" s="1"/>
  <c r="O652" i="93" s="1"/>
  <c r="K665" i="93"/>
  <c r="N665" i="93" s="1"/>
  <c r="O665" i="93" s="1"/>
  <c r="K673" i="93"/>
  <c r="N673" i="93" s="1"/>
  <c r="O673" i="93" s="1"/>
  <c r="K678" i="93"/>
  <c r="N678" i="93" s="1"/>
  <c r="O678" i="93" s="1"/>
  <c r="K682" i="93"/>
  <c r="N682" i="93" s="1"/>
  <c r="O682" i="93" s="1"/>
  <c r="K686" i="93"/>
  <c r="N686" i="93" s="1"/>
  <c r="O686" i="93" s="1"/>
  <c r="K700" i="93"/>
  <c r="N700" i="93" s="1"/>
  <c r="O700" i="93" s="1"/>
  <c r="K708" i="93"/>
  <c r="N708" i="93" s="1"/>
  <c r="O708" i="93" s="1"/>
  <c r="K722" i="93"/>
  <c r="N722" i="93" s="1"/>
  <c r="O722" i="93" s="1"/>
  <c r="K726" i="93"/>
  <c r="N726" i="93" s="1"/>
  <c r="O726" i="93" s="1"/>
  <c r="K730" i="93"/>
  <c r="N730" i="93" s="1"/>
  <c r="O730" i="93" s="1"/>
  <c r="K735" i="93"/>
  <c r="N735" i="93" s="1"/>
  <c r="O735" i="93" s="1"/>
  <c r="K740" i="93"/>
  <c r="N740" i="93" s="1"/>
  <c r="O740" i="93" s="1"/>
  <c r="K749" i="93"/>
  <c r="N749" i="93" s="1"/>
  <c r="O749" i="93" s="1"/>
  <c r="K369" i="93"/>
  <c r="N369" i="93" s="1"/>
  <c r="O369" i="93" s="1"/>
  <c r="K375" i="93"/>
  <c r="N375" i="93" s="1"/>
  <c r="O375" i="93" s="1"/>
  <c r="K383" i="93"/>
  <c r="N383" i="93" s="1"/>
  <c r="O383" i="93" s="1"/>
  <c r="K393" i="93"/>
  <c r="N393" i="93" s="1"/>
  <c r="O393" i="93" s="1"/>
  <c r="K401" i="93"/>
  <c r="N401" i="93" s="1"/>
  <c r="O401" i="93" s="1"/>
  <c r="K407" i="93"/>
  <c r="N407" i="93" s="1"/>
  <c r="O407" i="93" s="1"/>
  <c r="K415" i="93"/>
  <c r="N415" i="93" s="1"/>
  <c r="O415" i="93" s="1"/>
  <c r="K425" i="93"/>
  <c r="N425" i="93" s="1"/>
  <c r="O425" i="93" s="1"/>
  <c r="K433" i="93"/>
  <c r="N433" i="93" s="1"/>
  <c r="O433" i="93" s="1"/>
  <c r="K439" i="93"/>
  <c r="N439" i="93" s="1"/>
  <c r="O439" i="93" s="1"/>
  <c r="K447" i="93"/>
  <c r="N447" i="93" s="1"/>
  <c r="O447" i="93" s="1"/>
  <c r="K456" i="93"/>
  <c r="N456" i="93" s="1"/>
  <c r="O456" i="93" s="1"/>
  <c r="K464" i="93"/>
  <c r="N464" i="93" s="1"/>
  <c r="O464" i="93" s="1"/>
  <c r="K473" i="93"/>
  <c r="N473" i="93" s="1"/>
  <c r="O473" i="93" s="1"/>
  <c r="K481" i="93"/>
  <c r="N481" i="93" s="1"/>
  <c r="O481" i="93" s="1"/>
  <c r="K486" i="93"/>
  <c r="N486" i="93" s="1"/>
  <c r="O486" i="93" s="1"/>
  <c r="K490" i="93"/>
  <c r="N490" i="93" s="1"/>
  <c r="O490" i="93" s="1"/>
  <c r="K494" i="93"/>
  <c r="N494" i="93" s="1"/>
  <c r="O494" i="93" s="1"/>
  <c r="K498" i="93"/>
  <c r="N498" i="93" s="1"/>
  <c r="O498" i="93" s="1"/>
  <c r="K503" i="93"/>
  <c r="N503" i="93" s="1"/>
  <c r="O503" i="93" s="1"/>
  <c r="K511" i="93"/>
  <c r="N511" i="93" s="1"/>
  <c r="O511" i="93" s="1"/>
  <c r="K520" i="93"/>
  <c r="N520" i="93" s="1"/>
  <c r="O520" i="93" s="1"/>
  <c r="K528" i="93"/>
  <c r="N528" i="93" s="1"/>
  <c r="O528" i="93" s="1"/>
  <c r="K537" i="93"/>
  <c r="N537" i="93" s="1"/>
  <c r="O537" i="93" s="1"/>
  <c r="K545" i="93"/>
  <c r="N545" i="93" s="1"/>
  <c r="O545" i="93" s="1"/>
  <c r="K550" i="93"/>
  <c r="N550" i="93" s="1"/>
  <c r="O550" i="93" s="1"/>
  <c r="K554" i="93"/>
  <c r="N554" i="93" s="1"/>
  <c r="O554" i="93" s="1"/>
  <c r="K558" i="93"/>
  <c r="N558" i="93" s="1"/>
  <c r="O558" i="93" s="1"/>
  <c r="K572" i="93"/>
  <c r="N572" i="93" s="1"/>
  <c r="O572" i="93" s="1"/>
  <c r="K580" i="93"/>
  <c r="N580" i="93" s="1"/>
  <c r="O580" i="93" s="1"/>
  <c r="K594" i="93"/>
  <c r="N594" i="93" s="1"/>
  <c r="O594" i="93" s="1"/>
  <c r="K598" i="93"/>
  <c r="N598" i="93" s="1"/>
  <c r="O598" i="93" s="1"/>
  <c r="K602" i="93"/>
  <c r="N602" i="93" s="1"/>
  <c r="O602" i="93" s="1"/>
  <c r="K607" i="93"/>
  <c r="N607" i="93" s="1"/>
  <c r="O607" i="93" s="1"/>
  <c r="K615" i="93"/>
  <c r="N615" i="93" s="1"/>
  <c r="O615" i="93" s="1"/>
  <c r="K624" i="93"/>
  <c r="N624" i="93" s="1"/>
  <c r="O624" i="93" s="1"/>
  <c r="K629" i="93"/>
  <c r="N629" i="93" s="1"/>
  <c r="O629" i="93" s="1"/>
  <c r="K655" i="93"/>
  <c r="N655" i="93" s="1"/>
  <c r="O655" i="93" s="1"/>
  <c r="K664" i="93"/>
  <c r="N664" i="93" s="1"/>
  <c r="O664" i="93" s="1"/>
  <c r="K672" i="93"/>
  <c r="N672" i="93" s="1"/>
  <c r="O672" i="93" s="1"/>
  <c r="K681" i="93"/>
  <c r="N681" i="93" s="1"/>
  <c r="O681" i="93" s="1"/>
  <c r="K693" i="93"/>
  <c r="N693" i="93" s="1"/>
  <c r="O693" i="93" s="1"/>
  <c r="K717" i="93"/>
  <c r="N717" i="93" s="1"/>
  <c r="O717" i="93" s="1"/>
  <c r="K721" i="93"/>
  <c r="N721" i="93" s="1"/>
  <c r="O721" i="93" s="1"/>
  <c r="K729" i="93"/>
  <c r="N729" i="93" s="1"/>
  <c r="O729" i="93" s="1"/>
  <c r="K734" i="93"/>
  <c r="N734" i="93" s="1"/>
  <c r="O734" i="93" s="1"/>
  <c r="K738" i="93"/>
  <c r="N738" i="93" s="1"/>
  <c r="O738" i="93" s="1"/>
  <c r="K742" i="93"/>
  <c r="N742" i="93" s="1"/>
  <c r="O742" i="93" s="1"/>
  <c r="K746" i="93"/>
  <c r="N746" i="93" s="1"/>
  <c r="O746" i="93" s="1"/>
  <c r="K760" i="93"/>
  <c r="N760" i="93" s="1"/>
  <c r="O760" i="93" s="1"/>
  <c r="K768" i="93"/>
  <c r="N768" i="93" s="1"/>
  <c r="O768" i="93" s="1"/>
  <c r="K772" i="93"/>
  <c r="N772" i="93" s="1"/>
  <c r="O772" i="93" s="1"/>
  <c r="J14" i="141"/>
  <c r="J18" i="141" s="1"/>
  <c r="C18" i="7" s="1"/>
  <c r="H18" i="141"/>
  <c r="K804" i="93"/>
  <c r="N804" i="93" s="1"/>
  <c r="O804" i="93" s="1"/>
  <c r="K809" i="93"/>
  <c r="N809" i="93" s="1"/>
  <c r="O809" i="93" s="1"/>
  <c r="K813" i="93"/>
  <c r="N813" i="93" s="1"/>
  <c r="O813" i="93" s="1"/>
  <c r="K816" i="93"/>
  <c r="N816" i="93" s="1"/>
  <c r="O816" i="93" s="1"/>
  <c r="K817" i="93"/>
  <c r="N817" i="93" s="1"/>
  <c r="O817" i="93" s="1"/>
  <c r="K824" i="93"/>
  <c r="N824" i="93" s="1"/>
  <c r="O824" i="93" s="1"/>
  <c r="K825" i="93"/>
  <c r="N825" i="93" s="1"/>
  <c r="O825" i="93" s="1"/>
  <c r="K827" i="93"/>
  <c r="N827" i="93" s="1"/>
  <c r="O827" i="93" s="1"/>
  <c r="K829" i="93"/>
  <c r="N829" i="93" s="1"/>
  <c r="O829" i="93" s="1"/>
  <c r="K831" i="93"/>
  <c r="N831" i="93" s="1"/>
  <c r="O831" i="93" s="1"/>
  <c r="K833" i="93"/>
  <c r="N833" i="93" s="1"/>
  <c r="O833" i="93" s="1"/>
  <c r="K842" i="93"/>
  <c r="N842" i="93" s="1"/>
  <c r="O842" i="93" s="1"/>
  <c r="K846" i="93"/>
  <c r="N846" i="93" s="1"/>
  <c r="O846" i="93" s="1"/>
  <c r="K850" i="93"/>
  <c r="N850" i="93" s="1"/>
  <c r="O850" i="93" s="1"/>
  <c r="K872" i="93"/>
  <c r="N872" i="93" s="1"/>
  <c r="O872" i="93" s="1"/>
  <c r="K886" i="93"/>
  <c r="N886" i="93" s="1"/>
  <c r="O886" i="93" s="1"/>
  <c r="K890" i="93"/>
  <c r="N890" i="93" s="1"/>
  <c r="O890" i="93" s="1"/>
  <c r="K894" i="93"/>
  <c r="N894" i="93" s="1"/>
  <c r="O894" i="93" s="1"/>
  <c r="K916" i="93"/>
  <c r="N916" i="93" s="1"/>
  <c r="O916" i="93" s="1"/>
  <c r="K928" i="93"/>
  <c r="N928" i="93" s="1"/>
  <c r="O928" i="93" s="1"/>
  <c r="K959" i="93"/>
  <c r="N959" i="93" s="1"/>
  <c r="O959" i="93" s="1"/>
  <c r="K963" i="93"/>
  <c r="N963" i="93" s="1"/>
  <c r="O963" i="93" s="1"/>
  <c r="K972" i="93"/>
  <c r="N972" i="93" s="1"/>
  <c r="O972" i="93" s="1"/>
  <c r="K976" i="93"/>
  <c r="N976" i="93" s="1"/>
  <c r="O976" i="93" s="1"/>
  <c r="K980" i="93"/>
  <c r="N980" i="93" s="1"/>
  <c r="O980" i="93" s="1"/>
  <c r="K993" i="93"/>
  <c r="N993" i="93" s="1"/>
  <c r="O993" i="93" s="1"/>
  <c r="D33" i="105"/>
  <c r="D30" i="12" s="1"/>
  <c r="L14" i="107"/>
  <c r="N15" i="129"/>
  <c r="C41" i="136"/>
  <c r="C19" i="148"/>
  <c r="F51" i="140"/>
  <c r="O12" i="94"/>
  <c r="O7" i="94" s="1"/>
  <c r="M10" i="107"/>
  <c r="N10" i="125"/>
  <c r="H22" i="132"/>
  <c r="F62" i="153" s="1"/>
  <c r="C17" i="140"/>
  <c r="K782" i="93"/>
  <c r="N782" i="93" s="1"/>
  <c r="O782" i="93" s="1"/>
  <c r="K783" i="93"/>
  <c r="N783" i="93" s="1"/>
  <c r="O783" i="93" s="1"/>
  <c r="K796" i="93"/>
  <c r="N796" i="93" s="1"/>
  <c r="O796" i="93" s="1"/>
  <c r="K814" i="93"/>
  <c r="N814" i="93" s="1"/>
  <c r="O814" i="93" s="1"/>
  <c r="K818" i="93"/>
  <c r="N818" i="93" s="1"/>
  <c r="O818" i="93" s="1"/>
  <c r="K819" i="93"/>
  <c r="N819" i="93" s="1"/>
  <c r="O819" i="93" s="1"/>
  <c r="K840" i="93"/>
  <c r="N840" i="93" s="1"/>
  <c r="O840" i="93" s="1"/>
  <c r="K844" i="93"/>
  <c r="N844" i="93" s="1"/>
  <c r="O844" i="93" s="1"/>
  <c r="K848" i="93"/>
  <c r="N848" i="93" s="1"/>
  <c r="O848" i="93" s="1"/>
  <c r="K856" i="93"/>
  <c r="N856" i="93" s="1"/>
  <c r="O856" i="93" s="1"/>
  <c r="K857" i="93"/>
  <c r="N857" i="93" s="1"/>
  <c r="O857" i="93" s="1"/>
  <c r="K859" i="93"/>
  <c r="N859" i="93" s="1"/>
  <c r="O859" i="93" s="1"/>
  <c r="K861" i="93"/>
  <c r="N861" i="93" s="1"/>
  <c r="O861" i="93" s="1"/>
  <c r="K863" i="93"/>
  <c r="N863" i="93" s="1"/>
  <c r="O863" i="93" s="1"/>
  <c r="K865" i="93"/>
  <c r="N865" i="93" s="1"/>
  <c r="O865" i="93" s="1"/>
  <c r="K884" i="93"/>
  <c r="N884" i="93" s="1"/>
  <c r="O884" i="93" s="1"/>
  <c r="K901" i="93"/>
  <c r="N901" i="93" s="1"/>
  <c r="O901" i="93" s="1"/>
  <c r="K918" i="93"/>
  <c r="N918" i="93" s="1"/>
  <c r="O918" i="93" s="1"/>
  <c r="K939" i="93"/>
  <c r="N939" i="93" s="1"/>
  <c r="O939" i="93" s="1"/>
  <c r="K953" i="93"/>
  <c r="N953" i="93" s="1"/>
  <c r="O953" i="93" s="1"/>
  <c r="K955" i="93"/>
  <c r="N955" i="93" s="1"/>
  <c r="O955" i="93" s="1"/>
  <c r="K961" i="93"/>
  <c r="N961" i="93" s="1"/>
  <c r="O961" i="93" s="1"/>
  <c r="K970" i="93"/>
  <c r="N970" i="93" s="1"/>
  <c r="O970" i="93" s="1"/>
  <c r="K978" i="93"/>
  <c r="N978" i="93" s="1"/>
  <c r="O978" i="93" s="1"/>
  <c r="K982" i="93"/>
  <c r="N982" i="93" s="1"/>
  <c r="O982" i="93" s="1"/>
  <c r="K995" i="93"/>
  <c r="N995" i="93" s="1"/>
  <c r="O995" i="93" s="1"/>
  <c r="K1000" i="93"/>
  <c r="N1000" i="93" s="1"/>
  <c r="O1000" i="93" s="1"/>
  <c r="K1003" i="93"/>
  <c r="N1003" i="93" s="1"/>
  <c r="O1003" i="93" s="1"/>
  <c r="E7" i="94"/>
  <c r="H37" i="153"/>
  <c r="I37" i="153"/>
  <c r="L7" i="107"/>
  <c r="C17" i="133"/>
  <c r="I8" i="138"/>
  <c r="J8" i="138" s="1"/>
  <c r="M8" i="138" s="1"/>
  <c r="G15" i="91"/>
  <c r="G24" i="136"/>
  <c r="J10" i="134"/>
  <c r="K10" i="93"/>
  <c r="N10" i="93" s="1"/>
  <c r="O10" i="93" s="1"/>
  <c r="H7" i="142"/>
  <c r="E15" i="90" s="1"/>
  <c r="C8" i="16" s="1"/>
  <c r="H42" i="142"/>
  <c r="C30" i="10" s="1"/>
  <c r="H10" i="142"/>
  <c r="C9" i="10" s="1"/>
  <c r="J13" i="141"/>
  <c r="C17" i="7" s="1"/>
  <c r="H19" i="141"/>
  <c r="C24" i="148" s="1"/>
  <c r="D13" i="147"/>
  <c r="H7" i="143"/>
  <c r="E6" i="10" s="1"/>
  <c r="J27" i="97"/>
  <c r="G29" i="92"/>
  <c r="E13" i="134"/>
  <c r="H21" i="134" s="1"/>
  <c r="D9" i="147"/>
  <c r="F9" i="147" s="1"/>
  <c r="G24" i="95"/>
  <c r="C13" i="16" s="1"/>
  <c r="E15" i="91"/>
  <c r="F26" i="92"/>
  <c r="I8" i="93"/>
  <c r="K16" i="93"/>
  <c r="N16" i="93" s="1"/>
  <c r="O16" i="93" s="1"/>
  <c r="K24" i="93"/>
  <c r="N24" i="93" s="1"/>
  <c r="O24" i="93" s="1"/>
  <c r="K32" i="93"/>
  <c r="N32" i="93" s="1"/>
  <c r="O32" i="93" s="1"/>
  <c r="K40" i="93"/>
  <c r="N40" i="93" s="1"/>
  <c r="O40" i="93" s="1"/>
  <c r="K48" i="93"/>
  <c r="N48" i="93" s="1"/>
  <c r="O48" i="93" s="1"/>
  <c r="K56" i="93"/>
  <c r="N56" i="93" s="1"/>
  <c r="O56" i="93" s="1"/>
  <c r="K64" i="93"/>
  <c r="N64" i="93" s="1"/>
  <c r="O64" i="93" s="1"/>
  <c r="K72" i="93"/>
  <c r="N72" i="93" s="1"/>
  <c r="O72" i="93" s="1"/>
  <c r="K80" i="93"/>
  <c r="N80" i="93" s="1"/>
  <c r="O80" i="93" s="1"/>
  <c r="K88" i="93"/>
  <c r="N88" i="93" s="1"/>
  <c r="O88" i="93" s="1"/>
  <c r="K96" i="93"/>
  <c r="N96" i="93" s="1"/>
  <c r="O96" i="93" s="1"/>
  <c r="K104" i="93"/>
  <c r="N104" i="93" s="1"/>
  <c r="O104" i="93" s="1"/>
  <c r="K112" i="93"/>
  <c r="N112" i="93" s="1"/>
  <c r="O112" i="93" s="1"/>
  <c r="K120" i="93"/>
  <c r="N120" i="93" s="1"/>
  <c r="O120" i="93" s="1"/>
  <c r="K128" i="93"/>
  <c r="N128" i="93" s="1"/>
  <c r="O128" i="93" s="1"/>
  <c r="K136" i="93"/>
  <c r="N136" i="93" s="1"/>
  <c r="O136" i="93" s="1"/>
  <c r="K144" i="93"/>
  <c r="N144" i="93" s="1"/>
  <c r="O144" i="93" s="1"/>
  <c r="K154" i="93"/>
  <c r="N154" i="93" s="1"/>
  <c r="O154" i="93" s="1"/>
  <c r="K162" i="93"/>
  <c r="N162" i="93" s="1"/>
  <c r="O162" i="93" s="1"/>
  <c r="K170" i="93"/>
  <c r="N170" i="93" s="1"/>
  <c r="O170" i="93" s="1"/>
  <c r="K178" i="93"/>
  <c r="N178" i="93" s="1"/>
  <c r="O178" i="93" s="1"/>
  <c r="K186" i="93"/>
  <c r="N186" i="93" s="1"/>
  <c r="O186" i="93" s="1"/>
  <c r="K194" i="93"/>
  <c r="N194" i="93" s="1"/>
  <c r="O194" i="93" s="1"/>
  <c r="K202" i="93"/>
  <c r="N202" i="93" s="1"/>
  <c r="O202" i="93" s="1"/>
  <c r="K210" i="93"/>
  <c r="N210" i="93" s="1"/>
  <c r="O210" i="93" s="1"/>
  <c r="K218" i="93"/>
  <c r="N218" i="93" s="1"/>
  <c r="O218" i="93" s="1"/>
  <c r="K226" i="93"/>
  <c r="N226" i="93" s="1"/>
  <c r="O226" i="93" s="1"/>
  <c r="K234" i="93"/>
  <c r="N234" i="93" s="1"/>
  <c r="O234" i="93" s="1"/>
  <c r="K242" i="93"/>
  <c r="N242" i="93" s="1"/>
  <c r="O242" i="93" s="1"/>
  <c r="K250" i="93"/>
  <c r="N250" i="93" s="1"/>
  <c r="O250" i="93" s="1"/>
  <c r="J8" i="93"/>
  <c r="K14" i="93"/>
  <c r="N14" i="93" s="1"/>
  <c r="O14" i="93" s="1"/>
  <c r="K22" i="93"/>
  <c r="N22" i="93" s="1"/>
  <c r="O22" i="93" s="1"/>
  <c r="K30" i="93"/>
  <c r="N30" i="93" s="1"/>
  <c r="O30" i="93" s="1"/>
  <c r="K38" i="93"/>
  <c r="N38" i="93" s="1"/>
  <c r="O38" i="93" s="1"/>
  <c r="K46" i="93"/>
  <c r="N46" i="93" s="1"/>
  <c r="O46" i="93" s="1"/>
  <c r="K54" i="93"/>
  <c r="N54" i="93" s="1"/>
  <c r="O54" i="93" s="1"/>
  <c r="K62" i="93"/>
  <c r="N62" i="93" s="1"/>
  <c r="O62" i="93" s="1"/>
  <c r="K70" i="93"/>
  <c r="N70" i="93" s="1"/>
  <c r="O70" i="93" s="1"/>
  <c r="K78" i="93"/>
  <c r="N78" i="93" s="1"/>
  <c r="O78" i="93" s="1"/>
  <c r="K86" i="93"/>
  <c r="N86" i="93" s="1"/>
  <c r="O86" i="93" s="1"/>
  <c r="K94" i="93"/>
  <c r="N94" i="93" s="1"/>
  <c r="O94" i="93" s="1"/>
  <c r="K102" i="93"/>
  <c r="N102" i="93" s="1"/>
  <c r="O102" i="93" s="1"/>
  <c r="K110" i="93"/>
  <c r="N110" i="93" s="1"/>
  <c r="O110" i="93" s="1"/>
  <c r="K118" i="93"/>
  <c r="N118" i="93" s="1"/>
  <c r="O118" i="93" s="1"/>
  <c r="K126" i="93"/>
  <c r="N126" i="93" s="1"/>
  <c r="O126" i="93" s="1"/>
  <c r="K134" i="93"/>
  <c r="N134" i="93" s="1"/>
  <c r="O134" i="93" s="1"/>
  <c r="K142" i="93"/>
  <c r="N142" i="93" s="1"/>
  <c r="O142" i="93" s="1"/>
  <c r="K12" i="93"/>
  <c r="N12" i="93" s="1"/>
  <c r="O12" i="93" s="1"/>
  <c r="K20" i="93"/>
  <c r="N20" i="93" s="1"/>
  <c r="O20" i="93" s="1"/>
  <c r="K28" i="93"/>
  <c r="N28" i="93" s="1"/>
  <c r="O28" i="93" s="1"/>
  <c r="K36" i="93"/>
  <c r="N36" i="93" s="1"/>
  <c r="O36" i="93" s="1"/>
  <c r="K44" i="93"/>
  <c r="N44" i="93" s="1"/>
  <c r="O44" i="93" s="1"/>
  <c r="K52" i="93"/>
  <c r="N52" i="93" s="1"/>
  <c r="O52" i="93" s="1"/>
  <c r="K60" i="93"/>
  <c r="N60" i="93" s="1"/>
  <c r="O60" i="93" s="1"/>
  <c r="K68" i="93"/>
  <c r="N68" i="93" s="1"/>
  <c r="O68" i="93" s="1"/>
  <c r="K76" i="93"/>
  <c r="N76" i="93" s="1"/>
  <c r="O76" i="93" s="1"/>
  <c r="K84" i="93"/>
  <c r="N84" i="93" s="1"/>
  <c r="O84" i="93" s="1"/>
  <c r="K92" i="93"/>
  <c r="N92" i="93" s="1"/>
  <c r="O92" i="93" s="1"/>
  <c r="K100" i="93"/>
  <c r="N100" i="93" s="1"/>
  <c r="O100" i="93" s="1"/>
  <c r="K108" i="93"/>
  <c r="N108" i="93" s="1"/>
  <c r="O108" i="93" s="1"/>
  <c r="K116" i="93"/>
  <c r="N116" i="93" s="1"/>
  <c r="O116" i="93" s="1"/>
  <c r="K124" i="93"/>
  <c r="N124" i="93" s="1"/>
  <c r="O124" i="93" s="1"/>
  <c r="K132" i="93"/>
  <c r="N132" i="93" s="1"/>
  <c r="O132" i="93" s="1"/>
  <c r="K140" i="93"/>
  <c r="N140" i="93" s="1"/>
  <c r="O140" i="93" s="1"/>
  <c r="K260" i="93"/>
  <c r="N260" i="93" s="1"/>
  <c r="O260" i="93" s="1"/>
  <c r="K268" i="93"/>
  <c r="N268" i="93" s="1"/>
  <c r="O268" i="93" s="1"/>
  <c r="K276" i="93"/>
  <c r="N276" i="93" s="1"/>
  <c r="O276" i="93" s="1"/>
  <c r="K284" i="93"/>
  <c r="N284" i="93" s="1"/>
  <c r="O284" i="93" s="1"/>
  <c r="K292" i="93"/>
  <c r="N292" i="93" s="1"/>
  <c r="O292" i="93" s="1"/>
  <c r="K300" i="93"/>
  <c r="N300" i="93" s="1"/>
  <c r="O300" i="93" s="1"/>
  <c r="K308" i="93"/>
  <c r="N308" i="93" s="1"/>
  <c r="O308" i="93" s="1"/>
  <c r="K316" i="93"/>
  <c r="N316" i="93" s="1"/>
  <c r="O316" i="93" s="1"/>
  <c r="K324" i="93"/>
  <c r="N324" i="93" s="1"/>
  <c r="O324" i="93" s="1"/>
  <c r="K332" i="93"/>
  <c r="N332" i="93" s="1"/>
  <c r="O332" i="93" s="1"/>
  <c r="K340" i="93"/>
  <c r="N340" i="93" s="1"/>
  <c r="O340" i="93" s="1"/>
  <c r="K348" i="93"/>
  <c r="N348" i="93" s="1"/>
  <c r="O348" i="93" s="1"/>
  <c r="K356" i="93"/>
  <c r="N356" i="93" s="1"/>
  <c r="O356" i="93" s="1"/>
  <c r="K363" i="93"/>
  <c r="N363" i="93" s="1"/>
  <c r="O363" i="93" s="1"/>
  <c r="K365" i="93"/>
  <c r="N365" i="93" s="1"/>
  <c r="O365" i="93" s="1"/>
  <c r="K379" i="93"/>
  <c r="N379" i="93" s="1"/>
  <c r="O379" i="93" s="1"/>
  <c r="K381" i="93"/>
  <c r="N381" i="93" s="1"/>
  <c r="O381" i="93" s="1"/>
  <c r="K395" i="93"/>
  <c r="N395" i="93" s="1"/>
  <c r="O395" i="93" s="1"/>
  <c r="K397" i="93"/>
  <c r="N397" i="93" s="1"/>
  <c r="O397" i="93" s="1"/>
  <c r="K411" i="93"/>
  <c r="N411" i="93" s="1"/>
  <c r="O411" i="93" s="1"/>
  <c r="K413" i="93"/>
  <c r="N413" i="93" s="1"/>
  <c r="O413" i="93" s="1"/>
  <c r="K427" i="93"/>
  <c r="N427" i="93" s="1"/>
  <c r="O427" i="93" s="1"/>
  <c r="K429" i="93"/>
  <c r="N429" i="93" s="1"/>
  <c r="O429" i="93" s="1"/>
  <c r="K443" i="93"/>
  <c r="N443" i="93" s="1"/>
  <c r="O443" i="93" s="1"/>
  <c r="K445" i="93"/>
  <c r="N445" i="93" s="1"/>
  <c r="O445" i="93" s="1"/>
  <c r="K461" i="93"/>
  <c r="N461" i="93" s="1"/>
  <c r="O461" i="93" s="1"/>
  <c r="K477" i="93"/>
  <c r="N477" i="93" s="1"/>
  <c r="O477" i="93" s="1"/>
  <c r="K493" i="93"/>
  <c r="N493" i="93" s="1"/>
  <c r="O493" i="93" s="1"/>
  <c r="K509" i="93"/>
  <c r="N509" i="93" s="1"/>
  <c r="O509" i="93" s="1"/>
  <c r="K525" i="93"/>
  <c r="N525" i="93" s="1"/>
  <c r="O525" i="93" s="1"/>
  <c r="K557" i="93"/>
  <c r="N557" i="93" s="1"/>
  <c r="O557" i="93" s="1"/>
  <c r="K561" i="93"/>
  <c r="N561" i="93" s="1"/>
  <c r="O561" i="93" s="1"/>
  <c r="K574" i="93"/>
  <c r="N574" i="93" s="1"/>
  <c r="O574" i="93" s="1"/>
  <c r="K575" i="93"/>
  <c r="N575" i="93" s="1"/>
  <c r="O575" i="93" s="1"/>
  <c r="K577" i="93"/>
  <c r="N577" i="93" s="1"/>
  <c r="O577" i="93" s="1"/>
  <c r="K590" i="93"/>
  <c r="N590" i="93" s="1"/>
  <c r="O590" i="93" s="1"/>
  <c r="K597" i="93"/>
  <c r="N597" i="93" s="1"/>
  <c r="O597" i="93" s="1"/>
  <c r="K613" i="93"/>
  <c r="N613" i="93" s="1"/>
  <c r="O613" i="93" s="1"/>
  <c r="K623" i="93"/>
  <c r="N623" i="93" s="1"/>
  <c r="O623" i="93" s="1"/>
  <c r="K630" i="93"/>
  <c r="N630" i="93" s="1"/>
  <c r="O630" i="93" s="1"/>
  <c r="K631" i="93"/>
  <c r="N631" i="93" s="1"/>
  <c r="O631" i="93" s="1"/>
  <c r="K633" i="93"/>
  <c r="N633" i="93" s="1"/>
  <c r="O633" i="93" s="1"/>
  <c r="K646" i="93"/>
  <c r="N646" i="93" s="1"/>
  <c r="O646" i="93" s="1"/>
  <c r="K647" i="93"/>
  <c r="N647" i="93" s="1"/>
  <c r="O647" i="93" s="1"/>
  <c r="K649" i="93"/>
  <c r="N649" i="93" s="1"/>
  <c r="O649" i="93" s="1"/>
  <c r="K656" i="93"/>
  <c r="N656" i="93" s="1"/>
  <c r="O656" i="93" s="1"/>
  <c r="K685" i="93"/>
  <c r="N685" i="93" s="1"/>
  <c r="O685" i="93" s="1"/>
  <c r="K689" i="93"/>
  <c r="N689" i="93" s="1"/>
  <c r="O689" i="93" s="1"/>
  <c r="K702" i="93"/>
  <c r="N702" i="93" s="1"/>
  <c r="O702" i="93" s="1"/>
  <c r="K703" i="93"/>
  <c r="N703" i="93" s="1"/>
  <c r="O703" i="93" s="1"/>
  <c r="K705" i="93"/>
  <c r="N705" i="93" s="1"/>
  <c r="O705" i="93" s="1"/>
  <c r="K718" i="93"/>
  <c r="N718" i="93" s="1"/>
  <c r="O718" i="93" s="1"/>
  <c r="K725" i="93"/>
  <c r="N725" i="93" s="1"/>
  <c r="O725" i="93" s="1"/>
  <c r="K743" i="93"/>
  <c r="N743" i="93" s="1"/>
  <c r="O743" i="93" s="1"/>
  <c r="K745" i="93"/>
  <c r="N745" i="93" s="1"/>
  <c r="O745" i="93" s="1"/>
  <c r="K747" i="93"/>
  <c r="N747" i="93" s="1"/>
  <c r="O747" i="93" s="1"/>
  <c r="K752" i="93"/>
  <c r="N752" i="93" s="1"/>
  <c r="O752" i="93" s="1"/>
  <c r="K753" i="93"/>
  <c r="N753" i="93" s="1"/>
  <c r="O753" i="93" s="1"/>
  <c r="K755" i="93"/>
  <c r="N755" i="93" s="1"/>
  <c r="O755" i="93" s="1"/>
  <c r="K767" i="93"/>
  <c r="N767" i="93" s="1"/>
  <c r="O767" i="93" s="1"/>
  <c r="K769" i="93"/>
  <c r="N769" i="93" s="1"/>
  <c r="O769" i="93" s="1"/>
  <c r="K790" i="93"/>
  <c r="N790" i="93" s="1"/>
  <c r="O790" i="93" s="1"/>
  <c r="K791" i="93"/>
  <c r="N791" i="93" s="1"/>
  <c r="O791" i="93" s="1"/>
  <c r="K794" i="93"/>
  <c r="N794" i="93" s="1"/>
  <c r="O794" i="93" s="1"/>
  <c r="K795" i="93"/>
  <c r="N795" i="93" s="1"/>
  <c r="O795" i="93" s="1"/>
  <c r="K808" i="93"/>
  <c r="N808" i="93" s="1"/>
  <c r="O808" i="93" s="1"/>
  <c r="K924" i="93"/>
  <c r="N924" i="93" s="1"/>
  <c r="O924" i="93" s="1"/>
  <c r="K256" i="93"/>
  <c r="N256" i="93" s="1"/>
  <c r="O256" i="93" s="1"/>
  <c r="K264" i="93"/>
  <c r="N264" i="93" s="1"/>
  <c r="O264" i="93" s="1"/>
  <c r="K272" i="93"/>
  <c r="N272" i="93" s="1"/>
  <c r="O272" i="93" s="1"/>
  <c r="K280" i="93"/>
  <c r="N280" i="93" s="1"/>
  <c r="O280" i="93" s="1"/>
  <c r="K288" i="93"/>
  <c r="N288" i="93" s="1"/>
  <c r="O288" i="93" s="1"/>
  <c r="K296" i="93"/>
  <c r="N296" i="93" s="1"/>
  <c r="O296" i="93" s="1"/>
  <c r="K304" i="93"/>
  <c r="N304" i="93" s="1"/>
  <c r="O304" i="93" s="1"/>
  <c r="K312" i="93"/>
  <c r="N312" i="93" s="1"/>
  <c r="O312" i="93" s="1"/>
  <c r="K320" i="93"/>
  <c r="N320" i="93" s="1"/>
  <c r="O320" i="93" s="1"/>
  <c r="K328" i="93"/>
  <c r="N328" i="93" s="1"/>
  <c r="O328" i="93" s="1"/>
  <c r="K336" i="93"/>
  <c r="N336" i="93" s="1"/>
  <c r="O336" i="93" s="1"/>
  <c r="K344" i="93"/>
  <c r="N344" i="93" s="1"/>
  <c r="O344" i="93" s="1"/>
  <c r="K352" i="93"/>
  <c r="N352" i="93" s="1"/>
  <c r="O352" i="93" s="1"/>
  <c r="K357" i="93"/>
  <c r="N357" i="93" s="1"/>
  <c r="O357" i="93" s="1"/>
  <c r="K371" i="93"/>
  <c r="N371" i="93" s="1"/>
  <c r="O371" i="93" s="1"/>
  <c r="K373" i="93"/>
  <c r="N373" i="93" s="1"/>
  <c r="O373" i="93" s="1"/>
  <c r="K387" i="93"/>
  <c r="N387" i="93" s="1"/>
  <c r="O387" i="93" s="1"/>
  <c r="K389" i="93"/>
  <c r="N389" i="93" s="1"/>
  <c r="O389" i="93" s="1"/>
  <c r="K403" i="93"/>
  <c r="N403" i="93" s="1"/>
  <c r="O403" i="93" s="1"/>
  <c r="K405" i="93"/>
  <c r="N405" i="93" s="1"/>
  <c r="O405" i="93" s="1"/>
  <c r="K419" i="93"/>
  <c r="N419" i="93" s="1"/>
  <c r="O419" i="93" s="1"/>
  <c r="K421" i="93"/>
  <c r="N421" i="93" s="1"/>
  <c r="O421" i="93" s="1"/>
  <c r="K435" i="93"/>
  <c r="N435" i="93" s="1"/>
  <c r="O435" i="93" s="1"/>
  <c r="K437" i="93"/>
  <c r="N437" i="93" s="1"/>
  <c r="O437" i="93" s="1"/>
  <c r="K453" i="93"/>
  <c r="N453" i="93" s="1"/>
  <c r="O453" i="93" s="1"/>
  <c r="K469" i="93"/>
  <c r="N469" i="93" s="1"/>
  <c r="O469" i="93" s="1"/>
  <c r="K485" i="93"/>
  <c r="N485" i="93" s="1"/>
  <c r="O485" i="93" s="1"/>
  <c r="K501" i="93"/>
  <c r="N501" i="93" s="1"/>
  <c r="O501" i="93" s="1"/>
  <c r="K517" i="93"/>
  <c r="N517" i="93" s="1"/>
  <c r="O517" i="93" s="1"/>
  <c r="K549" i="93"/>
  <c r="N549" i="93" s="1"/>
  <c r="O549" i="93" s="1"/>
  <c r="K559" i="93"/>
  <c r="N559" i="93" s="1"/>
  <c r="O559" i="93" s="1"/>
  <c r="K566" i="93"/>
  <c r="N566" i="93" s="1"/>
  <c r="O566" i="93" s="1"/>
  <c r="K567" i="93"/>
  <c r="N567" i="93" s="1"/>
  <c r="O567" i="93" s="1"/>
  <c r="K569" i="93"/>
  <c r="N569" i="93" s="1"/>
  <c r="O569" i="93" s="1"/>
  <c r="K582" i="93"/>
  <c r="N582" i="93" s="1"/>
  <c r="O582" i="93" s="1"/>
  <c r="K583" i="93"/>
  <c r="N583" i="93" s="1"/>
  <c r="O583" i="93" s="1"/>
  <c r="K585" i="93"/>
  <c r="N585" i="93" s="1"/>
  <c r="O585" i="93" s="1"/>
  <c r="K592" i="93"/>
  <c r="N592" i="93" s="1"/>
  <c r="O592" i="93" s="1"/>
  <c r="K621" i="93"/>
  <c r="N621" i="93" s="1"/>
  <c r="O621" i="93" s="1"/>
  <c r="K625" i="93"/>
  <c r="N625" i="93" s="1"/>
  <c r="O625" i="93" s="1"/>
  <c r="K638" i="93"/>
  <c r="N638" i="93" s="1"/>
  <c r="O638" i="93" s="1"/>
  <c r="K639" i="93"/>
  <c r="N639" i="93" s="1"/>
  <c r="O639" i="93" s="1"/>
  <c r="K641" i="93"/>
  <c r="N641" i="93" s="1"/>
  <c r="O641" i="93" s="1"/>
  <c r="K654" i="93"/>
  <c r="N654" i="93" s="1"/>
  <c r="O654" i="93" s="1"/>
  <c r="K661" i="93"/>
  <c r="N661" i="93" s="1"/>
  <c r="O661" i="93" s="1"/>
  <c r="K677" i="93"/>
  <c r="N677" i="93" s="1"/>
  <c r="O677" i="93" s="1"/>
  <c r="K687" i="93"/>
  <c r="N687" i="93" s="1"/>
  <c r="O687" i="93" s="1"/>
  <c r="K694" i="93"/>
  <c r="N694" i="93" s="1"/>
  <c r="O694" i="93" s="1"/>
  <c r="K695" i="93"/>
  <c r="N695" i="93" s="1"/>
  <c r="O695" i="93" s="1"/>
  <c r="K697" i="93"/>
  <c r="N697" i="93" s="1"/>
  <c r="O697" i="93" s="1"/>
  <c r="K710" i="93"/>
  <c r="N710" i="93" s="1"/>
  <c r="O710" i="93" s="1"/>
  <c r="K711" i="93"/>
  <c r="N711" i="93" s="1"/>
  <c r="O711" i="93" s="1"/>
  <c r="K713" i="93"/>
  <c r="N713" i="93" s="1"/>
  <c r="O713" i="93" s="1"/>
  <c r="K720" i="93"/>
  <c r="N720" i="93" s="1"/>
  <c r="O720" i="93" s="1"/>
  <c r="K737" i="93"/>
  <c r="N737" i="93" s="1"/>
  <c r="O737" i="93" s="1"/>
  <c r="K739" i="93"/>
  <c r="N739" i="93" s="1"/>
  <c r="O739" i="93" s="1"/>
  <c r="K759" i="93"/>
  <c r="N759" i="93" s="1"/>
  <c r="O759" i="93" s="1"/>
  <c r="K761" i="93"/>
  <c r="N761" i="93" s="1"/>
  <c r="O761" i="93" s="1"/>
  <c r="K763" i="93"/>
  <c r="N763" i="93" s="1"/>
  <c r="O763" i="93" s="1"/>
  <c r="K792" i="93"/>
  <c r="N792" i="93" s="1"/>
  <c r="O792" i="93" s="1"/>
  <c r="K793" i="93"/>
  <c r="N793" i="93" s="1"/>
  <c r="O793" i="93" s="1"/>
  <c r="K806" i="93"/>
  <c r="N806" i="93" s="1"/>
  <c r="O806" i="93" s="1"/>
  <c r="K807" i="93"/>
  <c r="N807" i="93" s="1"/>
  <c r="O807" i="93" s="1"/>
  <c r="K810" i="93"/>
  <c r="N810" i="93" s="1"/>
  <c r="O810" i="93" s="1"/>
  <c r="K811" i="93"/>
  <c r="N811" i="93" s="1"/>
  <c r="O811" i="93" s="1"/>
  <c r="K874" i="93"/>
  <c r="N874" i="93" s="1"/>
  <c r="O874" i="93" s="1"/>
  <c r="K892" i="93"/>
  <c r="N892" i="93" s="1"/>
  <c r="O892" i="93" s="1"/>
  <c r="K896" i="93"/>
  <c r="N896" i="93" s="1"/>
  <c r="O896" i="93" s="1"/>
  <c r="K922" i="93"/>
  <c r="N922" i="93" s="1"/>
  <c r="O922" i="93" s="1"/>
  <c r="K926" i="93"/>
  <c r="N926" i="93" s="1"/>
  <c r="O926" i="93" s="1"/>
  <c r="K775" i="93"/>
  <c r="N775" i="93" s="1"/>
  <c r="O775" i="93" s="1"/>
  <c r="K777" i="93"/>
  <c r="N777" i="93" s="1"/>
  <c r="O777" i="93" s="1"/>
  <c r="K779" i="93"/>
  <c r="N779" i="93" s="1"/>
  <c r="O779" i="93" s="1"/>
  <c r="K784" i="93"/>
  <c r="N784" i="93" s="1"/>
  <c r="O784" i="93" s="1"/>
  <c r="K785" i="93"/>
  <c r="N785" i="93" s="1"/>
  <c r="O785" i="93" s="1"/>
  <c r="K787" i="93"/>
  <c r="N787" i="93" s="1"/>
  <c r="O787" i="93" s="1"/>
  <c r="K799" i="93"/>
  <c r="N799" i="93" s="1"/>
  <c r="O799" i="93" s="1"/>
  <c r="K801" i="93"/>
  <c r="N801" i="93" s="1"/>
  <c r="O801" i="93" s="1"/>
  <c r="K803" i="93"/>
  <c r="N803" i="93" s="1"/>
  <c r="O803" i="93" s="1"/>
  <c r="K821" i="93"/>
  <c r="N821" i="93" s="1"/>
  <c r="O821" i="93" s="1"/>
  <c r="K823" i="93"/>
  <c r="N823" i="93" s="1"/>
  <c r="O823" i="93" s="1"/>
  <c r="K853" i="93"/>
  <c r="N853" i="93" s="1"/>
  <c r="O853" i="93" s="1"/>
  <c r="K855" i="93"/>
  <c r="N855" i="93" s="1"/>
  <c r="O855" i="93" s="1"/>
  <c r="K873" i="93"/>
  <c r="N873" i="93" s="1"/>
  <c r="O873" i="93" s="1"/>
  <c r="K875" i="93"/>
  <c r="N875" i="93" s="1"/>
  <c r="O875" i="93" s="1"/>
  <c r="K888" i="93"/>
  <c r="N888" i="93" s="1"/>
  <c r="O888" i="93" s="1"/>
  <c r="K889" i="93"/>
  <c r="N889" i="93" s="1"/>
  <c r="O889" i="93" s="1"/>
  <c r="K891" i="93"/>
  <c r="N891" i="93" s="1"/>
  <c r="O891" i="93" s="1"/>
  <c r="K893" i="93"/>
  <c r="N893" i="93" s="1"/>
  <c r="O893" i="93" s="1"/>
  <c r="K895" i="93"/>
  <c r="N895" i="93" s="1"/>
  <c r="O895" i="93" s="1"/>
  <c r="K897" i="93"/>
  <c r="N897" i="93" s="1"/>
  <c r="O897" i="93" s="1"/>
  <c r="K920" i="93"/>
  <c r="N920" i="93" s="1"/>
  <c r="O920" i="93" s="1"/>
  <c r="K921" i="93"/>
  <c r="N921" i="93" s="1"/>
  <c r="O921" i="93" s="1"/>
  <c r="K923" i="93"/>
  <c r="N923" i="93" s="1"/>
  <c r="O923" i="93" s="1"/>
  <c r="K925" i="93"/>
  <c r="N925" i="93" s="1"/>
  <c r="O925" i="93" s="1"/>
  <c r="K927" i="93"/>
  <c r="N927" i="93" s="1"/>
  <c r="O927" i="93" s="1"/>
  <c r="K943" i="93"/>
  <c r="N943" i="93" s="1"/>
  <c r="O943" i="93" s="1"/>
  <c r="K945" i="93"/>
  <c r="N945" i="93" s="1"/>
  <c r="O945" i="93" s="1"/>
  <c r="K947" i="93"/>
  <c r="N947" i="93" s="1"/>
  <c r="O947" i="93" s="1"/>
  <c r="K1004" i="93"/>
  <c r="N1004" i="93" s="1"/>
  <c r="O1004" i="93" s="1"/>
  <c r="D22" i="99"/>
  <c r="S7" i="127"/>
  <c r="D7" i="126" s="1"/>
  <c r="C7" i="126"/>
  <c r="C14" i="34" s="1"/>
  <c r="F31" i="94"/>
  <c r="K12" i="94"/>
  <c r="F47" i="19" s="1"/>
  <c r="O27" i="94"/>
  <c r="C33" i="94"/>
  <c r="K781" i="93"/>
  <c r="N781" i="93" s="1"/>
  <c r="O781" i="93" s="1"/>
  <c r="K789" i="93"/>
  <c r="N789" i="93" s="1"/>
  <c r="O789" i="93" s="1"/>
  <c r="K805" i="93"/>
  <c r="N805" i="93" s="1"/>
  <c r="O805" i="93" s="1"/>
  <c r="K815" i="93"/>
  <c r="N815" i="93" s="1"/>
  <c r="O815" i="93" s="1"/>
  <c r="K876" i="93"/>
  <c r="N876" i="93" s="1"/>
  <c r="O876" i="93" s="1"/>
  <c r="K929" i="93"/>
  <c r="N929" i="93" s="1"/>
  <c r="O929" i="93" s="1"/>
  <c r="K931" i="93"/>
  <c r="N931" i="93" s="1"/>
  <c r="O931" i="93" s="1"/>
  <c r="K933" i="93"/>
  <c r="N933" i="93" s="1"/>
  <c r="O933" i="93" s="1"/>
  <c r="K935" i="93"/>
  <c r="N935" i="93" s="1"/>
  <c r="O935" i="93" s="1"/>
  <c r="K969" i="93"/>
  <c r="N969" i="93" s="1"/>
  <c r="O969" i="93" s="1"/>
  <c r="K971" i="93"/>
  <c r="N971" i="93" s="1"/>
  <c r="O971" i="93" s="1"/>
  <c r="K985" i="93"/>
  <c r="N985" i="93" s="1"/>
  <c r="O985" i="93" s="1"/>
  <c r="K987" i="93"/>
  <c r="N987" i="93" s="1"/>
  <c r="O987" i="93" s="1"/>
  <c r="K1001" i="93"/>
  <c r="N1001" i="93" s="1"/>
  <c r="O1001" i="93" s="1"/>
  <c r="S11" i="127"/>
  <c r="D11" i="126" s="1"/>
  <c r="C11" i="126"/>
  <c r="C18" i="34" s="1"/>
  <c r="D8" i="105"/>
  <c r="L13" i="107"/>
  <c r="M13" i="107" s="1"/>
  <c r="P15" i="129"/>
  <c r="R15" i="129"/>
  <c r="C25" i="140"/>
  <c r="H8" i="142"/>
  <c r="F15" i="90" s="1"/>
  <c r="C10" i="16" s="1"/>
  <c r="E32" i="145"/>
  <c r="C29" i="7" s="1"/>
  <c r="F13" i="147"/>
  <c r="D17" i="147"/>
  <c r="F17" i="147" s="1"/>
  <c r="D21" i="147"/>
  <c r="F21" i="147" s="1"/>
  <c r="D25" i="147"/>
  <c r="F25" i="147" s="1"/>
  <c r="D29" i="147"/>
  <c r="F29" i="147" s="1"/>
  <c r="D33" i="147"/>
  <c r="F33" i="147" s="1"/>
  <c r="D37" i="147"/>
  <c r="F37" i="147" s="1"/>
  <c r="D41" i="147"/>
  <c r="F41" i="147" s="1"/>
  <c r="D45" i="147"/>
  <c r="F45" i="147" s="1"/>
  <c r="D49" i="147"/>
  <c r="F49" i="147" s="1"/>
  <c r="D53" i="147"/>
  <c r="F53" i="147" s="1"/>
  <c r="D57" i="147"/>
  <c r="F57" i="147" s="1"/>
  <c r="E27" i="94"/>
  <c r="K27" i="94"/>
  <c r="G27" i="95"/>
  <c r="C14" i="16" s="1"/>
  <c r="J18" i="99"/>
  <c r="D26" i="99" s="1"/>
  <c r="D29" i="105"/>
  <c r="H6" i="106"/>
  <c r="L9" i="107"/>
  <c r="M9" i="107" s="1"/>
  <c r="L12" i="107"/>
  <c r="J15" i="127"/>
  <c r="K15" i="126"/>
  <c r="O15" i="129"/>
  <c r="F17" i="133"/>
  <c r="I9" i="138"/>
  <c r="J9" i="138" s="1"/>
  <c r="G51" i="140"/>
  <c r="D16" i="140" s="1"/>
  <c r="H27" i="144"/>
  <c r="C31" i="144"/>
  <c r="M6" i="107"/>
  <c r="J15" i="107"/>
  <c r="M14" i="107"/>
  <c r="N9" i="125"/>
  <c r="E21" i="136"/>
  <c r="G25" i="136"/>
  <c r="H43" i="143"/>
  <c r="E30" i="10" s="1"/>
  <c r="F11" i="92"/>
  <c r="G11" i="92" s="1"/>
  <c r="C26" i="141"/>
  <c r="H20" i="141"/>
  <c r="E23" i="141"/>
  <c r="H18" i="139"/>
  <c r="L9" i="138"/>
  <c r="C10" i="138" s="1"/>
  <c r="I10" i="138" s="1"/>
  <c r="J10" i="138" s="1"/>
  <c r="B10" i="138"/>
  <c r="K10" i="138" s="1"/>
  <c r="F38" i="140"/>
  <c r="F37" i="140" s="1"/>
  <c r="G37" i="140"/>
  <c r="F23" i="92"/>
  <c r="C31" i="92" s="1"/>
  <c r="H10" i="143"/>
  <c r="E9" i="10" s="1"/>
  <c r="F9" i="92"/>
  <c r="G9" i="92" s="1"/>
  <c r="G13" i="134"/>
  <c r="G23" i="136"/>
  <c r="E9" i="136"/>
  <c r="G9" i="136" s="1"/>
  <c r="C8" i="136"/>
  <c r="E8" i="136" s="1"/>
  <c r="G8" i="136" s="1"/>
  <c r="O8" i="138"/>
  <c r="D9" i="138"/>
  <c r="M9" i="138" s="1"/>
  <c r="C21" i="141"/>
  <c r="E9" i="141"/>
  <c r="C13" i="5" s="1"/>
  <c r="B45" i="145"/>
  <c r="H13" i="134"/>
  <c r="J13" i="134"/>
  <c r="F21" i="136"/>
  <c r="H9" i="139"/>
  <c r="J11" i="141"/>
  <c r="C15" i="7" s="1"/>
  <c r="C22" i="141"/>
  <c r="E16" i="145"/>
  <c r="C22" i="145"/>
  <c r="E37" i="145"/>
  <c r="F54" i="140"/>
  <c r="D19" i="140"/>
  <c r="D44" i="142"/>
  <c r="H6" i="142"/>
  <c r="C15" i="90" s="1"/>
  <c r="C6" i="16" s="1"/>
  <c r="D45" i="143"/>
  <c r="D27" i="144"/>
  <c r="F10" i="92"/>
  <c r="G10" i="92" s="1"/>
  <c r="F12" i="92"/>
  <c r="G12" i="92" s="1"/>
  <c r="D13" i="92"/>
  <c r="F8" i="92"/>
  <c r="C13" i="92"/>
  <c r="F16" i="92"/>
  <c r="G15" i="92"/>
  <c r="E13" i="92"/>
  <c r="D26" i="100"/>
  <c r="F23" i="100"/>
  <c r="J8" i="91"/>
  <c r="D23" i="92"/>
  <c r="K451" i="93"/>
  <c r="K459" i="93"/>
  <c r="N459" i="93" s="1"/>
  <c r="O459" i="93" s="1"/>
  <c r="K467" i="93"/>
  <c r="N467" i="93" s="1"/>
  <c r="O467" i="93" s="1"/>
  <c r="K475" i="93"/>
  <c r="N475" i="93" s="1"/>
  <c r="O475" i="93" s="1"/>
  <c r="K483" i="93"/>
  <c r="N483" i="93" s="1"/>
  <c r="O483" i="93" s="1"/>
  <c r="K491" i="93"/>
  <c r="N491" i="93" s="1"/>
  <c r="O491" i="93" s="1"/>
  <c r="K499" i="93"/>
  <c r="N499" i="93" s="1"/>
  <c r="O499" i="93" s="1"/>
  <c r="K507" i="93"/>
  <c r="N507" i="93" s="1"/>
  <c r="O507" i="93" s="1"/>
  <c r="K515" i="93"/>
  <c r="N515" i="93" s="1"/>
  <c r="O515" i="93" s="1"/>
  <c r="K523" i="93"/>
  <c r="N523" i="93" s="1"/>
  <c r="O523" i="93" s="1"/>
  <c r="K531" i="93"/>
  <c r="N531" i="93" s="1"/>
  <c r="O531" i="93" s="1"/>
  <c r="K541" i="93"/>
  <c r="N541" i="93" s="1"/>
  <c r="O541" i="93" s="1"/>
  <c r="K573" i="93"/>
  <c r="N573" i="93" s="1"/>
  <c r="O573" i="93" s="1"/>
  <c r="K605" i="93"/>
  <c r="N605" i="93" s="1"/>
  <c r="O605" i="93" s="1"/>
  <c r="K637" i="93"/>
  <c r="N637" i="93" s="1"/>
  <c r="O637" i="93" s="1"/>
  <c r="K669" i="93"/>
  <c r="N669" i="93" s="1"/>
  <c r="O669" i="93" s="1"/>
  <c r="K701" i="93"/>
  <c r="N701" i="93" s="1"/>
  <c r="O701" i="93" s="1"/>
  <c r="K733" i="93"/>
  <c r="N733" i="93" s="1"/>
  <c r="O733" i="93" s="1"/>
  <c r="K839" i="93"/>
  <c r="N839" i="93" s="1"/>
  <c r="O839" i="93" s="1"/>
  <c r="K903" i="93"/>
  <c r="N903" i="93" s="1"/>
  <c r="O903" i="93" s="1"/>
  <c r="K533" i="93"/>
  <c r="N533" i="93" s="1"/>
  <c r="O533" i="93" s="1"/>
  <c r="K539" i="93"/>
  <c r="N539" i="93" s="1"/>
  <c r="O539" i="93" s="1"/>
  <c r="K547" i="93"/>
  <c r="N547" i="93" s="1"/>
  <c r="O547" i="93" s="1"/>
  <c r="K555" i="93"/>
  <c r="N555" i="93" s="1"/>
  <c r="O555" i="93" s="1"/>
  <c r="K563" i="93"/>
  <c r="N563" i="93" s="1"/>
  <c r="O563" i="93" s="1"/>
  <c r="K571" i="93"/>
  <c r="N571" i="93" s="1"/>
  <c r="O571" i="93" s="1"/>
  <c r="K579" i="93"/>
  <c r="N579" i="93" s="1"/>
  <c r="O579" i="93" s="1"/>
  <c r="K587" i="93"/>
  <c r="N587" i="93" s="1"/>
  <c r="O587" i="93" s="1"/>
  <c r="K595" i="93"/>
  <c r="N595" i="93" s="1"/>
  <c r="O595" i="93" s="1"/>
  <c r="K603" i="93"/>
  <c r="N603" i="93" s="1"/>
  <c r="O603" i="93" s="1"/>
  <c r="K611" i="93"/>
  <c r="N611" i="93" s="1"/>
  <c r="O611" i="93" s="1"/>
  <c r="K619" i="93"/>
  <c r="N619" i="93" s="1"/>
  <c r="O619" i="93" s="1"/>
  <c r="K627" i="93"/>
  <c r="N627" i="93" s="1"/>
  <c r="O627" i="93" s="1"/>
  <c r="K635" i="93"/>
  <c r="N635" i="93" s="1"/>
  <c r="O635" i="93" s="1"/>
  <c r="K643" i="93"/>
  <c r="N643" i="93" s="1"/>
  <c r="O643" i="93" s="1"/>
  <c r="K651" i="93"/>
  <c r="N651" i="93" s="1"/>
  <c r="O651" i="93" s="1"/>
  <c r="K659" i="93"/>
  <c r="N659" i="93" s="1"/>
  <c r="O659" i="93" s="1"/>
  <c r="K667" i="93"/>
  <c r="N667" i="93" s="1"/>
  <c r="O667" i="93" s="1"/>
  <c r="K675" i="93"/>
  <c r="N675" i="93" s="1"/>
  <c r="O675" i="93" s="1"/>
  <c r="K683" i="93"/>
  <c r="N683" i="93" s="1"/>
  <c r="O683" i="93" s="1"/>
  <c r="K691" i="93"/>
  <c r="N691" i="93" s="1"/>
  <c r="O691" i="93" s="1"/>
  <c r="K699" i="93"/>
  <c r="N699" i="93" s="1"/>
  <c r="O699" i="93" s="1"/>
  <c r="K707" i="93"/>
  <c r="N707" i="93" s="1"/>
  <c r="O707" i="93" s="1"/>
  <c r="K715" i="93"/>
  <c r="N715" i="93" s="1"/>
  <c r="O715" i="93" s="1"/>
  <c r="K723" i="93"/>
  <c r="N723" i="93" s="1"/>
  <c r="O723" i="93" s="1"/>
  <c r="K731" i="93"/>
  <c r="N731" i="93" s="1"/>
  <c r="O731" i="93" s="1"/>
  <c r="K835" i="93"/>
  <c r="N835" i="93" s="1"/>
  <c r="O835" i="93" s="1"/>
  <c r="K851" i="93"/>
  <c r="N851" i="93" s="1"/>
  <c r="O851" i="93" s="1"/>
  <c r="K867" i="93"/>
  <c r="N867" i="93" s="1"/>
  <c r="O867" i="93" s="1"/>
  <c r="K883" i="93"/>
  <c r="N883" i="93" s="1"/>
  <c r="O883" i="93" s="1"/>
  <c r="K899" i="93"/>
  <c r="N899" i="93" s="1"/>
  <c r="O899" i="93" s="1"/>
  <c r="K915" i="93"/>
  <c r="N915" i="93" s="1"/>
  <c r="O915" i="93" s="1"/>
  <c r="K937" i="93"/>
  <c r="N937" i="93" s="1"/>
  <c r="O937" i="93" s="1"/>
  <c r="K951" i="93"/>
  <c r="N951" i="93" s="1"/>
  <c r="O951" i="93" s="1"/>
  <c r="G16" i="97"/>
  <c r="G15" i="97" s="1"/>
  <c r="C19" i="106"/>
  <c r="G19" i="106"/>
  <c r="K941" i="93"/>
  <c r="N941" i="93" s="1"/>
  <c r="O941" i="93" s="1"/>
  <c r="K949" i="93"/>
  <c r="N949" i="93" s="1"/>
  <c r="O949" i="93" s="1"/>
  <c r="K957" i="93"/>
  <c r="N957" i="93" s="1"/>
  <c r="O957" i="93" s="1"/>
  <c r="K965" i="93"/>
  <c r="N965" i="93" s="1"/>
  <c r="O965" i="93" s="1"/>
  <c r="K973" i="93"/>
  <c r="N973" i="93" s="1"/>
  <c r="O973" i="93" s="1"/>
  <c r="K981" i="93"/>
  <c r="N981" i="93" s="1"/>
  <c r="O981" i="93" s="1"/>
  <c r="K989" i="93"/>
  <c r="N989" i="93" s="1"/>
  <c r="O989" i="93" s="1"/>
  <c r="K997" i="93"/>
  <c r="N997" i="93" s="1"/>
  <c r="O997" i="93" s="1"/>
  <c r="K7" i="94"/>
  <c r="C6" i="148" s="1"/>
  <c r="H33" i="94"/>
  <c r="E22" i="97"/>
  <c r="E24" i="97" s="1"/>
  <c r="L8" i="107"/>
  <c r="N8" i="126"/>
  <c r="O8" i="126" s="1"/>
  <c r="N12" i="126"/>
  <c r="O12" i="126" s="1"/>
  <c r="T8" i="129"/>
  <c r="S9" i="127"/>
  <c r="D9" i="126" s="1"/>
  <c r="C9" i="126"/>
  <c r="C16" i="34" s="1"/>
  <c r="S13" i="127"/>
  <c r="D13" i="126" s="1"/>
  <c r="C13" i="126"/>
  <c r="C20" i="34" s="1"/>
  <c r="H15" i="129"/>
  <c r="Q15" i="129"/>
  <c r="K967" i="93"/>
  <c r="N967" i="93" s="1"/>
  <c r="O967" i="93" s="1"/>
  <c r="K975" i="93"/>
  <c r="N975" i="93" s="1"/>
  <c r="O975" i="93" s="1"/>
  <c r="K983" i="93"/>
  <c r="N983" i="93" s="1"/>
  <c r="O983" i="93" s="1"/>
  <c r="K991" i="93"/>
  <c r="N991" i="93" s="1"/>
  <c r="O991" i="93" s="1"/>
  <c r="K999" i="93"/>
  <c r="N999" i="93" s="1"/>
  <c r="O999" i="93" s="1"/>
  <c r="J18" i="98"/>
  <c r="D18" i="105"/>
  <c r="K15" i="107"/>
  <c r="M7" i="126"/>
  <c r="S7" i="129" s="1"/>
  <c r="S9" i="37" s="1"/>
  <c r="S8" i="127"/>
  <c r="D8" i="126" s="1"/>
  <c r="C8" i="126"/>
  <c r="C15" i="34" s="1"/>
  <c r="M11" i="126"/>
  <c r="S12" i="127"/>
  <c r="D12" i="126" s="1"/>
  <c r="C12" i="126"/>
  <c r="C19" i="34" s="1"/>
  <c r="S15" i="126"/>
  <c r="E17" i="133"/>
  <c r="H19" i="106"/>
  <c r="M7" i="107"/>
  <c r="M11" i="107"/>
  <c r="M12" i="107"/>
  <c r="N7" i="125"/>
  <c r="E15" i="126"/>
  <c r="N9" i="126"/>
  <c r="O9" i="126" s="1"/>
  <c r="N13" i="126"/>
  <c r="O13" i="126" s="1"/>
  <c r="N15" i="127"/>
  <c r="N8" i="125"/>
  <c r="M6" i="126"/>
  <c r="S6" i="129" s="1"/>
  <c r="S8" i="37" s="1"/>
  <c r="T9" i="129"/>
  <c r="M10" i="126"/>
  <c r="S10" i="129" s="1"/>
  <c r="S12" i="37" s="1"/>
  <c r="M14" i="126"/>
  <c r="S14" i="129" s="1"/>
  <c r="S16" i="37" s="1"/>
  <c r="O15" i="127"/>
  <c r="C6" i="126"/>
  <c r="C13" i="34" s="1"/>
  <c r="S6" i="127"/>
  <c r="C10" i="126"/>
  <c r="C17" i="34" s="1"/>
  <c r="S10" i="127"/>
  <c r="D10" i="126" s="1"/>
  <c r="C14" i="126"/>
  <c r="C21" i="34" s="1"/>
  <c r="S14" i="127"/>
  <c r="D14" i="126" s="1"/>
  <c r="G12" i="133"/>
  <c r="G8" i="133"/>
  <c r="O9" i="93" l="1"/>
  <c r="I21" i="100"/>
  <c r="C12" i="148"/>
  <c r="D22" i="100"/>
  <c r="F44" i="142"/>
  <c r="D46" i="142" s="1"/>
  <c r="B38" i="145"/>
  <c r="C28" i="148"/>
  <c r="C28" i="144"/>
  <c r="C27" i="148"/>
  <c r="E23" i="99"/>
  <c r="F19" i="140"/>
  <c r="F15" i="139"/>
  <c r="I15" i="139" s="1"/>
  <c r="H15" i="139" s="1"/>
  <c r="F16" i="140"/>
  <c r="F14" i="139"/>
  <c r="I14" i="139" s="1"/>
  <c r="H14" i="139" s="1"/>
  <c r="C9" i="125"/>
  <c r="C13" i="33"/>
  <c r="A11" i="92"/>
  <c r="H16" i="19"/>
  <c r="K16" i="19"/>
  <c r="D19" i="98"/>
  <c r="S15" i="37"/>
  <c r="T13" i="129"/>
  <c r="S14" i="37"/>
  <c r="T12" i="129"/>
  <c r="F14" i="126"/>
  <c r="H14" i="126" s="1"/>
  <c r="J14" i="126" s="1"/>
  <c r="D21" i="34"/>
  <c r="F7" i="126"/>
  <c r="H7" i="126" s="1"/>
  <c r="J7" i="126" s="1"/>
  <c r="D14" i="34"/>
  <c r="T13" i="126"/>
  <c r="O20" i="34"/>
  <c r="F13" i="126"/>
  <c r="H13" i="126" s="1"/>
  <c r="J13" i="126" s="1"/>
  <c r="D20" i="34"/>
  <c r="T12" i="126"/>
  <c r="O19" i="34"/>
  <c r="F11" i="126"/>
  <c r="H11" i="126" s="1"/>
  <c r="J11" i="126" s="1"/>
  <c r="D18" i="34"/>
  <c r="T9" i="126"/>
  <c r="O16" i="34"/>
  <c r="F8" i="126"/>
  <c r="H8" i="126" s="1"/>
  <c r="J8" i="126" s="1"/>
  <c r="D15" i="34"/>
  <c r="T8" i="126"/>
  <c r="O15" i="34"/>
  <c r="F10" i="126"/>
  <c r="H10" i="126" s="1"/>
  <c r="J10" i="126" s="1"/>
  <c r="D17" i="34"/>
  <c r="T14" i="129"/>
  <c r="F12" i="126"/>
  <c r="H12" i="126" s="1"/>
  <c r="J12" i="126" s="1"/>
  <c r="D19" i="34"/>
  <c r="T7" i="129"/>
  <c r="F9" i="126"/>
  <c r="H9" i="126" s="1"/>
  <c r="J9" i="126" s="1"/>
  <c r="D16" i="34"/>
  <c r="S11" i="129"/>
  <c r="S13" i="37" s="1"/>
  <c r="C45" i="142"/>
  <c r="C25" i="148"/>
  <c r="C46" i="143"/>
  <c r="C26" i="148"/>
  <c r="E17" i="90"/>
  <c r="D8" i="16" s="1"/>
  <c r="F17" i="90"/>
  <c r="C17" i="90"/>
  <c r="C10" i="108"/>
  <c r="C12" i="15"/>
  <c r="E22" i="145"/>
  <c r="C29" i="5"/>
  <c r="D28" i="105"/>
  <c r="D26" i="12"/>
  <c r="H40" i="153"/>
  <c r="J40" i="153" s="1"/>
  <c r="K40" i="153" s="1"/>
  <c r="C25" i="11"/>
  <c r="G18" i="92"/>
  <c r="C37" i="11"/>
  <c r="I62" i="153"/>
  <c r="H62" i="153"/>
  <c r="H42" i="153"/>
  <c r="J42" i="153" s="1"/>
  <c r="K42" i="153" s="1"/>
  <c r="C27" i="11"/>
  <c r="L15" i="107"/>
  <c r="C6" i="10"/>
  <c r="J37" i="153"/>
  <c r="K37" i="153" s="1"/>
  <c r="C15" i="126"/>
  <c r="C9" i="148"/>
  <c r="J19" i="141"/>
  <c r="F45" i="143"/>
  <c r="C49" i="143" s="1"/>
  <c r="J15" i="91"/>
  <c r="H44" i="142"/>
  <c r="D8" i="95"/>
  <c r="E8" i="95" s="1"/>
  <c r="G13" i="16" s="1"/>
  <c r="C10" i="148"/>
  <c r="E19" i="141"/>
  <c r="H45" i="143"/>
  <c r="G17" i="133"/>
  <c r="F22" i="140"/>
  <c r="D17" i="95"/>
  <c r="C48" i="136"/>
  <c r="G21" i="136"/>
  <c r="E43" i="136"/>
  <c r="F20" i="141"/>
  <c r="J20" i="141" s="1"/>
  <c r="B11" i="138"/>
  <c r="K11" i="138" s="1"/>
  <c r="L10" i="138"/>
  <c r="C11" i="138" s="1"/>
  <c r="I11" i="138" s="1"/>
  <c r="J11" i="138" s="1"/>
  <c r="H10" i="139"/>
  <c r="H16" i="139"/>
  <c r="D10" i="138"/>
  <c r="M10" i="138" s="1"/>
  <c r="O9" i="138"/>
  <c r="G38" i="136"/>
  <c r="F57" i="140"/>
  <c r="C48" i="142"/>
  <c r="G57" i="140"/>
  <c r="D17" i="140"/>
  <c r="T6" i="129"/>
  <c r="N451" i="93"/>
  <c r="K8" i="93"/>
  <c r="N10" i="126"/>
  <c r="O10" i="126" s="1"/>
  <c r="M8" i="107"/>
  <c r="M15" i="107" s="1"/>
  <c r="G8" i="92"/>
  <c r="G13" i="92" s="1"/>
  <c r="F13" i="92"/>
  <c r="C30" i="92" s="1"/>
  <c r="N14" i="126"/>
  <c r="O14" i="126" s="1"/>
  <c r="O21" i="34" s="1"/>
  <c r="T14" i="126"/>
  <c r="T10" i="129"/>
  <c r="D28" i="97"/>
  <c r="N6" i="126"/>
  <c r="M15" i="126"/>
  <c r="S15" i="127"/>
  <c r="D6" i="126"/>
  <c r="D13" i="34" s="1"/>
  <c r="N11" i="126"/>
  <c r="O11" i="126" s="1"/>
  <c r="N7" i="126"/>
  <c r="O7" i="126" s="1"/>
  <c r="J22" i="97"/>
  <c r="G22" i="97"/>
  <c r="G24" i="97" s="1"/>
  <c r="C32" i="92"/>
  <c r="F17" i="140" l="1"/>
  <c r="F17" i="139"/>
  <c r="I17" i="139" s="1"/>
  <c r="H17" i="139" s="1"/>
  <c r="J24" i="97"/>
  <c r="C4" i="17"/>
  <c r="F8" i="95"/>
  <c r="C31" i="95" s="1"/>
  <c r="C8" i="125"/>
  <c r="C12" i="33"/>
  <c r="A8" i="92"/>
  <c r="H13" i="19"/>
  <c r="K13" i="19"/>
  <c r="T10" i="126"/>
  <c r="O17" i="34"/>
  <c r="T11" i="129"/>
  <c r="T11" i="126"/>
  <c r="O18" i="34"/>
  <c r="T7" i="126"/>
  <c r="O14" i="34"/>
  <c r="C4" i="148"/>
  <c r="C7" i="148"/>
  <c r="C8" i="148" s="1"/>
  <c r="D14" i="16"/>
  <c r="C28" i="95"/>
  <c r="D13" i="16"/>
  <c r="F22" i="90"/>
  <c r="D10" i="16"/>
  <c r="D9" i="16" s="1"/>
  <c r="C18" i="90"/>
  <c r="D6" i="16"/>
  <c r="C9" i="108"/>
  <c r="C11" i="15"/>
  <c r="J62" i="153"/>
  <c r="K62" i="153" s="1"/>
  <c r="G23" i="92"/>
  <c r="C35" i="92" s="1"/>
  <c r="D47" i="143"/>
  <c r="J16" i="91"/>
  <c r="F28" i="153"/>
  <c r="C19" i="11" s="1"/>
  <c r="E28" i="95"/>
  <c r="F17" i="95"/>
  <c r="C33" i="95" s="1"/>
  <c r="D20" i="95"/>
  <c r="O10" i="138"/>
  <c r="D11" i="138"/>
  <c r="M11" i="138" s="1"/>
  <c r="L11" i="138"/>
  <c r="C12" i="138" s="1"/>
  <c r="I12" i="138" s="1"/>
  <c r="J12" i="138" s="1"/>
  <c r="B12" i="138"/>
  <c r="K12" i="138" s="1"/>
  <c r="F58" i="140"/>
  <c r="C59" i="140"/>
  <c r="N15" i="126"/>
  <c r="O6" i="126"/>
  <c r="O13" i="34" s="1"/>
  <c r="O451" i="93"/>
  <c r="O8" i="93" s="1"/>
  <c r="N8" i="93"/>
  <c r="F6" i="126"/>
  <c r="D15" i="126"/>
  <c r="T15" i="129"/>
  <c r="S15" i="129"/>
  <c r="C7" i="125" l="1"/>
  <c r="C11" i="33"/>
  <c r="E33" i="92"/>
  <c r="D18" i="16"/>
  <c r="E15" i="95"/>
  <c r="G6" i="16"/>
  <c r="F18" i="90"/>
  <c r="G32" i="90"/>
  <c r="G36" i="90"/>
  <c r="G19" i="90" s="1"/>
  <c r="G18" i="90" s="1"/>
  <c r="E16" i="95"/>
  <c r="F16" i="95" s="1"/>
  <c r="F6" i="103"/>
  <c r="F23" i="90"/>
  <c r="C8" i="108"/>
  <c r="C10" i="15"/>
  <c r="D29" i="95"/>
  <c r="B13" i="138"/>
  <c r="K13" i="138" s="1"/>
  <c r="L12" i="138"/>
  <c r="C13" i="138" s="1"/>
  <c r="I13" i="138" s="1"/>
  <c r="J13" i="138" s="1"/>
  <c r="D12" i="138"/>
  <c r="M12" i="138" s="1"/>
  <c r="O11" i="138"/>
  <c r="O15" i="126"/>
  <c r="T6" i="126"/>
  <c r="T15" i="126" s="1"/>
  <c r="H6" i="126"/>
  <c r="F15" i="126"/>
  <c r="C6" i="125" l="1"/>
  <c r="C9" i="33" s="1"/>
  <c r="C10" i="33"/>
  <c r="E19" i="90"/>
  <c r="E18" i="90" s="1"/>
  <c r="G39" i="90"/>
  <c r="F19" i="90"/>
  <c r="F20" i="90" s="1"/>
  <c r="C6" i="103" s="1"/>
  <c r="F24" i="90"/>
  <c r="I6" i="103" s="1"/>
  <c r="F15" i="95"/>
  <c r="E14" i="95"/>
  <c r="C7" i="108"/>
  <c r="C8" i="15" s="1"/>
  <c r="C9" i="15"/>
  <c r="O12" i="138"/>
  <c r="D13" i="138"/>
  <c r="M13" i="138" s="1"/>
  <c r="L13" i="138"/>
  <c r="C14" i="138" s="1"/>
  <c r="I14" i="138" s="1"/>
  <c r="J14" i="138" s="1"/>
  <c r="B14" i="138"/>
  <c r="K14" i="138" s="1"/>
  <c r="H15" i="126"/>
  <c r="J6" i="126"/>
  <c r="J15" i="126" s="1"/>
  <c r="F14" i="95" l="1"/>
  <c r="F20" i="95" s="1"/>
  <c r="E20" i="95"/>
  <c r="G40" i="90"/>
  <c r="C42" i="90"/>
  <c r="L14" i="138"/>
  <c r="C15" i="138" s="1"/>
  <c r="I15" i="138" s="1"/>
  <c r="J15" i="138" s="1"/>
  <c r="B15" i="138"/>
  <c r="K15" i="138" s="1"/>
  <c r="O13" i="138"/>
  <c r="D14" i="138"/>
  <c r="M14" i="138" s="1"/>
  <c r="L15" i="138" l="1"/>
  <c r="C16" i="138" s="1"/>
  <c r="I16" i="138" s="1"/>
  <c r="J16" i="138" s="1"/>
  <c r="B16" i="138"/>
  <c r="K16" i="138" s="1"/>
  <c r="O14" i="138"/>
  <c r="D15" i="138"/>
  <c r="M15" i="138" s="1"/>
  <c r="B17" i="138" l="1"/>
  <c r="K17" i="138" s="1"/>
  <c r="L16" i="138"/>
  <c r="C17" i="138" s="1"/>
  <c r="I17" i="138" s="1"/>
  <c r="J17" i="138" s="1"/>
  <c r="O15" i="138"/>
  <c r="D16" i="138"/>
  <c r="M16" i="138" s="1"/>
  <c r="B18" i="138" l="1"/>
  <c r="K18" i="138" s="1"/>
  <c r="L17" i="138"/>
  <c r="C18" i="138" s="1"/>
  <c r="I18" i="138" s="1"/>
  <c r="J18" i="138" s="1"/>
  <c r="D17" i="138"/>
  <c r="M17" i="138" s="1"/>
  <c r="O16" i="138"/>
  <c r="L18" i="138" l="1"/>
  <c r="C19" i="138" s="1"/>
  <c r="I19" i="138" s="1"/>
  <c r="J19" i="138" s="1"/>
  <c r="J20" i="138" s="1"/>
  <c r="B19" i="138"/>
  <c r="K19" i="138" s="1"/>
  <c r="L19" i="138" s="1"/>
  <c r="D18" i="138"/>
  <c r="M18" i="138" s="1"/>
  <c r="O17" i="138"/>
  <c r="D19" i="138" l="1"/>
  <c r="M19" i="138" s="1"/>
  <c r="O19" i="138" s="1"/>
  <c r="O20" i="138" s="1"/>
  <c r="O18" i="138"/>
  <c r="H2" i="62" l="1"/>
  <c r="H1" i="62"/>
  <c r="E2" i="61"/>
  <c r="E1" i="61"/>
  <c r="D2" i="60"/>
  <c r="D1" i="60"/>
  <c r="D2" i="59"/>
  <c r="D1" i="59"/>
  <c r="D2" i="58"/>
  <c r="F12" i="67"/>
  <c r="C12" i="67"/>
  <c r="E12" i="67" s="1"/>
  <c r="B12" i="67"/>
  <c r="F12" i="66"/>
  <c r="C12" i="66"/>
  <c r="E12" i="66" s="1"/>
  <c r="B12" i="66"/>
  <c r="F12" i="65"/>
  <c r="C12" i="65"/>
  <c r="B12" i="65"/>
  <c r="F14" i="60"/>
  <c r="C14" i="60"/>
  <c r="B14" i="60"/>
  <c r="F14" i="59"/>
  <c r="C14" i="59"/>
  <c r="B14" i="59"/>
  <c r="E14" i="59" s="1"/>
  <c r="F14" i="58"/>
  <c r="C14" i="58"/>
  <c r="B14" i="58"/>
  <c r="D1" i="58"/>
  <c r="E13" i="55"/>
  <c r="E15" i="55"/>
  <c r="H15" i="55" s="1"/>
  <c r="G15" i="55" s="1"/>
  <c r="E17" i="55"/>
  <c r="H17" i="55" s="1"/>
  <c r="G17" i="55" s="1"/>
  <c r="H4" i="71"/>
  <c r="G4" i="70"/>
  <c r="H4" i="69"/>
  <c r="K3" i="68"/>
  <c r="F4" i="67"/>
  <c r="F4" i="66"/>
  <c r="F4" i="65"/>
  <c r="H3" i="64"/>
  <c r="H4" i="63"/>
  <c r="J3" i="62"/>
  <c r="F4" i="61"/>
  <c r="F4" i="60"/>
  <c r="F4" i="59"/>
  <c r="F4" i="58"/>
  <c r="G5" i="71"/>
  <c r="F5" i="70"/>
  <c r="G5" i="69"/>
  <c r="I4" i="68"/>
  <c r="E5" i="67"/>
  <c r="E5" i="66"/>
  <c r="E5" i="65"/>
  <c r="F4" i="64"/>
  <c r="G5" i="63"/>
  <c r="H4" i="62"/>
  <c r="E5" i="61"/>
  <c r="E5" i="60"/>
  <c r="E5" i="59"/>
  <c r="E5" i="58"/>
  <c r="G4" i="71"/>
  <c r="F4" i="70"/>
  <c r="G4" i="69"/>
  <c r="I3" i="68"/>
  <c r="E4" i="67"/>
  <c r="E4" i="66"/>
  <c r="E4" i="65"/>
  <c r="F3" i="64"/>
  <c r="G4" i="63"/>
  <c r="H3" i="62"/>
  <c r="E4" i="61"/>
  <c r="E4" i="60"/>
  <c r="E4" i="59"/>
  <c r="E4" i="58"/>
  <c r="A2" i="57"/>
  <c r="H39" i="71"/>
  <c r="H38" i="71"/>
  <c r="G37" i="71"/>
  <c r="G40" i="71" s="1"/>
  <c r="C11" i="7" s="1"/>
  <c r="F37" i="71"/>
  <c r="E37" i="71"/>
  <c r="D37" i="71"/>
  <c r="C37" i="71"/>
  <c r="H36" i="71"/>
  <c r="H35" i="71"/>
  <c r="H34" i="71"/>
  <c r="H33" i="71"/>
  <c r="H32" i="71"/>
  <c r="H31" i="71"/>
  <c r="H30" i="71"/>
  <c r="H29" i="71"/>
  <c r="H28" i="71"/>
  <c r="H27" i="71"/>
  <c r="H26" i="71"/>
  <c r="H25" i="71"/>
  <c r="H22" i="71"/>
  <c r="H21" i="71"/>
  <c r="G20" i="71"/>
  <c r="G23" i="71" s="1"/>
  <c r="C11" i="5" s="1"/>
  <c r="F20" i="71"/>
  <c r="F23" i="71" s="1"/>
  <c r="C10" i="5" s="1"/>
  <c r="E20" i="71"/>
  <c r="E23" i="71" s="1"/>
  <c r="C9" i="5" s="1"/>
  <c r="D20" i="71"/>
  <c r="D23" i="71" s="1"/>
  <c r="C8" i="5" s="1"/>
  <c r="C20" i="71"/>
  <c r="H19" i="71"/>
  <c r="H18" i="71"/>
  <c r="H17" i="71"/>
  <c r="H16" i="71"/>
  <c r="H15" i="71"/>
  <c r="H14" i="71"/>
  <c r="H13" i="71"/>
  <c r="H12" i="71"/>
  <c r="H11" i="71"/>
  <c r="H10" i="71"/>
  <c r="H9" i="71"/>
  <c r="H8" i="71"/>
  <c r="E23" i="70"/>
  <c r="E22" i="70"/>
  <c r="E21" i="70"/>
  <c r="E20" i="70"/>
  <c r="E18" i="70"/>
  <c r="E17" i="70"/>
  <c r="E16" i="70"/>
  <c r="E15" i="70"/>
  <c r="E14" i="70"/>
  <c r="D13" i="70"/>
  <c r="D19" i="70" s="1"/>
  <c r="E12" i="70"/>
  <c r="E11" i="70"/>
  <c r="E10" i="70"/>
  <c r="H31" i="69"/>
  <c r="G30" i="69"/>
  <c r="E30" i="69"/>
  <c r="D30" i="69"/>
  <c r="C30" i="69"/>
  <c r="F29" i="69"/>
  <c r="H29" i="69" s="1"/>
  <c r="F28" i="69"/>
  <c r="H28" i="69" s="1"/>
  <c r="F27" i="69"/>
  <c r="H27" i="69" s="1"/>
  <c r="F26" i="69"/>
  <c r="H26" i="69" s="1"/>
  <c r="F25" i="69"/>
  <c r="G24" i="69"/>
  <c r="E24" i="69"/>
  <c r="D24" i="69"/>
  <c r="C24" i="69"/>
  <c r="F23" i="69"/>
  <c r="H23" i="69" s="1"/>
  <c r="F22" i="69"/>
  <c r="H22" i="69" s="1"/>
  <c r="F21" i="69"/>
  <c r="H21" i="69" s="1"/>
  <c r="F20" i="69"/>
  <c r="H20" i="69" s="1"/>
  <c r="G19" i="69"/>
  <c r="E19" i="69"/>
  <c r="D19" i="69"/>
  <c r="C19" i="69"/>
  <c r="F18" i="69"/>
  <c r="H18" i="69" s="1"/>
  <c r="F52" i="47" s="1"/>
  <c r="C52" i="47" s="1"/>
  <c r="F12" i="69"/>
  <c r="H12" i="69" s="1"/>
  <c r="F46" i="47" s="1"/>
  <c r="C46" i="47" s="1"/>
  <c r="F11" i="69"/>
  <c r="H11" i="69" s="1"/>
  <c r="F45" i="47" s="1"/>
  <c r="C45" i="47" s="1"/>
  <c r="F10" i="69"/>
  <c r="H10" i="69" s="1"/>
  <c r="F44" i="47" s="1"/>
  <c r="C44" i="47" s="1"/>
  <c r="F9" i="69"/>
  <c r="H9" i="69" s="1"/>
  <c r="F43" i="47" s="1"/>
  <c r="C43" i="47" s="1"/>
  <c r="F8" i="69"/>
  <c r="J26" i="68"/>
  <c r="I26" i="68"/>
  <c r="D26" i="68"/>
  <c r="H27" i="68" s="1"/>
  <c r="K25" i="68"/>
  <c r="K24" i="68"/>
  <c r="K23" i="68"/>
  <c r="K22" i="68"/>
  <c r="K21" i="68"/>
  <c r="K20" i="68"/>
  <c r="K19" i="68"/>
  <c r="K18" i="68"/>
  <c r="K17" i="68"/>
  <c r="J16" i="68"/>
  <c r="I16" i="68"/>
  <c r="D16" i="68"/>
  <c r="K15" i="68"/>
  <c r="K14" i="68"/>
  <c r="K13" i="68"/>
  <c r="K12" i="68"/>
  <c r="K11" i="68"/>
  <c r="K10" i="68"/>
  <c r="K9" i="68"/>
  <c r="K8" i="68"/>
  <c r="K7" i="68"/>
  <c r="E303" i="67"/>
  <c r="E302" i="67"/>
  <c r="E301" i="67"/>
  <c r="E300" i="67"/>
  <c r="E299" i="67"/>
  <c r="E298" i="67"/>
  <c r="E297" i="67"/>
  <c r="E296" i="67"/>
  <c r="E295" i="67"/>
  <c r="E294" i="67"/>
  <c r="E293" i="67"/>
  <c r="E292" i="67"/>
  <c r="E291" i="67"/>
  <c r="E290" i="67"/>
  <c r="E289" i="67"/>
  <c r="E288" i="67"/>
  <c r="E287" i="67"/>
  <c r="E286" i="67"/>
  <c r="E285" i="67"/>
  <c r="E284" i="67"/>
  <c r="E283" i="67"/>
  <c r="E282" i="67"/>
  <c r="E281" i="67"/>
  <c r="E280" i="67"/>
  <c r="E279" i="67"/>
  <c r="E278" i="67"/>
  <c r="E277" i="67"/>
  <c r="E276" i="67"/>
  <c r="E275" i="67"/>
  <c r="E274" i="67"/>
  <c r="E273" i="67"/>
  <c r="E272" i="67"/>
  <c r="E271" i="67"/>
  <c r="E270" i="67"/>
  <c r="E269" i="67"/>
  <c r="E268" i="67"/>
  <c r="E267" i="67"/>
  <c r="E266" i="67"/>
  <c r="E265" i="67"/>
  <c r="E264" i="67"/>
  <c r="E263" i="67"/>
  <c r="E262" i="67"/>
  <c r="E261" i="67"/>
  <c r="E260" i="67"/>
  <c r="E259" i="67"/>
  <c r="E258" i="67"/>
  <c r="E257" i="67"/>
  <c r="E256" i="67"/>
  <c r="E255" i="67"/>
  <c r="E254" i="67"/>
  <c r="E253" i="67"/>
  <c r="E252" i="67"/>
  <c r="E251" i="67"/>
  <c r="E250" i="67"/>
  <c r="E249" i="67"/>
  <c r="E248" i="67"/>
  <c r="E247" i="67"/>
  <c r="E246" i="67"/>
  <c r="E245" i="67"/>
  <c r="E244" i="67"/>
  <c r="E243" i="67"/>
  <c r="E242" i="67"/>
  <c r="E241" i="67"/>
  <c r="E240" i="67"/>
  <c r="E239" i="67"/>
  <c r="E238" i="67"/>
  <c r="E237" i="67"/>
  <c r="E236" i="67"/>
  <c r="E235" i="67"/>
  <c r="E234" i="67"/>
  <c r="E233" i="67"/>
  <c r="E232" i="67"/>
  <c r="E231" i="67"/>
  <c r="E230" i="67"/>
  <c r="E229" i="67"/>
  <c r="E228" i="67"/>
  <c r="E227" i="67"/>
  <c r="E226" i="67"/>
  <c r="E225" i="67"/>
  <c r="E224" i="67"/>
  <c r="E223" i="67"/>
  <c r="E222" i="67"/>
  <c r="E221" i="67"/>
  <c r="E220" i="67"/>
  <c r="E219" i="67"/>
  <c r="E218" i="67"/>
  <c r="E217" i="67"/>
  <c r="E216" i="67"/>
  <c r="E215" i="67"/>
  <c r="E214" i="67"/>
  <c r="E213" i="67"/>
  <c r="E212" i="67"/>
  <c r="E211" i="67"/>
  <c r="E210" i="67"/>
  <c r="E209" i="67"/>
  <c r="E208" i="67"/>
  <c r="E207" i="67"/>
  <c r="E206" i="67"/>
  <c r="E205" i="67"/>
  <c r="E204" i="67"/>
  <c r="E203" i="67"/>
  <c r="E202" i="67"/>
  <c r="E201" i="67"/>
  <c r="E200" i="67"/>
  <c r="E199" i="67"/>
  <c r="E198" i="67"/>
  <c r="E197" i="67"/>
  <c r="E196" i="67"/>
  <c r="E195" i="67"/>
  <c r="E194" i="67"/>
  <c r="E193" i="67"/>
  <c r="E192" i="67"/>
  <c r="E191" i="67"/>
  <c r="E190" i="67"/>
  <c r="E189" i="67"/>
  <c r="E188" i="67"/>
  <c r="E187" i="67"/>
  <c r="E186" i="67"/>
  <c r="E185" i="67"/>
  <c r="E184" i="67"/>
  <c r="E183" i="67"/>
  <c r="E182" i="67"/>
  <c r="E181" i="67"/>
  <c r="E180" i="67"/>
  <c r="E179" i="67"/>
  <c r="E178" i="67"/>
  <c r="E177" i="67"/>
  <c r="E176" i="67"/>
  <c r="E175" i="67"/>
  <c r="E174" i="67"/>
  <c r="E173" i="67"/>
  <c r="E172" i="67"/>
  <c r="E171" i="67"/>
  <c r="E170" i="67"/>
  <c r="E169" i="67"/>
  <c r="E168" i="67"/>
  <c r="E167" i="67"/>
  <c r="E166" i="67"/>
  <c r="E165" i="67"/>
  <c r="E164" i="67"/>
  <c r="E163" i="67"/>
  <c r="E162" i="67"/>
  <c r="E161" i="67"/>
  <c r="E160" i="67"/>
  <c r="E159" i="67"/>
  <c r="E158" i="67"/>
  <c r="E157" i="67"/>
  <c r="E156" i="67"/>
  <c r="E155" i="67"/>
  <c r="E154" i="67"/>
  <c r="E153" i="67"/>
  <c r="E152" i="67"/>
  <c r="E151" i="67"/>
  <c r="E150" i="67"/>
  <c r="E149" i="67"/>
  <c r="E148" i="67"/>
  <c r="E147" i="67"/>
  <c r="E146" i="67"/>
  <c r="E145" i="67"/>
  <c r="E144" i="67"/>
  <c r="E143" i="67"/>
  <c r="E142" i="67"/>
  <c r="E141" i="67"/>
  <c r="E140" i="67"/>
  <c r="E139" i="67"/>
  <c r="E138" i="67"/>
  <c r="E137" i="67"/>
  <c r="E136" i="67"/>
  <c r="E135" i="67"/>
  <c r="E134" i="67"/>
  <c r="E133" i="67"/>
  <c r="E132" i="67"/>
  <c r="E131" i="67"/>
  <c r="E130" i="67"/>
  <c r="E129" i="67"/>
  <c r="E128" i="67"/>
  <c r="E127" i="67"/>
  <c r="E126" i="67"/>
  <c r="E125" i="67"/>
  <c r="E124" i="67"/>
  <c r="E123" i="67"/>
  <c r="E122" i="67"/>
  <c r="E121" i="67"/>
  <c r="E120" i="67"/>
  <c r="E119" i="67"/>
  <c r="E118" i="67"/>
  <c r="E117" i="67"/>
  <c r="E116" i="67"/>
  <c r="E115" i="67"/>
  <c r="E114" i="67"/>
  <c r="E113" i="67"/>
  <c r="E112" i="67"/>
  <c r="E111" i="67"/>
  <c r="E110" i="67"/>
  <c r="E109" i="67"/>
  <c r="E108" i="67"/>
  <c r="E107" i="67"/>
  <c r="E106" i="67"/>
  <c r="E105" i="67"/>
  <c r="E104" i="67"/>
  <c r="E103" i="67"/>
  <c r="E102" i="67"/>
  <c r="E101" i="67"/>
  <c r="E100" i="67"/>
  <c r="E99" i="67"/>
  <c r="E98" i="67"/>
  <c r="E97" i="67"/>
  <c r="E96" i="67"/>
  <c r="E95" i="67"/>
  <c r="E94" i="67"/>
  <c r="E93" i="67"/>
  <c r="E92" i="67"/>
  <c r="E91" i="67"/>
  <c r="E90" i="67"/>
  <c r="E89" i="67"/>
  <c r="E88" i="67"/>
  <c r="E87" i="67"/>
  <c r="E86" i="67"/>
  <c r="E85" i="67"/>
  <c r="E84" i="67"/>
  <c r="E83" i="67"/>
  <c r="E82" i="67"/>
  <c r="E81" i="67"/>
  <c r="E80" i="67"/>
  <c r="E79" i="67"/>
  <c r="E78" i="67"/>
  <c r="E77" i="67"/>
  <c r="E76" i="67"/>
  <c r="E75" i="67"/>
  <c r="E74" i="67"/>
  <c r="E73" i="67"/>
  <c r="E72" i="67"/>
  <c r="E71" i="67"/>
  <c r="E70" i="67"/>
  <c r="E69" i="67"/>
  <c r="E68" i="67"/>
  <c r="E67" i="67"/>
  <c r="E66" i="67"/>
  <c r="E65" i="67"/>
  <c r="E64" i="67"/>
  <c r="E63" i="67"/>
  <c r="E62" i="67"/>
  <c r="E61" i="67"/>
  <c r="E60" i="67"/>
  <c r="E59" i="67"/>
  <c r="E58" i="67"/>
  <c r="E57" i="67"/>
  <c r="E56" i="67"/>
  <c r="E55" i="67"/>
  <c r="E54" i="67"/>
  <c r="E53" i="67"/>
  <c r="E52" i="67"/>
  <c r="E51" i="67"/>
  <c r="E50" i="67"/>
  <c r="E49" i="67"/>
  <c r="E48" i="67"/>
  <c r="E47" i="67"/>
  <c r="E46" i="67"/>
  <c r="E45" i="67"/>
  <c r="E44" i="67"/>
  <c r="E43" i="67"/>
  <c r="E42" i="67"/>
  <c r="E41" i="67"/>
  <c r="E40" i="67"/>
  <c r="E39" i="67"/>
  <c r="E38" i="67"/>
  <c r="E37" i="67"/>
  <c r="E36" i="67"/>
  <c r="E35" i="67"/>
  <c r="E34" i="67"/>
  <c r="E33" i="67"/>
  <c r="E32" i="67"/>
  <c r="E31" i="67"/>
  <c r="E30" i="67"/>
  <c r="E29" i="67"/>
  <c r="E28" i="67"/>
  <c r="E27" i="67"/>
  <c r="E26" i="67"/>
  <c r="E25" i="67"/>
  <c r="E24" i="67"/>
  <c r="E23" i="67"/>
  <c r="E22" i="67"/>
  <c r="E21" i="67"/>
  <c r="E20" i="67"/>
  <c r="E19" i="67"/>
  <c r="E18" i="67"/>
  <c r="E17" i="67"/>
  <c r="E16" i="67"/>
  <c r="E15" i="67"/>
  <c r="E14" i="67"/>
  <c r="F13" i="67"/>
  <c r="D13" i="67"/>
  <c r="B10" i="67" s="1"/>
  <c r="C13" i="67"/>
  <c r="C38" i="148" s="1"/>
  <c r="B13" i="67"/>
  <c r="E303" i="66"/>
  <c r="E302" i="66"/>
  <c r="E301" i="66"/>
  <c r="E300" i="66"/>
  <c r="E299" i="66"/>
  <c r="E298" i="66"/>
  <c r="E297" i="66"/>
  <c r="E296" i="66"/>
  <c r="E295" i="66"/>
  <c r="E294" i="66"/>
  <c r="E293" i="66"/>
  <c r="E292" i="66"/>
  <c r="E291" i="66"/>
  <c r="E290" i="66"/>
  <c r="E289" i="66"/>
  <c r="E288" i="66"/>
  <c r="E287" i="66"/>
  <c r="E286" i="66"/>
  <c r="E285" i="66"/>
  <c r="E284" i="66"/>
  <c r="E283" i="66"/>
  <c r="E282" i="66"/>
  <c r="E281" i="66"/>
  <c r="E280" i="66"/>
  <c r="E279" i="66"/>
  <c r="E278" i="66"/>
  <c r="E277" i="66"/>
  <c r="E276" i="66"/>
  <c r="E275" i="66"/>
  <c r="E274" i="66"/>
  <c r="E273" i="66"/>
  <c r="E272" i="66"/>
  <c r="E271" i="66"/>
  <c r="E270" i="66"/>
  <c r="E269" i="66"/>
  <c r="E268" i="66"/>
  <c r="E267" i="66"/>
  <c r="E266" i="66"/>
  <c r="E265" i="66"/>
  <c r="E264" i="66"/>
  <c r="E263" i="66"/>
  <c r="E262" i="66"/>
  <c r="E261" i="66"/>
  <c r="E260" i="66"/>
  <c r="E259" i="66"/>
  <c r="E258" i="66"/>
  <c r="E257" i="66"/>
  <c r="E256" i="66"/>
  <c r="E255" i="66"/>
  <c r="E254" i="66"/>
  <c r="E253" i="66"/>
  <c r="E252" i="66"/>
  <c r="E251" i="66"/>
  <c r="E250" i="66"/>
  <c r="E249" i="66"/>
  <c r="E248" i="66"/>
  <c r="E247" i="66"/>
  <c r="E246" i="66"/>
  <c r="E245" i="66"/>
  <c r="E244" i="66"/>
  <c r="E243" i="66"/>
  <c r="E242" i="66"/>
  <c r="E241" i="66"/>
  <c r="E240" i="66"/>
  <c r="E239" i="66"/>
  <c r="E238" i="66"/>
  <c r="E237" i="66"/>
  <c r="E236" i="66"/>
  <c r="E235" i="66"/>
  <c r="E234" i="66"/>
  <c r="E233" i="66"/>
  <c r="E232" i="66"/>
  <c r="E231" i="66"/>
  <c r="E230" i="66"/>
  <c r="E229" i="66"/>
  <c r="E228" i="66"/>
  <c r="E227" i="66"/>
  <c r="E226" i="66"/>
  <c r="E225" i="66"/>
  <c r="E224" i="66"/>
  <c r="E223" i="66"/>
  <c r="E222" i="66"/>
  <c r="E221" i="66"/>
  <c r="E220" i="66"/>
  <c r="E219" i="66"/>
  <c r="E218" i="66"/>
  <c r="E217" i="66"/>
  <c r="E216" i="66"/>
  <c r="E215" i="66"/>
  <c r="E214" i="66"/>
  <c r="E213" i="66"/>
  <c r="E212" i="66"/>
  <c r="E211" i="66"/>
  <c r="E210" i="66"/>
  <c r="E209" i="66"/>
  <c r="E208" i="66"/>
  <c r="E207" i="66"/>
  <c r="E206" i="66"/>
  <c r="E205" i="66"/>
  <c r="E204" i="66"/>
  <c r="E203" i="66"/>
  <c r="E202" i="66"/>
  <c r="E201" i="66"/>
  <c r="E200" i="66"/>
  <c r="E199" i="66"/>
  <c r="E198" i="66"/>
  <c r="E197" i="66"/>
  <c r="E196" i="66"/>
  <c r="E195" i="66"/>
  <c r="E194" i="66"/>
  <c r="E193" i="66"/>
  <c r="E192" i="66"/>
  <c r="E191" i="66"/>
  <c r="E190" i="66"/>
  <c r="E189" i="66"/>
  <c r="E188" i="66"/>
  <c r="E187" i="66"/>
  <c r="E186" i="66"/>
  <c r="E185" i="66"/>
  <c r="E184" i="66"/>
  <c r="E183" i="66"/>
  <c r="E182" i="66"/>
  <c r="E181" i="66"/>
  <c r="E180" i="66"/>
  <c r="E179" i="66"/>
  <c r="E178" i="66"/>
  <c r="E177" i="66"/>
  <c r="E176" i="66"/>
  <c r="E175" i="66"/>
  <c r="E174" i="66"/>
  <c r="E173" i="66"/>
  <c r="E172" i="66"/>
  <c r="E171" i="66"/>
  <c r="E170" i="66"/>
  <c r="E169" i="66"/>
  <c r="E168" i="66"/>
  <c r="E167" i="66"/>
  <c r="E166" i="66"/>
  <c r="E165" i="66"/>
  <c r="E164" i="66"/>
  <c r="E163" i="66"/>
  <c r="E162" i="66"/>
  <c r="E161" i="66"/>
  <c r="E160" i="66"/>
  <c r="E159" i="66"/>
  <c r="E158" i="66"/>
  <c r="E157" i="66"/>
  <c r="E156" i="66"/>
  <c r="E155" i="66"/>
  <c r="E154" i="66"/>
  <c r="E153" i="66"/>
  <c r="E152" i="66"/>
  <c r="E151" i="66"/>
  <c r="E150" i="66"/>
  <c r="E149" i="66"/>
  <c r="E148" i="66"/>
  <c r="E147" i="66"/>
  <c r="E146" i="66"/>
  <c r="E145" i="66"/>
  <c r="E144" i="66"/>
  <c r="E143" i="66"/>
  <c r="E142" i="66"/>
  <c r="E141" i="66"/>
  <c r="E140" i="66"/>
  <c r="E139" i="66"/>
  <c r="E138" i="66"/>
  <c r="E137" i="66"/>
  <c r="E136" i="66"/>
  <c r="E135" i="66"/>
  <c r="E134" i="66"/>
  <c r="E133" i="66"/>
  <c r="E132" i="66"/>
  <c r="E131" i="66"/>
  <c r="E130" i="66"/>
  <c r="E129" i="66"/>
  <c r="E128" i="66"/>
  <c r="E127" i="66"/>
  <c r="E126" i="66"/>
  <c r="E125" i="66"/>
  <c r="E124" i="66"/>
  <c r="E123" i="66"/>
  <c r="E122" i="66"/>
  <c r="E121" i="66"/>
  <c r="E120" i="66"/>
  <c r="E119" i="66"/>
  <c r="E118" i="66"/>
  <c r="E117" i="66"/>
  <c r="E116" i="66"/>
  <c r="E115" i="66"/>
  <c r="E114" i="66"/>
  <c r="E113" i="66"/>
  <c r="E112" i="66"/>
  <c r="E111" i="66"/>
  <c r="E110" i="66"/>
  <c r="E109" i="66"/>
  <c r="E108" i="66"/>
  <c r="E107" i="66"/>
  <c r="E106" i="66"/>
  <c r="E105" i="66"/>
  <c r="E104" i="66"/>
  <c r="E103" i="66"/>
  <c r="E102" i="66"/>
  <c r="E101" i="66"/>
  <c r="E100" i="66"/>
  <c r="E99" i="66"/>
  <c r="E98" i="66"/>
  <c r="E97" i="66"/>
  <c r="E96" i="66"/>
  <c r="E95" i="66"/>
  <c r="E94" i="66"/>
  <c r="E93" i="66"/>
  <c r="E92" i="66"/>
  <c r="E91" i="66"/>
  <c r="E90" i="66"/>
  <c r="E89" i="66"/>
  <c r="E88" i="66"/>
  <c r="E87" i="66"/>
  <c r="E86" i="66"/>
  <c r="E85" i="66"/>
  <c r="E84" i="66"/>
  <c r="E83" i="66"/>
  <c r="E82" i="66"/>
  <c r="E81" i="66"/>
  <c r="E80" i="66"/>
  <c r="E79" i="66"/>
  <c r="E78" i="66"/>
  <c r="E77" i="66"/>
  <c r="E76" i="66"/>
  <c r="E75" i="66"/>
  <c r="E74" i="66"/>
  <c r="E73" i="66"/>
  <c r="E72" i="66"/>
  <c r="E71" i="66"/>
  <c r="E70" i="66"/>
  <c r="E69" i="66"/>
  <c r="E68" i="66"/>
  <c r="E67" i="66"/>
  <c r="E66" i="66"/>
  <c r="E65" i="66"/>
  <c r="E64" i="66"/>
  <c r="E63" i="66"/>
  <c r="E62" i="66"/>
  <c r="E61" i="66"/>
  <c r="E60" i="66"/>
  <c r="E59" i="66"/>
  <c r="E58" i="66"/>
  <c r="E57" i="66"/>
  <c r="E56" i="66"/>
  <c r="E55" i="66"/>
  <c r="E54" i="66"/>
  <c r="E53" i="66"/>
  <c r="E52" i="66"/>
  <c r="E51" i="66"/>
  <c r="E50" i="66"/>
  <c r="E49" i="66"/>
  <c r="E48" i="66"/>
  <c r="E47" i="66"/>
  <c r="E46" i="66"/>
  <c r="E45" i="66"/>
  <c r="E44" i="66"/>
  <c r="E43" i="66"/>
  <c r="E42" i="66"/>
  <c r="E41" i="66"/>
  <c r="E40" i="66"/>
  <c r="E39" i="66"/>
  <c r="E38" i="66"/>
  <c r="E37" i="66"/>
  <c r="E36" i="66"/>
  <c r="E35" i="66"/>
  <c r="E34" i="66"/>
  <c r="E33" i="66"/>
  <c r="E32" i="66"/>
  <c r="E31" i="66"/>
  <c r="E30" i="66"/>
  <c r="E29" i="66"/>
  <c r="E28" i="66"/>
  <c r="E27" i="66"/>
  <c r="E26" i="66"/>
  <c r="E25" i="66"/>
  <c r="E24" i="66"/>
  <c r="E23" i="66"/>
  <c r="E22" i="66"/>
  <c r="E21" i="66"/>
  <c r="E20" i="66"/>
  <c r="E19" i="66"/>
  <c r="E18" i="66"/>
  <c r="E17" i="66"/>
  <c r="E16" i="66"/>
  <c r="E15" i="66"/>
  <c r="E14" i="66"/>
  <c r="F13" i="66"/>
  <c r="D13" i="66"/>
  <c r="B10" i="66" s="1"/>
  <c r="C13" i="66"/>
  <c r="B13" i="66"/>
  <c r="E303" i="65"/>
  <c r="E302" i="65"/>
  <c r="E301" i="65"/>
  <c r="E300" i="65"/>
  <c r="E299" i="65"/>
  <c r="E298" i="65"/>
  <c r="E297" i="65"/>
  <c r="E296" i="65"/>
  <c r="E295" i="65"/>
  <c r="E294" i="65"/>
  <c r="E293" i="65"/>
  <c r="E292" i="65"/>
  <c r="E291" i="65"/>
  <c r="E290" i="65"/>
  <c r="E289" i="65"/>
  <c r="E288" i="65"/>
  <c r="E287" i="65"/>
  <c r="E286" i="65"/>
  <c r="E285" i="65"/>
  <c r="E284" i="65"/>
  <c r="E283" i="65"/>
  <c r="E282" i="65"/>
  <c r="E281" i="65"/>
  <c r="E280" i="65"/>
  <c r="E279" i="65"/>
  <c r="E278" i="65"/>
  <c r="E277" i="65"/>
  <c r="E276" i="65"/>
  <c r="E275" i="65"/>
  <c r="E274" i="65"/>
  <c r="E273" i="65"/>
  <c r="E272" i="65"/>
  <c r="E271" i="65"/>
  <c r="E270" i="65"/>
  <c r="E269" i="65"/>
  <c r="E268" i="65"/>
  <c r="E267" i="65"/>
  <c r="E266" i="65"/>
  <c r="E265" i="65"/>
  <c r="E264" i="65"/>
  <c r="E263" i="65"/>
  <c r="E262" i="65"/>
  <c r="E261" i="65"/>
  <c r="E260" i="65"/>
  <c r="E259" i="65"/>
  <c r="E258" i="65"/>
  <c r="E257" i="65"/>
  <c r="E256" i="65"/>
  <c r="E255" i="65"/>
  <c r="E254" i="65"/>
  <c r="E253" i="65"/>
  <c r="E252" i="65"/>
  <c r="E251" i="65"/>
  <c r="E250" i="65"/>
  <c r="E249" i="65"/>
  <c r="E248" i="65"/>
  <c r="E247" i="65"/>
  <c r="E246" i="65"/>
  <c r="E245" i="65"/>
  <c r="E244" i="65"/>
  <c r="E243" i="65"/>
  <c r="E242" i="65"/>
  <c r="E241" i="65"/>
  <c r="E240" i="65"/>
  <c r="E239" i="65"/>
  <c r="E238" i="65"/>
  <c r="E237" i="65"/>
  <c r="E236" i="65"/>
  <c r="E235" i="65"/>
  <c r="E234" i="65"/>
  <c r="E233" i="65"/>
  <c r="E232" i="65"/>
  <c r="E231" i="65"/>
  <c r="E230" i="65"/>
  <c r="E229" i="65"/>
  <c r="E228" i="65"/>
  <c r="E227" i="65"/>
  <c r="E226" i="65"/>
  <c r="E225" i="65"/>
  <c r="E224" i="65"/>
  <c r="E223" i="65"/>
  <c r="E222" i="65"/>
  <c r="E221" i="65"/>
  <c r="E220" i="65"/>
  <c r="E219" i="65"/>
  <c r="E218" i="65"/>
  <c r="E217" i="65"/>
  <c r="E216" i="65"/>
  <c r="E215" i="65"/>
  <c r="E214" i="65"/>
  <c r="E213" i="65"/>
  <c r="E212" i="65"/>
  <c r="E211" i="65"/>
  <c r="E210" i="65"/>
  <c r="E209" i="65"/>
  <c r="E208" i="65"/>
  <c r="E207" i="65"/>
  <c r="E206" i="65"/>
  <c r="E205" i="65"/>
  <c r="E204" i="65"/>
  <c r="E203" i="65"/>
  <c r="E202" i="65"/>
  <c r="E201" i="65"/>
  <c r="E200" i="65"/>
  <c r="E199" i="65"/>
  <c r="E198" i="65"/>
  <c r="E197" i="65"/>
  <c r="E196" i="65"/>
  <c r="E195" i="65"/>
  <c r="E194" i="65"/>
  <c r="E193" i="65"/>
  <c r="E192" i="65"/>
  <c r="E191" i="65"/>
  <c r="E190" i="65"/>
  <c r="E189" i="65"/>
  <c r="E188" i="65"/>
  <c r="E187" i="65"/>
  <c r="E186" i="65"/>
  <c r="E185" i="65"/>
  <c r="E184" i="65"/>
  <c r="E183" i="65"/>
  <c r="E182" i="65"/>
  <c r="E181" i="65"/>
  <c r="E180" i="65"/>
  <c r="E179" i="65"/>
  <c r="E178" i="65"/>
  <c r="E177" i="65"/>
  <c r="E176" i="65"/>
  <c r="E175" i="65"/>
  <c r="E174" i="65"/>
  <c r="E173" i="65"/>
  <c r="E172" i="65"/>
  <c r="E171" i="65"/>
  <c r="E170" i="65"/>
  <c r="E169" i="65"/>
  <c r="E168" i="65"/>
  <c r="E167" i="65"/>
  <c r="E166" i="65"/>
  <c r="E165" i="65"/>
  <c r="E164" i="65"/>
  <c r="E163" i="65"/>
  <c r="E162" i="65"/>
  <c r="E161" i="65"/>
  <c r="E160" i="65"/>
  <c r="E159" i="65"/>
  <c r="E158" i="65"/>
  <c r="E157" i="65"/>
  <c r="E156" i="65"/>
  <c r="E155" i="65"/>
  <c r="E154" i="65"/>
  <c r="E153" i="65"/>
  <c r="E152" i="65"/>
  <c r="E151" i="65"/>
  <c r="E150" i="65"/>
  <c r="E149" i="65"/>
  <c r="E148" i="65"/>
  <c r="E147" i="65"/>
  <c r="E146" i="65"/>
  <c r="E145" i="65"/>
  <c r="E144" i="65"/>
  <c r="E143" i="65"/>
  <c r="E142" i="65"/>
  <c r="E141" i="65"/>
  <c r="E140" i="65"/>
  <c r="E139" i="65"/>
  <c r="E138" i="65"/>
  <c r="E137" i="65"/>
  <c r="E136" i="65"/>
  <c r="E135" i="65"/>
  <c r="E134" i="65"/>
  <c r="E133" i="65"/>
  <c r="E132" i="65"/>
  <c r="E131" i="65"/>
  <c r="E130" i="65"/>
  <c r="E129" i="65"/>
  <c r="E128" i="65"/>
  <c r="E127" i="65"/>
  <c r="E126" i="65"/>
  <c r="E125" i="65"/>
  <c r="E124" i="65"/>
  <c r="E123" i="65"/>
  <c r="E122" i="65"/>
  <c r="E121" i="65"/>
  <c r="E120" i="65"/>
  <c r="E119" i="65"/>
  <c r="E118" i="65"/>
  <c r="E117" i="65"/>
  <c r="E116" i="65"/>
  <c r="E115" i="65"/>
  <c r="E114" i="65"/>
  <c r="E113" i="65"/>
  <c r="E112" i="65"/>
  <c r="E111" i="65"/>
  <c r="E110" i="65"/>
  <c r="E109" i="65"/>
  <c r="E108" i="65"/>
  <c r="E107" i="65"/>
  <c r="E106" i="65"/>
  <c r="E105" i="65"/>
  <c r="E104" i="65"/>
  <c r="E103" i="65"/>
  <c r="E102" i="65"/>
  <c r="E101" i="65"/>
  <c r="E100" i="65"/>
  <c r="E99" i="65"/>
  <c r="E98" i="65"/>
  <c r="E97" i="65"/>
  <c r="E96" i="65"/>
  <c r="E95" i="65"/>
  <c r="E94" i="65"/>
  <c r="E93" i="65"/>
  <c r="E92" i="65"/>
  <c r="E91" i="65"/>
  <c r="E90" i="65"/>
  <c r="E89" i="65"/>
  <c r="E88" i="65"/>
  <c r="E87" i="65"/>
  <c r="E86" i="65"/>
  <c r="E85" i="65"/>
  <c r="E84" i="65"/>
  <c r="E83" i="65"/>
  <c r="E82" i="65"/>
  <c r="E81" i="65"/>
  <c r="E80" i="65"/>
  <c r="E79" i="65"/>
  <c r="E78" i="65"/>
  <c r="E77" i="65"/>
  <c r="E76" i="65"/>
  <c r="E75" i="65"/>
  <c r="E74" i="65"/>
  <c r="E73" i="65"/>
  <c r="E72" i="65"/>
  <c r="E71" i="65"/>
  <c r="E70" i="65"/>
  <c r="E69" i="65"/>
  <c r="E68" i="65"/>
  <c r="E67" i="65"/>
  <c r="E66" i="65"/>
  <c r="E65" i="65"/>
  <c r="E64" i="65"/>
  <c r="E63" i="65"/>
  <c r="E62" i="65"/>
  <c r="E61" i="65"/>
  <c r="E60" i="65"/>
  <c r="E59" i="65"/>
  <c r="E58" i="65"/>
  <c r="E57" i="65"/>
  <c r="E56" i="65"/>
  <c r="E55" i="65"/>
  <c r="E54" i="65"/>
  <c r="E53" i="65"/>
  <c r="E52" i="65"/>
  <c r="E51" i="65"/>
  <c r="E50" i="65"/>
  <c r="E49" i="65"/>
  <c r="E48" i="65"/>
  <c r="E47" i="65"/>
  <c r="E46" i="65"/>
  <c r="E45" i="65"/>
  <c r="E44" i="65"/>
  <c r="E43" i="65"/>
  <c r="E42" i="65"/>
  <c r="E41" i="65"/>
  <c r="E40" i="65"/>
  <c r="E39" i="65"/>
  <c r="E38" i="65"/>
  <c r="E37" i="65"/>
  <c r="E36" i="65"/>
  <c r="E35" i="65"/>
  <c r="E34" i="65"/>
  <c r="E33" i="65"/>
  <c r="E32" i="65"/>
  <c r="E31" i="65"/>
  <c r="E30" i="65"/>
  <c r="E29" i="65"/>
  <c r="E28" i="65"/>
  <c r="E27" i="65"/>
  <c r="E26" i="65"/>
  <c r="E25" i="65"/>
  <c r="E24" i="65"/>
  <c r="E23" i="65"/>
  <c r="E22" i="65"/>
  <c r="E21" i="65"/>
  <c r="E20" i="65"/>
  <c r="E19" i="65"/>
  <c r="E18" i="65"/>
  <c r="E17" i="65"/>
  <c r="E16" i="65"/>
  <c r="E15" i="65"/>
  <c r="E14" i="65"/>
  <c r="F13" i="65"/>
  <c r="D13" i="65"/>
  <c r="B10" i="65" s="1"/>
  <c r="C13" i="65"/>
  <c r="B13" i="65"/>
  <c r="I26" i="64"/>
  <c r="G26" i="64"/>
  <c r="F26" i="64"/>
  <c r="E26" i="64"/>
  <c r="H25" i="64"/>
  <c r="J25" i="64" s="1"/>
  <c r="H24" i="64"/>
  <c r="J24" i="64" s="1"/>
  <c r="H23" i="64"/>
  <c r="J23" i="64" s="1"/>
  <c r="H22" i="64"/>
  <c r="J22" i="64" s="1"/>
  <c r="H21" i="64"/>
  <c r="J21" i="64" s="1"/>
  <c r="H20" i="64"/>
  <c r="J20" i="64" s="1"/>
  <c r="H19" i="64"/>
  <c r="J19" i="64" s="1"/>
  <c r="H18" i="64"/>
  <c r="J18" i="64" s="1"/>
  <c r="H17" i="64"/>
  <c r="I16" i="64"/>
  <c r="G16" i="64"/>
  <c r="F16" i="64"/>
  <c r="E16" i="64"/>
  <c r="H15" i="64"/>
  <c r="J15" i="64" s="1"/>
  <c r="H14" i="64"/>
  <c r="J14" i="64" s="1"/>
  <c r="H13" i="64"/>
  <c r="J13" i="64" s="1"/>
  <c r="H12" i="64"/>
  <c r="J12" i="64" s="1"/>
  <c r="H11" i="64"/>
  <c r="J11" i="64" s="1"/>
  <c r="H10" i="64"/>
  <c r="J10" i="64" s="1"/>
  <c r="H9" i="64"/>
  <c r="J9" i="64" s="1"/>
  <c r="H8" i="64"/>
  <c r="J8" i="64" s="1"/>
  <c r="H7" i="64"/>
  <c r="G16" i="63"/>
  <c r="C20" i="63" s="1"/>
  <c r="F16" i="63"/>
  <c r="E16" i="63"/>
  <c r="D16" i="63"/>
  <c r="C16" i="63"/>
  <c r="H15" i="63"/>
  <c r="H14" i="63"/>
  <c r="H13" i="63"/>
  <c r="H12" i="63"/>
  <c r="H11" i="63"/>
  <c r="H10" i="63"/>
  <c r="H9" i="63"/>
  <c r="H8" i="63"/>
  <c r="I20" i="62"/>
  <c r="G20" i="62"/>
  <c r="F20" i="62"/>
  <c r="E20" i="62"/>
  <c r="D20" i="62"/>
  <c r="H19" i="62"/>
  <c r="J19" i="62" s="1"/>
  <c r="H18" i="62"/>
  <c r="J18" i="62" s="1"/>
  <c r="H17" i="62"/>
  <c r="J17" i="62" s="1"/>
  <c r="H16" i="62"/>
  <c r="J16" i="62" s="1"/>
  <c r="H15" i="62"/>
  <c r="J15" i="62" s="1"/>
  <c r="H14" i="62"/>
  <c r="J14" i="62" s="1"/>
  <c r="I13" i="62"/>
  <c r="C24" i="62" s="1"/>
  <c r="G13" i="62"/>
  <c r="F13" i="62"/>
  <c r="E13" i="62"/>
  <c r="D13" i="62"/>
  <c r="H12" i="62"/>
  <c r="J12" i="62" s="1"/>
  <c r="H11" i="62"/>
  <c r="J11" i="62" s="1"/>
  <c r="H10" i="62"/>
  <c r="J10" i="62" s="1"/>
  <c r="H9" i="62"/>
  <c r="J9" i="62" s="1"/>
  <c r="H8" i="62"/>
  <c r="J8" i="62" s="1"/>
  <c r="H7" i="62"/>
  <c r="E28" i="61"/>
  <c r="B32" i="61" s="1"/>
  <c r="C28" i="61"/>
  <c r="F27" i="61"/>
  <c r="F26" i="61"/>
  <c r="F25" i="61"/>
  <c r="F24" i="61"/>
  <c r="F23" i="61"/>
  <c r="F22" i="61"/>
  <c r="F21" i="61"/>
  <c r="F20" i="61"/>
  <c r="F19" i="61"/>
  <c r="F18" i="61"/>
  <c r="F17" i="61"/>
  <c r="F16" i="61"/>
  <c r="F15" i="61"/>
  <c r="F14" i="61"/>
  <c r="F13" i="61"/>
  <c r="F12" i="61"/>
  <c r="F11" i="61"/>
  <c r="F10" i="61"/>
  <c r="F9" i="61"/>
  <c r="F8" i="61"/>
  <c r="E305" i="60"/>
  <c r="E304" i="60"/>
  <c r="E303" i="60"/>
  <c r="E302" i="60"/>
  <c r="E301" i="60"/>
  <c r="E300" i="60"/>
  <c r="E299" i="60"/>
  <c r="E298" i="60"/>
  <c r="E297" i="60"/>
  <c r="E296" i="60"/>
  <c r="E295" i="60"/>
  <c r="E294" i="60"/>
  <c r="E293" i="60"/>
  <c r="E292" i="60"/>
  <c r="E291" i="60"/>
  <c r="E290" i="60"/>
  <c r="E289" i="60"/>
  <c r="E288" i="60"/>
  <c r="E287" i="60"/>
  <c r="E286" i="60"/>
  <c r="E285" i="60"/>
  <c r="E284" i="60"/>
  <c r="E283" i="60"/>
  <c r="E282" i="60"/>
  <c r="E281" i="60"/>
  <c r="E280" i="60"/>
  <c r="E279" i="60"/>
  <c r="E278" i="60"/>
  <c r="E277" i="60"/>
  <c r="E276" i="60"/>
  <c r="E275" i="60"/>
  <c r="E274" i="60"/>
  <c r="E273" i="60"/>
  <c r="E272" i="60"/>
  <c r="E271" i="60"/>
  <c r="E270" i="60"/>
  <c r="E269" i="60"/>
  <c r="E268" i="60"/>
  <c r="E267" i="60"/>
  <c r="E266" i="60"/>
  <c r="E265" i="60"/>
  <c r="E264" i="60"/>
  <c r="E263" i="60"/>
  <c r="E262" i="60"/>
  <c r="E261" i="60"/>
  <c r="E260" i="60"/>
  <c r="E259" i="60"/>
  <c r="E258" i="60"/>
  <c r="E257" i="60"/>
  <c r="E256" i="60"/>
  <c r="E255" i="60"/>
  <c r="E254" i="60"/>
  <c r="E253" i="60"/>
  <c r="E252" i="60"/>
  <c r="E251" i="60"/>
  <c r="E250" i="60"/>
  <c r="E249" i="60"/>
  <c r="E248" i="60"/>
  <c r="E247" i="60"/>
  <c r="E246" i="60"/>
  <c r="E245" i="60"/>
  <c r="E244" i="60"/>
  <c r="E243" i="60"/>
  <c r="E242" i="60"/>
  <c r="E241" i="60"/>
  <c r="E240" i="60"/>
  <c r="E239" i="60"/>
  <c r="E238" i="60"/>
  <c r="E237" i="60"/>
  <c r="E236" i="60"/>
  <c r="E235" i="60"/>
  <c r="E234" i="60"/>
  <c r="E233" i="60"/>
  <c r="E232" i="60"/>
  <c r="E231" i="60"/>
  <c r="E230" i="60"/>
  <c r="E229" i="60"/>
  <c r="E228" i="60"/>
  <c r="E227" i="60"/>
  <c r="E226" i="60"/>
  <c r="E225" i="60"/>
  <c r="E224" i="60"/>
  <c r="E223" i="60"/>
  <c r="E222" i="60"/>
  <c r="E221" i="60"/>
  <c r="E220" i="60"/>
  <c r="E219" i="60"/>
  <c r="E218" i="60"/>
  <c r="E217" i="60"/>
  <c r="E216" i="60"/>
  <c r="E215" i="60"/>
  <c r="E214" i="60"/>
  <c r="E213" i="60"/>
  <c r="E212" i="60"/>
  <c r="E211" i="60"/>
  <c r="E210" i="60"/>
  <c r="E209" i="60"/>
  <c r="E208" i="60"/>
  <c r="E207" i="60"/>
  <c r="E206" i="60"/>
  <c r="E205" i="60"/>
  <c r="E204" i="60"/>
  <c r="E203" i="60"/>
  <c r="E202" i="60"/>
  <c r="E201" i="60"/>
  <c r="E200" i="60"/>
  <c r="E199" i="60"/>
  <c r="E198" i="60"/>
  <c r="E197" i="60"/>
  <c r="E196" i="60"/>
  <c r="E195" i="60"/>
  <c r="E194" i="60"/>
  <c r="E193" i="60"/>
  <c r="E192" i="60"/>
  <c r="E191" i="60"/>
  <c r="E190" i="60"/>
  <c r="E189" i="60"/>
  <c r="E188" i="60"/>
  <c r="E187" i="60"/>
  <c r="E186" i="60"/>
  <c r="E185" i="60"/>
  <c r="E184" i="60"/>
  <c r="E183" i="60"/>
  <c r="E182" i="60"/>
  <c r="E181" i="60"/>
  <c r="E180" i="60"/>
  <c r="E179" i="60"/>
  <c r="E178" i="60"/>
  <c r="E177" i="60"/>
  <c r="E176" i="60"/>
  <c r="E175" i="60"/>
  <c r="E174" i="60"/>
  <c r="E173" i="60"/>
  <c r="E172" i="60"/>
  <c r="E171" i="60"/>
  <c r="E170" i="60"/>
  <c r="E169" i="60"/>
  <c r="E168" i="60"/>
  <c r="E167" i="60"/>
  <c r="E166" i="60"/>
  <c r="E165" i="60"/>
  <c r="E164" i="60"/>
  <c r="E163" i="60"/>
  <c r="E162" i="60"/>
  <c r="E161" i="60"/>
  <c r="E160" i="60"/>
  <c r="E159" i="60"/>
  <c r="E158" i="60"/>
  <c r="E157" i="60"/>
  <c r="E156" i="60"/>
  <c r="E155" i="60"/>
  <c r="E154" i="60"/>
  <c r="E153" i="60"/>
  <c r="E152" i="60"/>
  <c r="E151" i="60"/>
  <c r="E150" i="60"/>
  <c r="E149" i="60"/>
  <c r="E148" i="60"/>
  <c r="E147" i="60"/>
  <c r="E146" i="60"/>
  <c r="E145" i="60"/>
  <c r="E144" i="60"/>
  <c r="E143" i="60"/>
  <c r="E142" i="60"/>
  <c r="E141" i="60"/>
  <c r="E140" i="60"/>
  <c r="E139" i="60"/>
  <c r="E138" i="60"/>
  <c r="E137" i="60"/>
  <c r="E136" i="60"/>
  <c r="E135" i="60"/>
  <c r="E134" i="60"/>
  <c r="E133" i="60"/>
  <c r="E132" i="60"/>
  <c r="E131" i="60"/>
  <c r="E130" i="60"/>
  <c r="E129" i="60"/>
  <c r="E128" i="60"/>
  <c r="E127" i="60"/>
  <c r="E126" i="60"/>
  <c r="E125" i="60"/>
  <c r="E124" i="60"/>
  <c r="E123" i="60"/>
  <c r="E122" i="60"/>
  <c r="E121" i="60"/>
  <c r="E120" i="60"/>
  <c r="E119" i="60"/>
  <c r="E118" i="60"/>
  <c r="E117" i="60"/>
  <c r="E116" i="60"/>
  <c r="E115" i="60"/>
  <c r="E114" i="60"/>
  <c r="E113" i="60"/>
  <c r="E112" i="60"/>
  <c r="E111" i="60"/>
  <c r="E110" i="60"/>
  <c r="E109" i="60"/>
  <c r="E108" i="60"/>
  <c r="E107" i="60"/>
  <c r="E106" i="60"/>
  <c r="E105" i="60"/>
  <c r="E104" i="60"/>
  <c r="E103" i="60"/>
  <c r="E102" i="60"/>
  <c r="E101" i="60"/>
  <c r="E100" i="60"/>
  <c r="E99" i="60"/>
  <c r="E98" i="60"/>
  <c r="E97" i="60"/>
  <c r="E96" i="60"/>
  <c r="E95" i="60"/>
  <c r="E94" i="60"/>
  <c r="E93" i="60"/>
  <c r="E92" i="60"/>
  <c r="E91" i="60"/>
  <c r="E90" i="60"/>
  <c r="E89" i="60"/>
  <c r="E88" i="60"/>
  <c r="E87" i="60"/>
  <c r="E86" i="60"/>
  <c r="E85" i="60"/>
  <c r="E84" i="60"/>
  <c r="E83" i="60"/>
  <c r="E82" i="60"/>
  <c r="E81" i="60"/>
  <c r="E80" i="60"/>
  <c r="E79" i="60"/>
  <c r="E78" i="60"/>
  <c r="E77" i="60"/>
  <c r="E76" i="60"/>
  <c r="E75" i="60"/>
  <c r="E74" i="60"/>
  <c r="E73" i="60"/>
  <c r="E72" i="60"/>
  <c r="E71" i="60"/>
  <c r="E70" i="60"/>
  <c r="E69" i="60"/>
  <c r="E68" i="60"/>
  <c r="E67" i="60"/>
  <c r="E66" i="60"/>
  <c r="E65" i="60"/>
  <c r="E64" i="60"/>
  <c r="E63" i="60"/>
  <c r="E62" i="60"/>
  <c r="E61" i="60"/>
  <c r="E60" i="60"/>
  <c r="E59" i="60"/>
  <c r="E58" i="60"/>
  <c r="E57" i="60"/>
  <c r="E56" i="60"/>
  <c r="E55" i="60"/>
  <c r="E54" i="60"/>
  <c r="E53" i="60"/>
  <c r="E52" i="60"/>
  <c r="E51" i="60"/>
  <c r="E50" i="60"/>
  <c r="E49" i="60"/>
  <c r="E48" i="60"/>
  <c r="E47" i="60"/>
  <c r="E46" i="60"/>
  <c r="E45" i="60"/>
  <c r="E44" i="60"/>
  <c r="E43" i="60"/>
  <c r="E42" i="60"/>
  <c r="E41" i="60"/>
  <c r="E40" i="60"/>
  <c r="E39" i="60"/>
  <c r="E38" i="60"/>
  <c r="E37" i="60"/>
  <c r="E36" i="60"/>
  <c r="E35" i="60"/>
  <c r="E34" i="60"/>
  <c r="E33" i="60"/>
  <c r="E32" i="60"/>
  <c r="E31" i="60"/>
  <c r="E30" i="60"/>
  <c r="E29" i="60"/>
  <c r="E28" i="60"/>
  <c r="E27" i="60"/>
  <c r="E26" i="60"/>
  <c r="E25" i="60"/>
  <c r="E24" i="60"/>
  <c r="E23" i="60"/>
  <c r="E22" i="60"/>
  <c r="E21" i="60"/>
  <c r="E20" i="60"/>
  <c r="E19" i="60"/>
  <c r="E18" i="60"/>
  <c r="E17" i="60"/>
  <c r="E16" i="60"/>
  <c r="F15" i="60"/>
  <c r="D15" i="60"/>
  <c r="B10" i="60" s="1"/>
  <c r="C15" i="60"/>
  <c r="B15" i="60"/>
  <c r="C32" i="148" s="1"/>
  <c r="F12" i="60"/>
  <c r="E305" i="59"/>
  <c r="E304" i="59"/>
  <c r="E303" i="59"/>
  <c r="E302" i="59"/>
  <c r="E301" i="59"/>
  <c r="E300" i="59"/>
  <c r="E299" i="59"/>
  <c r="E298" i="59"/>
  <c r="E297" i="59"/>
  <c r="E296" i="59"/>
  <c r="E295" i="59"/>
  <c r="E294" i="59"/>
  <c r="E293" i="59"/>
  <c r="E292" i="59"/>
  <c r="E291" i="59"/>
  <c r="E290" i="59"/>
  <c r="E289" i="59"/>
  <c r="E288" i="59"/>
  <c r="E287" i="59"/>
  <c r="E286" i="59"/>
  <c r="E285" i="59"/>
  <c r="E284" i="59"/>
  <c r="E283" i="59"/>
  <c r="E282" i="59"/>
  <c r="E281" i="59"/>
  <c r="E280" i="59"/>
  <c r="E279" i="59"/>
  <c r="E278" i="59"/>
  <c r="E277" i="59"/>
  <c r="E276" i="59"/>
  <c r="E275" i="59"/>
  <c r="E274" i="59"/>
  <c r="E273" i="59"/>
  <c r="E272" i="59"/>
  <c r="E271" i="59"/>
  <c r="E270" i="59"/>
  <c r="E269" i="59"/>
  <c r="E268" i="59"/>
  <c r="E267" i="59"/>
  <c r="E266" i="59"/>
  <c r="E265" i="59"/>
  <c r="E264" i="59"/>
  <c r="E263" i="59"/>
  <c r="E262" i="59"/>
  <c r="E261" i="59"/>
  <c r="E260" i="59"/>
  <c r="E259" i="59"/>
  <c r="E258" i="59"/>
  <c r="E257" i="59"/>
  <c r="E256" i="59"/>
  <c r="E255" i="59"/>
  <c r="E254" i="59"/>
  <c r="E253" i="59"/>
  <c r="E252" i="59"/>
  <c r="E251" i="59"/>
  <c r="E250" i="59"/>
  <c r="E249" i="59"/>
  <c r="E248" i="59"/>
  <c r="E247" i="59"/>
  <c r="E246" i="59"/>
  <c r="E245" i="59"/>
  <c r="E244" i="59"/>
  <c r="E243" i="59"/>
  <c r="E242" i="59"/>
  <c r="E241" i="59"/>
  <c r="E240" i="59"/>
  <c r="E239" i="59"/>
  <c r="E238" i="59"/>
  <c r="E237" i="59"/>
  <c r="E236" i="59"/>
  <c r="E235" i="59"/>
  <c r="E234" i="59"/>
  <c r="E233" i="59"/>
  <c r="E232" i="59"/>
  <c r="E231" i="59"/>
  <c r="E230" i="59"/>
  <c r="E229" i="59"/>
  <c r="E228" i="59"/>
  <c r="E227" i="59"/>
  <c r="E226" i="59"/>
  <c r="E225" i="59"/>
  <c r="E224" i="59"/>
  <c r="E223" i="59"/>
  <c r="E222" i="59"/>
  <c r="E221" i="59"/>
  <c r="E220" i="59"/>
  <c r="E219" i="59"/>
  <c r="E218" i="59"/>
  <c r="E217" i="59"/>
  <c r="E216" i="59"/>
  <c r="E215" i="59"/>
  <c r="E214" i="59"/>
  <c r="E213" i="59"/>
  <c r="E212" i="59"/>
  <c r="E211" i="59"/>
  <c r="E210" i="59"/>
  <c r="E209" i="59"/>
  <c r="E208" i="59"/>
  <c r="E207" i="59"/>
  <c r="E206" i="59"/>
  <c r="E205" i="59"/>
  <c r="E204" i="59"/>
  <c r="E203" i="59"/>
  <c r="E202" i="59"/>
  <c r="E201" i="59"/>
  <c r="E200" i="59"/>
  <c r="E199" i="59"/>
  <c r="E198" i="59"/>
  <c r="E197" i="59"/>
  <c r="E196" i="59"/>
  <c r="E195" i="59"/>
  <c r="E194" i="59"/>
  <c r="E193" i="59"/>
  <c r="E192" i="59"/>
  <c r="E191" i="59"/>
  <c r="E190" i="59"/>
  <c r="E189" i="59"/>
  <c r="E188" i="59"/>
  <c r="E187" i="59"/>
  <c r="E186" i="59"/>
  <c r="E185" i="59"/>
  <c r="E184" i="59"/>
  <c r="E183" i="59"/>
  <c r="E182" i="59"/>
  <c r="E181" i="59"/>
  <c r="E180" i="59"/>
  <c r="E179" i="59"/>
  <c r="E178" i="59"/>
  <c r="E177" i="59"/>
  <c r="E176" i="59"/>
  <c r="E175" i="59"/>
  <c r="E174" i="59"/>
  <c r="E173" i="59"/>
  <c r="E172" i="59"/>
  <c r="E171" i="59"/>
  <c r="E170" i="59"/>
  <c r="E169" i="59"/>
  <c r="E168" i="59"/>
  <c r="E167" i="59"/>
  <c r="E166" i="59"/>
  <c r="E165" i="59"/>
  <c r="E164" i="59"/>
  <c r="E163" i="59"/>
  <c r="E162" i="59"/>
  <c r="E161" i="59"/>
  <c r="E160" i="59"/>
  <c r="E159" i="59"/>
  <c r="E158" i="59"/>
  <c r="E157" i="59"/>
  <c r="E156" i="59"/>
  <c r="E155" i="59"/>
  <c r="E154" i="59"/>
  <c r="E153" i="59"/>
  <c r="E152" i="59"/>
  <c r="E151" i="59"/>
  <c r="E150" i="59"/>
  <c r="E149" i="59"/>
  <c r="E148" i="59"/>
  <c r="E147" i="59"/>
  <c r="E146" i="59"/>
  <c r="E145" i="59"/>
  <c r="E144" i="59"/>
  <c r="E143" i="59"/>
  <c r="E142" i="59"/>
  <c r="E141" i="59"/>
  <c r="E140" i="59"/>
  <c r="E139" i="59"/>
  <c r="E138" i="59"/>
  <c r="E137" i="59"/>
  <c r="E136" i="59"/>
  <c r="E135" i="59"/>
  <c r="E134" i="59"/>
  <c r="E133" i="59"/>
  <c r="E132" i="59"/>
  <c r="E131" i="59"/>
  <c r="E130" i="59"/>
  <c r="E129" i="59"/>
  <c r="E128" i="59"/>
  <c r="E127" i="59"/>
  <c r="E126" i="59"/>
  <c r="E125" i="59"/>
  <c r="E124" i="59"/>
  <c r="E123" i="59"/>
  <c r="E122" i="59"/>
  <c r="E121" i="59"/>
  <c r="E120" i="59"/>
  <c r="E119" i="59"/>
  <c r="E118" i="59"/>
  <c r="E117" i="59"/>
  <c r="E116" i="59"/>
  <c r="E115" i="59"/>
  <c r="E114" i="59"/>
  <c r="E113" i="59"/>
  <c r="E112" i="59"/>
  <c r="E111" i="59"/>
  <c r="E110" i="59"/>
  <c r="E109" i="59"/>
  <c r="E108" i="59"/>
  <c r="E107" i="59"/>
  <c r="E106" i="59"/>
  <c r="E105" i="59"/>
  <c r="E104" i="59"/>
  <c r="E103" i="59"/>
  <c r="E102" i="59"/>
  <c r="E101" i="59"/>
  <c r="E100" i="59"/>
  <c r="E99" i="59"/>
  <c r="E98" i="59"/>
  <c r="E97" i="59"/>
  <c r="E96" i="59"/>
  <c r="E95" i="59"/>
  <c r="E94" i="59"/>
  <c r="E93" i="59"/>
  <c r="E92" i="59"/>
  <c r="E91" i="59"/>
  <c r="E90" i="59"/>
  <c r="E89" i="59"/>
  <c r="E88" i="59"/>
  <c r="E87" i="59"/>
  <c r="E86" i="59"/>
  <c r="E85" i="59"/>
  <c r="E84" i="59"/>
  <c r="E83" i="59"/>
  <c r="E82" i="59"/>
  <c r="E81" i="59"/>
  <c r="E80" i="59"/>
  <c r="E79" i="59"/>
  <c r="E78" i="59"/>
  <c r="E77" i="59"/>
  <c r="E76" i="59"/>
  <c r="E75" i="59"/>
  <c r="E74" i="59"/>
  <c r="E73" i="59"/>
  <c r="E72" i="59"/>
  <c r="E71" i="59"/>
  <c r="E70" i="59"/>
  <c r="E69" i="59"/>
  <c r="E68" i="59"/>
  <c r="E67" i="59"/>
  <c r="E66" i="59"/>
  <c r="E65" i="59"/>
  <c r="E64" i="59"/>
  <c r="E63" i="59"/>
  <c r="E62" i="59"/>
  <c r="E61" i="59"/>
  <c r="E60" i="59"/>
  <c r="E59" i="59"/>
  <c r="E58" i="59"/>
  <c r="E57" i="59"/>
  <c r="E56" i="59"/>
  <c r="E55" i="59"/>
  <c r="E54" i="59"/>
  <c r="E53" i="59"/>
  <c r="E52" i="59"/>
  <c r="E51" i="59"/>
  <c r="E50" i="59"/>
  <c r="E49" i="59"/>
  <c r="E48" i="59"/>
  <c r="E47" i="59"/>
  <c r="E46" i="59"/>
  <c r="E45" i="59"/>
  <c r="E44" i="59"/>
  <c r="E43" i="59"/>
  <c r="E42" i="59"/>
  <c r="E41" i="59"/>
  <c r="E40" i="59"/>
  <c r="E39" i="59"/>
  <c r="E38" i="59"/>
  <c r="E37" i="59"/>
  <c r="E36" i="59"/>
  <c r="E35" i="59"/>
  <c r="E34" i="59"/>
  <c r="E33" i="59"/>
  <c r="E32" i="59"/>
  <c r="E31" i="59"/>
  <c r="E30" i="59"/>
  <c r="E29" i="59"/>
  <c r="E28" i="59"/>
  <c r="E27" i="59"/>
  <c r="E26" i="59"/>
  <c r="E25" i="59"/>
  <c r="E24" i="59"/>
  <c r="E23" i="59"/>
  <c r="E22" i="59"/>
  <c r="E21" i="59"/>
  <c r="E20" i="59"/>
  <c r="E19" i="59"/>
  <c r="E18" i="59"/>
  <c r="E17" i="59"/>
  <c r="E16" i="59"/>
  <c r="F15" i="59"/>
  <c r="D15" i="59"/>
  <c r="E8" i="59" s="1"/>
  <c r="C15" i="59"/>
  <c r="B15" i="59"/>
  <c r="F12" i="59"/>
  <c r="E305" i="58"/>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F15" i="58"/>
  <c r="D15" i="58"/>
  <c r="E8" i="58" s="1"/>
  <c r="C15" i="58"/>
  <c r="B15" i="58"/>
  <c r="E14" i="58"/>
  <c r="F12" i="58"/>
  <c r="A1" i="57"/>
  <c r="A2" i="56"/>
  <c r="A1" i="56"/>
  <c r="A36" i="57"/>
  <c r="B15" i="49"/>
  <c r="A7" i="56" s="1"/>
  <c r="F2" i="55"/>
  <c r="G2" i="52"/>
  <c r="F1" i="55"/>
  <c r="G1" i="52"/>
  <c r="C18" i="56"/>
  <c r="F4" i="55"/>
  <c r="F3" i="55"/>
  <c r="H3" i="55"/>
  <c r="G24" i="55"/>
  <c r="F24" i="55"/>
  <c r="E24" i="55"/>
  <c r="D24" i="55"/>
  <c r="H23" i="55"/>
  <c r="H22" i="55"/>
  <c r="H21" i="55"/>
  <c r="D20" i="55"/>
  <c r="E19" i="55"/>
  <c r="H19" i="55" s="1"/>
  <c r="G19" i="55" s="1"/>
  <c r="E18" i="55"/>
  <c r="H18" i="55" s="1"/>
  <c r="G18" i="55" s="1"/>
  <c r="E16" i="55"/>
  <c r="H16" i="55" s="1"/>
  <c r="G16" i="55" s="1"/>
  <c r="E14" i="55"/>
  <c r="H14" i="55" s="1"/>
  <c r="G14" i="55" s="1"/>
  <c r="H13" i="55"/>
  <c r="G13" i="55" s="1"/>
  <c r="D11" i="55"/>
  <c r="H10" i="55"/>
  <c r="G10" i="55"/>
  <c r="E9" i="55"/>
  <c r="D10" i="56" s="1"/>
  <c r="B10" i="56" s="1"/>
  <c r="E8" i="55"/>
  <c r="H8" i="55" s="1"/>
  <c r="E7" i="55"/>
  <c r="D8" i="56" s="1"/>
  <c r="B8" i="56" s="1"/>
  <c r="C31" i="148" l="1"/>
  <c r="B7" i="66"/>
  <c r="C37" i="148"/>
  <c r="C30" i="148"/>
  <c r="B29" i="61"/>
  <c r="C33" i="148"/>
  <c r="C17" i="63"/>
  <c r="C35" i="148"/>
  <c r="K26" i="68"/>
  <c r="B7" i="65"/>
  <c r="C36" i="148"/>
  <c r="F19" i="69"/>
  <c r="C32" i="69" s="1"/>
  <c r="B7" i="67"/>
  <c r="C48" i="71"/>
  <c r="H24" i="55"/>
  <c r="E8" i="65"/>
  <c r="C37" i="69"/>
  <c r="E35" i="69"/>
  <c r="C20" i="135"/>
  <c r="D43" i="137"/>
  <c r="C20" i="148"/>
  <c r="B7" i="60"/>
  <c r="D40" i="71"/>
  <c r="C8" i="7" s="1"/>
  <c r="D20" i="135"/>
  <c r="F40" i="71"/>
  <c r="C10" i="7" s="1"/>
  <c r="F20" i="135"/>
  <c r="K16" i="68"/>
  <c r="C30" i="68" s="1"/>
  <c r="F30" i="69"/>
  <c r="C34" i="69" s="1"/>
  <c r="E40" i="71"/>
  <c r="C9" i="7" s="1"/>
  <c r="E20" i="135"/>
  <c r="D28" i="68"/>
  <c r="C27" i="68"/>
  <c r="H26" i="64"/>
  <c r="G27" i="64" s="1"/>
  <c r="D28" i="64"/>
  <c r="C30" i="64"/>
  <c r="G9" i="55"/>
  <c r="B5" i="57"/>
  <c r="B7" i="58"/>
  <c r="H16" i="64"/>
  <c r="E13" i="66"/>
  <c r="E13" i="67"/>
  <c r="H20" i="71"/>
  <c r="D22" i="62"/>
  <c r="C30" i="61"/>
  <c r="H16" i="63"/>
  <c r="B7" i="59"/>
  <c r="H13" i="62"/>
  <c r="E18" i="63"/>
  <c r="E13" i="65"/>
  <c r="E8" i="67"/>
  <c r="F24" i="69"/>
  <c r="C33" i="69" s="1"/>
  <c r="H37" i="71"/>
  <c r="C42" i="71" s="1"/>
  <c r="J7" i="62"/>
  <c r="F28" i="61"/>
  <c r="E15" i="60"/>
  <c r="E8" i="60"/>
  <c r="E15" i="59"/>
  <c r="B10" i="59"/>
  <c r="B10" i="58"/>
  <c r="E15" i="58"/>
  <c r="E20" i="55"/>
  <c r="D25" i="55"/>
  <c r="H20" i="55"/>
  <c r="C23" i="71"/>
  <c r="C6" i="5" s="1"/>
  <c r="C40" i="71"/>
  <c r="C6" i="7" s="1"/>
  <c r="E12" i="65"/>
  <c r="E14" i="60"/>
  <c r="H24" i="69"/>
  <c r="D24" i="70"/>
  <c r="C28" i="70" s="1"/>
  <c r="E8" i="66"/>
  <c r="H20" i="62"/>
  <c r="G21" i="62" s="1"/>
  <c r="J7" i="64"/>
  <c r="J17" i="64"/>
  <c r="H8" i="69"/>
  <c r="H25" i="69"/>
  <c r="H30" i="69" s="1"/>
  <c r="G20" i="55"/>
  <c r="G8" i="55"/>
  <c r="H9" i="55"/>
  <c r="E11" i="55"/>
  <c r="D9" i="56"/>
  <c r="B9" i="56" s="1"/>
  <c r="G7" i="55"/>
  <c r="G11" i="55" s="1"/>
  <c r="H7" i="55"/>
  <c r="H11" i="55" s="1"/>
  <c r="C21" i="62" l="1"/>
  <c r="C34" i="148"/>
  <c r="H19" i="69"/>
  <c r="F42" i="47"/>
  <c r="C42" i="47" s="1"/>
  <c r="C26" i="55"/>
  <c r="C29" i="148"/>
  <c r="C16" i="148"/>
  <c r="C18" i="148" s="1"/>
  <c r="E43" i="71"/>
  <c r="D21" i="134"/>
  <c r="H23" i="71"/>
  <c r="J17" i="91" s="1"/>
  <c r="C39" i="148"/>
  <c r="E26" i="70"/>
  <c r="C41" i="71"/>
  <c r="H40" i="71"/>
  <c r="J26" i="64"/>
  <c r="J16" i="64"/>
  <c r="C27" i="64"/>
  <c r="J13" i="62"/>
  <c r="H25" i="55"/>
  <c r="C29" i="55" s="1"/>
  <c r="G25" i="55"/>
  <c r="D27" i="55" s="1"/>
  <c r="J20" i="62"/>
  <c r="D19" i="53" l="1"/>
  <c r="D16" i="53" l="1"/>
  <c r="C11" i="139" s="1"/>
  <c r="C12" i="139" l="1"/>
  <c r="F11" i="139"/>
  <c r="D11" i="53"/>
  <c r="D2" i="51"/>
  <c r="D1" i="51"/>
  <c r="E8" i="51"/>
  <c r="C8" i="51"/>
  <c r="E5" i="51"/>
  <c r="C5" i="51"/>
  <c r="B3" i="51"/>
  <c r="C24" i="51"/>
  <c r="C9" i="70" s="1"/>
  <c r="E9" i="70" s="1"/>
  <c r="E18" i="51"/>
  <c r="E21" i="51" s="1"/>
  <c r="E23" i="51" s="1"/>
  <c r="D23" i="50"/>
  <c r="C23" i="50"/>
  <c r="C32" i="50" s="1"/>
  <c r="D16" i="50"/>
  <c r="C16" i="50"/>
  <c r="E3" i="50"/>
  <c r="H32" i="50"/>
  <c r="G32" i="50"/>
  <c r="H22" i="50"/>
  <c r="G22" i="50"/>
  <c r="H16" i="50"/>
  <c r="G16" i="50"/>
  <c r="F1" i="47"/>
  <c r="F2" i="47"/>
  <c r="F1" i="155" l="1"/>
  <c r="D11" i="155" s="1"/>
  <c r="F1" i="72"/>
  <c r="F1" i="50"/>
  <c r="N1" i="88"/>
  <c r="I11" i="139"/>
  <c r="D10" i="140"/>
  <c r="F10" i="140" s="1"/>
  <c r="C13" i="139"/>
  <c r="F13" i="139" s="1"/>
  <c r="F12" i="139"/>
  <c r="D32" i="50"/>
  <c r="C30" i="94" s="1"/>
  <c r="C5" i="148"/>
  <c r="C18" i="51"/>
  <c r="C21" i="51" s="1"/>
  <c r="E27" i="51"/>
  <c r="E34" i="51" s="1"/>
  <c r="E41" i="51" s="1"/>
  <c r="G23" i="50"/>
  <c r="G33" i="50" s="1"/>
  <c r="H23" i="50"/>
  <c r="H33" i="50" s="1"/>
  <c r="I12" i="139" l="1"/>
  <c r="H12" i="139" s="1"/>
  <c r="D11" i="140"/>
  <c r="F11" i="140" s="1"/>
  <c r="I13" i="139"/>
  <c r="H13" i="139" s="1"/>
  <c r="D12" i="140"/>
  <c r="F12" i="140" s="1"/>
  <c r="H11" i="139"/>
  <c r="C23" i="51"/>
  <c r="C27" i="51" s="1"/>
  <c r="C34" i="51" s="1"/>
  <c r="C41" i="51" s="1"/>
  <c r="G35" i="50" s="1"/>
  <c r="C53" i="47"/>
  <c r="G34" i="47"/>
  <c r="C21" i="47"/>
  <c r="D21" i="47" s="1"/>
  <c r="C9" i="150" s="1"/>
  <c r="C22" i="47"/>
  <c r="D22" i="47" s="1"/>
  <c r="C11" i="150" s="1"/>
  <c r="C23" i="47"/>
  <c r="B26" i="47"/>
  <c r="C10" i="150" s="1"/>
  <c r="I20" i="139" l="1"/>
  <c r="D6" i="4" s="1"/>
  <c r="H20" i="139"/>
  <c r="G2" i="122"/>
  <c r="H3" i="122" s="1"/>
  <c r="C8" i="70"/>
  <c r="E8" i="70" s="1"/>
  <c r="D23" i="47"/>
  <c r="D5" i="3"/>
  <c r="E48" i="47"/>
  <c r="F34" i="3" s="1"/>
  <c r="C7" i="150"/>
  <c r="G50" i="47"/>
  <c r="G46" i="47"/>
  <c r="G49" i="47"/>
  <c r="E51" i="47"/>
  <c r="F37" i="3" s="1"/>
  <c r="G48" i="47"/>
  <c r="E49" i="47"/>
  <c r="F35" i="3" s="1"/>
  <c r="G51" i="47"/>
  <c r="G47" i="47"/>
  <c r="E47" i="47"/>
  <c r="F33" i="3" s="1"/>
  <c r="E50" i="47"/>
  <c r="F36" i="3" s="1"/>
  <c r="E46" i="47"/>
  <c r="F32" i="3" s="1"/>
  <c r="F9" i="47"/>
  <c r="C3" i="47"/>
  <c r="C31" i="47"/>
  <c r="A47" i="81" s="1"/>
  <c r="C25" i="47"/>
  <c r="C3" i="150" s="1"/>
  <c r="C24" i="47"/>
  <c r="C20" i="47"/>
  <c r="C13" i="55" s="1"/>
  <c r="C19" i="47"/>
  <c r="C18" i="47"/>
  <c r="C16" i="47"/>
  <c r="D5" i="83" s="1"/>
  <c r="C15" i="47"/>
  <c r="D4" i="83" s="1"/>
  <c r="C14" i="47"/>
  <c r="C13" i="47"/>
  <c r="C12" i="47"/>
  <c r="C5" i="150" s="1"/>
  <c r="C11" i="47"/>
  <c r="C4" i="150" s="1"/>
  <c r="F30" i="47"/>
  <c r="F28" i="47"/>
  <c r="F25" i="47"/>
  <c r="C32" i="47" l="1"/>
  <c r="A10" i="1"/>
  <c r="N4" i="88"/>
  <c r="G5" i="87"/>
  <c r="H5" i="80"/>
  <c r="K4" i="97"/>
  <c r="I5" i="72"/>
  <c r="B4" i="82"/>
  <c r="A12" i="154"/>
  <c r="B4" i="87"/>
  <c r="B3" i="82"/>
  <c r="B3" i="80"/>
  <c r="C3" i="79"/>
  <c r="B2" i="83"/>
  <c r="A12" i="1"/>
  <c r="C3" i="76"/>
  <c r="A2" i="75"/>
  <c r="A4" i="81"/>
  <c r="B4" i="74"/>
  <c r="B3" i="72"/>
  <c r="A4" i="154"/>
  <c r="C2" i="134"/>
  <c r="A7" i="1"/>
  <c r="C4" i="134"/>
  <c r="C4" i="97"/>
  <c r="B5" i="80"/>
  <c r="B5" i="72"/>
  <c r="C4" i="79"/>
  <c r="C22" i="148"/>
  <c r="G22" i="139"/>
  <c r="C29" i="139"/>
  <c r="C13" i="70"/>
  <c r="E13" i="70" s="1"/>
  <c r="P22" i="3"/>
  <c r="R13" i="3"/>
  <c r="O13" i="3"/>
  <c r="N14" i="3"/>
  <c r="R10" i="3"/>
  <c r="N10" i="3"/>
  <c r="N22" i="3"/>
  <c r="S13" i="3"/>
  <c r="N17" i="3"/>
  <c r="N13" i="3"/>
  <c r="Q10" i="3"/>
  <c r="O22" i="3"/>
  <c r="Q13" i="3"/>
  <c r="N16" i="3"/>
  <c r="N12" i="3"/>
  <c r="P10" i="3"/>
  <c r="P13" i="3"/>
  <c r="N15" i="3"/>
  <c r="N11" i="3"/>
  <c r="O10" i="3"/>
  <c r="C5" i="153"/>
  <c r="E4" i="88"/>
  <c r="C4" i="144"/>
  <c r="C4" i="143"/>
  <c r="C4" i="142"/>
  <c r="A33" i="140"/>
  <c r="A5" i="140"/>
  <c r="A5" i="139"/>
  <c r="B4" i="133"/>
  <c r="C4" i="99"/>
  <c r="A5" i="95"/>
  <c r="C5" i="91"/>
  <c r="C5" i="137"/>
  <c r="B3" i="132"/>
  <c r="A5" i="98"/>
  <c r="A3" i="94"/>
  <c r="A5" i="90"/>
  <c r="B5" i="136"/>
  <c r="A3" i="147"/>
  <c r="A3" i="131"/>
  <c r="A3" i="39" s="1"/>
  <c r="A5" i="101"/>
  <c r="A3" i="93"/>
  <c r="A4" i="145"/>
  <c r="C5" i="135"/>
  <c r="B4" i="105"/>
  <c r="B4" i="100"/>
  <c r="A6" i="96"/>
  <c r="A4" i="92"/>
  <c r="A4" i="138"/>
  <c r="C5" i="141"/>
  <c r="I5" i="153"/>
  <c r="H33" i="140"/>
  <c r="F5" i="101"/>
  <c r="K3" i="93"/>
  <c r="G4" i="145"/>
  <c r="H5" i="140"/>
  <c r="G5" i="136"/>
  <c r="H4" i="100"/>
  <c r="I6" i="96"/>
  <c r="F4" i="92"/>
  <c r="H4" i="144"/>
  <c r="J5" i="139"/>
  <c r="G5" i="135"/>
  <c r="E4" i="105"/>
  <c r="J4" i="99"/>
  <c r="F5" i="95"/>
  <c r="L5" i="91"/>
  <c r="H4" i="143"/>
  <c r="M4" i="138"/>
  <c r="J4" i="134"/>
  <c r="I5" i="98"/>
  <c r="K3" i="94"/>
  <c r="H5" i="90"/>
  <c r="H4" i="142"/>
  <c r="H5" i="137"/>
  <c r="J5" i="141"/>
  <c r="C15" i="150"/>
  <c r="C17" i="47"/>
  <c r="C6" i="150"/>
  <c r="C13" i="150"/>
  <c r="A13" i="150" s="1"/>
  <c r="C3" i="153"/>
  <c r="E3" i="88"/>
  <c r="C3" i="144"/>
  <c r="C3" i="143"/>
  <c r="A31" i="140"/>
  <c r="C3" i="142"/>
  <c r="A3" i="140"/>
  <c r="A3" i="139"/>
  <c r="A4" i="147"/>
  <c r="B3" i="105"/>
  <c r="A3" i="101"/>
  <c r="C3" i="97"/>
  <c r="A2" i="93"/>
  <c r="A3" i="145"/>
  <c r="B3" i="136"/>
  <c r="B3" i="100"/>
  <c r="A4" i="96"/>
  <c r="A2" i="92"/>
  <c r="C3" i="135"/>
  <c r="B2" i="103"/>
  <c r="C3" i="99"/>
  <c r="A3" i="95"/>
  <c r="C3" i="91"/>
  <c r="A3" i="138"/>
  <c r="C3" i="141"/>
  <c r="B3" i="104"/>
  <c r="A3" i="98"/>
  <c r="A2" i="94"/>
  <c r="A3" i="90"/>
  <c r="C3" i="137"/>
  <c r="A3" i="63"/>
  <c r="A5" i="67"/>
  <c r="A5" i="63"/>
  <c r="A5" i="59"/>
  <c r="A5" i="70"/>
  <c r="A5" i="66"/>
  <c r="C4" i="62"/>
  <c r="A5" i="58"/>
  <c r="A5" i="69"/>
  <c r="A5" i="65"/>
  <c r="A5" i="61"/>
  <c r="C5" i="71"/>
  <c r="C4" i="68"/>
  <c r="C4" i="64"/>
  <c r="A5" i="60"/>
  <c r="A4" i="55"/>
  <c r="G5" i="70"/>
  <c r="F5" i="66"/>
  <c r="J4" i="62"/>
  <c r="F5" i="58"/>
  <c r="H5" i="69"/>
  <c r="F5" i="65"/>
  <c r="F5" i="61"/>
  <c r="K4" i="68"/>
  <c r="H4" i="64"/>
  <c r="F5" i="60"/>
  <c r="H5" i="71"/>
  <c r="F5" i="67"/>
  <c r="H5" i="63"/>
  <c r="F5" i="59"/>
  <c r="H4" i="55"/>
  <c r="A3" i="50"/>
  <c r="A3" i="51" s="1"/>
  <c r="A3" i="52" s="1"/>
  <c r="B16" i="49" s="1"/>
  <c r="C3" i="68"/>
  <c r="C3" i="64"/>
  <c r="A3" i="60"/>
  <c r="C3" i="71"/>
  <c r="A3" i="67"/>
  <c r="A3" i="59"/>
  <c r="A3" i="70"/>
  <c r="A3" i="66"/>
  <c r="C3" i="62"/>
  <c r="A3" i="58"/>
  <c r="A7" i="57"/>
  <c r="B5" i="56"/>
  <c r="A3" i="69"/>
  <c r="A3" i="65"/>
  <c r="A3" i="61"/>
  <c r="A3" i="55"/>
  <c r="A3" i="53"/>
  <c r="K9" i="50"/>
  <c r="K7" i="50"/>
  <c r="M7" i="50" s="1"/>
  <c r="E45" i="47"/>
  <c r="F31" i="3" s="1"/>
  <c r="G45" i="47"/>
  <c r="G43" i="47"/>
  <c r="E52" i="47"/>
  <c r="F38" i="3" s="1"/>
  <c r="E42" i="47"/>
  <c r="F28" i="3" s="1"/>
  <c r="G44" i="47"/>
  <c r="G52" i="47"/>
  <c r="E43" i="47"/>
  <c r="F29" i="3" s="1"/>
  <c r="E44" i="47"/>
  <c r="F30" i="3" s="1"/>
  <c r="B4" i="104" l="1"/>
  <c r="C4" i="76"/>
  <c r="C19" i="70"/>
  <c r="E19" i="70" s="1"/>
  <c r="C9" i="3"/>
  <c r="E53" i="47"/>
  <c r="G42" i="47"/>
  <c r="G53" i="47" s="1"/>
  <c r="F53" i="47"/>
  <c r="C8" i="150" s="1"/>
  <c r="C24" i="70" l="1"/>
  <c r="C40" i="148" s="1"/>
  <c r="E24" i="70" l="1"/>
  <c r="C25" i="70"/>
  <c r="E30" i="11"/>
  <c r="E27" i="11"/>
  <c r="E23" i="11"/>
  <c r="E15" i="11"/>
  <c r="E14" i="11"/>
  <c r="F11" i="11"/>
  <c r="E11" i="11"/>
  <c r="D9" i="40"/>
  <c r="D8" i="40"/>
  <c r="D7" i="40"/>
  <c r="D40" i="40"/>
  <c r="D43" i="40" s="1"/>
  <c r="D37" i="40"/>
  <c r="D36" i="40"/>
  <c r="D31" i="40"/>
  <c r="D30" i="40"/>
  <c r="D29" i="40"/>
  <c r="D28" i="40"/>
  <c r="D27" i="40"/>
  <c r="D25" i="40"/>
  <c r="D24" i="40"/>
  <c r="D23" i="40"/>
  <c r="D21" i="40"/>
  <c r="D20" i="40"/>
  <c r="D18" i="40"/>
  <c r="D17" i="40"/>
  <c r="D16" i="40"/>
  <c r="D15" i="40"/>
  <c r="D14" i="40"/>
  <c r="D13" i="40"/>
  <c r="D12" i="40"/>
  <c r="D11" i="40"/>
  <c r="AS8" i="41"/>
  <c r="AT8" i="41" s="1"/>
  <c r="C10" i="9"/>
  <c r="C4" i="9" s="1"/>
  <c r="C7" i="18"/>
  <c r="C8" i="38"/>
  <c r="N8" i="37"/>
  <c r="H8" i="37"/>
  <c r="C17" i="37"/>
  <c r="L13" i="36"/>
  <c r="T13" i="36"/>
  <c r="M22" i="36"/>
  <c r="F13" i="36"/>
  <c r="P23" i="35"/>
  <c r="N14" i="35"/>
  <c r="G23" i="35"/>
  <c r="J14" i="35"/>
  <c r="O14" i="35" s="1"/>
  <c r="S16" i="34"/>
  <c r="S13" i="34"/>
  <c r="C22" i="34"/>
  <c r="F13" i="34"/>
  <c r="H13" i="34" s="1"/>
  <c r="L9" i="33"/>
  <c r="F9" i="33"/>
  <c r="C6" i="30"/>
  <c r="C5" i="30"/>
  <c r="E22" i="29"/>
  <c r="D22" i="29"/>
  <c r="C6" i="29"/>
  <c r="C8" i="29" s="1"/>
  <c r="C10" i="29" s="1"/>
  <c r="F26" i="28"/>
  <c r="M6" i="28"/>
  <c r="F8" i="28"/>
  <c r="D48" i="27"/>
  <c r="D50" i="27" s="1"/>
  <c r="D55" i="27" s="1"/>
  <c r="D40" i="27"/>
  <c r="D33" i="27"/>
  <c r="D28" i="27"/>
  <c r="D24" i="27"/>
  <c r="D21" i="27"/>
  <c r="D12" i="27"/>
  <c r="D8" i="27"/>
  <c r="N17" i="26"/>
  <c r="O17" i="26" s="1"/>
  <c r="Q17" i="26" s="1"/>
  <c r="K17" i="26"/>
  <c r="E43" i="23"/>
  <c r="F39" i="23"/>
  <c r="E39" i="23"/>
  <c r="E30" i="23"/>
  <c r="F25" i="23"/>
  <c r="E25" i="23"/>
  <c r="F20" i="23"/>
  <c r="F5" i="23" s="1"/>
  <c r="E20" i="23"/>
  <c r="H6" i="21"/>
  <c r="E6" i="21"/>
  <c r="I6" i="21" s="1"/>
  <c r="C13" i="20"/>
  <c r="G6" i="20"/>
  <c r="H6" i="20" s="1"/>
  <c r="C5" i="20"/>
  <c r="L51" i="19"/>
  <c r="D42" i="19"/>
  <c r="L41" i="19"/>
  <c r="J40" i="19"/>
  <c r="K32" i="19"/>
  <c r="D32" i="19"/>
  <c r="H29" i="19"/>
  <c r="E29" i="19"/>
  <c r="D29" i="19"/>
  <c r="L20" i="19"/>
  <c r="J20" i="19"/>
  <c r="J19" i="19"/>
  <c r="L13" i="19"/>
  <c r="K12" i="19"/>
  <c r="D12" i="19"/>
  <c r="C12" i="18"/>
  <c r="G5" i="18"/>
  <c r="D7" i="18"/>
  <c r="F6" i="18"/>
  <c r="G32" i="153" s="1"/>
  <c r="C6" i="17"/>
  <c r="H17" i="16"/>
  <c r="G16" i="16"/>
  <c r="H16" i="16" s="1"/>
  <c r="G15" i="16"/>
  <c r="H15" i="16" s="1"/>
  <c r="H14" i="16"/>
  <c r="G12" i="16"/>
  <c r="H12" i="16" s="1"/>
  <c r="H11" i="16"/>
  <c r="G10" i="16"/>
  <c r="I10" i="16" s="1"/>
  <c r="I9" i="16" s="1"/>
  <c r="G8" i="16"/>
  <c r="G7" i="16"/>
  <c r="H7" i="16" s="1"/>
  <c r="H6" i="16"/>
  <c r="F9" i="16"/>
  <c r="F18" i="16" s="1"/>
  <c r="C9" i="16"/>
  <c r="K9" i="14"/>
  <c r="E9" i="14"/>
  <c r="C18" i="14"/>
  <c r="H19" i="13"/>
  <c r="H8" i="13"/>
  <c r="D15" i="13"/>
  <c r="C15" i="13"/>
  <c r="C11" i="13"/>
  <c r="C7" i="13"/>
  <c r="D34" i="12"/>
  <c r="D32" i="12" s="1"/>
  <c r="D29" i="12"/>
  <c r="D6" i="12"/>
  <c r="C32" i="12"/>
  <c r="C25" i="12" s="1"/>
  <c r="C15" i="12"/>
  <c r="C5" i="12"/>
  <c r="F45" i="11"/>
  <c r="E45" i="11"/>
  <c r="F39" i="11"/>
  <c r="E39" i="11"/>
  <c r="F37" i="11"/>
  <c r="E37" i="11"/>
  <c r="F34" i="11"/>
  <c r="E34" i="11"/>
  <c r="E31" i="11"/>
  <c r="F30" i="11"/>
  <c r="F26" i="11"/>
  <c r="E26" i="11"/>
  <c r="E25" i="11"/>
  <c r="E24" i="11"/>
  <c r="E22" i="11"/>
  <c r="F15" i="11"/>
  <c r="F14" i="11"/>
  <c r="H31" i="10"/>
  <c r="G31" i="10"/>
  <c r="D9" i="4" s="1"/>
  <c r="F31" i="10"/>
  <c r="E31" i="10"/>
  <c r="D8" i="4" s="1"/>
  <c r="D31" i="10"/>
  <c r="C31" i="10"/>
  <c r="C13" i="9"/>
  <c r="C21" i="9"/>
  <c r="C27" i="9"/>
  <c r="C6" i="8"/>
  <c r="C14" i="8"/>
  <c r="C18" i="8"/>
  <c r="C29" i="8"/>
  <c r="C28" i="8" s="1"/>
  <c r="C36" i="8"/>
  <c r="C5" i="7"/>
  <c r="C12" i="7"/>
  <c r="C19" i="7"/>
  <c r="D15" i="4" s="1"/>
  <c r="C38" i="6"/>
  <c r="C6" i="6"/>
  <c r="C13" i="6"/>
  <c r="C22" i="6"/>
  <c r="C21" i="6" s="1"/>
  <c r="C30" i="6"/>
  <c r="C5" i="5"/>
  <c r="C12" i="5"/>
  <c r="C19" i="5"/>
  <c r="D14" i="4" s="1"/>
  <c r="AS13" i="41"/>
  <c r="AT13" i="41" s="1"/>
  <c r="AS12" i="41"/>
  <c r="AT12" i="41" s="1"/>
  <c r="AS11" i="41"/>
  <c r="AT11" i="41" s="1"/>
  <c r="AS10" i="41"/>
  <c r="AT10" i="41" s="1"/>
  <c r="AS9" i="41"/>
  <c r="AT9" i="41" s="1"/>
  <c r="C19" i="29"/>
  <c r="D39" i="4"/>
  <c r="G46" i="154" s="1"/>
  <c r="M15" i="33"/>
  <c r="D30" i="4" s="1"/>
  <c r="G37" i="154" s="1"/>
  <c r="G18" i="39"/>
  <c r="F24" i="39"/>
  <c r="E24" i="39"/>
  <c r="D24" i="39"/>
  <c r="G10" i="39" s="1"/>
  <c r="G23" i="39"/>
  <c r="G22" i="39"/>
  <c r="G21" i="39"/>
  <c r="G20" i="39"/>
  <c r="G19" i="39"/>
  <c r="G17" i="39"/>
  <c r="G16" i="39"/>
  <c r="G15" i="39"/>
  <c r="G14" i="39"/>
  <c r="G13" i="39"/>
  <c r="G12" i="39"/>
  <c r="G11" i="39"/>
  <c r="R16" i="37"/>
  <c r="M17" i="37"/>
  <c r="L17" i="37"/>
  <c r="K17" i="37"/>
  <c r="J17" i="37"/>
  <c r="I17" i="37"/>
  <c r="G17" i="37"/>
  <c r="F17" i="37"/>
  <c r="E17" i="37"/>
  <c r="D17" i="37"/>
  <c r="Q16" i="37"/>
  <c r="P16" i="37"/>
  <c r="O16" i="37"/>
  <c r="N16" i="37"/>
  <c r="H16" i="37"/>
  <c r="R15" i="37"/>
  <c r="Q15" i="37"/>
  <c r="P15" i="37"/>
  <c r="O15" i="37"/>
  <c r="N15" i="37"/>
  <c r="H15" i="37"/>
  <c r="R14" i="37"/>
  <c r="Q14" i="37"/>
  <c r="P14" i="37"/>
  <c r="O14" i="37"/>
  <c r="N14" i="37"/>
  <c r="H14" i="37"/>
  <c r="S17" i="37"/>
  <c r="R13" i="37"/>
  <c r="Q13" i="37"/>
  <c r="P13" i="37"/>
  <c r="O13" i="37"/>
  <c r="N13" i="37"/>
  <c r="H13" i="37"/>
  <c r="R12" i="37"/>
  <c r="Q12" i="37"/>
  <c r="P12" i="37"/>
  <c r="O12" i="37"/>
  <c r="N12" i="37"/>
  <c r="H12" i="37"/>
  <c r="R11" i="37"/>
  <c r="Q11" i="37"/>
  <c r="P11" i="37"/>
  <c r="O11" i="37"/>
  <c r="N11" i="37"/>
  <c r="H11" i="37"/>
  <c r="R10" i="37"/>
  <c r="Q10" i="37"/>
  <c r="P10" i="37"/>
  <c r="O10" i="37"/>
  <c r="N10" i="37"/>
  <c r="H10" i="37"/>
  <c r="R9" i="37"/>
  <c r="Q9" i="37"/>
  <c r="P9" i="37"/>
  <c r="O9" i="37"/>
  <c r="N9" i="37"/>
  <c r="H9" i="37"/>
  <c r="R8" i="37"/>
  <c r="Q8" i="37"/>
  <c r="P8" i="37"/>
  <c r="O8" i="37"/>
  <c r="S22" i="36"/>
  <c r="R22" i="36"/>
  <c r="Q22" i="36"/>
  <c r="P22" i="36"/>
  <c r="O22" i="36"/>
  <c r="N22" i="36"/>
  <c r="K22" i="36"/>
  <c r="J22" i="36"/>
  <c r="I22" i="36"/>
  <c r="H22" i="36"/>
  <c r="G22" i="36"/>
  <c r="E22" i="36"/>
  <c r="D22" i="36"/>
  <c r="C22" i="36"/>
  <c r="T21" i="36"/>
  <c r="L21" i="36"/>
  <c r="F21" i="36"/>
  <c r="T20" i="36"/>
  <c r="L20" i="36"/>
  <c r="F20" i="36"/>
  <c r="T19" i="36"/>
  <c r="L19" i="36"/>
  <c r="F19" i="36"/>
  <c r="T18" i="36"/>
  <c r="L18" i="36"/>
  <c r="F18" i="36"/>
  <c r="T17" i="36"/>
  <c r="L17" i="36"/>
  <c r="F17" i="36"/>
  <c r="T16" i="36"/>
  <c r="L16" i="36"/>
  <c r="F16" i="36"/>
  <c r="T15" i="36"/>
  <c r="L15" i="36"/>
  <c r="F15" i="36"/>
  <c r="T14" i="36"/>
  <c r="L14" i="36"/>
  <c r="F14" i="36"/>
  <c r="R23" i="35"/>
  <c r="Q23" i="35"/>
  <c r="M23" i="35"/>
  <c r="L23" i="35"/>
  <c r="K23" i="35"/>
  <c r="I23" i="35"/>
  <c r="H23" i="35"/>
  <c r="F23" i="35"/>
  <c r="E23" i="35"/>
  <c r="D23" i="35"/>
  <c r="C23" i="35"/>
  <c r="N22" i="35"/>
  <c r="J22" i="35"/>
  <c r="O22" i="35" s="1"/>
  <c r="S22" i="35" s="1"/>
  <c r="N21" i="35"/>
  <c r="J21" i="35"/>
  <c r="O21" i="35" s="1"/>
  <c r="S21" i="35" s="1"/>
  <c r="N20" i="35"/>
  <c r="J20" i="35"/>
  <c r="O20" i="35" s="1"/>
  <c r="S20" i="35" s="1"/>
  <c r="N19" i="35"/>
  <c r="J19" i="35"/>
  <c r="O19" i="35" s="1"/>
  <c r="S19" i="35" s="1"/>
  <c r="N18" i="35"/>
  <c r="J18" i="35"/>
  <c r="O18" i="35" s="1"/>
  <c r="S18" i="35" s="1"/>
  <c r="N17" i="35"/>
  <c r="J17" i="35"/>
  <c r="O17" i="35" s="1"/>
  <c r="S17" i="35" s="1"/>
  <c r="N16" i="35"/>
  <c r="J16" i="35"/>
  <c r="O16" i="35" s="1"/>
  <c r="S16" i="35" s="1"/>
  <c r="N15" i="35"/>
  <c r="J15" i="35"/>
  <c r="O15" i="35" s="1"/>
  <c r="S15" i="35" s="1"/>
  <c r="R22" i="34"/>
  <c r="Q22" i="34"/>
  <c r="P22" i="34"/>
  <c r="L22" i="34"/>
  <c r="I22" i="34"/>
  <c r="G22" i="34"/>
  <c r="S21" i="34"/>
  <c r="M21" i="34"/>
  <c r="S20" i="34"/>
  <c r="M20" i="34"/>
  <c r="N20" i="34" s="1"/>
  <c r="S19" i="34"/>
  <c r="M19" i="34"/>
  <c r="F19" i="34"/>
  <c r="H19" i="34" s="1"/>
  <c r="J19" i="34" s="1"/>
  <c r="S18" i="34"/>
  <c r="M18" i="34"/>
  <c r="F18" i="34"/>
  <c r="H18" i="34" s="1"/>
  <c r="J18" i="34" s="1"/>
  <c r="S17" i="34"/>
  <c r="M17" i="34"/>
  <c r="M16" i="34"/>
  <c r="N16" i="34" s="1"/>
  <c r="T16" i="34"/>
  <c r="F16" i="34"/>
  <c r="H16" i="34" s="1"/>
  <c r="J16" i="34" s="1"/>
  <c r="S15" i="34"/>
  <c r="M15" i="34"/>
  <c r="F15" i="34"/>
  <c r="H15" i="34" s="1"/>
  <c r="J15" i="34" s="1"/>
  <c r="S14" i="34"/>
  <c r="K22" i="34"/>
  <c r="M14" i="34"/>
  <c r="M13" i="34"/>
  <c r="N13" i="34" s="1"/>
  <c r="F14" i="33"/>
  <c r="N14" i="33" s="1"/>
  <c r="L13" i="33"/>
  <c r="F13" i="33"/>
  <c r="L12" i="33"/>
  <c r="F12" i="33"/>
  <c r="L11" i="33"/>
  <c r="F11" i="33"/>
  <c r="L10" i="33"/>
  <c r="F10" i="33"/>
  <c r="G30" i="31"/>
  <c r="G22" i="31" s="1"/>
  <c r="H30" i="31"/>
  <c r="H22" i="31" s="1"/>
  <c r="F30" i="31"/>
  <c r="F22" i="31" s="1"/>
  <c r="G34" i="31"/>
  <c r="G31" i="31" s="1"/>
  <c r="H34" i="31"/>
  <c r="H31" i="31" s="1"/>
  <c r="F34" i="31"/>
  <c r="F31" i="31" s="1"/>
  <c r="C34" i="30"/>
  <c r="C7" i="30"/>
  <c r="C16" i="29"/>
  <c r="C18" i="29" s="1"/>
  <c r="C20" i="29" s="1"/>
  <c r="C15" i="29"/>
  <c r="D8" i="29"/>
  <c r="E8" i="29"/>
  <c r="M18" i="28"/>
  <c r="M19" i="28"/>
  <c r="M21" i="28"/>
  <c r="M22" i="28"/>
  <c r="M24" i="28"/>
  <c r="M25" i="28"/>
  <c r="M17" i="28"/>
  <c r="M7" i="28"/>
  <c r="M9" i="28"/>
  <c r="M10" i="28"/>
  <c r="M12" i="28"/>
  <c r="M13" i="28"/>
  <c r="G26" i="28"/>
  <c r="H26" i="28"/>
  <c r="I26" i="28"/>
  <c r="J26" i="28"/>
  <c r="K26" i="28"/>
  <c r="L26" i="28"/>
  <c r="G23" i="28"/>
  <c r="H23" i="28"/>
  <c r="I23" i="28"/>
  <c r="J23" i="28"/>
  <c r="K23" i="28"/>
  <c r="M23" i="28" s="1"/>
  <c r="L23" i="28"/>
  <c r="F23" i="28"/>
  <c r="G20" i="28"/>
  <c r="H20" i="28"/>
  <c r="I20" i="28"/>
  <c r="J20" i="28"/>
  <c r="K20" i="28"/>
  <c r="L20" i="28"/>
  <c r="F20" i="28"/>
  <c r="G17" i="28"/>
  <c r="H17" i="28"/>
  <c r="I17" i="28"/>
  <c r="J17" i="28"/>
  <c r="F17" i="28"/>
  <c r="G14" i="28"/>
  <c r="H14" i="28"/>
  <c r="I14" i="28"/>
  <c r="J14" i="28"/>
  <c r="K14" i="28"/>
  <c r="M14" i="28" s="1"/>
  <c r="F14" i="28"/>
  <c r="G11" i="28"/>
  <c r="H11" i="28"/>
  <c r="I11" i="28"/>
  <c r="J11" i="28"/>
  <c r="K11" i="28"/>
  <c r="L11" i="28"/>
  <c r="F11" i="28"/>
  <c r="G8" i="28"/>
  <c r="H8" i="28"/>
  <c r="I8" i="28"/>
  <c r="J8" i="28"/>
  <c r="K8" i="28"/>
  <c r="L8" i="28"/>
  <c r="C8" i="25"/>
  <c r="C7" i="25"/>
  <c r="N23" i="26"/>
  <c r="O23" i="26" s="1"/>
  <c r="Q23" i="26" s="1"/>
  <c r="R23" i="26" s="1"/>
  <c r="K23" i="26"/>
  <c r="N22" i="26"/>
  <c r="O22" i="26" s="1"/>
  <c r="Q22" i="26" s="1"/>
  <c r="K22" i="26"/>
  <c r="N21" i="26"/>
  <c r="O21" i="26" s="1"/>
  <c r="Q21" i="26" s="1"/>
  <c r="K21" i="26"/>
  <c r="N20" i="26"/>
  <c r="O20" i="26" s="1"/>
  <c r="Q20" i="26" s="1"/>
  <c r="K20" i="26"/>
  <c r="N19" i="26"/>
  <c r="O19" i="26" s="1"/>
  <c r="Q19" i="26" s="1"/>
  <c r="K19" i="26"/>
  <c r="N18" i="26"/>
  <c r="O18" i="26" s="1"/>
  <c r="Q18" i="26" s="1"/>
  <c r="K18" i="26"/>
  <c r="C22" i="25"/>
  <c r="C20" i="25" s="1"/>
  <c r="F43" i="23"/>
  <c r="G17" i="23"/>
  <c r="G18" i="23"/>
  <c r="G19" i="23"/>
  <c r="G21" i="23"/>
  <c r="G22" i="23"/>
  <c r="G23" i="23"/>
  <c r="G24" i="23"/>
  <c r="G26" i="23"/>
  <c r="G27" i="23"/>
  <c r="G28" i="23"/>
  <c r="G29" i="23"/>
  <c r="G31" i="23"/>
  <c r="G32" i="23"/>
  <c r="G33" i="23"/>
  <c r="G34" i="23"/>
  <c r="G36" i="23"/>
  <c r="G37" i="23"/>
  <c r="G38" i="23"/>
  <c r="G40" i="23"/>
  <c r="G41" i="23"/>
  <c r="G42" i="23"/>
  <c r="G44" i="23"/>
  <c r="G45" i="23"/>
  <c r="G46" i="23"/>
  <c r="G6" i="23"/>
  <c r="G7" i="23"/>
  <c r="G8" i="23"/>
  <c r="G9" i="23"/>
  <c r="G10" i="23"/>
  <c r="G11" i="23"/>
  <c r="G12" i="23"/>
  <c r="G13" i="23"/>
  <c r="G14" i="23"/>
  <c r="G15" i="23"/>
  <c r="G16" i="23"/>
  <c r="F35" i="23"/>
  <c r="E35" i="23"/>
  <c r="F30" i="23"/>
  <c r="G30" i="23" s="1"/>
  <c r="C21" i="22"/>
  <c r="C13" i="22"/>
  <c r="C12" i="22" s="1"/>
  <c r="C5" i="22"/>
  <c r="C4" i="22" s="1"/>
  <c r="H7" i="21"/>
  <c r="H8" i="21"/>
  <c r="H9" i="21"/>
  <c r="H10" i="21"/>
  <c r="H11" i="21"/>
  <c r="H12" i="21"/>
  <c r="H14" i="21"/>
  <c r="H15" i="21"/>
  <c r="H16" i="21"/>
  <c r="H17" i="21"/>
  <c r="H18" i="21"/>
  <c r="H19" i="21"/>
  <c r="H20" i="21"/>
  <c r="E7" i="21"/>
  <c r="E8" i="21"/>
  <c r="E9" i="21"/>
  <c r="E10" i="21"/>
  <c r="E11" i="21"/>
  <c r="E12" i="21"/>
  <c r="E14" i="21"/>
  <c r="E15" i="21"/>
  <c r="E16" i="21"/>
  <c r="E17" i="21"/>
  <c r="E18" i="21"/>
  <c r="E19" i="21"/>
  <c r="E20" i="21"/>
  <c r="D13" i="21"/>
  <c r="D21" i="21" s="1"/>
  <c r="F13" i="21"/>
  <c r="G13" i="21"/>
  <c r="G21" i="21" s="1"/>
  <c r="C13" i="21"/>
  <c r="C21" i="21" s="1"/>
  <c r="G7" i="20"/>
  <c r="H7" i="20" s="1"/>
  <c r="G8" i="20"/>
  <c r="H8" i="20" s="1"/>
  <c r="G9" i="20"/>
  <c r="H9" i="20" s="1"/>
  <c r="G10" i="20"/>
  <c r="H10" i="20" s="1"/>
  <c r="G11" i="20"/>
  <c r="H11" i="20" s="1"/>
  <c r="G12" i="20"/>
  <c r="H12" i="20" s="1"/>
  <c r="D13" i="20"/>
  <c r="E13" i="20"/>
  <c r="D5" i="20"/>
  <c r="E5" i="20"/>
  <c r="F5" i="20"/>
  <c r="G17" i="20"/>
  <c r="H17" i="20" s="1"/>
  <c r="G16" i="20"/>
  <c r="H16" i="20" s="1"/>
  <c r="G15" i="20"/>
  <c r="H15" i="20" s="1"/>
  <c r="F13" i="20"/>
  <c r="F18" i="20" s="1"/>
  <c r="L44" i="19"/>
  <c r="L45" i="19"/>
  <c r="L46" i="19"/>
  <c r="L47" i="19"/>
  <c r="L48" i="19"/>
  <c r="L49" i="19"/>
  <c r="L43" i="19"/>
  <c r="L34" i="19"/>
  <c r="L35" i="19"/>
  <c r="L36" i="19"/>
  <c r="L37" i="19"/>
  <c r="L38" i="19"/>
  <c r="L39" i="19"/>
  <c r="L33" i="19"/>
  <c r="L31" i="19"/>
  <c r="L30" i="19"/>
  <c r="L23" i="19"/>
  <c r="L24" i="19"/>
  <c r="L25" i="19"/>
  <c r="L26" i="19"/>
  <c r="L27" i="19"/>
  <c r="L28" i="19"/>
  <c r="L22" i="19"/>
  <c r="L14" i="19"/>
  <c r="L15" i="19"/>
  <c r="L16" i="19"/>
  <c r="L17" i="19"/>
  <c r="L18" i="19"/>
  <c r="J23" i="19"/>
  <c r="J24" i="19"/>
  <c r="J25" i="19"/>
  <c r="J26" i="19"/>
  <c r="J27" i="19"/>
  <c r="J28" i="19"/>
  <c r="J22" i="19"/>
  <c r="K42" i="19"/>
  <c r="E42" i="19"/>
  <c r="F42" i="19"/>
  <c r="G42" i="19"/>
  <c r="H42" i="19"/>
  <c r="E32" i="19"/>
  <c r="F32" i="19"/>
  <c r="G32" i="19"/>
  <c r="H32" i="19"/>
  <c r="K29" i="19"/>
  <c r="F29" i="19"/>
  <c r="G29" i="19"/>
  <c r="E21" i="19"/>
  <c r="F21" i="19"/>
  <c r="G21" i="19"/>
  <c r="H21" i="19"/>
  <c r="I21" i="19"/>
  <c r="I50" i="19" s="1"/>
  <c r="K21" i="19"/>
  <c r="D21" i="19"/>
  <c r="E12" i="19"/>
  <c r="E50" i="19" s="1"/>
  <c r="F12" i="19"/>
  <c r="G12" i="19"/>
  <c r="H12" i="19"/>
  <c r="G9" i="16"/>
  <c r="I17" i="16"/>
  <c r="H13" i="16"/>
  <c r="C18" i="16"/>
  <c r="N13" i="15"/>
  <c r="N12" i="15"/>
  <c r="N11" i="15"/>
  <c r="N10" i="15"/>
  <c r="N8" i="15"/>
  <c r="F22" i="11"/>
  <c r="N9" i="15"/>
  <c r="I18" i="14"/>
  <c r="H18" i="14"/>
  <c r="G18" i="14"/>
  <c r="F18" i="14"/>
  <c r="D18" i="14"/>
  <c r="K17" i="14"/>
  <c r="J17" i="14"/>
  <c r="E17" i="14"/>
  <c r="K16" i="14"/>
  <c r="J16" i="14"/>
  <c r="E16" i="14"/>
  <c r="K15" i="14"/>
  <c r="J15" i="14"/>
  <c r="E15" i="14"/>
  <c r="K14" i="14"/>
  <c r="J14" i="14"/>
  <c r="E14" i="14"/>
  <c r="K13" i="14"/>
  <c r="L13" i="14" s="1"/>
  <c r="J13" i="14"/>
  <c r="E13" i="14"/>
  <c r="K12" i="14"/>
  <c r="J12" i="14"/>
  <c r="E12" i="14"/>
  <c r="K11" i="14"/>
  <c r="J11" i="14"/>
  <c r="E11" i="14"/>
  <c r="K10" i="14"/>
  <c r="J10" i="14"/>
  <c r="E10" i="14"/>
  <c r="J9" i="14"/>
  <c r="H18" i="13"/>
  <c r="H17" i="13"/>
  <c r="H16" i="13"/>
  <c r="G15" i="13"/>
  <c r="F15" i="13"/>
  <c r="E15" i="13"/>
  <c r="H14" i="13"/>
  <c r="H13" i="13"/>
  <c r="H12" i="13"/>
  <c r="G11" i="13"/>
  <c r="F11" i="13"/>
  <c r="E11" i="13"/>
  <c r="D11" i="13"/>
  <c r="H10" i="13"/>
  <c r="H9" i="13"/>
  <c r="G7" i="13"/>
  <c r="F7" i="13"/>
  <c r="E7" i="13"/>
  <c r="D7" i="13"/>
  <c r="D24" i="12"/>
  <c r="D23" i="12"/>
  <c r="D22" i="12"/>
  <c r="D21" i="12"/>
  <c r="D20" i="12"/>
  <c r="D19" i="12"/>
  <c r="D18" i="12"/>
  <c r="D17" i="12"/>
  <c r="D16" i="12"/>
  <c r="D14" i="12"/>
  <c r="D13" i="12"/>
  <c r="D12" i="12"/>
  <c r="D11" i="12"/>
  <c r="D10" i="12"/>
  <c r="D9" i="12"/>
  <c r="D8" i="12"/>
  <c r="D7" i="12"/>
  <c r="M8" i="28"/>
  <c r="P17" i="37"/>
  <c r="F20" i="34"/>
  <c r="H20" i="34" s="1"/>
  <c r="J20" i="34" s="1"/>
  <c r="F21" i="34"/>
  <c r="H21" i="34" s="1"/>
  <c r="J21" i="34" s="1"/>
  <c r="F14" i="34"/>
  <c r="F17" i="34"/>
  <c r="H17" i="34" s="1"/>
  <c r="J17" i="34" s="1"/>
  <c r="N15" i="34"/>
  <c r="N18" i="34"/>
  <c r="T18" i="34"/>
  <c r="N21" i="34"/>
  <c r="O22" i="34"/>
  <c r="E22" i="34"/>
  <c r="G14" i="20"/>
  <c r="H14" i="20" s="1"/>
  <c r="D22" i="34"/>
  <c r="G13" i="20"/>
  <c r="H13" i="20" s="1"/>
  <c r="T13" i="34"/>
  <c r="N17" i="37"/>
  <c r="N14" i="34"/>
  <c r="T14" i="34"/>
  <c r="H10" i="16"/>
  <c r="S14" i="35"/>
  <c r="J13" i="34"/>
  <c r="T16" i="37" l="1"/>
  <c r="G35" i="2"/>
  <c r="G34" i="2"/>
  <c r="D12" i="18"/>
  <c r="I12" i="21"/>
  <c r="I8" i="21"/>
  <c r="L27" i="28"/>
  <c r="T21" i="34"/>
  <c r="R17" i="37"/>
  <c r="D22" i="40"/>
  <c r="D26" i="40"/>
  <c r="D6" i="40"/>
  <c r="H50" i="19"/>
  <c r="D36" i="11" s="1"/>
  <c r="G50" i="19"/>
  <c r="L15" i="14"/>
  <c r="J18" i="14"/>
  <c r="D19" i="40"/>
  <c r="R22" i="26"/>
  <c r="D50" i="19"/>
  <c r="G39" i="23"/>
  <c r="G10" i="2"/>
  <c r="L14" i="14"/>
  <c r="M14" i="14" s="1"/>
  <c r="I20" i="21"/>
  <c r="I16" i="21"/>
  <c r="I11" i="21"/>
  <c r="I7" i="21"/>
  <c r="N11" i="33"/>
  <c r="T22" i="36"/>
  <c r="T9" i="37"/>
  <c r="T10" i="37"/>
  <c r="T11" i="37"/>
  <c r="L9" i="14"/>
  <c r="M9" i="14" s="1"/>
  <c r="G20" i="13"/>
  <c r="H15" i="13"/>
  <c r="C4" i="7"/>
  <c r="G8" i="2" s="1"/>
  <c r="D41" i="11"/>
  <c r="G69" i="153"/>
  <c r="L12" i="14"/>
  <c r="F61" i="153"/>
  <c r="C36" i="11"/>
  <c r="C27" i="22"/>
  <c r="R21" i="26"/>
  <c r="M20" i="28"/>
  <c r="G26" i="153"/>
  <c r="D17" i="11"/>
  <c r="E29" i="11"/>
  <c r="H44" i="153"/>
  <c r="I18" i="16"/>
  <c r="T20" i="34"/>
  <c r="M11" i="28"/>
  <c r="L11" i="14"/>
  <c r="M11" i="14" s="1"/>
  <c r="L16" i="14"/>
  <c r="M16" i="14" s="1"/>
  <c r="F27" i="153"/>
  <c r="C18" i="11"/>
  <c r="G61" i="153"/>
  <c r="I19" i="21"/>
  <c r="I15" i="21"/>
  <c r="I10" i="21"/>
  <c r="M26" i="28"/>
  <c r="H21" i="31"/>
  <c r="Q17" i="37"/>
  <c r="F30" i="153"/>
  <c r="C21" i="11"/>
  <c r="L17" i="14"/>
  <c r="R20" i="26"/>
  <c r="M12" i="14"/>
  <c r="E18" i="20"/>
  <c r="I18" i="21"/>
  <c r="I14" i="21"/>
  <c r="C20" i="22"/>
  <c r="G23" i="2" s="1"/>
  <c r="G35" i="23"/>
  <c r="R19" i="26"/>
  <c r="N10" i="33"/>
  <c r="H48" i="153"/>
  <c r="J48" i="153" s="1"/>
  <c r="K48" i="153" s="1"/>
  <c r="E32" i="11"/>
  <c r="G72" i="153"/>
  <c r="D44" i="11"/>
  <c r="F10" i="153"/>
  <c r="C8" i="11"/>
  <c r="F13" i="11"/>
  <c r="I15" i="153"/>
  <c r="D7" i="27"/>
  <c r="D43" i="27" s="1"/>
  <c r="G28" i="2" s="1"/>
  <c r="D10" i="40"/>
  <c r="H15" i="153"/>
  <c r="E13" i="11"/>
  <c r="G21" i="31"/>
  <c r="O17" i="37"/>
  <c r="C5" i="8"/>
  <c r="C4" i="8" s="1"/>
  <c r="G9" i="2" s="1"/>
  <c r="D7" i="4"/>
  <c r="G11" i="2"/>
  <c r="G8" i="153"/>
  <c r="D6" i="11"/>
  <c r="J19" i="91"/>
  <c r="J20" i="91" s="1"/>
  <c r="M15" i="14"/>
  <c r="O23" i="35"/>
  <c r="D17" i="4" s="1"/>
  <c r="G24" i="154" s="1"/>
  <c r="D15" i="12"/>
  <c r="E20" i="13"/>
  <c r="M13" i="14"/>
  <c r="F50" i="19"/>
  <c r="J21" i="19"/>
  <c r="J50" i="19" s="1"/>
  <c r="L42" i="19"/>
  <c r="G5" i="20"/>
  <c r="G18" i="20" s="1"/>
  <c r="D18" i="20"/>
  <c r="I9" i="21"/>
  <c r="K27" i="28"/>
  <c r="G27" i="28"/>
  <c r="N13" i="33"/>
  <c r="T15" i="34"/>
  <c r="J23" i="35"/>
  <c r="N23" i="35"/>
  <c r="T8" i="37"/>
  <c r="T12" i="37"/>
  <c r="T15" i="37"/>
  <c r="C4" i="5"/>
  <c r="E16" i="124" s="1"/>
  <c r="E24" i="32" s="1"/>
  <c r="G43" i="23"/>
  <c r="F21" i="31"/>
  <c r="L22" i="36"/>
  <c r="K50" i="19"/>
  <c r="D20" i="13"/>
  <c r="M17" i="14"/>
  <c r="L21" i="19"/>
  <c r="I27" i="28"/>
  <c r="T14" i="37"/>
  <c r="H17" i="37"/>
  <c r="C18" i="20"/>
  <c r="F20" i="13"/>
  <c r="G16" i="2"/>
  <c r="I17" i="21"/>
  <c r="T13" i="37"/>
  <c r="D25" i="12"/>
  <c r="C20" i="13"/>
  <c r="S22" i="34"/>
  <c r="N17" i="34"/>
  <c r="M22" i="34"/>
  <c r="T17" i="34"/>
  <c r="D54" i="27"/>
  <c r="C29" i="115" s="1"/>
  <c r="S23" i="35"/>
  <c r="K18" i="14"/>
  <c r="G10" i="153" s="1"/>
  <c r="L10" i="14"/>
  <c r="L32" i="19"/>
  <c r="E13" i="21"/>
  <c r="E21" i="21" s="1"/>
  <c r="H27" i="28"/>
  <c r="N12" i="33"/>
  <c r="C5" i="6"/>
  <c r="C4" i="6" s="1"/>
  <c r="G7" i="2" s="1"/>
  <c r="G20" i="23"/>
  <c r="E5" i="23"/>
  <c r="F27" i="28"/>
  <c r="F22" i="36"/>
  <c r="G37" i="2" s="1"/>
  <c r="R18" i="26"/>
  <c r="H9" i="16"/>
  <c r="F47" i="23"/>
  <c r="R17" i="26"/>
  <c r="F22" i="34"/>
  <c r="H14" i="34"/>
  <c r="J14" i="34" s="1"/>
  <c r="J22" i="34" s="1"/>
  <c r="D32" i="4" s="1"/>
  <c r="H11" i="13"/>
  <c r="H7" i="13"/>
  <c r="L12" i="19"/>
  <c r="L29" i="19"/>
  <c r="F21" i="21"/>
  <c r="F69" i="153" s="1"/>
  <c r="H13" i="21"/>
  <c r="H21" i="21" s="1"/>
  <c r="J27" i="28"/>
  <c r="T19" i="34"/>
  <c r="N19" i="34"/>
  <c r="D5" i="12"/>
  <c r="E18" i="14"/>
  <c r="G18" i="16"/>
  <c r="G25" i="23"/>
  <c r="D38" i="40"/>
  <c r="D39" i="40" s="1"/>
  <c r="H8" i="16"/>
  <c r="I10" i="153" l="1"/>
  <c r="D5" i="4"/>
  <c r="D9" i="2"/>
  <c r="C9" i="2"/>
  <c r="D23" i="2"/>
  <c r="C23" i="2"/>
  <c r="C8" i="2"/>
  <c r="D8" i="2"/>
  <c r="C34" i="2"/>
  <c r="D34" i="2"/>
  <c r="D16" i="2"/>
  <c r="C16" i="2"/>
  <c r="C28" i="2"/>
  <c r="D28" i="2"/>
  <c r="D35" i="2"/>
  <c r="C35" i="2"/>
  <c r="D37" i="2"/>
  <c r="C37" i="2"/>
  <c r="C7" i="2"/>
  <c r="D7" i="2"/>
  <c r="C28" i="115"/>
  <c r="C29" i="25"/>
  <c r="C28" i="25" s="1"/>
  <c r="G36" i="2"/>
  <c r="M27" i="28"/>
  <c r="G29" i="2" s="1"/>
  <c r="C10" i="2"/>
  <c r="D10" i="2"/>
  <c r="D11" i="2"/>
  <c r="C11" i="2"/>
  <c r="H5" i="20"/>
  <c r="H18" i="20" s="1"/>
  <c r="C5" i="130"/>
  <c r="G39" i="154"/>
  <c r="N22" i="34"/>
  <c r="T17" i="37"/>
  <c r="G38" i="2" s="1"/>
  <c r="H18" i="16"/>
  <c r="F18" i="11" s="1"/>
  <c r="H20" i="13"/>
  <c r="G14" i="2" s="1"/>
  <c r="G13" i="2"/>
  <c r="G6" i="2"/>
  <c r="D4" i="4"/>
  <c r="H9" i="153"/>
  <c r="E7" i="11"/>
  <c r="G27" i="153"/>
  <c r="D18" i="11"/>
  <c r="I63" i="153"/>
  <c r="E38" i="11"/>
  <c r="H63" i="153"/>
  <c r="F38" i="11"/>
  <c r="G63" i="153"/>
  <c r="D38" i="11"/>
  <c r="G17" i="2"/>
  <c r="I72" i="153"/>
  <c r="H72" i="153"/>
  <c r="F44" i="11"/>
  <c r="E44" i="11"/>
  <c r="J15" i="153"/>
  <c r="K15" i="153" s="1"/>
  <c r="I14" i="153"/>
  <c r="F12" i="11" s="1"/>
  <c r="H14" i="153"/>
  <c r="E12" i="11" s="1"/>
  <c r="C41" i="11"/>
  <c r="D8" i="11"/>
  <c r="F8" i="11" s="1"/>
  <c r="H43" i="153"/>
  <c r="E28" i="11" s="1"/>
  <c r="J44" i="153"/>
  <c r="K44" i="153" s="1"/>
  <c r="D43" i="11"/>
  <c r="G71" i="153"/>
  <c r="G9" i="153"/>
  <c r="D7" i="11"/>
  <c r="F7" i="11" s="1"/>
  <c r="H8" i="153"/>
  <c r="E6" i="11"/>
  <c r="G21" i="2"/>
  <c r="F63" i="153"/>
  <c r="C38" i="11"/>
  <c r="F9" i="153"/>
  <c r="C7" i="11"/>
  <c r="I26" i="153"/>
  <c r="F17" i="11"/>
  <c r="J29" i="97"/>
  <c r="J21" i="91"/>
  <c r="H70" i="153"/>
  <c r="F42" i="11"/>
  <c r="I70" i="153"/>
  <c r="I80" i="153" s="1"/>
  <c r="E42" i="11"/>
  <c r="I13" i="21"/>
  <c r="I21" i="21" s="1"/>
  <c r="E41" i="11" s="1"/>
  <c r="T22" i="34"/>
  <c r="D33" i="4" s="1"/>
  <c r="G5" i="23"/>
  <c r="G47" i="23" s="1"/>
  <c r="E47" i="23"/>
  <c r="L50" i="19"/>
  <c r="R24" i="26"/>
  <c r="C6" i="115" s="1"/>
  <c r="C4" i="115" s="1"/>
  <c r="C34" i="115" s="1"/>
  <c r="M10" i="14"/>
  <c r="M18" i="14" s="1"/>
  <c r="L18" i="14"/>
  <c r="H22" i="34"/>
  <c r="D29" i="2" l="1"/>
  <c r="C29" i="2"/>
  <c r="C38" i="2"/>
  <c r="D38" i="2"/>
  <c r="D21" i="2"/>
  <c r="C21" i="2"/>
  <c r="C13" i="2"/>
  <c r="D13" i="2"/>
  <c r="D14" i="2"/>
  <c r="C14" i="2"/>
  <c r="C36" i="2"/>
  <c r="D36" i="2"/>
  <c r="C6" i="2"/>
  <c r="D6" i="2"/>
  <c r="D17" i="2"/>
  <c r="C17" i="2"/>
  <c r="D13" i="4"/>
  <c r="D16" i="4" s="1"/>
  <c r="E11" i="18" s="1"/>
  <c r="H27" i="153"/>
  <c r="E18" i="11"/>
  <c r="C6" i="130"/>
  <c r="C6" i="38" s="1"/>
  <c r="G40" i="154"/>
  <c r="C5" i="38"/>
  <c r="I27" i="153"/>
  <c r="J30" i="97"/>
  <c r="J31" i="97" s="1"/>
  <c r="D40" i="97" s="1"/>
  <c r="C7" i="17"/>
  <c r="C9" i="17" s="1"/>
  <c r="G24" i="2"/>
  <c r="C43" i="11"/>
  <c r="F71" i="153"/>
  <c r="J70" i="153"/>
  <c r="K70" i="153" s="1"/>
  <c r="H80" i="153"/>
  <c r="J26" i="153"/>
  <c r="K26" i="153" s="1"/>
  <c r="J8" i="153"/>
  <c r="I61" i="153"/>
  <c r="I68" i="153" s="1"/>
  <c r="F36" i="11"/>
  <c r="H61" i="153"/>
  <c r="E36" i="11"/>
  <c r="F41" i="11"/>
  <c r="J22" i="91"/>
  <c r="J63" i="153"/>
  <c r="K63" i="153" s="1"/>
  <c r="G15" i="2"/>
  <c r="H10" i="153"/>
  <c r="J10" i="153" s="1"/>
  <c r="K10" i="153" s="1"/>
  <c r="E8" i="11"/>
  <c r="E5" i="11" s="1"/>
  <c r="I9" i="153"/>
  <c r="I25" i="153" s="1"/>
  <c r="J72" i="153"/>
  <c r="K72" i="153" s="1"/>
  <c r="G20" i="2"/>
  <c r="C6" i="25"/>
  <c r="C4" i="25" s="1"/>
  <c r="C34" i="25" s="1"/>
  <c r="G27" i="2"/>
  <c r="G22" i="2"/>
  <c r="F5" i="11"/>
  <c r="E43" i="11"/>
  <c r="F43" i="11"/>
  <c r="J32" i="97" l="1"/>
  <c r="J35" i="97" s="1"/>
  <c r="D42" i="97" s="1"/>
  <c r="C24" i="2"/>
  <c r="D24" i="2"/>
  <c r="C22" i="2"/>
  <c r="D22" i="2"/>
  <c r="C20" i="2"/>
  <c r="D20" i="2"/>
  <c r="D27" i="2"/>
  <c r="C27" i="2"/>
  <c r="C15" i="2"/>
  <c r="D15" i="2"/>
  <c r="G23" i="154"/>
  <c r="J27" i="153"/>
  <c r="D20" i="98"/>
  <c r="H20" i="98" s="1"/>
  <c r="J20" i="98" s="1"/>
  <c r="G11" i="18" s="1"/>
  <c r="H36" i="153" s="1"/>
  <c r="J36" i="153" s="1"/>
  <c r="B18" i="101"/>
  <c r="C19" i="38"/>
  <c r="C22" i="130"/>
  <c r="H8" i="18"/>
  <c r="G33" i="153" s="1"/>
  <c r="I33" i="153" s="1"/>
  <c r="J33" i="153" s="1"/>
  <c r="K33" i="153" s="1"/>
  <c r="F11" i="18"/>
  <c r="J9" i="153"/>
  <c r="K9" i="153" s="1"/>
  <c r="C12" i="17"/>
  <c r="C10" i="17"/>
  <c r="C8" i="103" s="1"/>
  <c r="C10" i="103" s="1"/>
  <c r="E7" i="18"/>
  <c r="G28" i="153"/>
  <c r="J23" i="91"/>
  <c r="H68" i="153"/>
  <c r="J61" i="153"/>
  <c r="K8" i="153"/>
  <c r="K12" i="153"/>
  <c r="K11" i="153"/>
  <c r="D20" i="4"/>
  <c r="G27" i="154" s="1"/>
  <c r="G26" i="2"/>
  <c r="H25" i="153"/>
  <c r="F35" i="11"/>
  <c r="E40" i="11"/>
  <c r="E35" i="11"/>
  <c r="F40" i="11"/>
  <c r="F38" i="97" l="1"/>
  <c r="C16" i="17"/>
  <c r="I8" i="103" s="1"/>
  <c r="I10" i="103" s="1"/>
  <c r="F8" i="103"/>
  <c r="F10" i="103" s="1"/>
  <c r="K27" i="153"/>
  <c r="C26" i="2"/>
  <c r="D26" i="2"/>
  <c r="G7" i="18"/>
  <c r="G12" i="18" s="1"/>
  <c r="E21" i="11" s="1"/>
  <c r="G23" i="98"/>
  <c r="D26" i="98"/>
  <c r="H9" i="18"/>
  <c r="G34" i="153" s="1"/>
  <c r="I34" i="153" s="1"/>
  <c r="J34" i="153" s="1"/>
  <c r="G36" i="153"/>
  <c r="I11" i="18"/>
  <c r="F7" i="18"/>
  <c r="F12" i="18" s="1"/>
  <c r="E12" i="18"/>
  <c r="C18" i="17"/>
  <c r="F20" i="11"/>
  <c r="H28" i="153"/>
  <c r="D19" i="11"/>
  <c r="E26" i="91"/>
  <c r="C29" i="91"/>
  <c r="E20" i="11" l="1"/>
  <c r="H29" i="153"/>
  <c r="J29" i="153" s="1"/>
  <c r="K29" i="153" s="1"/>
  <c r="I29" i="153"/>
  <c r="G18" i="2"/>
  <c r="C18" i="2" s="1"/>
  <c r="H10" i="18"/>
  <c r="G35" i="153" s="1"/>
  <c r="I35" i="153" s="1"/>
  <c r="J35" i="153" s="1"/>
  <c r="H30" i="153"/>
  <c r="H60" i="153" s="1"/>
  <c r="H95" i="153" s="1"/>
  <c r="G30" i="153"/>
  <c r="D21" i="11"/>
  <c r="I9" i="18"/>
  <c r="J28" i="153"/>
  <c r="E19" i="11"/>
  <c r="D18" i="2" l="1"/>
  <c r="K28" i="153"/>
  <c r="I10" i="18"/>
  <c r="I7" i="18" s="1"/>
  <c r="I12" i="18" s="1"/>
  <c r="E16" i="11"/>
  <c r="E49" i="11" s="1"/>
  <c r="D18" i="4" s="1"/>
  <c r="G25" i="154" s="1"/>
  <c r="H7" i="18" l="1"/>
  <c r="H12" i="18" s="1"/>
  <c r="C33" i="50"/>
  <c r="C35" i="50" s="1"/>
  <c r="D33" i="50"/>
  <c r="D35" i="50" s="1"/>
  <c r="I30" i="153" l="1"/>
  <c r="F21" i="11"/>
  <c r="F16" i="11" s="1"/>
  <c r="F49" i="11" s="1"/>
  <c r="D19" i="4" s="1"/>
  <c r="G19" i="2"/>
  <c r="K6" i="50"/>
  <c r="M6" i="50" s="1"/>
  <c r="K8" i="50"/>
  <c r="M8" i="50" s="1"/>
  <c r="M10" i="50" s="1"/>
  <c r="L9" i="50"/>
  <c r="M9" i="50" s="1"/>
  <c r="D19" i="2" l="1"/>
  <c r="C19" i="2"/>
  <c r="H5" i="3"/>
  <c r="G4" i="122"/>
  <c r="F21" i="4"/>
  <c r="D21" i="4" s="1"/>
  <c r="G26" i="154"/>
  <c r="J30" i="153"/>
  <c r="K46" i="153" s="1"/>
  <c r="I60" i="153"/>
  <c r="I95" i="153" s="1"/>
  <c r="A34" i="50"/>
  <c r="K36" i="153" l="1"/>
  <c r="K51" i="153"/>
  <c r="A1" i="4"/>
  <c r="D3" i="77"/>
  <c r="E3" i="77" s="1"/>
  <c r="K31" i="153"/>
  <c r="K34" i="153"/>
  <c r="K35" i="153"/>
  <c r="D22" i="4"/>
  <c r="G28" i="154"/>
  <c r="K30" i="153"/>
  <c r="K38" i="153"/>
  <c r="K61" i="153"/>
  <c r="E23" i="150" l="1"/>
  <c r="C23" i="150"/>
  <c r="B23" i="150"/>
  <c r="A23" i="150"/>
  <c r="E80" i="150"/>
  <c r="C80" i="150"/>
  <c r="B80" i="150"/>
  <c r="A80" i="150"/>
  <c r="F3" i="77"/>
  <c r="H3" i="77"/>
  <c r="F24" i="47" s="1"/>
  <c r="G3" i="77"/>
  <c r="C18" i="101"/>
  <c r="E18" i="101" s="1"/>
  <c r="G18" i="101" s="1"/>
  <c r="D22" i="74"/>
  <c r="D23" i="4"/>
  <c r="G29" i="154"/>
  <c r="C109" i="150"/>
  <c r="A116" i="150"/>
  <c r="A29" i="150"/>
  <c r="A42" i="150"/>
  <c r="C33" i="150"/>
  <c r="E104" i="150"/>
  <c r="H104" i="150" s="1"/>
  <c r="A94" i="150"/>
  <c r="B100" i="150"/>
  <c r="A107" i="150"/>
  <c r="A51" i="150"/>
  <c r="E49" i="150"/>
  <c r="H49" i="150" s="1"/>
  <c r="E93" i="150"/>
  <c r="H93" i="150" s="1"/>
  <c r="E106" i="150"/>
  <c r="H106" i="150" s="1"/>
  <c r="E119" i="150"/>
  <c r="H119" i="150" s="1"/>
  <c r="C40" i="150"/>
  <c r="B63" i="150"/>
  <c r="A27" i="150"/>
  <c r="B55" i="150"/>
  <c r="E91" i="150"/>
  <c r="H91" i="150" s="1"/>
  <c r="B65" i="150"/>
  <c r="E117" i="150"/>
  <c r="H117" i="150" s="1"/>
  <c r="C91" i="150"/>
  <c r="C104" i="150"/>
  <c r="C64" i="150"/>
  <c r="C34" i="150"/>
  <c r="A35" i="150"/>
  <c r="E86" i="150"/>
  <c r="H86" i="150" s="1"/>
  <c r="E99" i="150"/>
  <c r="H99" i="150" s="1"/>
  <c r="B73" i="150"/>
  <c r="A55" i="150"/>
  <c r="C117" i="150"/>
  <c r="A24" i="150"/>
  <c r="A37" i="150"/>
  <c r="A50" i="150"/>
  <c r="C41" i="150"/>
  <c r="C89" i="150"/>
  <c r="A106" i="150"/>
  <c r="C94" i="150"/>
  <c r="C107" i="150"/>
  <c r="A81" i="150"/>
  <c r="E27" i="150"/>
  <c r="H27" i="150" s="1"/>
  <c r="C50" i="150"/>
  <c r="E89" i="150"/>
  <c r="H89" i="150" s="1"/>
  <c r="E102" i="150"/>
  <c r="H102" i="150" s="1"/>
  <c r="E115" i="150"/>
  <c r="H115" i="150" s="1"/>
  <c r="C36" i="150"/>
  <c r="B59" i="150"/>
  <c r="B87" i="150"/>
  <c r="A40" i="150"/>
  <c r="A53" i="150"/>
  <c r="A66" i="150"/>
  <c r="C57" i="150"/>
  <c r="C105" i="150"/>
  <c r="A114" i="150"/>
  <c r="A25" i="150"/>
  <c r="A38" i="150"/>
  <c r="C29" i="150"/>
  <c r="B38" i="150"/>
  <c r="E85" i="150"/>
  <c r="H85" i="150" s="1"/>
  <c r="E98" i="150"/>
  <c r="H98" i="150" s="1"/>
  <c r="E111" i="150"/>
  <c r="H111" i="150" s="1"/>
  <c r="C32" i="150"/>
  <c r="B50" i="150"/>
  <c r="A118" i="150"/>
  <c r="B60" i="150"/>
  <c r="E35" i="150"/>
  <c r="H35" i="150" s="1"/>
  <c r="B96" i="150"/>
  <c r="E39" i="150"/>
  <c r="H39" i="150" s="1"/>
  <c r="B68" i="150"/>
  <c r="C43" i="150"/>
  <c r="B64" i="150"/>
  <c r="C39" i="150"/>
  <c r="B44" i="150"/>
  <c r="A104" i="150"/>
  <c r="E96" i="150"/>
  <c r="H96" i="150" s="1"/>
  <c r="E107" i="150"/>
  <c r="H107" i="150" s="1"/>
  <c r="C61" i="150"/>
  <c r="C71" i="150"/>
  <c r="E26" i="150"/>
  <c r="H26" i="150" s="1"/>
  <c r="C51" i="150"/>
  <c r="C52" i="150"/>
  <c r="A69" i="150"/>
  <c r="A28" i="150"/>
  <c r="A54" i="150"/>
  <c r="B107" i="150"/>
  <c r="B27" i="150"/>
  <c r="B40" i="150"/>
  <c r="B53" i="150"/>
  <c r="E44" i="150"/>
  <c r="H44" i="150" s="1"/>
  <c r="B85" i="150"/>
  <c r="A36" i="150"/>
  <c r="A49" i="150"/>
  <c r="A62" i="150"/>
  <c r="C53" i="150"/>
  <c r="B76" i="150"/>
  <c r="C118" i="150"/>
  <c r="B86" i="150"/>
  <c r="A93" i="150"/>
  <c r="E51" i="150"/>
  <c r="H51" i="150" s="1"/>
  <c r="C74" i="150"/>
  <c r="C90" i="150"/>
  <c r="C103" i="150"/>
  <c r="C116" i="150"/>
  <c r="E100" i="150"/>
  <c r="H100" i="150" s="1"/>
  <c r="A92" i="150"/>
  <c r="B98" i="150"/>
  <c r="A105" i="150"/>
  <c r="E75" i="150"/>
  <c r="H75" i="150" s="1"/>
  <c r="E45" i="150"/>
  <c r="H45" i="150" s="1"/>
  <c r="C98" i="150"/>
  <c r="C111" i="150"/>
  <c r="A83" i="150"/>
  <c r="E31" i="150"/>
  <c r="H31" i="150" s="1"/>
  <c r="C54" i="150"/>
  <c r="B111" i="150"/>
  <c r="B35" i="150"/>
  <c r="B48" i="150"/>
  <c r="A63" i="150"/>
  <c r="E52" i="150"/>
  <c r="H52" i="150" s="1"/>
  <c r="B97" i="150"/>
  <c r="E116" i="150"/>
  <c r="H116" i="150" s="1"/>
  <c r="A100" i="150"/>
  <c r="B106" i="150"/>
  <c r="A113" i="150"/>
  <c r="B46" i="150"/>
  <c r="E61" i="150"/>
  <c r="H61" i="150" s="1"/>
  <c r="C114" i="150"/>
  <c r="B84" i="150"/>
  <c r="A91" i="150"/>
  <c r="E47" i="150"/>
  <c r="H47" i="150" s="1"/>
  <c r="C70" i="150"/>
  <c r="B119" i="150"/>
  <c r="B51" i="150"/>
  <c r="E87" i="150"/>
  <c r="H87" i="150" s="1"/>
  <c r="B61" i="150"/>
  <c r="E68" i="150"/>
  <c r="H68" i="150" s="1"/>
  <c r="B105" i="150"/>
  <c r="A76" i="150"/>
  <c r="B36" i="150"/>
  <c r="B49" i="150"/>
  <c r="E40" i="150"/>
  <c r="H40" i="150" s="1"/>
  <c r="B72" i="150"/>
  <c r="C110" i="150"/>
  <c r="B82" i="150"/>
  <c r="A89" i="150"/>
  <c r="E43" i="150"/>
  <c r="H43" i="150" s="1"/>
  <c r="C66" i="150"/>
  <c r="A33" i="150"/>
  <c r="C102" i="150"/>
  <c r="C58" i="150"/>
  <c r="B52" i="150"/>
  <c r="C45" i="150"/>
  <c r="C55" i="150"/>
  <c r="C63" i="150"/>
  <c r="A73" i="150"/>
  <c r="E58" i="150"/>
  <c r="H58" i="150" s="1"/>
  <c r="A47" i="150"/>
  <c r="B110" i="150"/>
  <c r="A90" i="150"/>
  <c r="A119" i="150"/>
  <c r="B34" i="150"/>
  <c r="A75" i="150"/>
  <c r="E101" i="150"/>
  <c r="H101" i="150" s="1"/>
  <c r="E114" i="150"/>
  <c r="H114" i="150" s="1"/>
  <c r="C88" i="150"/>
  <c r="C48" i="150"/>
  <c r="B71" i="150"/>
  <c r="B117" i="150"/>
  <c r="B47" i="150"/>
  <c r="E83" i="150"/>
  <c r="H83" i="150" s="1"/>
  <c r="B57" i="150"/>
  <c r="E64" i="150"/>
  <c r="H64" i="150" s="1"/>
  <c r="C101" i="150"/>
  <c r="A112" i="150"/>
  <c r="B118" i="150"/>
  <c r="A34" i="150"/>
  <c r="C25" i="150"/>
  <c r="E112" i="150"/>
  <c r="H112" i="150" s="1"/>
  <c r="A98" i="150"/>
  <c r="B104" i="150"/>
  <c r="A111" i="150"/>
  <c r="B83" i="150"/>
  <c r="A32" i="150"/>
  <c r="A45" i="150"/>
  <c r="A58" i="150"/>
  <c r="C49" i="150"/>
  <c r="C81" i="150"/>
  <c r="A102" i="150"/>
  <c r="B108" i="150"/>
  <c r="A115" i="150"/>
  <c r="B58" i="150"/>
  <c r="E65" i="150"/>
  <c r="H65" i="150" s="1"/>
  <c r="E109" i="150"/>
  <c r="H109" i="150" s="1"/>
  <c r="C83" i="150"/>
  <c r="C96" i="150"/>
  <c r="C56" i="150"/>
  <c r="C26" i="150"/>
  <c r="E81" i="150"/>
  <c r="B91" i="150"/>
  <c r="A48" i="150"/>
  <c r="A61" i="150"/>
  <c r="A74" i="150"/>
  <c r="C65" i="150"/>
  <c r="C97" i="150"/>
  <c r="A110" i="150"/>
  <c r="B116" i="150"/>
  <c r="A30" i="150"/>
  <c r="B74" i="150"/>
  <c r="A59" i="150"/>
  <c r="C86" i="150"/>
  <c r="C99" i="150"/>
  <c r="C112" i="150"/>
  <c r="C72" i="150"/>
  <c r="C42" i="150"/>
  <c r="E97" i="150"/>
  <c r="H97" i="150" s="1"/>
  <c r="E110" i="150"/>
  <c r="H110" i="150" s="1"/>
  <c r="C84" i="150"/>
  <c r="C44" i="150"/>
  <c r="B67" i="150"/>
  <c r="C93" i="150"/>
  <c r="A108" i="150"/>
  <c r="B114" i="150"/>
  <c r="A26" i="150"/>
  <c r="B70" i="150"/>
  <c r="E88" i="150"/>
  <c r="H88" i="150" s="1"/>
  <c r="A46" i="150"/>
  <c r="C115" i="150"/>
  <c r="E113" i="150"/>
  <c r="H113" i="150" s="1"/>
  <c r="A103" i="150"/>
  <c r="E72" i="150"/>
  <c r="H72" i="150" s="1"/>
  <c r="E66" i="150"/>
  <c r="H66" i="150" s="1"/>
  <c r="E74" i="150"/>
  <c r="H74" i="150" s="1"/>
  <c r="C76" i="150"/>
  <c r="B109" i="150"/>
  <c r="E48" i="150"/>
  <c r="H48" i="150" s="1"/>
  <c r="A117" i="150"/>
  <c r="E94" i="150"/>
  <c r="H94" i="150" s="1"/>
  <c r="C28" i="150"/>
  <c r="E41" i="150"/>
  <c r="H41" i="150" s="1"/>
  <c r="E38" i="150"/>
  <c r="H38" i="150" s="1"/>
  <c r="E30" i="150"/>
  <c r="H30" i="150" s="1"/>
  <c r="E118" i="150"/>
  <c r="H118" i="150" s="1"/>
  <c r="B95" i="150"/>
  <c r="C73" i="150"/>
  <c r="A41" i="150"/>
  <c r="E84" i="150"/>
  <c r="H84" i="150" s="1"/>
  <c r="A84" i="150"/>
  <c r="B90" i="150"/>
  <c r="A97" i="150"/>
  <c r="E59" i="150"/>
  <c r="H59" i="150" s="1"/>
  <c r="E29" i="150"/>
  <c r="H29" i="150" s="1"/>
  <c r="C82" i="150"/>
  <c r="C95" i="150"/>
  <c r="C108" i="150"/>
  <c r="C68" i="150"/>
  <c r="C38" i="150"/>
  <c r="B103" i="150"/>
  <c r="A72" i="150"/>
  <c r="B32" i="150"/>
  <c r="B45" i="150"/>
  <c r="E36" i="150"/>
  <c r="H36" i="150" s="1"/>
  <c r="B89" i="150"/>
  <c r="A44" i="150"/>
  <c r="A57" i="150"/>
  <c r="A70" i="150"/>
  <c r="B115" i="150"/>
  <c r="B43" i="150"/>
  <c r="B56" i="150"/>
  <c r="B42" i="150"/>
  <c r="E60" i="150"/>
  <c r="H60" i="150" s="1"/>
  <c r="B93" i="150"/>
  <c r="A52" i="150"/>
  <c r="A65" i="150"/>
  <c r="B25" i="150"/>
  <c r="C69" i="150"/>
  <c r="E92" i="150"/>
  <c r="H92" i="150" s="1"/>
  <c r="A88" i="150"/>
  <c r="B94" i="150"/>
  <c r="A101" i="150"/>
  <c r="E67" i="150"/>
  <c r="H67" i="150" s="1"/>
  <c r="E37" i="150"/>
  <c r="H37" i="150" s="1"/>
  <c r="C106" i="150"/>
  <c r="A31" i="150"/>
  <c r="E82" i="150"/>
  <c r="H82" i="150" s="1"/>
  <c r="E95" i="150"/>
  <c r="H95" i="150" s="1"/>
  <c r="B69" i="150"/>
  <c r="E76" i="150"/>
  <c r="H76" i="150" s="1"/>
  <c r="B101" i="150"/>
  <c r="A68" i="150"/>
  <c r="B28" i="150"/>
  <c r="B41" i="150"/>
  <c r="E32" i="150"/>
  <c r="H32" i="150" s="1"/>
  <c r="E108" i="150"/>
  <c r="H108" i="150" s="1"/>
  <c r="A96" i="150"/>
  <c r="B102" i="150"/>
  <c r="A109" i="150"/>
  <c r="A67" i="150"/>
  <c r="E53" i="150"/>
  <c r="H53" i="150" s="1"/>
  <c r="A82" i="150"/>
  <c r="B88" i="150"/>
  <c r="A95" i="150"/>
  <c r="E55" i="150"/>
  <c r="H55" i="150" s="1"/>
  <c r="E25" i="150"/>
  <c r="H25" i="150" s="1"/>
  <c r="B99" i="150"/>
  <c r="A64" i="150"/>
  <c r="B24" i="150"/>
  <c r="B37" i="150"/>
  <c r="E28" i="150"/>
  <c r="H28" i="150" s="1"/>
  <c r="C113" i="150"/>
  <c r="C37" i="150"/>
  <c r="A85" i="150"/>
  <c r="B39" i="150"/>
  <c r="B26" i="150"/>
  <c r="C62" i="150"/>
  <c r="C75" i="150"/>
  <c r="C67" i="150"/>
  <c r="E56" i="150"/>
  <c r="H56" i="150" s="1"/>
  <c r="B31" i="150"/>
  <c r="C85" i="150"/>
  <c r="B62" i="150"/>
  <c r="B112" i="150"/>
  <c r="E71" i="150"/>
  <c r="H71" i="150" s="1"/>
  <c r="C35" i="150"/>
  <c r="B54" i="150"/>
  <c r="C59" i="150"/>
  <c r="C92" i="150"/>
  <c r="A56" i="150"/>
  <c r="E69" i="150"/>
  <c r="H69" i="150" s="1"/>
  <c r="B81" i="150"/>
  <c r="B30" i="150"/>
  <c r="A43" i="150"/>
  <c r="C31" i="150"/>
  <c r="A87" i="150"/>
  <c r="A86" i="150"/>
  <c r="E33" i="150"/>
  <c r="H33" i="150" s="1"/>
  <c r="C24" i="150"/>
  <c r="E62" i="150"/>
  <c r="H62" i="150" s="1"/>
  <c r="E105" i="150"/>
  <c r="H105" i="150" s="1"/>
  <c r="C87" i="150"/>
  <c r="E24" i="150"/>
  <c r="E34" i="150"/>
  <c r="H34" i="150" s="1"/>
  <c r="E42" i="150"/>
  <c r="H42" i="150" s="1"/>
  <c r="C46" i="150"/>
  <c r="B92" i="150"/>
  <c r="A39" i="150"/>
  <c r="A71" i="150"/>
  <c r="B66" i="150"/>
  <c r="B75" i="150"/>
  <c r="C100" i="150"/>
  <c r="C30" i="150"/>
  <c r="C27" i="150"/>
  <c r="E46" i="150"/>
  <c r="H46" i="150" s="1"/>
  <c r="E50" i="150"/>
  <c r="H50" i="150" s="1"/>
  <c r="A99" i="150"/>
  <c r="E90" i="150"/>
  <c r="H90" i="150" s="1"/>
  <c r="B113" i="150"/>
  <c r="E73" i="150"/>
  <c r="H73" i="150" s="1"/>
  <c r="B29" i="150"/>
  <c r="C60" i="150"/>
  <c r="E57" i="150"/>
  <c r="H57" i="150" s="1"/>
  <c r="E54" i="150"/>
  <c r="H54" i="150" s="1"/>
  <c r="A60" i="150"/>
  <c r="C47" i="150"/>
  <c r="E63" i="150"/>
  <c r="H63" i="150" s="1"/>
  <c r="E103" i="150"/>
  <c r="H103" i="150" s="1"/>
  <c r="C119" i="150"/>
  <c r="E70" i="150"/>
  <c r="H70" i="150" s="1"/>
  <c r="B33" i="150"/>
  <c r="H22" i="150" l="1"/>
  <c r="H23" i="150"/>
  <c r="H77" i="150"/>
  <c r="H120" i="150"/>
  <c r="H80" i="150"/>
  <c r="H79" i="150"/>
  <c r="E4" i="74"/>
  <c r="A15" i="76"/>
  <c r="L9" i="24"/>
  <c r="M9" i="24" s="1"/>
  <c r="L12" i="24"/>
  <c r="M12" i="24" s="1"/>
  <c r="D13" i="24"/>
  <c r="F13" i="24" s="1"/>
  <c r="M13" i="24" s="1"/>
  <c r="G30" i="154"/>
  <c r="H24" i="150"/>
  <c r="A21" i="150"/>
  <c r="H81" i="150"/>
  <c r="A78" i="150"/>
  <c r="C39" i="122" l="1"/>
  <c r="C4" i="30"/>
  <c r="C39" i="30" s="1"/>
  <c r="D29" i="4" l="1"/>
  <c r="G36" i="154" s="1"/>
  <c r="G31" i="2"/>
  <c r="N11" i="125"/>
  <c r="N13" i="125" s="1"/>
  <c r="N16" i="33" s="1"/>
  <c r="M12" i="125"/>
  <c r="C31" i="2" l="1"/>
  <c r="D31" i="2"/>
  <c r="K8" i="24"/>
  <c r="L8" i="24" s="1"/>
  <c r="L11" i="24" s="1"/>
  <c r="M11" i="24" s="1"/>
  <c r="K10" i="24"/>
  <c r="K9" i="24"/>
  <c r="L13" i="24" l="1"/>
  <c r="D24" i="4" s="1"/>
  <c r="C11" i="121" s="1"/>
  <c r="M14" i="24"/>
  <c r="C11" i="29" l="1"/>
  <c r="C13" i="29" s="1"/>
  <c r="G31" i="154"/>
  <c r="C13" i="121"/>
  <c r="C12" i="121"/>
  <c r="C22" i="121" s="1"/>
  <c r="C12" i="29" l="1"/>
  <c r="C22" i="29" l="1"/>
  <c r="D25" i="4" s="1"/>
  <c r="G32" i="154" s="1"/>
  <c r="D26" i="4" l="1"/>
  <c r="D23" i="74" s="1"/>
  <c r="G30" i="2"/>
  <c r="C30" i="2" s="1"/>
  <c r="D30" i="2" l="1"/>
  <c r="D28" i="4"/>
  <c r="G35" i="154" s="1"/>
  <c r="G5" i="122"/>
  <c r="G6" i="122" s="1"/>
  <c r="G33" i="154"/>
  <c r="D14" i="33" l="1"/>
  <c r="D11" i="125"/>
  <c r="D31" i="4"/>
  <c r="G38" i="154" s="1"/>
  <c r="C4" i="130"/>
  <c r="D34" i="4" l="1"/>
  <c r="C4" i="38"/>
  <c r="C7" i="130"/>
  <c r="C14" i="130" s="1"/>
  <c r="D8" i="130" l="1"/>
  <c r="D15" i="140"/>
  <c r="D36" i="4"/>
  <c r="G43" i="154" s="1"/>
  <c r="G41" i="154"/>
  <c r="C7" i="38"/>
  <c r="C14" i="38" s="1"/>
  <c r="A7" i="131" s="1"/>
  <c r="C18" i="130"/>
  <c r="C16" i="130"/>
  <c r="C20" i="130"/>
  <c r="F15" i="140" l="1"/>
  <c r="F25" i="140" s="1"/>
  <c r="D25" i="140"/>
  <c r="D24" i="74"/>
  <c r="C15" i="38"/>
  <c r="D37" i="4" s="1"/>
  <c r="C16" i="38"/>
  <c r="D38" i="4" s="1"/>
  <c r="D18" i="130" s="1"/>
  <c r="A7" i="39"/>
  <c r="C17" i="38"/>
  <c r="G39" i="2"/>
  <c r="C39" i="2" s="1"/>
  <c r="D16" i="130"/>
  <c r="C23" i="130"/>
  <c r="F7" i="131"/>
  <c r="D7" i="39" s="1"/>
  <c r="D7" i="131"/>
  <c r="C7" i="39" s="1"/>
  <c r="C23" i="148" l="1"/>
  <c r="C27" i="140"/>
  <c r="G26" i="140"/>
  <c r="G45" i="154"/>
  <c r="C20" i="38"/>
  <c r="D39" i="2"/>
  <c r="H7" i="131"/>
  <c r="G44" i="154"/>
  <c r="E16" i="130"/>
  <c r="H13" i="131" l="1"/>
  <c r="H14" i="131"/>
  <c r="H18" i="131"/>
  <c r="G7" i="39"/>
  <c r="H21" i="131"/>
  <c r="H16" i="131"/>
  <c r="H17" i="131"/>
  <c r="H15" i="131"/>
  <c r="H23" i="131"/>
  <c r="H19" i="131"/>
  <c r="H22" i="131"/>
  <c r="H20" i="131"/>
  <c r="H11" i="131"/>
  <c r="H12" i="131"/>
  <c r="H10" i="131"/>
  <c r="H24" i="131" l="1"/>
  <c r="H14" i="39"/>
  <c r="H23" i="39"/>
  <c r="H15" i="39"/>
  <c r="H20" i="39"/>
  <c r="H13" i="39"/>
  <c r="H19" i="39"/>
  <c r="H10" i="39"/>
  <c r="H17" i="39"/>
  <c r="H12" i="39"/>
  <c r="H22" i="39"/>
  <c r="H18" i="39"/>
  <c r="H11" i="39"/>
  <c r="H16" i="39"/>
  <c r="H21" i="39"/>
  <c r="H24" i="39" l="1"/>
  <c r="G40" i="2" s="1"/>
  <c r="D40" i="2" l="1"/>
  <c r="C40" i="2"/>
</calcChain>
</file>

<file path=xl/comments1.xml><?xml version="1.0" encoding="utf-8"?>
<comments xmlns="http://schemas.openxmlformats.org/spreadsheetml/2006/main">
  <authors>
    <author>Zhang, Dorothy</author>
    <author>Cindy Wang</author>
  </authors>
  <commentList>
    <comment ref="L3" authorId="0">
      <text>
        <r>
          <rPr>
            <sz val="9"/>
            <color indexed="81"/>
            <rFont val="宋体"/>
            <family val="3"/>
            <charset val="134"/>
          </rPr>
          <t>填报第</t>
        </r>
        <r>
          <rPr>
            <sz val="9"/>
            <color indexed="81"/>
            <rFont val="Tahoma"/>
            <family val="2"/>
          </rPr>
          <t>2-5</t>
        </r>
        <r>
          <rPr>
            <sz val="9"/>
            <color indexed="81"/>
            <rFont val="宋体"/>
            <family val="3"/>
            <charset val="134"/>
          </rPr>
          <t>列的余额。</t>
        </r>
        <r>
          <rPr>
            <sz val="9"/>
            <color indexed="81"/>
            <rFont val="Tahoma"/>
            <family val="2"/>
          </rPr>
          <t xml:space="preserve">
</t>
        </r>
      </text>
    </comment>
    <comment ref="D4" authorId="1">
      <text>
        <r>
          <rPr>
            <sz val="9"/>
            <color indexed="81"/>
            <rFont val="宋体"/>
            <family val="3"/>
            <charset val="134"/>
          </rPr>
          <t>填报纳税人会计处理计提折旧、摊销的资产原值（或历史成本）的金额。</t>
        </r>
      </text>
    </comment>
    <comment ref="E4" authorId="1">
      <text>
        <r>
          <rPr>
            <sz val="9"/>
            <color indexed="81"/>
            <rFont val="宋体"/>
            <family val="3"/>
            <charset val="134"/>
          </rPr>
          <t>填报纳税人会计核算的本年资产折旧、摊销额。</t>
        </r>
      </text>
    </comment>
    <comment ref="F4" authorId="1">
      <text>
        <r>
          <rPr>
            <sz val="9"/>
            <color indexed="81"/>
            <rFont val="宋体"/>
            <family val="3"/>
            <charset val="134"/>
          </rPr>
          <t>填报纳税人会计核算的累计（含本年）资产折旧、摊销额。</t>
        </r>
      </text>
    </comment>
    <comment ref="G4" authorId="1">
      <text>
        <r>
          <rPr>
            <sz val="9"/>
            <color indexed="81"/>
            <rFont val="宋体"/>
            <family val="3"/>
            <charset val="134"/>
          </rPr>
          <t>填报纳税人按照税收规定据以计算折旧、摊销的资产原值（或历史成本）的金额。</t>
        </r>
      </text>
    </comment>
    <comment ref="H4" authorId="1">
      <text>
        <r>
          <rPr>
            <sz val="9"/>
            <color indexed="81"/>
            <rFont val="宋体"/>
            <family val="3"/>
            <charset val="134"/>
          </rPr>
          <t xml:space="preserve">填报纳税人按照税收规定计算的允许税前扣除的本年资产折旧、摊销额。
对于不征税收入形成的资产，其折旧、摊销额不得税前扣除。第4列至第8列税收金额不包含不征税收入所形成资产的折旧、摊销额。
对于第8行至第17行、第29行对应的“税收折旧额”，填报享受各种加速折旧政策的资产，当年享受加速折旧后的税法折旧额合计。本列仅填报加速后的税法折旧额大于一般折旧额月份的金额合计。即对于本年度某些月份，享受加速折旧政策的固定资产，其加速后的税法折旧额大于一般折旧额、某些月份税法折旧额小于一般折旧额的，仅填报税法折旧额大于一般折旧额月份的税法折旧额合计。
</t>
        </r>
      </text>
    </comment>
    <comment ref="I4" authorId="1">
      <text>
        <r>
          <rPr>
            <sz val="9"/>
            <color indexed="81"/>
            <rFont val="宋体"/>
            <family val="3"/>
            <charset val="134"/>
          </rPr>
          <t>仅适用于第8行至第17行、第29行，填报纳税人享受加速折旧政策的资产按照税法一般规定计算的允许税前扣除的本年资产折旧、摊销额。按照税法一般规定计算的折旧额，是指该资产在不享受加速折旧情况下，按照税收规定的最低折旧年限以直线法计算的折旧额。本列仅填报加速后的税法折旧额大于按照税法一般规定计算折旧额对应月份的金额。</t>
        </r>
      </text>
    </comment>
    <comment ref="J4" authorId="1">
      <text>
        <r>
          <rPr>
            <sz val="9"/>
            <color indexed="81"/>
            <rFont val="宋体"/>
            <family val="3"/>
            <charset val="134"/>
          </rPr>
          <t>用于统计纳税人享受各类固定资产加速折旧政策的优惠金额。</t>
        </r>
      </text>
    </comment>
    <comment ref="K4" authorId="1">
      <text>
        <r>
          <rPr>
            <sz val="9"/>
            <color indexed="81"/>
            <rFont val="宋体"/>
            <family val="3"/>
            <charset val="134"/>
          </rPr>
          <t>填报纳税人按照税收规定计算的累计（含本年）资产折旧、摊销额。</t>
        </r>
      </text>
    </comment>
  </commentList>
</comments>
</file>

<file path=xl/comments2.xml><?xml version="1.0" encoding="utf-8"?>
<comments xmlns="http://schemas.openxmlformats.org/spreadsheetml/2006/main">
  <authors>
    <author>Cindy Wang</author>
    <author>Zhang, Dorothy</author>
  </authors>
  <commentList>
    <comment ref="E3" authorId="0">
      <text>
        <r>
          <rPr>
            <sz val="9"/>
            <color indexed="81"/>
            <rFont val="宋体"/>
            <family val="3"/>
            <charset val="134"/>
          </rPr>
          <t>第1列“账载金额”填报按会计核算计入当期损益的金额。</t>
        </r>
      </text>
    </comment>
    <comment ref="F3" authorId="0">
      <text>
        <r>
          <rPr>
            <sz val="9"/>
            <color indexed="81"/>
            <rFont val="宋体"/>
            <family val="3"/>
            <charset val="134"/>
          </rPr>
          <t>第2列“税收金额”填报按税收规定允许税前扣除的金额。</t>
        </r>
      </text>
    </comment>
    <comment ref="G3" authorId="0">
      <text>
        <r>
          <rPr>
            <sz val="9"/>
            <color indexed="81"/>
            <rFont val="宋体"/>
            <family val="3"/>
            <charset val="134"/>
          </rPr>
          <t>第3列为第1-2列的余额。</t>
        </r>
      </text>
    </comment>
    <comment ref="B5" authorId="1">
      <text>
        <r>
          <rPr>
            <sz val="9"/>
            <color indexed="81"/>
            <rFont val="宋体"/>
            <family val="3"/>
            <charset val="134"/>
          </rPr>
          <t>填报第</t>
        </r>
        <r>
          <rPr>
            <sz val="9"/>
            <color indexed="81"/>
            <rFont val="Tahoma"/>
            <family val="2"/>
          </rPr>
          <t>2+13+14+15+16+19+20</t>
        </r>
        <r>
          <rPr>
            <sz val="9"/>
            <color indexed="81"/>
            <rFont val="宋体"/>
            <family val="3"/>
            <charset val="134"/>
          </rPr>
          <t>行的合计金额。</t>
        </r>
      </text>
    </comment>
    <comment ref="B6" authorId="1">
      <text>
        <r>
          <rPr>
            <sz val="9"/>
            <color indexed="81"/>
            <rFont val="宋体"/>
            <family val="3"/>
            <charset val="134"/>
          </rPr>
          <t>填报第</t>
        </r>
        <r>
          <rPr>
            <sz val="9"/>
            <color indexed="81"/>
            <rFont val="Tahoma"/>
            <family val="2"/>
          </rPr>
          <t>3+4+5+6+7+8+9+10+11+12</t>
        </r>
        <r>
          <rPr>
            <sz val="9"/>
            <color indexed="81"/>
            <rFont val="宋体"/>
            <family val="3"/>
            <charset val="134"/>
          </rPr>
          <t>行的合计金额。</t>
        </r>
      </text>
    </comment>
    <comment ref="C7" authorId="1">
      <text>
        <r>
          <rPr>
            <sz val="9"/>
            <color indexed="81"/>
            <rFont val="宋体"/>
            <family val="3"/>
            <charset val="134"/>
          </rPr>
          <t>填报保险公司非投资型财产保险业务的保险保障基金相关情况。</t>
        </r>
        <r>
          <rPr>
            <sz val="9"/>
            <color indexed="81"/>
            <rFont val="Tahoma"/>
            <family val="2"/>
          </rPr>
          <t xml:space="preserve">
</t>
        </r>
      </text>
    </comment>
    <comment ref="D8" authorId="1">
      <text>
        <r>
          <rPr>
            <sz val="9"/>
            <color indexed="81"/>
            <rFont val="宋体"/>
            <family val="3"/>
            <charset val="134"/>
          </rPr>
          <t>填报有保证收益的投资型财产保险业务的保险保障基金的纳税调整情况。</t>
        </r>
        <r>
          <rPr>
            <sz val="9"/>
            <color indexed="81"/>
            <rFont val="Tahoma"/>
            <family val="2"/>
          </rPr>
          <t xml:space="preserve">
</t>
        </r>
      </text>
    </comment>
    <comment ref="D9" authorId="1">
      <text>
        <r>
          <rPr>
            <sz val="9"/>
            <color indexed="81"/>
            <rFont val="宋体"/>
            <family val="3"/>
            <charset val="134"/>
          </rPr>
          <t>填报无保证收益的投资型财产保险业务的保险保障基金的纳税调整情况。</t>
        </r>
        <r>
          <rPr>
            <sz val="9"/>
            <color indexed="81"/>
            <rFont val="Tahoma"/>
            <family val="2"/>
          </rPr>
          <t xml:space="preserve">
</t>
        </r>
      </text>
    </comment>
    <comment ref="C10" authorId="1">
      <text>
        <r>
          <rPr>
            <sz val="9"/>
            <color indexed="81"/>
            <rFont val="宋体"/>
            <family val="3"/>
            <charset val="134"/>
          </rPr>
          <t>填报有保证收益的人寿保险业务的保险保障基金的纳税调整情况。</t>
        </r>
        <r>
          <rPr>
            <sz val="9"/>
            <color indexed="81"/>
            <rFont val="Tahoma"/>
            <family val="2"/>
          </rPr>
          <t xml:space="preserve">
</t>
        </r>
      </text>
    </comment>
    <comment ref="C11" authorId="1">
      <text>
        <r>
          <rPr>
            <sz val="9"/>
            <color indexed="81"/>
            <rFont val="宋体"/>
            <family val="3"/>
            <charset val="134"/>
          </rPr>
          <t>填报无保证收益的人寿保险业务的保险保障基金的纳税调整情况。</t>
        </r>
        <r>
          <rPr>
            <sz val="9"/>
            <color indexed="81"/>
            <rFont val="Tahoma"/>
            <family val="2"/>
          </rPr>
          <t xml:space="preserve">
</t>
        </r>
      </text>
    </comment>
    <comment ref="C12" authorId="1">
      <text>
        <r>
          <rPr>
            <sz val="9"/>
            <color indexed="81"/>
            <rFont val="宋体"/>
            <family val="3"/>
            <charset val="134"/>
          </rPr>
          <t>填报短期健康保险业务的保险保障基金的纳税调整情况。</t>
        </r>
        <r>
          <rPr>
            <sz val="9"/>
            <color indexed="81"/>
            <rFont val="Tahoma"/>
            <family val="2"/>
          </rPr>
          <t xml:space="preserve">
</t>
        </r>
      </text>
    </comment>
    <comment ref="C13" authorId="1">
      <text>
        <r>
          <rPr>
            <sz val="9"/>
            <color indexed="81"/>
            <rFont val="宋体"/>
            <family val="3"/>
            <charset val="134"/>
          </rPr>
          <t>填报长期健康保险业务的保险保障基金的纳税调整情况。</t>
        </r>
      </text>
    </comment>
    <comment ref="C14" authorId="1">
      <text>
        <r>
          <rPr>
            <sz val="9"/>
            <color indexed="81"/>
            <rFont val="宋体"/>
            <family val="3"/>
            <charset val="134"/>
          </rPr>
          <t>填报非投资型意外伤害保险业务的保险保障基金的纳税调整情况。</t>
        </r>
        <r>
          <rPr>
            <sz val="9"/>
            <color indexed="81"/>
            <rFont val="Tahoma"/>
            <family val="2"/>
          </rPr>
          <t xml:space="preserve">
</t>
        </r>
      </text>
    </comment>
    <comment ref="D15" authorId="1">
      <text>
        <r>
          <rPr>
            <sz val="9"/>
            <color indexed="81"/>
            <rFont val="宋体"/>
            <family val="3"/>
            <charset val="134"/>
          </rPr>
          <t>填报有保证收益的投资型意外伤害保险业务的保险保障基金的纳税调整情况。</t>
        </r>
        <r>
          <rPr>
            <sz val="9"/>
            <color indexed="81"/>
            <rFont val="Tahoma"/>
            <family val="2"/>
          </rPr>
          <t xml:space="preserve">
</t>
        </r>
      </text>
    </comment>
    <comment ref="D16" authorId="1">
      <text>
        <r>
          <rPr>
            <sz val="9"/>
            <color indexed="81"/>
            <rFont val="宋体"/>
            <family val="3"/>
            <charset val="134"/>
          </rPr>
          <t>填报无保证收益的投资型意外伤害保险业务的保险保障基金的纳税调整情况。</t>
        </r>
        <r>
          <rPr>
            <sz val="9"/>
            <color indexed="81"/>
            <rFont val="Tahoma"/>
            <family val="2"/>
          </rPr>
          <t xml:space="preserve">
</t>
        </r>
      </text>
    </comment>
    <comment ref="B17" authorId="1">
      <text>
        <r>
          <rPr>
            <sz val="9"/>
            <color indexed="81"/>
            <rFont val="宋体"/>
            <family val="3"/>
            <charset val="134"/>
          </rPr>
          <t>填报未到期责任准备金的纳税调整情况。</t>
        </r>
        <r>
          <rPr>
            <sz val="9"/>
            <color indexed="81"/>
            <rFont val="Tahoma"/>
            <family val="2"/>
          </rPr>
          <t xml:space="preserve">
</t>
        </r>
      </text>
    </comment>
    <comment ref="B18" authorId="1">
      <text>
        <r>
          <rPr>
            <sz val="9"/>
            <color indexed="81"/>
            <rFont val="宋体"/>
            <family val="3"/>
            <charset val="134"/>
          </rPr>
          <t>填报寿险责任准备金的纳税调整情况。</t>
        </r>
        <r>
          <rPr>
            <sz val="9"/>
            <color indexed="81"/>
            <rFont val="Tahoma"/>
            <family val="2"/>
          </rPr>
          <t xml:space="preserve">
</t>
        </r>
      </text>
    </comment>
    <comment ref="B19" authorId="1">
      <text>
        <r>
          <rPr>
            <sz val="9"/>
            <color indexed="81"/>
            <rFont val="宋体"/>
            <family val="3"/>
            <charset val="134"/>
          </rPr>
          <t>填报长期健康险责任准备金的纳税调整情况。</t>
        </r>
      </text>
    </comment>
    <comment ref="B20" authorId="1">
      <text>
        <r>
          <rPr>
            <sz val="9"/>
            <color indexed="81"/>
            <rFont val="宋体"/>
            <family val="3"/>
            <charset val="134"/>
          </rPr>
          <t>填报第</t>
        </r>
        <r>
          <rPr>
            <sz val="9"/>
            <color indexed="81"/>
            <rFont val="Tahoma"/>
            <family val="2"/>
          </rPr>
          <t>17+18</t>
        </r>
        <r>
          <rPr>
            <sz val="9"/>
            <color indexed="81"/>
            <rFont val="宋体"/>
            <family val="3"/>
            <charset val="134"/>
          </rPr>
          <t>行的合计金额。本表调整的未决赔款准备金为已发生已报案未决赔款准备金、已发生未报案未决赔款准备金，不包括理赔费用准备金。</t>
        </r>
        <r>
          <rPr>
            <sz val="9"/>
            <color indexed="81"/>
            <rFont val="Tahoma"/>
            <family val="2"/>
          </rPr>
          <t xml:space="preserve">
</t>
        </r>
      </text>
    </comment>
    <comment ref="B21" authorId="1">
      <text>
        <r>
          <rPr>
            <sz val="9"/>
            <color indexed="81"/>
            <rFont val="宋体"/>
            <family val="3"/>
            <charset val="134"/>
          </rPr>
          <t>填报未决赔款准备金中已发生已报案准备金的纳税调整情况。</t>
        </r>
        <r>
          <rPr>
            <sz val="9"/>
            <color indexed="81"/>
            <rFont val="Tahoma"/>
            <family val="2"/>
          </rPr>
          <t xml:space="preserve">
</t>
        </r>
      </text>
    </comment>
    <comment ref="B22" authorId="1">
      <text>
        <r>
          <rPr>
            <sz val="9"/>
            <color indexed="81"/>
            <rFont val="宋体"/>
            <family val="3"/>
            <charset val="134"/>
          </rPr>
          <t>填报未决赔款准备金中已发生未报案准备金的纳税调整情况。</t>
        </r>
        <r>
          <rPr>
            <sz val="9"/>
            <color indexed="81"/>
            <rFont val="Tahoma"/>
            <family val="2"/>
          </rPr>
          <t xml:space="preserve">
</t>
        </r>
      </text>
    </comment>
    <comment ref="B23" authorId="1">
      <text>
        <r>
          <rPr>
            <sz val="9"/>
            <color indexed="81"/>
            <rFont val="宋体"/>
            <family val="3"/>
            <charset val="134"/>
          </rPr>
          <t>填报大灾风险准备金的纳税调整情况。</t>
        </r>
        <r>
          <rPr>
            <sz val="9"/>
            <color indexed="81"/>
            <rFont val="Tahoma"/>
            <family val="2"/>
          </rPr>
          <t xml:space="preserve">
</t>
        </r>
      </text>
    </comment>
    <comment ref="B24" authorId="1">
      <text>
        <r>
          <rPr>
            <sz val="9"/>
            <color indexed="81"/>
            <rFont val="宋体"/>
            <family val="3"/>
            <charset val="134"/>
          </rPr>
          <t>填报除第</t>
        </r>
        <r>
          <rPr>
            <sz val="9"/>
            <color indexed="81"/>
            <rFont val="Tahoma"/>
            <family val="2"/>
          </rPr>
          <t>2</t>
        </r>
        <r>
          <rPr>
            <sz val="9"/>
            <color indexed="81"/>
            <rFont val="宋体"/>
            <family val="3"/>
            <charset val="134"/>
          </rPr>
          <t>行至第</t>
        </r>
        <r>
          <rPr>
            <sz val="9"/>
            <color indexed="81"/>
            <rFont val="Tahoma"/>
            <family val="2"/>
          </rPr>
          <t>19</t>
        </r>
        <r>
          <rPr>
            <sz val="9"/>
            <color indexed="81"/>
            <rFont val="宋体"/>
            <family val="3"/>
            <charset val="134"/>
          </rPr>
          <t>行以外的允许税前扣除的保险公司准备金的纳税调整情况。</t>
        </r>
        <r>
          <rPr>
            <sz val="9"/>
            <color indexed="81"/>
            <rFont val="Tahoma"/>
            <family val="2"/>
          </rPr>
          <t xml:space="preserve">
</t>
        </r>
      </text>
    </comment>
    <comment ref="B25" authorId="1">
      <text>
        <r>
          <rPr>
            <sz val="9"/>
            <color indexed="81"/>
            <rFont val="宋体"/>
            <family val="3"/>
            <charset val="134"/>
          </rPr>
          <t>填报第</t>
        </r>
        <r>
          <rPr>
            <sz val="9"/>
            <color indexed="81"/>
            <rFont val="Tahoma"/>
            <family val="2"/>
          </rPr>
          <t>22+23+24+25</t>
        </r>
        <r>
          <rPr>
            <sz val="9"/>
            <color indexed="81"/>
            <rFont val="宋体"/>
            <family val="3"/>
            <charset val="134"/>
          </rPr>
          <t>行的合计金额。</t>
        </r>
        <r>
          <rPr>
            <sz val="9"/>
            <color indexed="81"/>
            <rFont val="Tahoma"/>
            <family val="2"/>
          </rPr>
          <t xml:space="preserve">
</t>
        </r>
      </text>
    </comment>
    <comment ref="B26" authorId="1">
      <text>
        <r>
          <rPr>
            <sz val="9"/>
            <color indexed="81"/>
            <rFont val="宋体"/>
            <family val="3"/>
            <charset val="134"/>
          </rPr>
          <t>填报证券交易所风险基金的纳税调整情况。</t>
        </r>
      </text>
    </comment>
    <comment ref="B27" authorId="1">
      <text>
        <r>
          <rPr>
            <sz val="9"/>
            <color indexed="81"/>
            <rFont val="宋体"/>
            <family val="3"/>
            <charset val="134"/>
          </rPr>
          <t>填报证券结算风险基金的纳税调整情况。</t>
        </r>
        <r>
          <rPr>
            <sz val="9"/>
            <color indexed="81"/>
            <rFont val="Tahoma"/>
            <family val="2"/>
          </rPr>
          <t xml:space="preserve">
</t>
        </r>
      </text>
    </comment>
    <comment ref="B28" authorId="1">
      <text>
        <r>
          <rPr>
            <sz val="9"/>
            <color indexed="81"/>
            <rFont val="宋体"/>
            <family val="3"/>
            <charset val="134"/>
          </rPr>
          <t>填报证券投资者保护基金的纳税调整情况。</t>
        </r>
        <r>
          <rPr>
            <sz val="9"/>
            <color indexed="81"/>
            <rFont val="Tahoma"/>
            <family val="2"/>
          </rPr>
          <t xml:space="preserve">
</t>
        </r>
      </text>
    </comment>
    <comment ref="B29" authorId="1">
      <text>
        <r>
          <rPr>
            <sz val="9"/>
            <color indexed="81"/>
            <rFont val="宋体"/>
            <family val="3"/>
            <charset val="134"/>
          </rPr>
          <t>填报除第</t>
        </r>
        <r>
          <rPr>
            <sz val="9"/>
            <color indexed="81"/>
            <rFont val="Tahoma"/>
            <family val="2"/>
          </rPr>
          <t>22</t>
        </r>
        <r>
          <rPr>
            <sz val="9"/>
            <color indexed="81"/>
            <rFont val="宋体"/>
            <family val="3"/>
            <charset val="134"/>
          </rPr>
          <t>行至第</t>
        </r>
        <r>
          <rPr>
            <sz val="9"/>
            <color indexed="81"/>
            <rFont val="Tahoma"/>
            <family val="2"/>
          </rPr>
          <t>24</t>
        </r>
        <r>
          <rPr>
            <sz val="9"/>
            <color indexed="81"/>
            <rFont val="宋体"/>
            <family val="3"/>
            <charset val="134"/>
          </rPr>
          <t>行以外的允许税前扣除的证券行业准备金的纳税调整情况。</t>
        </r>
        <r>
          <rPr>
            <sz val="9"/>
            <color indexed="81"/>
            <rFont val="Tahoma"/>
            <family val="2"/>
          </rPr>
          <t xml:space="preserve">
</t>
        </r>
      </text>
    </comment>
    <comment ref="B30" authorId="1">
      <text>
        <r>
          <rPr>
            <sz val="9"/>
            <color indexed="81"/>
            <rFont val="宋体"/>
            <family val="3"/>
            <charset val="134"/>
          </rPr>
          <t>填报第</t>
        </r>
        <r>
          <rPr>
            <sz val="9"/>
            <color indexed="81"/>
            <rFont val="Tahoma"/>
            <family val="2"/>
          </rPr>
          <t>27+28+29+30</t>
        </r>
        <r>
          <rPr>
            <sz val="9"/>
            <color indexed="81"/>
            <rFont val="宋体"/>
            <family val="3"/>
            <charset val="134"/>
          </rPr>
          <t>行的合计金额。</t>
        </r>
        <r>
          <rPr>
            <sz val="9"/>
            <color indexed="81"/>
            <rFont val="Tahoma"/>
            <family val="2"/>
          </rPr>
          <t xml:space="preserve">
</t>
        </r>
      </text>
    </comment>
    <comment ref="B31" authorId="1">
      <text>
        <r>
          <rPr>
            <sz val="9"/>
            <color indexed="81"/>
            <rFont val="宋体"/>
            <family val="3"/>
            <charset val="134"/>
          </rPr>
          <t>填报期货交易所风险准备金的纳税调整情况。</t>
        </r>
        <r>
          <rPr>
            <sz val="9"/>
            <color indexed="81"/>
            <rFont val="Tahoma"/>
            <family val="2"/>
          </rPr>
          <t xml:space="preserve">
</t>
        </r>
      </text>
    </comment>
    <comment ref="B32" authorId="1">
      <text>
        <r>
          <rPr>
            <sz val="9"/>
            <color indexed="81"/>
            <rFont val="宋体"/>
            <family val="3"/>
            <charset val="134"/>
          </rPr>
          <t>填报期货公司风险准备金的纳税调整情况。</t>
        </r>
        <r>
          <rPr>
            <sz val="9"/>
            <color indexed="81"/>
            <rFont val="Tahoma"/>
            <family val="2"/>
          </rPr>
          <t xml:space="preserve">
</t>
        </r>
      </text>
    </comment>
    <comment ref="B33" authorId="1">
      <text>
        <r>
          <rPr>
            <sz val="9"/>
            <color indexed="81"/>
            <rFont val="宋体"/>
            <family val="3"/>
            <charset val="134"/>
          </rPr>
          <t>填报期货投资者保障基金的纳税调整情况。</t>
        </r>
        <r>
          <rPr>
            <sz val="9"/>
            <color indexed="81"/>
            <rFont val="Tahoma"/>
            <family val="2"/>
          </rPr>
          <t xml:space="preserve">
</t>
        </r>
      </text>
    </comment>
    <comment ref="B34" authorId="1">
      <text>
        <r>
          <rPr>
            <sz val="9"/>
            <color indexed="81"/>
            <rFont val="宋体"/>
            <family val="3"/>
            <charset val="134"/>
          </rPr>
          <t>填报除第</t>
        </r>
        <r>
          <rPr>
            <sz val="9"/>
            <color indexed="81"/>
            <rFont val="Tahoma"/>
            <family val="2"/>
          </rPr>
          <t>27</t>
        </r>
        <r>
          <rPr>
            <sz val="9"/>
            <color indexed="81"/>
            <rFont val="宋体"/>
            <family val="3"/>
            <charset val="134"/>
          </rPr>
          <t>行至第</t>
        </r>
        <r>
          <rPr>
            <sz val="9"/>
            <color indexed="81"/>
            <rFont val="Tahoma"/>
            <family val="2"/>
          </rPr>
          <t>29</t>
        </r>
        <r>
          <rPr>
            <sz val="9"/>
            <color indexed="81"/>
            <rFont val="宋体"/>
            <family val="3"/>
            <charset val="134"/>
          </rPr>
          <t>行以外的允许税前扣除的期货行业准备金的纳税调整情况。</t>
        </r>
        <r>
          <rPr>
            <sz val="9"/>
            <color indexed="81"/>
            <rFont val="Tahoma"/>
            <family val="2"/>
          </rPr>
          <t xml:space="preserve">
</t>
        </r>
      </text>
    </comment>
    <comment ref="B35" authorId="1">
      <text>
        <r>
          <rPr>
            <sz val="9"/>
            <color indexed="81"/>
            <rFont val="宋体"/>
            <family val="3"/>
            <charset val="134"/>
          </rPr>
          <t>填报第</t>
        </r>
        <r>
          <rPr>
            <sz val="9"/>
            <color indexed="81"/>
            <rFont val="Tahoma"/>
            <family val="2"/>
          </rPr>
          <t>32+33+34</t>
        </r>
        <r>
          <rPr>
            <sz val="9"/>
            <color indexed="81"/>
            <rFont val="宋体"/>
            <family val="3"/>
            <charset val="134"/>
          </rPr>
          <t>行的合计金额。</t>
        </r>
        <r>
          <rPr>
            <sz val="9"/>
            <color indexed="81"/>
            <rFont val="Tahoma"/>
            <family val="2"/>
          </rPr>
          <t xml:space="preserve">
</t>
        </r>
      </text>
    </comment>
    <comment ref="B36" authorId="1">
      <text>
        <r>
          <rPr>
            <sz val="9"/>
            <color indexed="81"/>
            <rFont val="宋体"/>
            <family val="3"/>
            <charset val="134"/>
          </rPr>
          <t>填报涉农和中小企业贷款损失准备金的纳税调整情况。</t>
        </r>
        <r>
          <rPr>
            <sz val="9"/>
            <color indexed="81"/>
            <rFont val="Tahoma"/>
            <family val="2"/>
          </rPr>
          <t xml:space="preserve">
</t>
        </r>
      </text>
    </comment>
    <comment ref="B37" authorId="1">
      <text>
        <r>
          <rPr>
            <sz val="9"/>
            <color indexed="81"/>
            <rFont val="宋体"/>
            <family val="3"/>
            <charset val="134"/>
          </rPr>
          <t>填报贷款损失准备金的纳税调整情况。</t>
        </r>
        <r>
          <rPr>
            <sz val="9"/>
            <color indexed="81"/>
            <rFont val="Tahoma"/>
            <family val="2"/>
          </rPr>
          <t xml:space="preserve">
</t>
        </r>
      </text>
    </comment>
    <comment ref="B38" authorId="1">
      <text>
        <r>
          <rPr>
            <sz val="9"/>
            <color indexed="81"/>
            <rFont val="宋体"/>
            <family val="3"/>
            <charset val="134"/>
          </rPr>
          <t>填报除第</t>
        </r>
        <r>
          <rPr>
            <sz val="9"/>
            <color indexed="81"/>
            <rFont val="Tahoma"/>
            <family val="2"/>
          </rPr>
          <t>32</t>
        </r>
        <r>
          <rPr>
            <sz val="9"/>
            <color indexed="81"/>
            <rFont val="宋体"/>
            <family val="3"/>
            <charset val="134"/>
          </rPr>
          <t>行至第</t>
        </r>
        <r>
          <rPr>
            <sz val="9"/>
            <color indexed="81"/>
            <rFont val="Tahoma"/>
            <family val="2"/>
          </rPr>
          <t>33</t>
        </r>
        <r>
          <rPr>
            <sz val="9"/>
            <color indexed="81"/>
            <rFont val="宋体"/>
            <family val="3"/>
            <charset val="134"/>
          </rPr>
          <t>行以外的允许税前扣除的金融企业准备金的纳税调整情况。</t>
        </r>
        <r>
          <rPr>
            <sz val="9"/>
            <color indexed="81"/>
            <rFont val="Tahoma"/>
            <family val="2"/>
          </rPr>
          <t xml:space="preserve">
</t>
        </r>
      </text>
    </comment>
    <comment ref="B39" authorId="1">
      <text>
        <r>
          <rPr>
            <sz val="9"/>
            <color indexed="81"/>
            <rFont val="宋体"/>
            <family val="3"/>
            <charset val="134"/>
          </rPr>
          <t>填报第</t>
        </r>
        <r>
          <rPr>
            <sz val="9"/>
            <color indexed="81"/>
            <rFont val="Tahoma"/>
            <family val="2"/>
          </rPr>
          <t>36+37+38</t>
        </r>
        <r>
          <rPr>
            <sz val="9"/>
            <color indexed="81"/>
            <rFont val="宋体"/>
            <family val="3"/>
            <charset val="134"/>
          </rPr>
          <t>行的合计金额。</t>
        </r>
      </text>
    </comment>
    <comment ref="B40" authorId="1">
      <text>
        <r>
          <rPr>
            <sz val="9"/>
            <color indexed="81"/>
            <rFont val="宋体"/>
            <family val="3"/>
            <charset val="134"/>
          </rPr>
          <t>填报担保赔偿准备的纳税调整情况。</t>
        </r>
        <r>
          <rPr>
            <sz val="9"/>
            <color indexed="81"/>
            <rFont val="Tahoma"/>
            <family val="2"/>
          </rPr>
          <t xml:space="preserve">
</t>
        </r>
      </text>
    </comment>
    <comment ref="B41" authorId="1">
      <text>
        <r>
          <rPr>
            <sz val="9"/>
            <color indexed="81"/>
            <rFont val="宋体"/>
            <family val="3"/>
            <charset val="134"/>
          </rPr>
          <t>填报未到期责任准备的纳税调整情况。</t>
        </r>
        <r>
          <rPr>
            <sz val="9"/>
            <color indexed="81"/>
            <rFont val="Tahoma"/>
            <family val="2"/>
          </rPr>
          <t xml:space="preserve">
</t>
        </r>
      </text>
    </comment>
    <comment ref="B42" authorId="1">
      <text>
        <r>
          <rPr>
            <sz val="9"/>
            <color indexed="81"/>
            <rFont val="宋体"/>
            <family val="3"/>
            <charset val="134"/>
          </rPr>
          <t>填报除第</t>
        </r>
        <r>
          <rPr>
            <sz val="9"/>
            <color indexed="81"/>
            <rFont val="Tahoma"/>
            <family val="2"/>
          </rPr>
          <t>36</t>
        </r>
        <r>
          <rPr>
            <sz val="9"/>
            <color indexed="81"/>
            <rFont val="宋体"/>
            <family val="3"/>
            <charset val="134"/>
          </rPr>
          <t>、</t>
        </r>
        <r>
          <rPr>
            <sz val="9"/>
            <color indexed="81"/>
            <rFont val="Tahoma"/>
            <family val="2"/>
          </rPr>
          <t>37</t>
        </r>
        <r>
          <rPr>
            <sz val="9"/>
            <color indexed="81"/>
            <rFont val="宋体"/>
            <family val="3"/>
            <charset val="134"/>
          </rPr>
          <t>行以外的允许税前扣除的中小企业信用担保机构准备的纳税调整情况。</t>
        </r>
        <r>
          <rPr>
            <sz val="9"/>
            <color indexed="81"/>
            <rFont val="Tahoma"/>
            <family val="2"/>
          </rPr>
          <t xml:space="preserve">
</t>
        </r>
      </text>
    </comment>
    <comment ref="B43" authorId="1">
      <text>
        <r>
          <rPr>
            <sz val="9"/>
            <color indexed="81"/>
            <rFont val="宋体"/>
            <family val="3"/>
            <charset val="134"/>
          </rPr>
          <t>填报第</t>
        </r>
        <r>
          <rPr>
            <sz val="9"/>
            <color indexed="81"/>
            <rFont val="Tahoma"/>
            <family val="2"/>
          </rPr>
          <t>40+41</t>
        </r>
        <r>
          <rPr>
            <sz val="9"/>
            <color indexed="81"/>
            <rFont val="宋体"/>
            <family val="3"/>
            <charset val="134"/>
          </rPr>
          <t>行的合计金额。</t>
        </r>
      </text>
    </comment>
    <comment ref="B44" authorId="1">
      <text>
        <r>
          <rPr>
            <sz val="9"/>
            <color indexed="81"/>
            <rFont val="宋体"/>
            <family val="3"/>
            <charset val="134"/>
          </rPr>
          <t>填报经省级金融管理部门批准成立的小额贷款公司贷款损失准备金的纳税调整情况。</t>
        </r>
        <r>
          <rPr>
            <sz val="9"/>
            <color indexed="81"/>
            <rFont val="Tahoma"/>
            <family val="2"/>
          </rPr>
          <t xml:space="preserve">
</t>
        </r>
      </text>
    </comment>
    <comment ref="B45" authorId="1">
      <text>
        <r>
          <rPr>
            <sz val="9"/>
            <color indexed="81"/>
            <rFont val="宋体"/>
            <family val="3"/>
            <charset val="134"/>
          </rPr>
          <t>填报除第</t>
        </r>
        <r>
          <rPr>
            <sz val="9"/>
            <color indexed="81"/>
            <rFont val="Tahoma"/>
            <family val="2"/>
          </rPr>
          <t>40</t>
        </r>
        <r>
          <rPr>
            <sz val="9"/>
            <color indexed="81"/>
            <rFont val="宋体"/>
            <family val="3"/>
            <charset val="134"/>
          </rPr>
          <t>行以外的允许税前扣除的小额贷款公司贷款损失准备金的纳税调整情况。</t>
        </r>
        <r>
          <rPr>
            <sz val="9"/>
            <color indexed="81"/>
            <rFont val="Tahoma"/>
            <family val="2"/>
          </rPr>
          <t xml:space="preserve">
</t>
        </r>
      </text>
    </comment>
    <comment ref="B46" authorId="1">
      <text>
        <r>
          <rPr>
            <sz val="9"/>
            <color indexed="81"/>
            <rFont val="宋体"/>
            <family val="3"/>
            <charset val="134"/>
          </rPr>
          <t>填报除保险公司、证券行业、期货行业、金融企业、中小企业信用担保机构、小额贷款公司以外的允许税前扣除的特殊行业准备金的纳税调整情况。</t>
        </r>
      </text>
    </comment>
    <comment ref="B47" authorId="1">
      <text>
        <r>
          <rPr>
            <sz val="9"/>
            <color indexed="81"/>
            <rFont val="宋体"/>
            <family val="3"/>
            <charset val="134"/>
          </rPr>
          <t>填报第</t>
        </r>
        <r>
          <rPr>
            <sz val="9"/>
            <color indexed="81"/>
            <rFont val="Tahoma"/>
            <family val="2"/>
          </rPr>
          <t>1+21+26+31+35+39+42</t>
        </r>
        <r>
          <rPr>
            <sz val="9"/>
            <color indexed="81"/>
            <rFont val="宋体"/>
            <family val="3"/>
            <charset val="134"/>
          </rPr>
          <t>行的合计金额。</t>
        </r>
        <r>
          <rPr>
            <sz val="9"/>
            <color indexed="81"/>
            <rFont val="Tahoma"/>
            <family val="2"/>
          </rPr>
          <t xml:space="preserve">
</t>
        </r>
      </text>
    </comment>
    <comment ref="E47" authorId="1">
      <text>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F47" authorId="1">
      <text>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G47" authorId="0">
      <text>
        <r>
          <rPr>
            <sz val="9"/>
            <color indexed="81"/>
            <rFont val="宋体"/>
            <family val="3"/>
            <charset val="134"/>
          </rPr>
          <t>若第43行第3列≥0，第43行第3列＝表A105000第39行第3列；若第43行第3列＜0，第43行第3列的绝对值＝表A105000第39行第4列。</t>
        </r>
      </text>
    </comment>
  </commentList>
</comments>
</file>

<file path=xl/comments3.xml><?xml version="1.0" encoding="utf-8"?>
<comments xmlns="http://schemas.openxmlformats.org/spreadsheetml/2006/main">
  <authors>
    <author>lenovo</author>
  </authors>
  <commentList>
    <comment ref="F7" authorId="0">
      <text>
        <r>
          <rPr>
            <b/>
            <sz val="9"/>
            <color indexed="81"/>
            <rFont val="宋体"/>
            <family val="3"/>
            <charset val="134"/>
          </rPr>
          <t>lenovo:</t>
        </r>
        <r>
          <rPr>
            <sz val="9"/>
            <color indexed="81"/>
            <rFont val="宋体"/>
            <family val="3"/>
            <charset val="134"/>
          </rPr>
          <t xml:space="preserve">
输入可弥补亏损额，为负数。</t>
        </r>
      </text>
    </comment>
  </commentList>
</comments>
</file>

<file path=xl/comments4.xml><?xml version="1.0" encoding="utf-8"?>
<comments xmlns="http://schemas.openxmlformats.org/spreadsheetml/2006/main">
  <authors>
    <author>Zhang, Dorothy</author>
  </authors>
  <commentList>
    <comment ref="B4" authorId="0">
      <text>
        <r>
          <rPr>
            <sz val="9"/>
            <color indexed="81"/>
            <rFont val="宋体"/>
            <family val="3"/>
            <charset val="134"/>
          </rPr>
          <t>填报第</t>
        </r>
        <r>
          <rPr>
            <sz val="9"/>
            <color indexed="81"/>
            <rFont val="Tahoma"/>
            <family val="2"/>
          </rPr>
          <t>2+3+6+7…+16</t>
        </r>
        <r>
          <rPr>
            <sz val="9"/>
            <color indexed="81"/>
            <rFont val="宋体"/>
            <family val="3"/>
            <charset val="134"/>
          </rPr>
          <t>行的合计金额。</t>
        </r>
        <r>
          <rPr>
            <sz val="9"/>
            <color indexed="81"/>
            <rFont val="Tahoma"/>
            <family val="2"/>
          </rPr>
          <t xml:space="preserve">
</t>
        </r>
      </text>
    </comment>
    <comment ref="B5" authorId="0">
      <text>
        <r>
          <rPr>
            <sz val="9"/>
            <color indexed="81"/>
            <rFont val="宋体"/>
            <family val="3"/>
            <charset val="134"/>
          </rPr>
          <t>填报纳税人根据《国家税务总局关于企业国债投资业务企业所得税处理问题的公告》（国家税务总局公告</t>
        </r>
        <r>
          <rPr>
            <sz val="9"/>
            <color indexed="81"/>
            <rFont val="Tahoma"/>
            <family val="2"/>
          </rPr>
          <t>2011</t>
        </r>
        <r>
          <rPr>
            <sz val="9"/>
            <color indexed="81"/>
            <rFont val="宋体"/>
            <family val="3"/>
            <charset val="134"/>
          </rPr>
          <t>年第</t>
        </r>
        <r>
          <rPr>
            <sz val="9"/>
            <color indexed="81"/>
            <rFont val="Tahoma"/>
            <family val="2"/>
          </rPr>
          <t>36</t>
        </r>
        <r>
          <rPr>
            <sz val="9"/>
            <color indexed="81"/>
            <rFont val="宋体"/>
            <family val="3"/>
            <charset val="134"/>
          </rPr>
          <t>号）等相关税收政策规定的，持有国务院财政部门发行的国债取得的利息收入。</t>
        </r>
        <r>
          <rPr>
            <sz val="9"/>
            <color indexed="81"/>
            <rFont val="Tahoma"/>
            <family val="2"/>
          </rPr>
          <t xml:space="preserve">
</t>
        </r>
      </text>
    </comment>
    <comment ref="B6" authorId="0">
      <text>
        <r>
          <rPr>
            <sz val="9"/>
            <color indexed="81"/>
            <rFont val="宋体"/>
            <family val="3"/>
            <charset val="134"/>
          </rPr>
          <t>填报《符合条件的居民企业之间的股息、红利等权益性投资收益明细表》（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列金额。</t>
        </r>
        <r>
          <rPr>
            <sz val="9"/>
            <color indexed="81"/>
            <rFont val="Tahoma"/>
            <family val="2"/>
          </rPr>
          <t xml:space="preserve">
</t>
        </r>
      </text>
    </comment>
    <comment ref="C6" authorId="0">
      <text>
        <r>
          <rPr>
            <sz val="9"/>
            <color indexed="81"/>
            <rFont val="宋体"/>
            <family val="3"/>
            <charset val="134"/>
          </rPr>
          <t>第</t>
        </r>
        <r>
          <rPr>
            <sz val="9"/>
            <color indexed="81"/>
            <rFont val="Tahoma"/>
            <family val="2"/>
          </rPr>
          <t>3</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7"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证监会关于沪港股票市场交易互联互通机制试点有关税收政策的通知》（财税〔</t>
        </r>
        <r>
          <rPr>
            <sz val="9"/>
            <color indexed="81"/>
            <rFont val="Tahoma"/>
            <family val="2"/>
          </rPr>
          <t>2014</t>
        </r>
        <r>
          <rPr>
            <sz val="9"/>
            <color indexed="81"/>
            <rFont val="宋体"/>
            <family val="3"/>
            <charset val="134"/>
          </rPr>
          <t>〕</t>
        </r>
        <r>
          <rPr>
            <sz val="9"/>
            <color indexed="81"/>
            <rFont val="Tahoma"/>
            <family val="2"/>
          </rPr>
          <t>81</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7" authorId="0">
      <text>
        <r>
          <rPr>
            <sz val="9"/>
            <color indexed="81"/>
            <rFont val="宋体"/>
            <family val="3"/>
            <charset val="134"/>
          </rPr>
          <t>第</t>
        </r>
        <r>
          <rPr>
            <sz val="9"/>
            <color indexed="81"/>
            <rFont val="Tahoma"/>
            <family val="2"/>
          </rPr>
          <t>4</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8"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证监会关于深港股票市场交易互联互通机制试点有关税收政策的通知》（财税〔</t>
        </r>
        <r>
          <rPr>
            <sz val="9"/>
            <color indexed="81"/>
            <rFont val="Tahoma"/>
            <family val="2"/>
          </rPr>
          <t>2016</t>
        </r>
        <r>
          <rPr>
            <sz val="9"/>
            <color indexed="81"/>
            <rFont val="宋体"/>
            <family val="3"/>
            <charset val="134"/>
          </rPr>
          <t>〕</t>
        </r>
        <r>
          <rPr>
            <sz val="9"/>
            <color indexed="81"/>
            <rFont val="Tahoma"/>
            <family val="2"/>
          </rPr>
          <t>127</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8" authorId="0">
      <text>
        <r>
          <rPr>
            <sz val="9"/>
            <color indexed="81"/>
            <rFont val="宋体"/>
            <family val="3"/>
            <charset val="134"/>
          </rPr>
          <t>第</t>
        </r>
        <r>
          <rPr>
            <sz val="9"/>
            <color indexed="81"/>
            <rFont val="Tahoma"/>
            <family val="2"/>
          </rPr>
          <t>5</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9"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号）等相关税收政策规定的，同时符合条件并依法履行登记手续的非营利组织</t>
        </r>
        <r>
          <rPr>
            <sz val="9"/>
            <color indexed="81"/>
            <rFont val="Tahoma"/>
            <family val="2"/>
          </rPr>
          <t>,</t>
        </r>
        <r>
          <rPr>
            <sz val="9"/>
            <color indexed="81"/>
            <rFont val="宋体"/>
            <family val="3"/>
            <charset val="134"/>
          </rPr>
          <t>取得的捐赠收入等免税收入，不包括从事营利性活动所取得的收入。</t>
        </r>
        <r>
          <rPr>
            <sz val="9"/>
            <color indexed="81"/>
            <rFont val="Tahoma"/>
            <family val="2"/>
          </rPr>
          <t xml:space="preserve">
</t>
        </r>
      </text>
    </comment>
    <comment ref="B10"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国家税务总局关于科技企业孵化器税收政策的通知》（财税〔</t>
        </r>
        <r>
          <rPr>
            <sz val="9"/>
            <color indexed="81"/>
            <rFont val="Tahoma"/>
            <family val="2"/>
          </rPr>
          <t>2016</t>
        </r>
        <r>
          <rPr>
            <sz val="9"/>
            <color indexed="81"/>
            <rFont val="宋体"/>
            <family val="3"/>
            <charset val="134"/>
          </rPr>
          <t>〕</t>
        </r>
        <r>
          <rPr>
            <sz val="9"/>
            <color indexed="81"/>
            <rFont val="Tahoma"/>
            <family val="2"/>
          </rPr>
          <t>89</t>
        </r>
        <r>
          <rPr>
            <sz val="9"/>
            <color indexed="81"/>
            <rFont val="宋体"/>
            <family val="3"/>
            <charset val="134"/>
          </rPr>
          <t>号）等相关税收政策规定的，符合非营利组织条件的科技企业孵化器的收入。</t>
        </r>
        <r>
          <rPr>
            <sz val="9"/>
            <color indexed="81"/>
            <rFont val="Tahoma"/>
            <family val="2"/>
          </rPr>
          <t xml:space="preserve">
</t>
        </r>
      </text>
    </comment>
    <comment ref="B11"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国家税务总局关于国家大学科技园税收政策的通知》（财税〔</t>
        </r>
        <r>
          <rPr>
            <sz val="9"/>
            <color indexed="81"/>
            <rFont val="Tahoma"/>
            <family val="2"/>
          </rPr>
          <t>2016</t>
        </r>
        <r>
          <rPr>
            <sz val="9"/>
            <color indexed="81"/>
            <rFont val="宋体"/>
            <family val="3"/>
            <charset val="134"/>
          </rPr>
          <t>〕</t>
        </r>
        <r>
          <rPr>
            <sz val="9"/>
            <color indexed="81"/>
            <rFont val="Tahoma"/>
            <family val="2"/>
          </rPr>
          <t>98</t>
        </r>
        <r>
          <rPr>
            <sz val="9"/>
            <color indexed="81"/>
            <rFont val="宋体"/>
            <family val="3"/>
            <charset val="134"/>
          </rPr>
          <t>号）等相关税收政策规定的，符合非营利组织条件的科技园的收入。</t>
        </r>
        <r>
          <rPr>
            <sz val="9"/>
            <color indexed="81"/>
            <rFont val="Tahoma"/>
            <family val="2"/>
          </rPr>
          <t xml:space="preserve">
</t>
        </r>
      </text>
    </comment>
    <comment ref="B1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国家税务总局关于中国清洁发展机制基金及清洁发展机制项目实施企业有关企业所得税政策问题的通知》（财税〔</t>
        </r>
        <r>
          <rPr>
            <sz val="9"/>
            <color indexed="81"/>
            <rFont val="Tahoma"/>
            <family val="2"/>
          </rPr>
          <t>2009</t>
        </r>
        <r>
          <rPr>
            <sz val="9"/>
            <color indexed="81"/>
            <rFont val="宋体"/>
            <family val="3"/>
            <charset val="134"/>
          </rPr>
          <t>〕</t>
        </r>
        <r>
          <rPr>
            <sz val="9"/>
            <color indexed="81"/>
            <rFont val="Tahoma"/>
            <family val="2"/>
          </rPr>
          <t>30</t>
        </r>
        <r>
          <rPr>
            <sz val="9"/>
            <color indexed="81"/>
            <rFont val="宋体"/>
            <family val="3"/>
            <charset val="134"/>
          </rPr>
          <t>号）等相关税收政策规定的，中国清洁发展机制基金取得的</t>
        </r>
        <r>
          <rPr>
            <sz val="9"/>
            <color indexed="81"/>
            <rFont val="Tahoma"/>
            <family val="2"/>
          </rPr>
          <t>CDM</t>
        </r>
        <r>
          <rPr>
            <sz val="9"/>
            <color indexed="81"/>
            <rFont val="宋体"/>
            <family val="3"/>
            <charset val="134"/>
          </rPr>
          <t>项目温室气体减排量转让收入上缴国家的部分，国际金融组织赠款收入，基金资金的存款利息收入、购买国债的利息收入，国内外机构、组织和个人的捐赠收入。</t>
        </r>
        <r>
          <rPr>
            <sz val="9"/>
            <color indexed="81"/>
            <rFont val="Tahoma"/>
            <family val="2"/>
          </rPr>
          <t xml:space="preserve">
</t>
        </r>
      </text>
    </comment>
    <comment ref="B13"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国家税务总局关于企业所得税若干优惠政策的通知》（财税〔</t>
        </r>
        <r>
          <rPr>
            <sz val="9"/>
            <color indexed="81"/>
            <rFont val="Tahoma"/>
            <family val="2"/>
          </rPr>
          <t>2008</t>
        </r>
        <r>
          <rPr>
            <sz val="9"/>
            <color indexed="81"/>
            <rFont val="宋体"/>
            <family val="3"/>
            <charset val="134"/>
          </rPr>
          <t>〕</t>
        </r>
        <r>
          <rPr>
            <sz val="9"/>
            <color indexed="81"/>
            <rFont val="Tahoma"/>
            <family val="2"/>
          </rPr>
          <t>1</t>
        </r>
        <r>
          <rPr>
            <sz val="9"/>
            <color indexed="81"/>
            <rFont val="宋体"/>
            <family val="3"/>
            <charset val="134"/>
          </rPr>
          <t>号）第二条第（二）项等相关税收政策规定的，投资者从证券投资基金分配中取得的收入。</t>
        </r>
        <r>
          <rPr>
            <sz val="9"/>
            <color indexed="81"/>
            <rFont val="Tahoma"/>
            <family val="2"/>
          </rPr>
          <t xml:space="preserve">
</t>
        </r>
      </text>
    </comment>
    <comment ref="B14"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国家税务总局关于地方政府债券利息所得免征所得税问题的通知》（财税〔</t>
        </r>
        <r>
          <rPr>
            <sz val="9"/>
            <color indexed="81"/>
            <rFont val="Tahoma"/>
            <family val="2"/>
          </rPr>
          <t>2011</t>
        </r>
        <r>
          <rPr>
            <sz val="9"/>
            <color indexed="81"/>
            <rFont val="宋体"/>
            <family val="3"/>
            <charset val="134"/>
          </rPr>
          <t>〕</t>
        </r>
        <r>
          <rPr>
            <sz val="9"/>
            <color indexed="81"/>
            <rFont val="Tahoma"/>
            <family val="2"/>
          </rPr>
          <t>76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国家税务总局关于地方政府债券利息免征所得税问题的通知》（财税〔</t>
        </r>
        <r>
          <rPr>
            <sz val="9"/>
            <color indexed="81"/>
            <rFont val="Tahoma"/>
            <family val="2"/>
          </rPr>
          <t>2013</t>
        </r>
        <r>
          <rPr>
            <sz val="9"/>
            <color indexed="81"/>
            <rFont val="宋体"/>
            <family val="3"/>
            <charset val="134"/>
          </rPr>
          <t>〕</t>
        </r>
        <r>
          <rPr>
            <sz val="9"/>
            <color indexed="81"/>
            <rFont val="Tahoma"/>
            <family val="2"/>
          </rPr>
          <t>5</t>
        </r>
        <r>
          <rPr>
            <sz val="9"/>
            <color indexed="81"/>
            <rFont val="宋体"/>
            <family val="3"/>
            <charset val="134"/>
          </rPr>
          <t>号）等相关税收政策规定的，取得的</t>
        </r>
        <r>
          <rPr>
            <sz val="9"/>
            <color indexed="81"/>
            <rFont val="Tahoma"/>
            <family val="2"/>
          </rPr>
          <t>2009</t>
        </r>
        <r>
          <rPr>
            <sz val="9"/>
            <color indexed="81"/>
            <rFont val="宋体"/>
            <family val="3"/>
            <charset val="134"/>
          </rPr>
          <t>年、</t>
        </r>
        <r>
          <rPr>
            <sz val="9"/>
            <color indexed="81"/>
            <rFont val="Tahoma"/>
            <family val="2"/>
          </rPr>
          <t>2010</t>
        </r>
        <r>
          <rPr>
            <sz val="9"/>
            <color indexed="81"/>
            <rFont val="宋体"/>
            <family val="3"/>
            <charset val="134"/>
          </rPr>
          <t>年和</t>
        </r>
        <r>
          <rPr>
            <sz val="9"/>
            <color indexed="81"/>
            <rFont val="Tahoma"/>
            <family val="2"/>
          </rPr>
          <t>2011</t>
        </r>
        <r>
          <rPr>
            <sz val="9"/>
            <color indexed="81"/>
            <rFont val="宋体"/>
            <family val="3"/>
            <charset val="134"/>
          </rPr>
          <t>年发行的地方政府债券利息所得，</t>
        </r>
        <r>
          <rPr>
            <sz val="9"/>
            <color indexed="81"/>
            <rFont val="Tahoma"/>
            <family val="2"/>
          </rPr>
          <t>2012</t>
        </r>
        <r>
          <rPr>
            <sz val="9"/>
            <color indexed="81"/>
            <rFont val="宋体"/>
            <family val="3"/>
            <charset val="134"/>
          </rPr>
          <t>年及以后年度发行的地方政府债券利息收入。</t>
        </r>
        <r>
          <rPr>
            <sz val="9"/>
            <color indexed="81"/>
            <rFont val="Tahoma"/>
            <family val="2"/>
          </rPr>
          <t xml:space="preserve">
</t>
        </r>
      </text>
    </comment>
    <comment ref="B15" authorId="0">
      <text>
        <r>
          <rPr>
            <sz val="9"/>
            <color indexed="81"/>
            <rFont val="宋体"/>
            <family val="3"/>
            <charset val="134"/>
          </rPr>
          <t>填报中国保险保障基金有限责任公司根据《财政部</t>
        </r>
        <r>
          <rPr>
            <sz val="9"/>
            <color indexed="81"/>
            <rFont val="Tahoma"/>
            <family val="2"/>
          </rPr>
          <t xml:space="preserve"> </t>
        </r>
        <r>
          <rPr>
            <sz val="9"/>
            <color indexed="81"/>
            <rFont val="宋体"/>
            <family val="3"/>
            <charset val="134"/>
          </rPr>
          <t>国家税务总局关于保险保障基金有关税收政策问题的通知》（财税〔</t>
        </r>
        <r>
          <rPr>
            <sz val="9"/>
            <color indexed="81"/>
            <rFont val="Tahoma"/>
            <family val="2"/>
          </rPr>
          <t>2016</t>
        </r>
        <r>
          <rPr>
            <sz val="9"/>
            <color indexed="81"/>
            <rFont val="宋体"/>
            <family val="3"/>
            <charset val="134"/>
          </rPr>
          <t>〕</t>
        </r>
        <r>
          <rPr>
            <sz val="9"/>
            <color indexed="81"/>
            <rFont val="Tahoma"/>
            <family val="2"/>
          </rPr>
          <t>10</t>
        </r>
        <r>
          <rPr>
            <sz val="9"/>
            <color indexed="81"/>
            <rFont val="宋体"/>
            <family val="3"/>
            <charset val="134"/>
          </rPr>
          <t>号）等相关税收政策规定的，根据《保险保障基金管理办法》取得的境内保险公司依法缴纳的保险保障基金；依法从撤销或破产保险公司清算财产中获得的受偿收入和向有关责任方追偿所得，以及依法从保险公司风险处置中获得的财产转让所得；捐赠所得；银行存款利息收入；购买政府债券、中央银行、中央企业和中央级金融机构发行债券的利息收入；国务院批准的其他资金运用取得的收入。</t>
        </r>
        <r>
          <rPr>
            <sz val="9"/>
            <color indexed="81"/>
            <rFont val="Tahoma"/>
            <family val="2"/>
          </rPr>
          <t xml:space="preserve">
</t>
        </r>
      </text>
    </comment>
    <comment ref="B16"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国家税务总局关于中央电视台广告费和有线电视费收入企业所得税政策问题的通知》（财税〔</t>
        </r>
        <r>
          <rPr>
            <sz val="9"/>
            <color indexed="81"/>
            <rFont val="Tahoma"/>
            <family val="2"/>
          </rPr>
          <t>2016</t>
        </r>
        <r>
          <rPr>
            <sz val="9"/>
            <color indexed="81"/>
            <rFont val="宋体"/>
            <family val="3"/>
            <charset val="134"/>
          </rPr>
          <t>〕</t>
        </r>
        <r>
          <rPr>
            <sz val="9"/>
            <color indexed="81"/>
            <rFont val="Tahoma"/>
            <family val="2"/>
          </rPr>
          <t>80</t>
        </r>
        <r>
          <rPr>
            <sz val="9"/>
            <color indexed="81"/>
            <rFont val="宋体"/>
            <family val="3"/>
            <charset val="134"/>
          </rPr>
          <t>号）等相关税收政策规定的，中央电视台的广告费和有线电视费收入。</t>
        </r>
        <r>
          <rPr>
            <sz val="9"/>
            <color indexed="81"/>
            <rFont val="Tahoma"/>
            <family val="2"/>
          </rPr>
          <t xml:space="preserve">
</t>
        </r>
      </text>
    </comment>
    <comment ref="B17"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对按中国奥委会、主办城市签订的《联合市场开发计划协议》和中国奥委会、主办城市、国际奥委会签订的《主办城市合同》规定，中国奥委会取得的由北京冬奥组委分期支付的收入、按比例支付的盈余分成收入。</t>
        </r>
        <r>
          <rPr>
            <sz val="9"/>
            <color indexed="81"/>
            <rFont val="Tahoma"/>
            <family val="2"/>
          </rPr>
          <t xml:space="preserve">
</t>
        </r>
      </text>
    </comment>
    <comment ref="B18"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号）等相关税收政策规定的，中国残奥委会根据《联合市场开发计划协议》取得的由北京冬奥组委分期支付的收入。</t>
        </r>
        <r>
          <rPr>
            <sz val="9"/>
            <color indexed="81"/>
            <rFont val="Tahoma"/>
            <family val="2"/>
          </rPr>
          <t xml:space="preserve">
</t>
        </r>
      </text>
    </comment>
    <comment ref="B19" authorId="0">
      <text>
        <r>
          <rPr>
            <sz val="9"/>
            <color indexed="81"/>
            <rFont val="宋体"/>
            <family val="3"/>
            <charset val="134"/>
          </rPr>
          <t>填报纳税人享受的其他减免税项目名称、减免税代码及免税收入金额。</t>
        </r>
        <r>
          <rPr>
            <sz val="9"/>
            <color indexed="81"/>
            <rFont val="Tahoma"/>
            <family val="2"/>
          </rPr>
          <t xml:space="preserve">
</t>
        </r>
      </text>
    </comment>
    <comment ref="B20" authorId="0">
      <text>
        <r>
          <rPr>
            <sz val="9"/>
            <color indexed="81"/>
            <rFont val="宋体"/>
            <family val="3"/>
            <charset val="134"/>
          </rPr>
          <t>填报第</t>
        </r>
        <r>
          <rPr>
            <sz val="9"/>
            <color indexed="81"/>
            <rFont val="Tahoma"/>
            <family val="2"/>
          </rPr>
          <t>18+19+23+24</t>
        </r>
        <r>
          <rPr>
            <sz val="9"/>
            <color indexed="81"/>
            <rFont val="宋体"/>
            <family val="3"/>
            <charset val="134"/>
          </rPr>
          <t>行的合计金额。</t>
        </r>
        <r>
          <rPr>
            <sz val="9"/>
            <color indexed="81"/>
            <rFont val="Tahoma"/>
            <family val="2"/>
          </rPr>
          <t xml:space="preserve">
</t>
        </r>
      </text>
    </comment>
    <comment ref="B21" authorId="0">
      <text>
        <r>
          <rPr>
            <sz val="9"/>
            <color indexed="81"/>
            <rFont val="宋体"/>
            <family val="3"/>
            <charset val="134"/>
          </rPr>
          <t>填报纳税人综合利用资源生产产品取得的收入总额乘以</t>
        </r>
        <r>
          <rPr>
            <sz val="9"/>
            <color indexed="81"/>
            <rFont val="Tahoma"/>
            <family val="2"/>
          </rPr>
          <t>10%</t>
        </r>
        <r>
          <rPr>
            <sz val="9"/>
            <color indexed="81"/>
            <rFont val="宋体"/>
            <family val="3"/>
            <charset val="134"/>
          </rPr>
          <t>的金额。</t>
        </r>
      </text>
    </comment>
    <comment ref="B22" authorId="0">
      <text>
        <r>
          <rPr>
            <sz val="9"/>
            <color indexed="81"/>
            <rFont val="宋体"/>
            <family val="3"/>
            <charset val="134"/>
          </rPr>
          <t>填报金融、保险等机构取得的涉农利息、保费收入减计收入的金额。本行填报第</t>
        </r>
        <r>
          <rPr>
            <sz val="9"/>
            <color indexed="81"/>
            <rFont val="Tahoma"/>
            <family val="2"/>
          </rPr>
          <t>20+21+22</t>
        </r>
        <r>
          <rPr>
            <sz val="9"/>
            <color indexed="81"/>
            <rFont val="宋体"/>
            <family val="3"/>
            <charset val="134"/>
          </rPr>
          <t>行的合计金额。</t>
        </r>
      </text>
    </comment>
    <comment ref="B23" authorId="0">
      <text>
        <r>
          <rPr>
            <sz val="9"/>
            <color indexed="81"/>
            <rFont val="宋体"/>
            <family val="3"/>
            <charset val="134"/>
          </rPr>
          <t>填报纳税人取得农户小额贷款利息收入总额乘以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4" authorId="0">
      <text>
        <r>
          <rPr>
            <sz val="9"/>
            <color indexed="81"/>
            <rFont val="宋体"/>
            <family val="3"/>
            <charset val="134"/>
          </rPr>
          <t>填报保险公司为种植业、养殖业提供保险业务取得的保费收入总额乘以</t>
        </r>
        <r>
          <rPr>
            <sz val="9"/>
            <color indexed="81"/>
            <rFont val="Tahoma"/>
            <family val="2"/>
          </rPr>
          <t>10%</t>
        </r>
        <r>
          <rPr>
            <sz val="9"/>
            <color indexed="81"/>
            <rFont val="宋体"/>
            <family val="3"/>
            <charset val="134"/>
          </rPr>
          <t>的金额。其中保费收入总额＝原保费收入</t>
        </r>
        <r>
          <rPr>
            <sz val="9"/>
            <color indexed="81"/>
            <rFont val="Tahoma"/>
            <family val="2"/>
          </rPr>
          <t>+</t>
        </r>
        <r>
          <rPr>
            <sz val="9"/>
            <color indexed="81"/>
            <rFont val="宋体"/>
            <family val="3"/>
            <charset val="134"/>
          </rPr>
          <t>分包费收入</t>
        </r>
        <r>
          <rPr>
            <sz val="9"/>
            <color indexed="81"/>
            <rFont val="Tahoma"/>
            <family val="2"/>
          </rPr>
          <t>-</t>
        </r>
        <r>
          <rPr>
            <sz val="9"/>
            <color indexed="81"/>
            <rFont val="宋体"/>
            <family val="3"/>
            <charset val="134"/>
          </rPr>
          <t>分出保费收入。</t>
        </r>
        <r>
          <rPr>
            <sz val="9"/>
            <color indexed="81"/>
            <rFont val="Tahoma"/>
            <family val="2"/>
          </rPr>
          <t xml:space="preserve">
</t>
        </r>
      </text>
    </comment>
    <comment ref="B25"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国家税务总局关于小额贷款公司有关税收政策的通知》（财税〔</t>
        </r>
        <r>
          <rPr>
            <sz val="9"/>
            <color indexed="81"/>
            <rFont val="Tahoma"/>
            <family val="2"/>
          </rPr>
          <t>2017</t>
        </r>
        <r>
          <rPr>
            <sz val="9"/>
            <color indexed="81"/>
            <rFont val="宋体"/>
            <family val="3"/>
            <charset val="134"/>
          </rPr>
          <t>〕</t>
        </r>
        <r>
          <rPr>
            <sz val="9"/>
            <color indexed="81"/>
            <rFont val="Tahoma"/>
            <family val="2"/>
          </rPr>
          <t>48</t>
        </r>
        <r>
          <rPr>
            <sz val="9"/>
            <color indexed="81"/>
            <rFont val="宋体"/>
            <family val="3"/>
            <charset val="134"/>
          </rPr>
          <t>号）等相关税收政策规定的，对经省级金融管理部门</t>
        </r>
        <r>
          <rPr>
            <sz val="9"/>
            <color indexed="81"/>
            <rFont val="Tahoma"/>
            <family val="2"/>
          </rPr>
          <t>(</t>
        </r>
        <r>
          <rPr>
            <sz val="9"/>
            <color indexed="81"/>
            <rFont val="宋体"/>
            <family val="3"/>
            <charset val="134"/>
          </rPr>
          <t>金融办、局等</t>
        </r>
        <r>
          <rPr>
            <sz val="9"/>
            <color indexed="81"/>
            <rFont val="Tahoma"/>
            <family val="2"/>
          </rPr>
          <t>)</t>
        </r>
        <r>
          <rPr>
            <sz val="9"/>
            <color indexed="81"/>
            <rFont val="宋体"/>
            <family val="3"/>
            <charset val="134"/>
          </rPr>
          <t>批准成立的小额贷款公司取得的农户小额贷款利息收入乘以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6"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国家税务总局关于铁路建设债券利息收入企业所得税政策的通知》（财税〔</t>
        </r>
        <r>
          <rPr>
            <sz val="9"/>
            <color indexed="81"/>
            <rFont val="Tahoma"/>
            <family val="2"/>
          </rPr>
          <t>2011</t>
        </r>
        <r>
          <rPr>
            <sz val="9"/>
            <color indexed="81"/>
            <rFont val="宋体"/>
            <family val="3"/>
            <charset val="134"/>
          </rPr>
          <t>〕</t>
        </r>
        <r>
          <rPr>
            <sz val="9"/>
            <color indexed="81"/>
            <rFont val="Tahoma"/>
            <family val="2"/>
          </rPr>
          <t>99</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t>
        </r>
        <r>
          <rPr>
            <sz val="9"/>
            <color indexed="81"/>
            <rFont val="Tahoma"/>
            <family val="2"/>
          </rPr>
          <t>2014 2015</t>
        </r>
        <r>
          <rPr>
            <sz val="9"/>
            <color indexed="81"/>
            <rFont val="宋体"/>
            <family val="3"/>
            <charset val="134"/>
          </rPr>
          <t>年铁路建设债券利息收入企业所得税政策的通知》（财税〔</t>
        </r>
        <r>
          <rPr>
            <sz val="9"/>
            <color indexed="81"/>
            <rFont val="Tahoma"/>
            <family val="2"/>
          </rPr>
          <t>2014</t>
        </r>
        <r>
          <rPr>
            <sz val="9"/>
            <color indexed="81"/>
            <rFont val="宋体"/>
            <family val="3"/>
            <charset val="134"/>
          </rPr>
          <t>〕</t>
        </r>
        <r>
          <rPr>
            <sz val="9"/>
            <color indexed="81"/>
            <rFont val="Tahoma"/>
            <family val="2"/>
          </rPr>
          <t>2</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国家税务总局关于铁路债券利息收入所得税政策问题的通知》</t>
        </r>
        <r>
          <rPr>
            <sz val="9"/>
            <color indexed="81"/>
            <rFont val="Tahoma"/>
            <family val="2"/>
          </rPr>
          <t>(</t>
        </r>
        <r>
          <rPr>
            <sz val="9"/>
            <color indexed="81"/>
            <rFont val="宋体"/>
            <family val="3"/>
            <charset val="134"/>
          </rPr>
          <t>财税〔</t>
        </r>
        <r>
          <rPr>
            <sz val="9"/>
            <color indexed="81"/>
            <rFont val="Tahoma"/>
            <family val="2"/>
          </rPr>
          <t>2016</t>
        </r>
        <r>
          <rPr>
            <sz val="9"/>
            <color indexed="81"/>
            <rFont val="宋体"/>
            <family val="3"/>
            <charset val="134"/>
          </rPr>
          <t>〕</t>
        </r>
        <r>
          <rPr>
            <sz val="9"/>
            <color indexed="81"/>
            <rFont val="Tahoma"/>
            <family val="2"/>
          </rPr>
          <t>30</t>
        </r>
        <r>
          <rPr>
            <sz val="9"/>
            <color indexed="81"/>
            <rFont val="宋体"/>
            <family val="3"/>
            <charset val="134"/>
          </rPr>
          <t>号</t>
        </r>
        <r>
          <rPr>
            <sz val="9"/>
            <color indexed="81"/>
            <rFont val="Tahoma"/>
            <family val="2"/>
          </rPr>
          <t>)</t>
        </r>
        <r>
          <rPr>
            <sz val="9"/>
            <color indexed="81"/>
            <rFont val="宋体"/>
            <family val="3"/>
            <charset val="134"/>
          </rPr>
          <t>等相关税收政策规定的，对企业持有中国铁路建设铁路债券等企业债券取得的利息收入，减半征收企业所得税。本行填报政策规定减计</t>
        </r>
        <r>
          <rPr>
            <sz val="9"/>
            <color indexed="81"/>
            <rFont val="Tahoma"/>
            <family val="2"/>
          </rPr>
          <t>50%</t>
        </r>
        <r>
          <rPr>
            <sz val="9"/>
            <color indexed="81"/>
            <rFont val="宋体"/>
            <family val="3"/>
            <charset val="134"/>
          </rPr>
          <t>收入的金额。</t>
        </r>
        <r>
          <rPr>
            <sz val="9"/>
            <color indexed="81"/>
            <rFont val="Tahoma"/>
            <family val="2"/>
          </rPr>
          <t xml:space="preserve">
</t>
        </r>
      </text>
    </comment>
    <comment ref="B27" authorId="0">
      <text>
        <r>
          <rPr>
            <sz val="9"/>
            <color indexed="81"/>
            <rFont val="宋体"/>
            <family val="3"/>
            <charset val="134"/>
          </rPr>
          <t>填报纳税人享受的其他减免税项目名称、减免税代码及减计收入金额。</t>
        </r>
        <r>
          <rPr>
            <sz val="9"/>
            <color indexed="81"/>
            <rFont val="Tahoma"/>
            <family val="2"/>
          </rPr>
          <t xml:space="preserve">
</t>
        </r>
      </text>
    </comment>
    <comment ref="B28" authorId="0">
      <text>
        <r>
          <rPr>
            <sz val="9"/>
            <color indexed="81"/>
            <rFont val="宋体"/>
            <family val="3"/>
            <charset val="134"/>
          </rPr>
          <t>填报第</t>
        </r>
        <r>
          <rPr>
            <sz val="9"/>
            <color indexed="81"/>
            <rFont val="Tahoma"/>
            <family val="2"/>
          </rPr>
          <t>26+27+28+29+30</t>
        </r>
        <r>
          <rPr>
            <sz val="9"/>
            <color indexed="81"/>
            <rFont val="宋体"/>
            <family val="3"/>
            <charset val="134"/>
          </rPr>
          <t>行的合计金额。</t>
        </r>
        <r>
          <rPr>
            <sz val="9"/>
            <color indexed="81"/>
            <rFont val="Tahoma"/>
            <family val="2"/>
          </rPr>
          <t xml:space="preserve">
</t>
        </r>
      </text>
    </comment>
    <comment ref="B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r>
          <rPr>
            <sz val="9"/>
            <color indexed="81"/>
            <rFont val="Tahoma"/>
            <family val="2"/>
          </rPr>
          <t xml:space="preserve">
</t>
        </r>
      </text>
    </comment>
    <comment ref="C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时，第</t>
        </r>
        <r>
          <rPr>
            <sz val="9"/>
            <color indexed="81"/>
            <rFont val="Tahoma"/>
            <family val="2"/>
          </rPr>
          <t>26</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27</t>
        </r>
        <r>
          <rPr>
            <sz val="9"/>
            <color indexed="81"/>
            <rFont val="宋体"/>
            <family val="3"/>
            <charset val="134"/>
          </rPr>
          <t>行不得填报。</t>
        </r>
        <r>
          <rPr>
            <sz val="9"/>
            <color indexed="81"/>
            <rFont val="Tahoma"/>
            <family val="2"/>
          </rPr>
          <t xml:space="preserve">
</t>
        </r>
      </text>
    </comment>
    <comment ref="B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text>
    </comment>
    <comment ref="C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时，第</t>
        </r>
        <r>
          <rPr>
            <sz val="9"/>
            <color indexed="81"/>
            <rFont val="Tahoma"/>
            <family val="2"/>
          </rPr>
          <t>27</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26</t>
        </r>
        <r>
          <rPr>
            <sz val="9"/>
            <color indexed="81"/>
            <rFont val="宋体"/>
            <family val="3"/>
            <charset val="134"/>
          </rPr>
          <t>行不得填报。</t>
        </r>
        <r>
          <rPr>
            <sz val="9"/>
            <color indexed="81"/>
            <rFont val="Tahoma"/>
            <family val="2"/>
          </rPr>
          <t xml:space="preserve"> 
</t>
        </r>
      </text>
    </comment>
    <comment ref="B31"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科技部关于完善研究开发费用税前加计扣除政策的通知》（财税〔</t>
        </r>
        <r>
          <rPr>
            <sz val="9"/>
            <color indexed="81"/>
            <rFont val="Tahoma"/>
            <family val="2"/>
          </rPr>
          <t>2015</t>
        </r>
        <r>
          <rPr>
            <sz val="9"/>
            <color indexed="81"/>
            <rFont val="宋体"/>
            <family val="3"/>
            <charset val="134"/>
          </rPr>
          <t>〕</t>
        </r>
        <r>
          <rPr>
            <sz val="9"/>
            <color indexed="81"/>
            <rFont val="Tahoma"/>
            <family val="2"/>
          </rPr>
          <t>119</t>
        </r>
        <r>
          <rPr>
            <sz val="9"/>
            <color indexed="81"/>
            <rFont val="宋体"/>
            <family val="3"/>
            <charset val="134"/>
          </rPr>
          <t>号）第二条第四项规定，为获得创新性、创意性、突破性的产品进行创意设计活动而发生的相关费用按照规定进行税前加计扣除的金额。</t>
        </r>
        <r>
          <rPr>
            <sz val="9"/>
            <color indexed="81"/>
            <rFont val="Tahoma"/>
            <family val="2"/>
          </rPr>
          <t xml:space="preserve">
</t>
        </r>
      </text>
    </comment>
    <comment ref="B3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国家税务总局关于安置残疾人员就业有关企业所得税优惠政策问题的通知》（财税〔</t>
        </r>
        <r>
          <rPr>
            <sz val="9"/>
            <color indexed="81"/>
            <rFont val="Tahoma"/>
            <family val="2"/>
          </rPr>
          <t>2009</t>
        </r>
        <r>
          <rPr>
            <sz val="9"/>
            <color indexed="81"/>
            <rFont val="宋体"/>
            <family val="3"/>
            <charset val="134"/>
          </rPr>
          <t>〕</t>
        </r>
        <r>
          <rPr>
            <sz val="9"/>
            <color indexed="81"/>
            <rFont val="Tahoma"/>
            <family val="2"/>
          </rPr>
          <t>70</t>
        </r>
        <r>
          <rPr>
            <sz val="9"/>
            <color indexed="81"/>
            <rFont val="宋体"/>
            <family val="3"/>
            <charset val="134"/>
          </rPr>
          <t>号）等相关税收政策规定的，安置残疾人员的，在支付给残疾职工工资据实扣除的基础上，按照支付给残疾职工工资的</t>
        </r>
        <r>
          <rPr>
            <sz val="9"/>
            <color indexed="81"/>
            <rFont val="Tahoma"/>
            <family val="2"/>
          </rPr>
          <t>100%</t>
        </r>
        <r>
          <rPr>
            <sz val="9"/>
            <color indexed="81"/>
            <rFont val="宋体"/>
            <family val="3"/>
            <charset val="134"/>
          </rPr>
          <t>加计扣除的金额。</t>
        </r>
        <r>
          <rPr>
            <sz val="9"/>
            <color indexed="81"/>
            <rFont val="Tahoma"/>
            <family val="2"/>
          </rPr>
          <t xml:space="preserve">
</t>
        </r>
      </text>
    </comment>
    <comment ref="B33" authorId="0">
      <text>
        <r>
          <rPr>
            <sz val="9"/>
            <color indexed="81"/>
            <rFont val="宋体"/>
            <family val="3"/>
            <charset val="134"/>
          </rPr>
          <t>填报纳税人享受的其他加计扣除项目名称、减免税代码及加计扣除的金额。</t>
        </r>
        <r>
          <rPr>
            <sz val="9"/>
            <color indexed="81"/>
            <rFont val="Tahoma"/>
            <family val="2"/>
          </rPr>
          <t xml:space="preserve">
</t>
        </r>
      </text>
    </comment>
    <comment ref="B34" authorId="0">
      <text>
        <r>
          <rPr>
            <sz val="9"/>
            <color indexed="81"/>
            <rFont val="宋体"/>
            <family val="3"/>
            <charset val="134"/>
          </rPr>
          <t>填报第</t>
        </r>
        <r>
          <rPr>
            <sz val="9"/>
            <color indexed="81"/>
            <rFont val="Tahoma"/>
            <family val="2"/>
          </rPr>
          <t>1+17+25</t>
        </r>
        <r>
          <rPr>
            <sz val="9"/>
            <color indexed="81"/>
            <rFont val="宋体"/>
            <family val="3"/>
            <charset val="134"/>
          </rPr>
          <t>行的合计金额。</t>
        </r>
        <r>
          <rPr>
            <sz val="9"/>
            <color indexed="81"/>
            <rFont val="Tahoma"/>
            <family val="2"/>
          </rPr>
          <t xml:space="preserve">
</t>
        </r>
      </text>
    </comment>
    <comment ref="C34" authorId="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17</t>
        </r>
        <r>
          <rPr>
            <sz val="9"/>
            <color indexed="81"/>
            <rFont val="宋体"/>
            <family val="3"/>
            <charset val="134"/>
          </rPr>
          <t>行。</t>
        </r>
        <r>
          <rPr>
            <sz val="9"/>
            <color indexed="81"/>
            <rFont val="Tahoma"/>
            <family val="2"/>
          </rPr>
          <t xml:space="preserve">
</t>
        </r>
      </text>
    </comment>
  </commentList>
</comments>
</file>

<file path=xl/comments5.xml><?xml version="1.0" encoding="utf-8"?>
<comments xmlns="http://schemas.openxmlformats.org/spreadsheetml/2006/main">
  <authors>
    <author>Zhang, Dorothy</author>
    <author>Cindy Wang</author>
  </authors>
  <commentList>
    <comment ref="A3" authorId="0">
      <text>
        <r>
          <rPr>
            <sz val="9"/>
            <color indexed="81"/>
            <rFont val="宋体"/>
            <family val="3"/>
            <charset val="134"/>
          </rPr>
          <t>行次根据投资企业名称和投资性质填报，可以根据情况增加。</t>
        </r>
        <r>
          <rPr>
            <sz val="9"/>
            <color indexed="81"/>
            <rFont val="Tahoma"/>
            <family val="2"/>
          </rPr>
          <t xml:space="preserve">
</t>
        </r>
      </text>
    </comment>
    <comment ref="B3" authorId="1">
      <text>
        <r>
          <rPr>
            <sz val="9"/>
            <color indexed="81"/>
            <rFont val="宋体"/>
            <family val="3"/>
            <charset val="134"/>
          </rPr>
          <t>填报被投资企业名称。</t>
        </r>
      </text>
    </comment>
    <comment ref="C3" authorId="0">
      <text>
        <r>
          <rPr>
            <sz val="9"/>
            <color indexed="81"/>
            <rFont val="宋体"/>
            <family val="3"/>
            <charset val="134"/>
          </rPr>
          <t>填报被投资企业工商等部门核发的纳税人统一社会信用代码。未取得统一社会信用代码的，填报税务机关核发的纳税人识别号。</t>
        </r>
        <r>
          <rPr>
            <sz val="9"/>
            <color indexed="81"/>
            <rFont val="Tahoma"/>
            <family val="2"/>
          </rPr>
          <t xml:space="preserve">
</t>
        </r>
      </text>
    </comment>
    <comment ref="D3" authorId="1">
      <text>
        <r>
          <rPr>
            <sz val="9"/>
            <color indexed="81"/>
            <rFont val="宋体"/>
            <family val="3"/>
            <charset val="134"/>
          </rPr>
          <t xml:space="preserve">按选项填报：（1）直接投资、（2）股票投资（不含H股）、（3）股票投资（沪港通H股投资）、（4）股票投资（深港通H股投资）。
符合《财政部 国家税务总局 证监会关于沪港股票市场交易互联互通机制试点有关税收政策的通知》（财税〔2014〕81号）文件第一条第（四）项第1目规定，享受沪港通H股股息红利免税政策的企业，选择“（3）股票投资（沪港通H股投资）”。
符合《财政部 国家税务总局 证监会关于深港股票市场交易互联互通机制试点有关税收政策的通知》（财税〔2016〕127号）文件第一条第(四)项第1目规定，享受深港通H股股息红利免税政策的企业，选择“（4）股票投资（深港通H股投资）”。
</t>
        </r>
      </text>
    </comment>
    <comment ref="E3" authorId="1">
      <text>
        <r>
          <rPr>
            <sz val="9"/>
            <color indexed="81"/>
            <rFont val="宋体"/>
            <family val="3"/>
            <charset val="134"/>
          </rPr>
          <t>填报纳税人投资于被投资企业的计税成本。</t>
        </r>
      </text>
    </comment>
    <comment ref="F3" authorId="1">
      <text>
        <r>
          <rPr>
            <sz val="9"/>
            <color indexed="81"/>
            <rFont val="宋体"/>
            <family val="3"/>
            <charset val="134"/>
          </rPr>
          <t>填报纳税人投资于被投资企业的股权比例。若购买公开发行股票的，此列可不填报。</t>
        </r>
      </text>
    </comment>
    <comment ref="R3" authorId="1">
      <text>
        <r>
          <rPr>
            <sz val="9"/>
            <color indexed="81"/>
            <rFont val="宋体"/>
            <family val="3"/>
            <charset val="134"/>
          </rPr>
          <t>填报第7+10+16列的合计金额。</t>
        </r>
      </text>
    </comment>
    <comment ref="G4" authorId="1">
      <text>
        <r>
          <rPr>
            <sz val="9"/>
            <color indexed="81"/>
            <rFont val="宋体"/>
            <family val="3"/>
            <charset val="134"/>
          </rPr>
          <t>填报被投资企业做出利润分配或转股决定的时间。</t>
        </r>
      </text>
    </comment>
    <comment ref="H4" authorId="1">
      <text>
        <r>
          <rPr>
            <sz val="9"/>
            <color indexed="81"/>
            <rFont val="宋体"/>
            <family val="3"/>
            <charset val="134"/>
          </rPr>
          <t>填报纳税人按照投资比例或者其他方法计算的，实际归属于本公司的股息、红利等权益性投资收益金额。若被投资企业将股权（票）溢价所形成的资本公积转为股本的，不作为投资方企业的股息、红利收入，投资方企业也不得增加该项长期投资的计税基础。</t>
        </r>
      </text>
    </comment>
    <comment ref="I4" authorId="1">
      <text>
        <r>
          <rPr>
            <sz val="9"/>
            <color indexed="81"/>
            <rFont val="宋体"/>
            <family val="3"/>
            <charset val="134"/>
          </rPr>
          <t>填报纳税人分得的被投资企业清算后的剩余资产。</t>
        </r>
      </text>
    </comment>
    <comment ref="J4" authorId="1">
      <text>
        <r>
          <rPr>
            <sz val="9"/>
            <color indexed="81"/>
            <rFont val="宋体"/>
            <family val="3"/>
            <charset val="134"/>
          </rPr>
          <t>填报被清算企业累计未分配利润和累计盈余公积中本企业应享有的金额。</t>
        </r>
      </text>
    </comment>
    <comment ref="K4" authorId="1">
      <text>
        <r>
          <rPr>
            <sz val="9"/>
            <color indexed="81"/>
            <rFont val="宋体"/>
            <family val="3"/>
            <charset val="134"/>
          </rPr>
          <t>填报第8列与第9列孰小值。</t>
        </r>
      </text>
    </comment>
    <comment ref="L4" authorId="1">
      <text>
        <r>
          <rPr>
            <sz val="9"/>
            <color indexed="81"/>
            <rFont val="宋体"/>
            <family val="3"/>
            <charset val="134"/>
          </rPr>
          <t>填报纳税人从被投资企业撤回或减少投资时取得的资产。</t>
        </r>
      </text>
    </comment>
    <comment ref="M4" authorId="1">
      <text>
        <r>
          <rPr>
            <sz val="9"/>
            <color indexed="81"/>
            <rFont val="宋体"/>
            <family val="3"/>
            <charset val="134"/>
          </rPr>
          <t>填报纳税人撤回或减少的投资额占投资方在被投资企业持有总投资比例。</t>
        </r>
      </text>
    </comment>
    <comment ref="N4" authorId="1">
      <text>
        <r>
          <rPr>
            <sz val="9"/>
            <color indexed="81"/>
            <rFont val="宋体"/>
            <family val="3"/>
            <charset val="134"/>
          </rPr>
          <t>填报第4×12列的金额。</t>
        </r>
      </text>
    </comment>
    <comment ref="O4" authorId="1">
      <text>
        <r>
          <rPr>
            <sz val="9"/>
            <color indexed="81"/>
            <rFont val="宋体"/>
            <family val="3"/>
            <charset val="134"/>
          </rPr>
          <t>填报第11-13列的余额。</t>
        </r>
      </text>
    </comment>
    <comment ref="P4" authorId="1">
      <text>
        <r>
          <rPr>
            <sz val="9"/>
            <color indexed="81"/>
            <rFont val="宋体"/>
            <family val="3"/>
            <charset val="134"/>
          </rPr>
          <t>填报被投资企业累计未分配利润和累计盈余公积按减少实收资本比例计算的部分。</t>
        </r>
      </text>
    </comment>
    <comment ref="Q4" authorId="1">
      <text>
        <r>
          <rPr>
            <sz val="9"/>
            <color indexed="81"/>
            <rFont val="宋体"/>
            <family val="3"/>
            <charset val="134"/>
          </rPr>
          <t>填报第14列与第15列孰小值。</t>
        </r>
      </text>
    </comment>
    <comment ref="A13" authorId="0">
      <text>
        <r>
          <rPr>
            <sz val="9"/>
            <color indexed="81"/>
            <rFont val="宋体"/>
            <family val="3"/>
            <charset val="134"/>
          </rPr>
          <t>填报第</t>
        </r>
        <r>
          <rPr>
            <sz val="9"/>
            <color indexed="81"/>
            <rFont val="Tahoma"/>
            <family val="2"/>
          </rPr>
          <t>1+2+…+7</t>
        </r>
        <r>
          <rPr>
            <sz val="9"/>
            <color indexed="81"/>
            <rFont val="宋体"/>
            <family val="3"/>
            <charset val="134"/>
          </rPr>
          <t>行的第</t>
        </r>
        <r>
          <rPr>
            <sz val="9"/>
            <color indexed="81"/>
            <rFont val="Tahoma"/>
            <family val="2"/>
          </rPr>
          <t>17</t>
        </r>
        <r>
          <rPr>
            <sz val="9"/>
            <color indexed="81"/>
            <rFont val="宋体"/>
            <family val="3"/>
            <charset val="134"/>
          </rPr>
          <t>列合计金额，若增行，根据增行后的情况合计。</t>
        </r>
        <r>
          <rPr>
            <sz val="9"/>
            <color indexed="81"/>
            <rFont val="Tahoma"/>
            <family val="2"/>
          </rPr>
          <t xml:space="preserve">
</t>
        </r>
      </text>
    </comment>
    <comment ref="R13" authorId="0">
      <text>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列＝表</t>
        </r>
        <r>
          <rPr>
            <sz val="9"/>
            <color indexed="81"/>
            <rFont val="Tahoma"/>
            <family val="2"/>
          </rPr>
          <t>A107010</t>
        </r>
        <r>
          <rPr>
            <sz val="9"/>
            <color indexed="81"/>
            <rFont val="宋体"/>
            <family val="3"/>
            <charset val="134"/>
          </rPr>
          <t>第</t>
        </r>
        <r>
          <rPr>
            <sz val="9"/>
            <color indexed="81"/>
            <rFont val="Tahoma"/>
            <family val="2"/>
          </rPr>
          <t>3</t>
        </r>
        <r>
          <rPr>
            <sz val="9"/>
            <color indexed="81"/>
            <rFont val="宋体"/>
            <family val="3"/>
            <charset val="134"/>
          </rPr>
          <t>行。</t>
        </r>
        <r>
          <rPr>
            <sz val="9"/>
            <color indexed="81"/>
            <rFont val="Tahoma"/>
            <family val="2"/>
          </rPr>
          <t xml:space="preserve">
</t>
        </r>
      </text>
    </comment>
    <comment ref="A14" authorId="0">
      <text>
        <r>
          <rPr>
            <sz val="9"/>
            <color indexed="81"/>
            <rFont val="宋体"/>
            <family val="3"/>
            <charset val="134"/>
          </rPr>
          <t>填报第</t>
        </r>
        <r>
          <rPr>
            <sz val="9"/>
            <color indexed="81"/>
            <rFont val="Tahoma"/>
            <family val="2"/>
          </rPr>
          <t>1+2</t>
        </r>
        <r>
          <rPr>
            <sz val="9"/>
            <color indexed="81"/>
            <rFont val="宋体"/>
            <family val="3"/>
            <charset val="134"/>
          </rPr>
          <t>…</t>
        </r>
        <r>
          <rPr>
            <sz val="9"/>
            <color indexed="81"/>
            <rFont val="Tahoma"/>
            <family val="2"/>
          </rPr>
          <t>+7</t>
        </r>
        <r>
          <rPr>
            <sz val="9"/>
            <color indexed="81"/>
            <rFont val="宋体"/>
            <family val="3"/>
            <charset val="134"/>
          </rPr>
          <t>行中，“投资性质”列选择“（</t>
        </r>
        <r>
          <rPr>
            <sz val="9"/>
            <color indexed="81"/>
            <rFont val="Tahoma"/>
            <family val="2"/>
          </rPr>
          <t>3</t>
        </r>
        <r>
          <rPr>
            <sz val="9"/>
            <color indexed="81"/>
            <rFont val="宋体"/>
            <family val="3"/>
            <charset val="134"/>
          </rPr>
          <t>）股票投资（沪港通</t>
        </r>
        <r>
          <rPr>
            <sz val="9"/>
            <color indexed="81"/>
            <rFont val="Tahoma"/>
            <family val="2"/>
          </rPr>
          <t>H</t>
        </r>
        <r>
          <rPr>
            <sz val="9"/>
            <color indexed="81"/>
            <rFont val="宋体"/>
            <family val="3"/>
            <charset val="134"/>
          </rPr>
          <t>股投资）”的行次，第</t>
        </r>
        <r>
          <rPr>
            <sz val="9"/>
            <color indexed="81"/>
            <rFont val="Tahoma"/>
            <family val="2"/>
          </rPr>
          <t>17</t>
        </r>
        <r>
          <rPr>
            <sz val="9"/>
            <color indexed="81"/>
            <rFont val="宋体"/>
            <family val="3"/>
            <charset val="134"/>
          </rPr>
          <t>列合计金额。</t>
        </r>
      </text>
    </comment>
    <comment ref="R14" authorId="0">
      <text>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列＝表</t>
        </r>
        <r>
          <rPr>
            <sz val="9"/>
            <color indexed="81"/>
            <rFont val="Tahoma"/>
            <family val="2"/>
          </rPr>
          <t>A107010</t>
        </r>
        <r>
          <rPr>
            <sz val="9"/>
            <color indexed="81"/>
            <rFont val="宋体"/>
            <family val="3"/>
            <charset val="134"/>
          </rPr>
          <t>第</t>
        </r>
        <r>
          <rPr>
            <sz val="9"/>
            <color indexed="81"/>
            <rFont val="Tahoma"/>
            <family val="2"/>
          </rPr>
          <t>4</t>
        </r>
        <r>
          <rPr>
            <sz val="9"/>
            <color indexed="81"/>
            <rFont val="宋体"/>
            <family val="3"/>
            <charset val="134"/>
          </rPr>
          <t>行。</t>
        </r>
        <r>
          <rPr>
            <sz val="9"/>
            <color indexed="81"/>
            <rFont val="Tahoma"/>
            <family val="2"/>
          </rPr>
          <t xml:space="preserve">
</t>
        </r>
      </text>
    </comment>
    <comment ref="A15" authorId="0">
      <text>
        <r>
          <rPr>
            <sz val="9"/>
            <color indexed="81"/>
            <rFont val="宋体"/>
            <family val="3"/>
            <charset val="134"/>
          </rPr>
          <t>填报第</t>
        </r>
        <r>
          <rPr>
            <sz val="9"/>
            <color indexed="81"/>
            <rFont val="Tahoma"/>
            <family val="2"/>
          </rPr>
          <t>1+2…+7</t>
        </r>
        <r>
          <rPr>
            <sz val="9"/>
            <color indexed="81"/>
            <rFont val="宋体"/>
            <family val="3"/>
            <charset val="134"/>
          </rPr>
          <t>行中，</t>
        </r>
        <r>
          <rPr>
            <sz val="9"/>
            <color indexed="81"/>
            <rFont val="Tahoma"/>
            <family val="2"/>
          </rPr>
          <t>“</t>
        </r>
        <r>
          <rPr>
            <sz val="9"/>
            <color indexed="81"/>
            <rFont val="宋体"/>
            <family val="3"/>
            <charset val="134"/>
          </rPr>
          <t>投资性质</t>
        </r>
        <r>
          <rPr>
            <sz val="9"/>
            <color indexed="81"/>
            <rFont val="Tahoma"/>
            <family val="2"/>
          </rPr>
          <t>”</t>
        </r>
        <r>
          <rPr>
            <sz val="9"/>
            <color indexed="81"/>
            <rFont val="宋体"/>
            <family val="3"/>
            <charset val="134"/>
          </rPr>
          <t>列选择</t>
        </r>
        <r>
          <rPr>
            <sz val="9"/>
            <color indexed="81"/>
            <rFont val="Tahoma"/>
            <family val="2"/>
          </rPr>
          <t>“</t>
        </r>
        <r>
          <rPr>
            <sz val="9"/>
            <color indexed="81"/>
            <rFont val="宋体"/>
            <family val="3"/>
            <charset val="134"/>
          </rPr>
          <t>（</t>
        </r>
        <r>
          <rPr>
            <sz val="9"/>
            <color indexed="81"/>
            <rFont val="Tahoma"/>
            <family val="2"/>
          </rPr>
          <t>4</t>
        </r>
        <r>
          <rPr>
            <sz val="9"/>
            <color indexed="81"/>
            <rFont val="宋体"/>
            <family val="3"/>
            <charset val="134"/>
          </rPr>
          <t>）股票投资（深港通</t>
        </r>
        <r>
          <rPr>
            <sz val="9"/>
            <color indexed="81"/>
            <rFont val="Tahoma"/>
            <family val="2"/>
          </rPr>
          <t>H</t>
        </r>
        <r>
          <rPr>
            <sz val="9"/>
            <color indexed="81"/>
            <rFont val="宋体"/>
            <family val="3"/>
            <charset val="134"/>
          </rPr>
          <t>股投资）</t>
        </r>
        <r>
          <rPr>
            <sz val="9"/>
            <color indexed="81"/>
            <rFont val="Tahoma"/>
            <family val="2"/>
          </rPr>
          <t>”</t>
        </r>
        <r>
          <rPr>
            <sz val="9"/>
            <color indexed="81"/>
            <rFont val="宋体"/>
            <family val="3"/>
            <charset val="134"/>
          </rPr>
          <t>的行次，第</t>
        </r>
        <r>
          <rPr>
            <sz val="9"/>
            <color indexed="81"/>
            <rFont val="Tahoma"/>
            <family val="2"/>
          </rPr>
          <t>17</t>
        </r>
        <r>
          <rPr>
            <sz val="9"/>
            <color indexed="81"/>
            <rFont val="宋体"/>
            <family val="3"/>
            <charset val="134"/>
          </rPr>
          <t>列合计金额。</t>
        </r>
        <r>
          <rPr>
            <sz val="9"/>
            <color indexed="81"/>
            <rFont val="Tahoma"/>
            <family val="2"/>
          </rPr>
          <t xml:space="preserve">
</t>
        </r>
      </text>
    </comment>
    <comment ref="R15" authorId="0">
      <text>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列＝表</t>
        </r>
        <r>
          <rPr>
            <sz val="9"/>
            <color indexed="81"/>
            <rFont val="Tahoma"/>
            <family val="2"/>
          </rPr>
          <t>A107010</t>
        </r>
        <r>
          <rPr>
            <sz val="9"/>
            <color indexed="81"/>
            <rFont val="宋体"/>
            <family val="3"/>
            <charset val="134"/>
          </rPr>
          <t>第</t>
        </r>
        <r>
          <rPr>
            <sz val="9"/>
            <color indexed="81"/>
            <rFont val="Tahoma"/>
            <family val="2"/>
          </rPr>
          <t>5</t>
        </r>
        <r>
          <rPr>
            <sz val="9"/>
            <color indexed="81"/>
            <rFont val="宋体"/>
            <family val="3"/>
            <charset val="134"/>
          </rPr>
          <t>行。</t>
        </r>
        <r>
          <rPr>
            <sz val="9"/>
            <color indexed="81"/>
            <rFont val="Tahoma"/>
            <family val="2"/>
          </rPr>
          <t xml:space="preserve">
</t>
        </r>
      </text>
    </comment>
  </commentList>
</comments>
</file>

<file path=xl/comments6.xml><?xml version="1.0" encoding="utf-8"?>
<comments xmlns="http://schemas.openxmlformats.org/spreadsheetml/2006/main">
  <authors>
    <author>Zhang, Dorothy</author>
  </authors>
  <commentList>
    <comment ref="C3" authorId="0">
      <text>
        <r>
          <rPr>
            <sz val="9"/>
            <color indexed="81"/>
            <rFont val="宋体"/>
            <family val="3"/>
            <charset val="134"/>
          </rPr>
          <t>填报纳税人享受减免所得优惠的项目在会计核算上的名称。项目名称以纳税人内部规范称谓为准。</t>
        </r>
        <r>
          <rPr>
            <sz val="9"/>
            <color indexed="81"/>
            <rFont val="Tahoma"/>
            <family val="2"/>
          </rPr>
          <t xml:space="preserve">
</t>
        </r>
      </text>
    </comment>
    <comment ref="D3" authorId="0">
      <text>
        <r>
          <rPr>
            <sz val="9"/>
            <color indexed="81"/>
            <rFont val="宋体"/>
            <family val="3"/>
            <charset val="134"/>
          </rPr>
          <t>按照该项目享受所得减免企业所得税优惠事项的具体政策内容选择填报。</t>
        </r>
      </text>
    </comment>
    <comment ref="E3" authorId="0">
      <text>
        <r>
          <rPr>
            <sz val="9"/>
            <color indexed="81"/>
            <rFont val="宋体"/>
            <family val="3"/>
            <charset val="134"/>
          </rPr>
          <t>填报该项目享受所得减免企业所得税优惠的具体方式。该项目享受免征企业所得税优惠的，选择填报</t>
        </r>
        <r>
          <rPr>
            <sz val="9"/>
            <color indexed="81"/>
            <rFont val="Tahoma"/>
            <family val="2"/>
          </rPr>
          <t>“</t>
        </r>
        <r>
          <rPr>
            <sz val="9"/>
            <color indexed="81"/>
            <rFont val="宋体"/>
            <family val="3"/>
            <charset val="134"/>
          </rPr>
          <t>免税</t>
        </r>
        <r>
          <rPr>
            <sz val="9"/>
            <color indexed="81"/>
            <rFont val="Tahoma"/>
            <family val="2"/>
          </rPr>
          <t>”</t>
        </r>
        <r>
          <rPr>
            <sz val="9"/>
            <color indexed="81"/>
            <rFont val="宋体"/>
            <family val="3"/>
            <charset val="134"/>
          </rPr>
          <t>；项目享受减半征税企业所得税优惠的，选择填报</t>
        </r>
        <r>
          <rPr>
            <sz val="9"/>
            <color indexed="81"/>
            <rFont val="Tahoma"/>
            <family val="2"/>
          </rPr>
          <t>“</t>
        </r>
        <r>
          <rPr>
            <sz val="9"/>
            <color indexed="81"/>
            <rFont val="宋体"/>
            <family val="3"/>
            <charset val="134"/>
          </rPr>
          <t>减半征收</t>
        </r>
        <r>
          <rPr>
            <sz val="9"/>
            <color indexed="81"/>
            <rFont val="Tahoma"/>
            <family val="2"/>
          </rPr>
          <t>”</t>
        </r>
        <r>
          <rPr>
            <sz val="9"/>
            <color indexed="81"/>
            <rFont val="宋体"/>
            <family val="3"/>
            <charset val="134"/>
          </rPr>
          <t>。</t>
        </r>
        <r>
          <rPr>
            <sz val="9"/>
            <color indexed="81"/>
            <rFont val="Tahoma"/>
            <family val="2"/>
          </rPr>
          <t xml:space="preserve">
</t>
        </r>
      </text>
    </comment>
    <comment ref="F3" authorId="0">
      <text>
        <r>
          <rPr>
            <sz val="9"/>
            <color indexed="81"/>
            <rFont val="宋体"/>
            <family val="3"/>
            <charset val="134"/>
          </rPr>
          <t>填报享受所得减免企业所得税优惠项目取得的收入总额。</t>
        </r>
        <r>
          <rPr>
            <sz val="9"/>
            <color indexed="81"/>
            <rFont val="Tahoma"/>
            <family val="2"/>
          </rPr>
          <t xml:space="preserve">
</t>
        </r>
      </text>
    </comment>
    <comment ref="G3" authorId="0">
      <text>
        <r>
          <rPr>
            <sz val="9"/>
            <color indexed="81"/>
            <rFont val="宋体"/>
            <family val="3"/>
            <charset val="134"/>
          </rPr>
          <t>填报享受所得减免企业所得税优惠项目发生的成本总额。</t>
        </r>
        <r>
          <rPr>
            <sz val="9"/>
            <color indexed="81"/>
            <rFont val="Tahoma"/>
            <family val="2"/>
          </rPr>
          <t xml:space="preserve">
</t>
        </r>
      </text>
    </comment>
    <comment ref="H3" authorId="0">
      <text>
        <r>
          <rPr>
            <sz val="9"/>
            <color indexed="81"/>
            <rFont val="宋体"/>
            <family val="3"/>
            <charset val="134"/>
          </rPr>
          <t>填报享受所得减免企业所得税优惠项目实际发生的有关税费，包括除企业所得税和允许抵扣的增值税以外的各项税金及其附加、合同签订费用、律师费等相关费用及其他支出。</t>
        </r>
        <r>
          <rPr>
            <sz val="9"/>
            <color indexed="81"/>
            <rFont val="Tahoma"/>
            <family val="2"/>
          </rPr>
          <t xml:space="preserve">
</t>
        </r>
      </text>
    </comment>
    <comment ref="I3" authorId="0">
      <text>
        <r>
          <rPr>
            <sz val="9"/>
            <color indexed="81"/>
            <rFont val="宋体"/>
            <family val="3"/>
            <charset val="134"/>
          </rPr>
          <t>填报享受所得减免企业所得税优惠项目合理分摊的期间费用。合理分摊比例可以按照投资额、销售收入、资产额、人员工资等参数确定。上述比例一经确定，不得随意变更。</t>
        </r>
        <r>
          <rPr>
            <sz val="9"/>
            <color indexed="81"/>
            <rFont val="Tahoma"/>
            <family val="2"/>
          </rPr>
          <t xml:space="preserve">
</t>
        </r>
      </text>
    </comment>
    <comment ref="J3" authorId="0">
      <text>
        <r>
          <rPr>
            <sz val="9"/>
            <color indexed="81"/>
            <rFont val="宋体"/>
            <family val="3"/>
            <charset val="134"/>
          </rPr>
          <t>填报纳税人按照税收规定需要调整减免税项目收入、成本、费用的金额，调整减少的金额以负数填报。</t>
        </r>
        <r>
          <rPr>
            <sz val="9"/>
            <color indexed="81"/>
            <rFont val="Tahoma"/>
            <family val="2"/>
          </rPr>
          <t xml:space="preserve">
</t>
        </r>
      </text>
    </comment>
    <comment ref="M3" authorId="0">
      <text>
        <r>
          <rPr>
            <sz val="9"/>
            <color indexed="81"/>
            <rFont val="宋体"/>
            <family val="3"/>
            <charset val="134"/>
          </rPr>
          <t>填报享受所得减免企业所得税优惠的企业，该项目按照税收规定实际可以享受免征、减征的所得额。本列等于第</t>
        </r>
        <r>
          <rPr>
            <sz val="9"/>
            <color indexed="81"/>
            <rFont val="Tahoma"/>
            <family val="2"/>
          </rPr>
          <t>9</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10</t>
        </r>
        <r>
          <rPr>
            <sz val="9"/>
            <color indexed="81"/>
            <rFont val="宋体"/>
            <family val="3"/>
            <charset val="134"/>
          </rPr>
          <t>列</t>
        </r>
        <r>
          <rPr>
            <sz val="9"/>
            <color indexed="81"/>
            <rFont val="Tahoma"/>
            <family val="2"/>
          </rPr>
          <t>×50%</t>
        </r>
        <r>
          <rPr>
            <sz val="9"/>
            <color indexed="81"/>
            <rFont val="宋体"/>
            <family val="3"/>
            <charset val="134"/>
          </rPr>
          <t>。</t>
        </r>
        <r>
          <rPr>
            <sz val="9"/>
            <color indexed="81"/>
            <rFont val="Tahoma"/>
            <family val="2"/>
          </rPr>
          <t xml:space="preserve">
</t>
        </r>
      </text>
    </comment>
    <comment ref="K4" authorId="0">
      <text>
        <r>
          <rPr>
            <sz val="9"/>
            <color indexed="81"/>
            <rFont val="宋体"/>
            <family val="3"/>
            <charset val="134"/>
          </rPr>
          <t>填报享受所得减免企业所得税优惠的纳税人计算确认的本期免税项目所得额。本列根据第</t>
        </r>
        <r>
          <rPr>
            <sz val="9"/>
            <color indexed="81"/>
            <rFont val="Tahoma"/>
            <family val="2"/>
          </rPr>
          <t>3</t>
        </r>
        <r>
          <rPr>
            <sz val="9"/>
            <color indexed="81"/>
            <rFont val="宋体"/>
            <family val="3"/>
            <charset val="134"/>
          </rPr>
          <t>列分析填报，第</t>
        </r>
        <r>
          <rPr>
            <sz val="9"/>
            <color indexed="81"/>
            <rFont val="Tahoma"/>
            <family val="2"/>
          </rPr>
          <t>3</t>
        </r>
        <r>
          <rPr>
            <sz val="9"/>
            <color indexed="81"/>
            <rFont val="宋体"/>
            <family val="3"/>
            <charset val="134"/>
          </rPr>
          <t>列填报内容为</t>
        </r>
        <r>
          <rPr>
            <sz val="9"/>
            <color indexed="81"/>
            <rFont val="Tahoma"/>
            <family val="2"/>
          </rPr>
          <t>“</t>
        </r>
        <r>
          <rPr>
            <sz val="9"/>
            <color indexed="81"/>
            <rFont val="宋体"/>
            <family val="3"/>
            <charset val="134"/>
          </rPr>
          <t>免税</t>
        </r>
        <r>
          <rPr>
            <sz val="9"/>
            <color indexed="81"/>
            <rFont val="Tahoma"/>
            <family val="2"/>
          </rPr>
          <t>”</t>
        </r>
        <r>
          <rPr>
            <sz val="9"/>
            <color indexed="81"/>
            <rFont val="宋体"/>
            <family val="3"/>
            <charset val="134"/>
          </rPr>
          <t>的，第</t>
        </r>
        <r>
          <rPr>
            <sz val="9"/>
            <color indexed="81"/>
            <rFont val="Tahoma"/>
            <family val="2"/>
          </rPr>
          <t>4-5-6-7+8</t>
        </r>
        <r>
          <rPr>
            <sz val="9"/>
            <color indexed="81"/>
            <rFont val="宋体"/>
            <family val="3"/>
            <charset val="134"/>
          </rPr>
          <t>列的值填入本列；若第</t>
        </r>
        <r>
          <rPr>
            <sz val="9"/>
            <color indexed="81"/>
            <rFont val="Tahoma"/>
            <family val="2"/>
          </rPr>
          <t>4-5-6-7+8</t>
        </r>
        <r>
          <rPr>
            <sz val="9"/>
            <color indexed="81"/>
            <rFont val="宋体"/>
            <family val="3"/>
            <charset val="134"/>
          </rPr>
          <t>列的值小于零的，本列按零填报。</t>
        </r>
        <r>
          <rPr>
            <sz val="9"/>
            <color indexed="81"/>
            <rFont val="Tahoma"/>
            <family val="2"/>
          </rPr>
          <t xml:space="preserve">
</t>
        </r>
      </text>
    </comment>
    <comment ref="L4" authorId="0">
      <text>
        <r>
          <rPr>
            <sz val="9"/>
            <color indexed="81"/>
            <rFont val="宋体"/>
            <family val="3"/>
            <charset val="134"/>
          </rPr>
          <t>填报享受所得减免企业所得税优惠的纳税人本期经计算确认的减半征收项目所得额。本列根据第</t>
        </r>
        <r>
          <rPr>
            <sz val="9"/>
            <color indexed="81"/>
            <rFont val="Tahoma"/>
            <family val="2"/>
          </rPr>
          <t>3</t>
        </r>
        <r>
          <rPr>
            <sz val="9"/>
            <color indexed="81"/>
            <rFont val="宋体"/>
            <family val="3"/>
            <charset val="134"/>
          </rPr>
          <t>列分析填报，第</t>
        </r>
        <r>
          <rPr>
            <sz val="9"/>
            <color indexed="81"/>
            <rFont val="Tahoma"/>
            <family val="2"/>
          </rPr>
          <t>3</t>
        </r>
        <r>
          <rPr>
            <sz val="9"/>
            <color indexed="81"/>
            <rFont val="宋体"/>
            <family val="3"/>
            <charset val="134"/>
          </rPr>
          <t>列填报内容为</t>
        </r>
        <r>
          <rPr>
            <sz val="9"/>
            <color indexed="81"/>
            <rFont val="Tahoma"/>
            <family val="2"/>
          </rPr>
          <t>“</t>
        </r>
        <r>
          <rPr>
            <sz val="9"/>
            <color indexed="81"/>
            <rFont val="宋体"/>
            <family val="3"/>
            <charset val="134"/>
          </rPr>
          <t>减半征税</t>
        </r>
        <r>
          <rPr>
            <sz val="9"/>
            <color indexed="81"/>
            <rFont val="Tahoma"/>
            <family val="2"/>
          </rPr>
          <t>”</t>
        </r>
        <r>
          <rPr>
            <sz val="9"/>
            <color indexed="81"/>
            <rFont val="宋体"/>
            <family val="3"/>
            <charset val="134"/>
          </rPr>
          <t>的，第</t>
        </r>
        <r>
          <rPr>
            <sz val="9"/>
            <color indexed="81"/>
            <rFont val="Tahoma"/>
            <family val="2"/>
          </rPr>
          <t>4-5-6-7+8</t>
        </r>
        <r>
          <rPr>
            <sz val="9"/>
            <color indexed="81"/>
            <rFont val="宋体"/>
            <family val="3"/>
            <charset val="134"/>
          </rPr>
          <t>列的金额填入本列；若第</t>
        </r>
        <r>
          <rPr>
            <sz val="9"/>
            <color indexed="81"/>
            <rFont val="Tahoma"/>
            <family val="2"/>
          </rPr>
          <t>4-5-6-7+8</t>
        </r>
        <r>
          <rPr>
            <sz val="9"/>
            <color indexed="81"/>
            <rFont val="宋体"/>
            <family val="3"/>
            <charset val="134"/>
          </rPr>
          <t>列的值小于零的，本列按零填报。</t>
        </r>
        <r>
          <rPr>
            <sz val="9"/>
            <color indexed="81"/>
            <rFont val="Tahoma"/>
            <family val="2"/>
          </rPr>
          <t xml:space="preserve">
</t>
        </r>
      </text>
    </comment>
    <comment ref="B6" authorId="0">
      <text>
        <r>
          <rPr>
            <sz val="9"/>
            <color indexed="81"/>
            <rFont val="宋体"/>
            <family val="3"/>
            <charset val="134"/>
          </rPr>
          <t>按农、林、牧、渔业项目的优惠政策具体内容分别填报，一个项目填报一行，纳税人有多个项目的，可自行增加行次填报。各行相应列次填报金额的合计金额填入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国家税务总局关于发布享受企业所得税优惠政策的农产品初加工范围（试行）的通知》（财税〔</t>
        </r>
        <r>
          <rPr>
            <sz val="9"/>
            <color indexed="81"/>
            <rFont val="Tahoma"/>
            <family val="2"/>
          </rPr>
          <t>2008</t>
        </r>
        <r>
          <rPr>
            <sz val="9"/>
            <color indexed="81"/>
            <rFont val="宋体"/>
            <family val="3"/>
            <charset val="134"/>
          </rPr>
          <t>〕</t>
        </r>
        <r>
          <rPr>
            <sz val="9"/>
            <color indexed="81"/>
            <rFont val="Tahoma"/>
            <family val="2"/>
          </rPr>
          <t>149</t>
        </r>
        <r>
          <rPr>
            <sz val="9"/>
            <color indexed="81"/>
            <rFont val="宋体"/>
            <family val="3"/>
            <charset val="134"/>
          </rPr>
          <t>号）、《国家税务总局关于黑龙江垦区国有农场土地承包费缴纳企业所得税问题的批复》（国税函〔</t>
        </r>
        <r>
          <rPr>
            <sz val="9"/>
            <color indexed="81"/>
            <rFont val="Tahoma"/>
            <family val="2"/>
          </rPr>
          <t>2009</t>
        </r>
        <r>
          <rPr>
            <sz val="9"/>
            <color indexed="81"/>
            <rFont val="宋体"/>
            <family val="3"/>
            <charset val="134"/>
          </rPr>
          <t>〕</t>
        </r>
        <r>
          <rPr>
            <sz val="9"/>
            <color indexed="81"/>
            <rFont val="Tahoma"/>
            <family val="2"/>
          </rPr>
          <t>779</t>
        </r>
        <r>
          <rPr>
            <sz val="9"/>
            <color indexed="81"/>
            <rFont val="宋体"/>
            <family val="3"/>
            <charset val="134"/>
          </rPr>
          <t>号）、《国家税务总局关于</t>
        </r>
        <r>
          <rPr>
            <sz val="9"/>
            <color indexed="81"/>
            <rFont val="Tahoma"/>
            <family val="2"/>
          </rPr>
          <t>“</t>
        </r>
        <r>
          <rPr>
            <sz val="9"/>
            <color indexed="81"/>
            <rFont val="宋体"/>
            <family val="3"/>
            <charset val="134"/>
          </rPr>
          <t>公司＋农户</t>
        </r>
        <r>
          <rPr>
            <sz val="9"/>
            <color indexed="81"/>
            <rFont val="Tahoma"/>
            <family val="2"/>
          </rPr>
          <t>”</t>
        </r>
        <r>
          <rPr>
            <sz val="9"/>
            <color indexed="81"/>
            <rFont val="宋体"/>
            <family val="3"/>
            <charset val="134"/>
          </rPr>
          <t>经营模式企业所得税优惠问题的公告》（国家税务总局公告</t>
        </r>
        <r>
          <rPr>
            <sz val="9"/>
            <color indexed="81"/>
            <rFont val="Tahoma"/>
            <family val="2"/>
          </rPr>
          <t>2010</t>
        </r>
        <r>
          <rPr>
            <sz val="9"/>
            <color indexed="81"/>
            <rFont val="宋体"/>
            <family val="3"/>
            <charset val="134"/>
          </rPr>
          <t>年第</t>
        </r>
        <r>
          <rPr>
            <sz val="9"/>
            <color indexed="81"/>
            <rFont val="Tahoma"/>
            <family val="2"/>
          </rPr>
          <t>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国家税务总局关于享受企业所得税优惠的农产品初加工有关范围的补充通知》（财税〔</t>
        </r>
        <r>
          <rPr>
            <sz val="9"/>
            <color indexed="81"/>
            <rFont val="Tahoma"/>
            <family val="2"/>
          </rPr>
          <t>2011</t>
        </r>
        <r>
          <rPr>
            <sz val="9"/>
            <color indexed="81"/>
            <rFont val="宋体"/>
            <family val="3"/>
            <charset val="134"/>
          </rPr>
          <t>〕</t>
        </r>
        <r>
          <rPr>
            <sz val="9"/>
            <color indexed="81"/>
            <rFont val="Tahoma"/>
            <family val="2"/>
          </rPr>
          <t>26</t>
        </r>
        <r>
          <rPr>
            <sz val="9"/>
            <color indexed="81"/>
            <rFont val="宋体"/>
            <family val="3"/>
            <charset val="134"/>
          </rPr>
          <t>号）、《国家税务总局关于实施农林牧渔业项目企业所得税优惠问题的公告》（国家税务总局公告</t>
        </r>
        <r>
          <rPr>
            <sz val="9"/>
            <color indexed="81"/>
            <rFont val="Tahoma"/>
            <family val="2"/>
          </rPr>
          <t>2011</t>
        </r>
        <r>
          <rPr>
            <sz val="9"/>
            <color indexed="81"/>
            <rFont val="宋体"/>
            <family val="3"/>
            <charset val="134"/>
          </rPr>
          <t>年第</t>
        </r>
        <r>
          <rPr>
            <sz val="9"/>
            <color indexed="81"/>
            <rFont val="Tahoma"/>
            <family val="2"/>
          </rPr>
          <t>48</t>
        </r>
        <r>
          <rPr>
            <sz val="9"/>
            <color indexed="81"/>
            <rFont val="宋体"/>
            <family val="3"/>
            <charset val="134"/>
          </rPr>
          <t>号）等相关税收政策规定，填报该项目本纳税年度发生的减征、免征企业所得税项目的所得额。</t>
        </r>
        <r>
          <rPr>
            <sz val="9"/>
            <color indexed="81"/>
            <rFont val="Tahoma"/>
            <family val="2"/>
          </rPr>
          <t xml:space="preserve">
</t>
        </r>
      </text>
    </comment>
    <comment ref="D6" authorId="0">
      <text>
        <r>
          <rPr>
            <sz val="9"/>
            <color indexed="81"/>
            <rFont val="宋体"/>
            <family val="3"/>
            <charset val="134"/>
          </rPr>
          <t>在以下优惠事项中选择填报：</t>
        </r>
        <r>
          <rPr>
            <sz val="9"/>
            <color indexed="81"/>
            <rFont val="Tahoma"/>
            <family val="2"/>
          </rPr>
          <t>1.</t>
        </r>
        <r>
          <rPr>
            <sz val="9"/>
            <color indexed="81"/>
            <rFont val="宋体"/>
            <family val="3"/>
            <charset val="134"/>
          </rPr>
          <t>蔬菜、谷物、薯类、油料、豆类、棉花、麻类、糖料、水果、坚果的种植；</t>
        </r>
        <r>
          <rPr>
            <sz val="9"/>
            <color indexed="81"/>
            <rFont val="Tahoma"/>
            <family val="2"/>
          </rPr>
          <t>2.</t>
        </r>
        <r>
          <rPr>
            <sz val="9"/>
            <color indexed="81"/>
            <rFont val="宋体"/>
            <family val="3"/>
            <charset val="134"/>
          </rPr>
          <t>农作物新品种的选育；</t>
        </r>
        <r>
          <rPr>
            <sz val="9"/>
            <color indexed="81"/>
            <rFont val="Tahoma"/>
            <family val="2"/>
          </rPr>
          <t>3.</t>
        </r>
        <r>
          <rPr>
            <sz val="9"/>
            <color indexed="81"/>
            <rFont val="宋体"/>
            <family val="3"/>
            <charset val="134"/>
          </rPr>
          <t>中药材的种植；</t>
        </r>
        <r>
          <rPr>
            <sz val="9"/>
            <color indexed="81"/>
            <rFont val="Tahoma"/>
            <family val="2"/>
          </rPr>
          <t>4.</t>
        </r>
        <r>
          <rPr>
            <sz val="9"/>
            <color indexed="81"/>
            <rFont val="宋体"/>
            <family val="3"/>
            <charset val="134"/>
          </rPr>
          <t>林木的培育和种植；</t>
        </r>
        <r>
          <rPr>
            <sz val="9"/>
            <color indexed="81"/>
            <rFont val="Tahoma"/>
            <family val="2"/>
          </rPr>
          <t>5.</t>
        </r>
        <r>
          <rPr>
            <sz val="9"/>
            <color indexed="81"/>
            <rFont val="宋体"/>
            <family val="3"/>
            <charset val="134"/>
          </rPr>
          <t>牲畜、家禽的饲养；</t>
        </r>
        <r>
          <rPr>
            <sz val="9"/>
            <color indexed="81"/>
            <rFont val="Tahoma"/>
            <family val="2"/>
          </rPr>
          <t>6.</t>
        </r>
        <r>
          <rPr>
            <sz val="9"/>
            <color indexed="81"/>
            <rFont val="宋体"/>
            <family val="3"/>
            <charset val="134"/>
          </rPr>
          <t>林产品的采集；</t>
        </r>
        <r>
          <rPr>
            <sz val="9"/>
            <color indexed="81"/>
            <rFont val="Tahoma"/>
            <family val="2"/>
          </rPr>
          <t>7.</t>
        </r>
        <r>
          <rPr>
            <sz val="9"/>
            <color indexed="81"/>
            <rFont val="宋体"/>
            <family val="3"/>
            <charset val="134"/>
          </rPr>
          <t>灌溉、兽医、农技推广、农机作业和维修等农、林、牧、渔服务业项目；</t>
        </r>
        <r>
          <rPr>
            <sz val="9"/>
            <color indexed="81"/>
            <rFont val="Tahoma"/>
            <family val="2"/>
          </rPr>
          <t>8.</t>
        </r>
        <r>
          <rPr>
            <sz val="9"/>
            <color indexed="81"/>
            <rFont val="宋体"/>
            <family val="3"/>
            <charset val="134"/>
          </rPr>
          <t>农产品初加工；</t>
        </r>
        <r>
          <rPr>
            <sz val="9"/>
            <color indexed="81"/>
            <rFont val="Tahoma"/>
            <family val="2"/>
          </rPr>
          <t>9.</t>
        </r>
        <r>
          <rPr>
            <sz val="9"/>
            <color indexed="81"/>
            <rFont val="宋体"/>
            <family val="3"/>
            <charset val="134"/>
          </rPr>
          <t>远洋捕捞；</t>
        </r>
        <r>
          <rPr>
            <sz val="9"/>
            <color indexed="81"/>
            <rFont val="Tahoma"/>
            <family val="2"/>
          </rPr>
          <t>10.</t>
        </r>
        <r>
          <rPr>
            <sz val="9"/>
            <color indexed="81"/>
            <rFont val="宋体"/>
            <family val="3"/>
            <charset val="134"/>
          </rPr>
          <t>花卉、茶以及其他饮料作物和香料作物的种植；</t>
        </r>
        <r>
          <rPr>
            <sz val="9"/>
            <color indexed="81"/>
            <rFont val="Tahoma"/>
            <family val="2"/>
          </rPr>
          <t>11.</t>
        </r>
        <r>
          <rPr>
            <sz val="9"/>
            <color indexed="81"/>
            <rFont val="宋体"/>
            <family val="3"/>
            <charset val="134"/>
          </rPr>
          <t>海水养殖、内陆养殖；</t>
        </r>
        <r>
          <rPr>
            <sz val="9"/>
            <color indexed="81"/>
            <rFont val="Tahoma"/>
            <family val="2"/>
          </rPr>
          <t>12.</t>
        </r>
        <r>
          <rPr>
            <sz val="9"/>
            <color indexed="81"/>
            <rFont val="宋体"/>
            <family val="3"/>
            <charset val="134"/>
          </rPr>
          <t>其他。</t>
        </r>
        <r>
          <rPr>
            <sz val="9"/>
            <color indexed="81"/>
            <rFont val="Tahoma"/>
            <family val="2"/>
          </rPr>
          <t xml:space="preserve">
</t>
        </r>
      </text>
    </comment>
    <comment ref="B9" authorId="0">
      <text>
        <r>
          <rPr>
            <sz val="9"/>
            <color indexed="81"/>
            <rFont val="宋体"/>
            <family val="3"/>
            <charset val="134"/>
          </rPr>
          <t>按国家重点扶持的公共基础设施项目具体内容分别填报，一个项目填报一行，纳税人有多个项目的，可自行增加行次填报。各行相应列次填报金额的合计金额填入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国家税务总局关于执行公共基础设施项目企业所得税优惠目录有关问题的通知》（财税〔</t>
        </r>
        <r>
          <rPr>
            <sz val="9"/>
            <color indexed="81"/>
            <rFont val="Tahoma"/>
            <family val="2"/>
          </rPr>
          <t>2008</t>
        </r>
        <r>
          <rPr>
            <sz val="9"/>
            <color indexed="81"/>
            <rFont val="宋体"/>
            <family val="3"/>
            <charset val="134"/>
          </rPr>
          <t>〕</t>
        </r>
        <r>
          <rPr>
            <sz val="9"/>
            <color indexed="81"/>
            <rFont val="Tahoma"/>
            <family val="2"/>
          </rPr>
          <t>46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国家发展改革委关于公布公共基础设施项目企业所得税优惠目录</t>
        </r>
        <r>
          <rPr>
            <sz val="9"/>
            <color indexed="81"/>
            <rFont val="Tahoma"/>
            <family val="2"/>
          </rPr>
          <t>(2008</t>
        </r>
        <r>
          <rPr>
            <sz val="9"/>
            <color indexed="81"/>
            <rFont val="宋体"/>
            <family val="3"/>
            <charset val="134"/>
          </rPr>
          <t>年版</t>
        </r>
        <r>
          <rPr>
            <sz val="9"/>
            <color indexed="81"/>
            <rFont val="Tahoma"/>
            <family val="2"/>
          </rPr>
          <t>)</t>
        </r>
        <r>
          <rPr>
            <sz val="9"/>
            <color indexed="81"/>
            <rFont val="宋体"/>
            <family val="3"/>
            <charset val="134"/>
          </rPr>
          <t>的通知》（财税〔</t>
        </r>
        <r>
          <rPr>
            <sz val="9"/>
            <color indexed="81"/>
            <rFont val="Tahoma"/>
            <family val="2"/>
          </rPr>
          <t>2008</t>
        </r>
        <r>
          <rPr>
            <sz val="9"/>
            <color indexed="81"/>
            <rFont val="宋体"/>
            <family val="3"/>
            <charset val="134"/>
          </rPr>
          <t>〕</t>
        </r>
        <r>
          <rPr>
            <sz val="9"/>
            <color indexed="81"/>
            <rFont val="Tahoma"/>
            <family val="2"/>
          </rPr>
          <t>116</t>
        </r>
        <r>
          <rPr>
            <sz val="9"/>
            <color indexed="81"/>
            <rFont val="宋体"/>
            <family val="3"/>
            <charset val="134"/>
          </rPr>
          <t>号）、《国家税务总局关于实施国家重点扶持的公共基础设施项目企业所得税优惠问题的通知》（国税发〔</t>
        </r>
        <r>
          <rPr>
            <sz val="9"/>
            <color indexed="81"/>
            <rFont val="Tahoma"/>
            <family val="2"/>
          </rPr>
          <t>2009</t>
        </r>
        <r>
          <rPr>
            <sz val="9"/>
            <color indexed="81"/>
            <rFont val="宋体"/>
            <family val="3"/>
            <charset val="134"/>
          </rPr>
          <t>〕</t>
        </r>
        <r>
          <rPr>
            <sz val="9"/>
            <color indexed="81"/>
            <rFont val="Tahoma"/>
            <family val="2"/>
          </rPr>
          <t>80</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国家税务总局关于公共基础设施项目和环境保护</t>
        </r>
        <r>
          <rPr>
            <sz val="9"/>
            <color indexed="81"/>
            <rFont val="Tahoma"/>
            <family val="2"/>
          </rPr>
          <t xml:space="preserve"> </t>
        </r>
        <r>
          <rPr>
            <sz val="9"/>
            <color indexed="81"/>
            <rFont val="宋体"/>
            <family val="3"/>
            <charset val="134"/>
          </rPr>
          <t>节能节水项目企业所得税优惠政策问题的通知》（财税〔</t>
        </r>
        <r>
          <rPr>
            <sz val="9"/>
            <color indexed="81"/>
            <rFont val="Tahoma"/>
            <family val="2"/>
          </rPr>
          <t>2012</t>
        </r>
        <r>
          <rPr>
            <sz val="9"/>
            <color indexed="81"/>
            <rFont val="宋体"/>
            <family val="3"/>
            <charset val="134"/>
          </rPr>
          <t>〕</t>
        </r>
        <r>
          <rPr>
            <sz val="9"/>
            <color indexed="81"/>
            <rFont val="Tahoma"/>
            <family val="2"/>
          </rPr>
          <t>10</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国家税务总局关于支持农村饮水安全工程建设运营税收政策的通知》（财税〔</t>
        </r>
        <r>
          <rPr>
            <sz val="9"/>
            <color indexed="81"/>
            <rFont val="Tahoma"/>
            <family val="2"/>
          </rPr>
          <t>2012</t>
        </r>
        <r>
          <rPr>
            <sz val="9"/>
            <color indexed="81"/>
            <rFont val="宋体"/>
            <family val="3"/>
            <charset val="134"/>
          </rPr>
          <t>〕</t>
        </r>
        <r>
          <rPr>
            <sz val="9"/>
            <color indexed="81"/>
            <rFont val="Tahoma"/>
            <family val="2"/>
          </rPr>
          <t>30</t>
        </r>
        <r>
          <rPr>
            <sz val="9"/>
            <color indexed="81"/>
            <rFont val="宋体"/>
            <family val="3"/>
            <charset val="134"/>
          </rPr>
          <t>号）第五条、《国家税务总局关于电网企业电网新建项目享受所得税优惠政策问题的公告》（国家税务总局公告</t>
        </r>
        <r>
          <rPr>
            <sz val="9"/>
            <color indexed="81"/>
            <rFont val="Tahoma"/>
            <family val="2"/>
          </rPr>
          <t>2013</t>
        </r>
        <r>
          <rPr>
            <sz val="9"/>
            <color indexed="81"/>
            <rFont val="宋体"/>
            <family val="3"/>
            <charset val="134"/>
          </rPr>
          <t>年第</t>
        </r>
        <r>
          <rPr>
            <sz val="9"/>
            <color indexed="81"/>
            <rFont val="Tahoma"/>
            <family val="2"/>
          </rPr>
          <t>26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国家税务总局关于公共基础设施项目享受企业所得税优惠政策问题的补充通知》（财税〔</t>
        </r>
        <r>
          <rPr>
            <sz val="9"/>
            <color indexed="81"/>
            <rFont val="Tahoma"/>
            <family val="2"/>
          </rPr>
          <t>2014</t>
        </r>
        <r>
          <rPr>
            <sz val="9"/>
            <color indexed="81"/>
            <rFont val="宋体"/>
            <family val="3"/>
            <charset val="134"/>
          </rPr>
          <t>〕</t>
        </r>
        <r>
          <rPr>
            <sz val="9"/>
            <color indexed="81"/>
            <rFont val="Tahoma"/>
            <family val="2"/>
          </rPr>
          <t>55</t>
        </r>
        <r>
          <rPr>
            <sz val="9"/>
            <color indexed="81"/>
            <rFont val="宋体"/>
            <family val="3"/>
            <charset val="134"/>
          </rPr>
          <t>号）等相关税收政策规定，填报从事《公共基础设施项目企业所得税优惠目录》规定的港口码头、机场、铁路、公路、城市公共交通、电力、水利等项目的投资经营的所得，自项目取得第一笔生产经营收入所属纳税年度起，第一年至第三年免征企业所得税，第四年至第六年减半征收企业所得税。不包括企业承包经营、承包建设和内部自建自用该项目的所得。</t>
        </r>
        <r>
          <rPr>
            <sz val="9"/>
            <color indexed="81"/>
            <rFont val="Tahoma"/>
            <family val="2"/>
          </rPr>
          <t xml:space="preserve">
</t>
        </r>
      </text>
    </comment>
    <comment ref="D9" authorId="0">
      <text>
        <r>
          <rPr>
            <sz val="9"/>
            <color indexed="81"/>
            <rFont val="宋体"/>
            <family val="3"/>
            <charset val="134"/>
          </rPr>
          <t>在以下优惠事项中选择填报：</t>
        </r>
        <r>
          <rPr>
            <sz val="9"/>
            <color indexed="81"/>
            <rFont val="Tahoma"/>
            <family val="2"/>
          </rPr>
          <t>1.</t>
        </r>
        <r>
          <rPr>
            <sz val="9"/>
            <color indexed="81"/>
            <rFont val="宋体"/>
            <family val="3"/>
            <charset val="134"/>
          </rPr>
          <t>港口码头项目；</t>
        </r>
        <r>
          <rPr>
            <sz val="9"/>
            <color indexed="81"/>
            <rFont val="Tahoma"/>
            <family val="2"/>
          </rPr>
          <t>2.</t>
        </r>
        <r>
          <rPr>
            <sz val="9"/>
            <color indexed="81"/>
            <rFont val="宋体"/>
            <family val="3"/>
            <charset val="134"/>
          </rPr>
          <t>机场项目；</t>
        </r>
        <r>
          <rPr>
            <sz val="9"/>
            <color indexed="81"/>
            <rFont val="Tahoma"/>
            <family val="2"/>
          </rPr>
          <t>3.</t>
        </r>
        <r>
          <rPr>
            <sz val="9"/>
            <color indexed="81"/>
            <rFont val="宋体"/>
            <family val="3"/>
            <charset val="134"/>
          </rPr>
          <t>铁路项目；</t>
        </r>
        <r>
          <rPr>
            <sz val="9"/>
            <color indexed="81"/>
            <rFont val="Tahoma"/>
            <family val="2"/>
          </rPr>
          <t>4.</t>
        </r>
        <r>
          <rPr>
            <sz val="9"/>
            <color indexed="81"/>
            <rFont val="宋体"/>
            <family val="3"/>
            <charset val="134"/>
          </rPr>
          <t>公路项目；</t>
        </r>
        <r>
          <rPr>
            <sz val="9"/>
            <color indexed="81"/>
            <rFont val="Tahoma"/>
            <family val="2"/>
          </rPr>
          <t>5.</t>
        </r>
        <r>
          <rPr>
            <sz val="9"/>
            <color indexed="81"/>
            <rFont val="宋体"/>
            <family val="3"/>
            <charset val="134"/>
          </rPr>
          <t>城市公共交通项目；</t>
        </r>
        <r>
          <rPr>
            <sz val="9"/>
            <color indexed="81"/>
            <rFont val="Tahoma"/>
            <family val="2"/>
          </rPr>
          <t>6.</t>
        </r>
        <r>
          <rPr>
            <sz val="9"/>
            <color indexed="81"/>
            <rFont val="宋体"/>
            <family val="3"/>
            <charset val="134"/>
          </rPr>
          <t>电力项目；</t>
        </r>
        <r>
          <rPr>
            <sz val="9"/>
            <color indexed="81"/>
            <rFont val="Tahoma"/>
            <family val="2"/>
          </rPr>
          <t>7.</t>
        </r>
        <r>
          <rPr>
            <sz val="9"/>
            <color indexed="81"/>
            <rFont val="宋体"/>
            <family val="3"/>
            <charset val="134"/>
          </rPr>
          <t>水利项目；</t>
        </r>
        <r>
          <rPr>
            <sz val="9"/>
            <color indexed="81"/>
            <rFont val="Tahoma"/>
            <family val="2"/>
          </rPr>
          <t>8.</t>
        </r>
        <r>
          <rPr>
            <sz val="9"/>
            <color indexed="81"/>
            <rFont val="宋体"/>
            <family val="3"/>
            <charset val="134"/>
          </rPr>
          <t>其他项目</t>
        </r>
        <r>
          <rPr>
            <sz val="9"/>
            <color indexed="81"/>
            <rFont val="Tahoma"/>
            <family val="2"/>
          </rPr>
          <t xml:space="preserve">
</t>
        </r>
      </text>
    </comment>
    <comment ref="B12" authorId="0">
      <text>
        <r>
          <rPr>
            <sz val="9"/>
            <color indexed="81"/>
            <rFont val="宋体"/>
            <family val="3"/>
            <charset val="134"/>
          </rPr>
          <t>按符合条件的环境保护、节能节水项目的具体内容分别填报，一个项目填报一行。纳税人有多个项目的，可自行增加行次填报。各行相应列次填报金额的合计金额填入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国家发展改革委关于公布环境保护节能节水项目企业所得税优惠目录（试行）的通知》（财税〔</t>
        </r>
        <r>
          <rPr>
            <sz val="9"/>
            <color indexed="81"/>
            <rFont val="Tahoma"/>
            <family val="2"/>
          </rPr>
          <t>2009</t>
        </r>
        <r>
          <rPr>
            <sz val="9"/>
            <color indexed="81"/>
            <rFont val="宋体"/>
            <family val="3"/>
            <charset val="134"/>
          </rPr>
          <t>〕</t>
        </r>
        <r>
          <rPr>
            <sz val="9"/>
            <color indexed="81"/>
            <rFont val="Tahoma"/>
            <family val="2"/>
          </rPr>
          <t>166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国家税务总局关于公共基础设施项目和环境保护</t>
        </r>
        <r>
          <rPr>
            <sz val="9"/>
            <color indexed="81"/>
            <rFont val="Tahoma"/>
            <family val="2"/>
          </rPr>
          <t xml:space="preserve"> </t>
        </r>
        <r>
          <rPr>
            <sz val="9"/>
            <color indexed="81"/>
            <rFont val="宋体"/>
            <family val="3"/>
            <charset val="134"/>
          </rPr>
          <t>节能节水项目企业所得税优惠政策问题的通知》（财税〔</t>
        </r>
        <r>
          <rPr>
            <sz val="9"/>
            <color indexed="81"/>
            <rFont val="Tahoma"/>
            <family val="2"/>
          </rPr>
          <t>2012</t>
        </r>
        <r>
          <rPr>
            <sz val="9"/>
            <color indexed="81"/>
            <rFont val="宋体"/>
            <family val="3"/>
            <charset val="134"/>
          </rPr>
          <t>〕</t>
        </r>
        <r>
          <rPr>
            <sz val="9"/>
            <color indexed="81"/>
            <rFont val="Tahoma"/>
            <family val="2"/>
          </rPr>
          <t>10</t>
        </r>
        <r>
          <rPr>
            <sz val="9"/>
            <color indexed="81"/>
            <rFont val="宋体"/>
            <family val="3"/>
            <charset val="134"/>
          </rPr>
          <t>号）等相关税收政策规定，填报从事符合条件的公共污水处理、公共垃圾处理、沼气综合开发利用、节能减排技术改造、海水淡化等环境保护、节能节水项目的所得，自项目取得第一笔生产经营收入所属纳税年度起，第一年至第三年免征企业所得税，第四年至第六年减半征收企业所得税。</t>
        </r>
        <r>
          <rPr>
            <sz val="9"/>
            <color indexed="81"/>
            <rFont val="Tahoma"/>
            <family val="2"/>
          </rPr>
          <t xml:space="preserve">
</t>
        </r>
      </text>
    </comment>
    <comment ref="D12" authorId="0">
      <text>
        <r>
          <rPr>
            <sz val="9"/>
            <color indexed="81"/>
            <rFont val="宋体"/>
            <family val="3"/>
            <charset val="134"/>
          </rPr>
          <t>在以下优惠事项中选择填报：</t>
        </r>
        <r>
          <rPr>
            <sz val="9"/>
            <color indexed="81"/>
            <rFont val="Tahoma"/>
            <family val="2"/>
          </rPr>
          <t>1.</t>
        </r>
        <r>
          <rPr>
            <sz val="9"/>
            <color indexed="81"/>
            <rFont val="宋体"/>
            <family val="3"/>
            <charset val="134"/>
          </rPr>
          <t>公共污水处理项目；</t>
        </r>
        <r>
          <rPr>
            <sz val="9"/>
            <color indexed="81"/>
            <rFont val="Tahoma"/>
            <family val="2"/>
          </rPr>
          <t>2.</t>
        </r>
        <r>
          <rPr>
            <sz val="9"/>
            <color indexed="81"/>
            <rFont val="宋体"/>
            <family val="3"/>
            <charset val="134"/>
          </rPr>
          <t>公共垃圾处理项目；</t>
        </r>
        <r>
          <rPr>
            <sz val="9"/>
            <color indexed="81"/>
            <rFont val="Tahoma"/>
            <family val="2"/>
          </rPr>
          <t>3.</t>
        </r>
        <r>
          <rPr>
            <sz val="9"/>
            <color indexed="81"/>
            <rFont val="宋体"/>
            <family val="3"/>
            <charset val="134"/>
          </rPr>
          <t>沼气综合开发利用项目；</t>
        </r>
        <r>
          <rPr>
            <sz val="9"/>
            <color indexed="81"/>
            <rFont val="Tahoma"/>
            <family val="2"/>
          </rPr>
          <t>4.</t>
        </r>
        <r>
          <rPr>
            <sz val="9"/>
            <color indexed="81"/>
            <rFont val="宋体"/>
            <family val="3"/>
            <charset val="134"/>
          </rPr>
          <t>节能减排技术改造项目；</t>
        </r>
        <r>
          <rPr>
            <sz val="9"/>
            <color indexed="81"/>
            <rFont val="Tahoma"/>
            <family val="2"/>
          </rPr>
          <t>5.</t>
        </r>
        <r>
          <rPr>
            <sz val="9"/>
            <color indexed="81"/>
            <rFont val="宋体"/>
            <family val="3"/>
            <charset val="134"/>
          </rPr>
          <t>海水淡化项目；</t>
        </r>
        <r>
          <rPr>
            <sz val="9"/>
            <color indexed="81"/>
            <rFont val="Tahoma"/>
            <family val="2"/>
          </rPr>
          <t>6.</t>
        </r>
        <r>
          <rPr>
            <sz val="9"/>
            <color indexed="81"/>
            <rFont val="宋体"/>
            <family val="3"/>
            <charset val="134"/>
          </rPr>
          <t>其他项目。</t>
        </r>
        <r>
          <rPr>
            <sz val="9"/>
            <color indexed="81"/>
            <rFont val="Tahoma"/>
            <family val="2"/>
          </rPr>
          <t xml:space="preserve">
</t>
        </r>
      </text>
    </comment>
    <comment ref="B15" authorId="0">
      <text>
        <r>
          <rPr>
            <sz val="9"/>
            <color indexed="81"/>
            <rFont val="宋体"/>
            <family val="3"/>
            <charset val="134"/>
          </rPr>
          <t>按照不同技术转让项目分别填报，一个项目填报一行，纳税人有多个项目的，可自行增加行次填报。各行相应列次填报金额的合计金额填入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行。纳税人根据《国家税务总局关于技术转让所得减免企业所得税有关问题的通知》（国税函〔</t>
        </r>
        <r>
          <rPr>
            <sz val="9"/>
            <color indexed="81"/>
            <rFont val="Tahoma"/>
            <family val="2"/>
          </rPr>
          <t>2009</t>
        </r>
        <r>
          <rPr>
            <sz val="9"/>
            <color indexed="81"/>
            <rFont val="宋体"/>
            <family val="3"/>
            <charset val="134"/>
          </rPr>
          <t>〕</t>
        </r>
        <r>
          <rPr>
            <sz val="9"/>
            <color indexed="81"/>
            <rFont val="Tahoma"/>
            <family val="2"/>
          </rPr>
          <t>212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国家税务总局关于居民企业技术转让有关企业所得税政策问题的通知》（财税〔</t>
        </r>
        <r>
          <rPr>
            <sz val="9"/>
            <color indexed="81"/>
            <rFont val="Tahoma"/>
            <family val="2"/>
          </rPr>
          <t>2010</t>
        </r>
        <r>
          <rPr>
            <sz val="9"/>
            <color indexed="81"/>
            <rFont val="宋体"/>
            <family val="3"/>
            <charset val="134"/>
          </rPr>
          <t>〕</t>
        </r>
        <r>
          <rPr>
            <sz val="9"/>
            <color indexed="81"/>
            <rFont val="Tahoma"/>
            <family val="2"/>
          </rPr>
          <t>111</t>
        </r>
        <r>
          <rPr>
            <sz val="9"/>
            <color indexed="81"/>
            <rFont val="宋体"/>
            <family val="3"/>
            <charset val="134"/>
          </rPr>
          <t>号）、《国家税务总局关于技术转让所得减免企业所得税有关问题的公告》（国家税务总局公告</t>
        </r>
        <r>
          <rPr>
            <sz val="9"/>
            <color indexed="81"/>
            <rFont val="Tahoma"/>
            <family val="2"/>
          </rPr>
          <t>2013</t>
        </r>
        <r>
          <rPr>
            <sz val="9"/>
            <color indexed="81"/>
            <rFont val="宋体"/>
            <family val="3"/>
            <charset val="134"/>
          </rPr>
          <t>年第</t>
        </r>
        <r>
          <rPr>
            <sz val="9"/>
            <color indexed="81"/>
            <rFont val="Tahoma"/>
            <family val="2"/>
          </rPr>
          <t>62</t>
        </r>
        <r>
          <rPr>
            <sz val="9"/>
            <color indexed="81"/>
            <rFont val="宋体"/>
            <family val="3"/>
            <charset val="134"/>
          </rPr>
          <t>号）、《国家税务总局关于许可使用权技术转让所得企业所得税有关问题的公告》（国家税务总局公告</t>
        </r>
        <r>
          <rPr>
            <sz val="9"/>
            <color indexed="81"/>
            <rFont val="Tahoma"/>
            <family val="2"/>
          </rPr>
          <t>2015</t>
        </r>
        <r>
          <rPr>
            <sz val="9"/>
            <color indexed="81"/>
            <rFont val="宋体"/>
            <family val="3"/>
            <charset val="134"/>
          </rPr>
          <t>年第</t>
        </r>
        <r>
          <rPr>
            <sz val="9"/>
            <color indexed="81"/>
            <rFont val="Tahoma"/>
            <family val="2"/>
          </rPr>
          <t>82</t>
        </r>
        <r>
          <rPr>
            <sz val="9"/>
            <color indexed="81"/>
            <rFont val="宋体"/>
            <family val="3"/>
            <charset val="134"/>
          </rPr>
          <t>号）等相关税收政策规定，填报一个纳税年度内，居民企业将其拥有的专利技术、计算机软件著作权、集成电路布图设计权、植物新品种、生物医药新品种，以及财政部和国家税务总局确定的其他技术的所有权或</t>
        </r>
        <r>
          <rPr>
            <sz val="9"/>
            <color indexed="81"/>
            <rFont val="Tahoma"/>
            <family val="2"/>
          </rPr>
          <t>5</t>
        </r>
        <r>
          <rPr>
            <sz val="9"/>
            <color indexed="81"/>
            <rFont val="宋体"/>
            <family val="3"/>
            <charset val="134"/>
          </rPr>
          <t>年以上（含</t>
        </r>
        <r>
          <rPr>
            <sz val="9"/>
            <color indexed="81"/>
            <rFont val="Tahoma"/>
            <family val="2"/>
          </rPr>
          <t>5</t>
        </r>
        <r>
          <rPr>
            <sz val="9"/>
            <color indexed="81"/>
            <rFont val="宋体"/>
            <family val="3"/>
            <charset val="134"/>
          </rPr>
          <t>年）全球独占许可使用权、</t>
        </r>
        <r>
          <rPr>
            <sz val="9"/>
            <color indexed="81"/>
            <rFont val="Tahoma"/>
            <family val="2"/>
          </rPr>
          <t>5</t>
        </r>
        <r>
          <rPr>
            <sz val="9"/>
            <color indexed="81"/>
            <rFont val="宋体"/>
            <family val="3"/>
            <charset val="134"/>
          </rPr>
          <t>年以上（含</t>
        </r>
        <r>
          <rPr>
            <sz val="9"/>
            <color indexed="81"/>
            <rFont val="Tahoma"/>
            <family val="2"/>
          </rPr>
          <t>5</t>
        </r>
        <r>
          <rPr>
            <sz val="9"/>
            <color indexed="81"/>
            <rFont val="宋体"/>
            <family val="3"/>
            <charset val="134"/>
          </rPr>
          <t>年）非独占许可使用权转让取得的所得，不超过</t>
        </r>
        <r>
          <rPr>
            <sz val="9"/>
            <color indexed="81"/>
            <rFont val="Tahoma"/>
            <family val="2"/>
          </rPr>
          <t>500</t>
        </r>
        <r>
          <rPr>
            <sz val="9"/>
            <color indexed="81"/>
            <rFont val="宋体"/>
            <family val="3"/>
            <charset val="134"/>
          </rPr>
          <t>万元的部分，免征企业所得税；超过</t>
        </r>
        <r>
          <rPr>
            <sz val="9"/>
            <color indexed="81"/>
            <rFont val="Tahoma"/>
            <family val="2"/>
          </rPr>
          <t>500</t>
        </r>
        <r>
          <rPr>
            <sz val="9"/>
            <color indexed="81"/>
            <rFont val="宋体"/>
            <family val="3"/>
            <charset val="134"/>
          </rPr>
          <t>万元的部分，减半征收企业所得税。居民企业从直接或间接持有股权之和达到</t>
        </r>
        <r>
          <rPr>
            <sz val="9"/>
            <color indexed="81"/>
            <rFont val="Tahoma"/>
            <family val="2"/>
          </rPr>
          <t>100%</t>
        </r>
        <r>
          <rPr>
            <sz val="9"/>
            <color indexed="81"/>
            <rFont val="宋体"/>
            <family val="3"/>
            <charset val="134"/>
          </rPr>
          <t>的关联方取得的技术转让所得，不享受技术转让减免企业所得税优惠政策。</t>
        </r>
        <r>
          <rPr>
            <sz val="9"/>
            <color indexed="81"/>
            <rFont val="Tahoma"/>
            <family val="2"/>
          </rPr>
          <t xml:space="preserve">
</t>
        </r>
      </text>
    </comment>
    <comment ref="D15" authorId="0">
      <text>
        <r>
          <rPr>
            <sz val="9"/>
            <color indexed="81"/>
            <rFont val="宋体"/>
            <family val="3"/>
            <charset val="134"/>
          </rPr>
          <t>本列不需填报。</t>
        </r>
        <r>
          <rPr>
            <sz val="9"/>
            <color indexed="81"/>
            <rFont val="Tahoma"/>
            <family val="2"/>
          </rPr>
          <t xml:space="preserve">
</t>
        </r>
      </text>
    </comment>
    <comment ref="K17" authorId="0">
      <text>
        <r>
          <rPr>
            <sz val="9"/>
            <color indexed="81"/>
            <rFont val="宋体"/>
            <family val="3"/>
            <charset val="134"/>
          </rPr>
          <t>第</t>
        </r>
        <r>
          <rPr>
            <sz val="9"/>
            <color indexed="81"/>
            <rFont val="Tahoma"/>
            <family val="2"/>
          </rPr>
          <t>4-5-6-7+8</t>
        </r>
        <r>
          <rPr>
            <sz val="9"/>
            <color indexed="81"/>
            <rFont val="宋体"/>
            <family val="3"/>
            <charset val="134"/>
          </rPr>
          <t>列的值小于等于</t>
        </r>
        <r>
          <rPr>
            <sz val="9"/>
            <color indexed="81"/>
            <rFont val="Tahoma"/>
            <family val="2"/>
          </rPr>
          <t>500</t>
        </r>
        <r>
          <rPr>
            <sz val="9"/>
            <color indexed="81"/>
            <rFont val="宋体"/>
            <family val="3"/>
            <charset val="134"/>
          </rPr>
          <t>万元的，填入本列，超出部分金额填入第</t>
        </r>
        <r>
          <rPr>
            <sz val="9"/>
            <color indexed="81"/>
            <rFont val="Tahoma"/>
            <family val="2"/>
          </rPr>
          <t>10</t>
        </r>
        <r>
          <rPr>
            <sz val="9"/>
            <color indexed="81"/>
            <rFont val="宋体"/>
            <family val="3"/>
            <charset val="134"/>
          </rPr>
          <t>列；若第</t>
        </r>
        <r>
          <rPr>
            <sz val="9"/>
            <color indexed="81"/>
            <rFont val="Tahoma"/>
            <family val="2"/>
          </rPr>
          <t>4-5-6-7+8</t>
        </r>
        <r>
          <rPr>
            <sz val="9"/>
            <color indexed="81"/>
            <rFont val="宋体"/>
            <family val="3"/>
            <charset val="134"/>
          </rPr>
          <t>列的值小于零的，本列按零填报。</t>
        </r>
        <r>
          <rPr>
            <sz val="9"/>
            <color indexed="81"/>
            <rFont val="Tahoma"/>
            <family val="2"/>
          </rPr>
          <t xml:space="preserve">
</t>
        </r>
      </text>
    </comment>
    <comment ref="L17" authorId="0">
      <text>
        <r>
          <rPr>
            <sz val="9"/>
            <color indexed="81"/>
            <rFont val="宋体"/>
            <family val="3"/>
            <charset val="134"/>
          </rPr>
          <t>第</t>
        </r>
        <r>
          <rPr>
            <sz val="9"/>
            <color indexed="81"/>
            <rFont val="Tahoma"/>
            <family val="2"/>
          </rPr>
          <t>4-5-6-7+8</t>
        </r>
        <r>
          <rPr>
            <sz val="9"/>
            <color indexed="81"/>
            <rFont val="宋体"/>
            <family val="3"/>
            <charset val="134"/>
          </rPr>
          <t>列的值超过</t>
        </r>
        <r>
          <rPr>
            <sz val="9"/>
            <color indexed="81"/>
            <rFont val="Tahoma"/>
            <family val="2"/>
          </rPr>
          <t>500</t>
        </r>
        <r>
          <rPr>
            <sz val="9"/>
            <color indexed="81"/>
            <rFont val="宋体"/>
            <family val="3"/>
            <charset val="134"/>
          </rPr>
          <t>万元的部分，填入本列。</t>
        </r>
      </text>
    </comment>
    <comment ref="B18" authorId="0">
      <text>
        <r>
          <rPr>
            <sz val="9"/>
            <color indexed="81"/>
            <rFont val="宋体"/>
            <family val="3"/>
            <charset val="134"/>
          </rPr>
          <t>按照实施清洁发展机制的不同项目分别填报，一个项目填报一行，纳税人有多个项目的，可自行增加行次填报。各行相应列次填报金额的合计金额填入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国家税务总局关于中国清洁发展机制基金及清洁发展机制项目实施企业有关企业所得税政策问题的通知》（财税〔</t>
        </r>
        <r>
          <rPr>
            <sz val="9"/>
            <color indexed="81"/>
            <rFont val="Tahoma"/>
            <family val="2"/>
          </rPr>
          <t>2009</t>
        </r>
        <r>
          <rPr>
            <sz val="9"/>
            <color indexed="81"/>
            <rFont val="宋体"/>
            <family val="3"/>
            <charset val="134"/>
          </rPr>
          <t>〕</t>
        </r>
        <r>
          <rPr>
            <sz val="9"/>
            <color indexed="81"/>
            <rFont val="Tahoma"/>
            <family val="2"/>
          </rPr>
          <t>30</t>
        </r>
        <r>
          <rPr>
            <sz val="9"/>
            <color indexed="81"/>
            <rFont val="宋体"/>
            <family val="3"/>
            <charset val="134"/>
          </rPr>
          <t>号）等相关税收政策规定，填报对企业实施的将温室气体减排量转让收入的</t>
        </r>
        <r>
          <rPr>
            <sz val="9"/>
            <color indexed="81"/>
            <rFont val="Tahoma"/>
            <family val="2"/>
          </rPr>
          <t>65%</t>
        </r>
        <r>
          <rPr>
            <sz val="9"/>
            <color indexed="81"/>
            <rFont val="宋体"/>
            <family val="3"/>
            <charset val="134"/>
          </rPr>
          <t>上缴给国家的</t>
        </r>
        <r>
          <rPr>
            <sz val="9"/>
            <color indexed="81"/>
            <rFont val="Tahoma"/>
            <family val="2"/>
          </rPr>
          <t>HFC</t>
        </r>
        <r>
          <rPr>
            <sz val="9"/>
            <color indexed="81"/>
            <rFont val="宋体"/>
            <family val="3"/>
            <charset val="134"/>
          </rPr>
          <t>和</t>
        </r>
        <r>
          <rPr>
            <sz val="9"/>
            <color indexed="81"/>
            <rFont val="Tahoma"/>
            <family val="2"/>
          </rPr>
          <t>PFC</t>
        </r>
        <r>
          <rPr>
            <sz val="9"/>
            <color indexed="81"/>
            <rFont val="宋体"/>
            <family val="3"/>
            <charset val="134"/>
          </rPr>
          <t>类</t>
        </r>
        <r>
          <rPr>
            <sz val="9"/>
            <color indexed="81"/>
            <rFont val="Tahoma"/>
            <family val="2"/>
          </rPr>
          <t>CDM</t>
        </r>
        <r>
          <rPr>
            <sz val="9"/>
            <color indexed="81"/>
            <rFont val="宋体"/>
            <family val="3"/>
            <charset val="134"/>
          </rPr>
          <t>项目，以及将温室气体减排量转让收入的</t>
        </r>
        <r>
          <rPr>
            <sz val="9"/>
            <color indexed="81"/>
            <rFont val="Tahoma"/>
            <family val="2"/>
          </rPr>
          <t>30%</t>
        </r>
        <r>
          <rPr>
            <sz val="9"/>
            <color indexed="81"/>
            <rFont val="宋体"/>
            <family val="3"/>
            <charset val="134"/>
          </rPr>
          <t>上缴给国家的</t>
        </r>
        <r>
          <rPr>
            <sz val="9"/>
            <color indexed="81"/>
            <rFont val="Tahoma"/>
            <family val="2"/>
          </rPr>
          <t>N2O</t>
        </r>
        <r>
          <rPr>
            <sz val="9"/>
            <color indexed="81"/>
            <rFont val="宋体"/>
            <family val="3"/>
            <charset val="134"/>
          </rPr>
          <t>类</t>
        </r>
        <r>
          <rPr>
            <sz val="9"/>
            <color indexed="81"/>
            <rFont val="Tahoma"/>
            <family val="2"/>
          </rPr>
          <t>CDM</t>
        </r>
        <r>
          <rPr>
            <sz val="9"/>
            <color indexed="81"/>
            <rFont val="宋体"/>
            <family val="3"/>
            <charset val="134"/>
          </rPr>
          <t>项目，其实施该类</t>
        </r>
        <r>
          <rPr>
            <sz val="9"/>
            <color indexed="81"/>
            <rFont val="Tahoma"/>
            <family val="2"/>
          </rPr>
          <t>CDM</t>
        </r>
        <r>
          <rPr>
            <sz val="9"/>
            <color indexed="81"/>
            <rFont val="宋体"/>
            <family val="3"/>
            <charset val="134"/>
          </rPr>
          <t>项目的所得，自项目取得第一笔减排量转让收入所属纳税年度起，第一年至第三年免征企业所得税，第四年至第六年减半征收企业所得税。</t>
        </r>
        <r>
          <rPr>
            <sz val="9"/>
            <color indexed="81"/>
            <rFont val="Tahoma"/>
            <family val="2"/>
          </rPr>
          <t xml:space="preserve">
</t>
        </r>
      </text>
    </comment>
    <comment ref="D18" authorId="0">
      <text>
        <r>
          <rPr>
            <sz val="9"/>
            <color indexed="81"/>
            <rFont val="宋体"/>
            <family val="3"/>
            <charset val="134"/>
          </rPr>
          <t>本列不需填报。</t>
        </r>
        <r>
          <rPr>
            <sz val="9"/>
            <color indexed="81"/>
            <rFont val="Tahoma"/>
            <family val="2"/>
          </rPr>
          <t xml:space="preserve">
</t>
        </r>
      </text>
    </comment>
    <comment ref="B21" authorId="0">
      <text>
        <r>
          <rPr>
            <sz val="9"/>
            <color indexed="81"/>
            <rFont val="宋体"/>
            <family val="3"/>
            <charset val="134"/>
          </rPr>
          <t>按照节能服务公司实施合同能源管理的不同项目分别填报，一个项目填报一行，纳税人有多个项目的，可自行增加行次填报。各行相应列次填报金额的合计金额填入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国家税务总局关于促进节能服务产业发展增值税营业税和企业所得税政策问题的通知》（财税〔</t>
        </r>
        <r>
          <rPr>
            <sz val="9"/>
            <color indexed="81"/>
            <rFont val="Tahoma"/>
            <family val="2"/>
          </rPr>
          <t>2010</t>
        </r>
        <r>
          <rPr>
            <sz val="9"/>
            <color indexed="81"/>
            <rFont val="宋体"/>
            <family val="3"/>
            <charset val="134"/>
          </rPr>
          <t>〕</t>
        </r>
        <r>
          <rPr>
            <sz val="9"/>
            <color indexed="81"/>
            <rFont val="Tahoma"/>
            <family val="2"/>
          </rPr>
          <t>110</t>
        </r>
        <r>
          <rPr>
            <sz val="9"/>
            <color indexed="81"/>
            <rFont val="宋体"/>
            <family val="3"/>
            <charset val="134"/>
          </rPr>
          <t>号）、《国家税务总局</t>
        </r>
        <r>
          <rPr>
            <sz val="9"/>
            <color indexed="81"/>
            <rFont val="Tahoma"/>
            <family val="2"/>
          </rPr>
          <t xml:space="preserve"> </t>
        </r>
        <r>
          <rPr>
            <sz val="9"/>
            <color indexed="81"/>
            <rFont val="宋体"/>
            <family val="3"/>
            <charset val="134"/>
          </rPr>
          <t>国家发展改革委关于落实节能服务企业合同能源管理项目企业所得税优惠政策有关征收管理问题的公告》（国家税务总局</t>
        </r>
        <r>
          <rPr>
            <sz val="9"/>
            <color indexed="81"/>
            <rFont val="Tahoma"/>
            <family val="2"/>
          </rPr>
          <t xml:space="preserve"> </t>
        </r>
        <r>
          <rPr>
            <sz val="9"/>
            <color indexed="81"/>
            <rFont val="宋体"/>
            <family val="3"/>
            <charset val="134"/>
          </rPr>
          <t>国家发展改革委公告</t>
        </r>
        <r>
          <rPr>
            <sz val="9"/>
            <color indexed="81"/>
            <rFont val="Tahoma"/>
            <family val="2"/>
          </rPr>
          <t>2013</t>
        </r>
        <r>
          <rPr>
            <sz val="9"/>
            <color indexed="81"/>
            <rFont val="宋体"/>
            <family val="3"/>
            <charset val="134"/>
          </rPr>
          <t>年第</t>
        </r>
        <r>
          <rPr>
            <sz val="9"/>
            <color indexed="81"/>
            <rFont val="Tahoma"/>
            <family val="2"/>
          </rPr>
          <t>77</t>
        </r>
        <r>
          <rPr>
            <sz val="9"/>
            <color indexed="81"/>
            <rFont val="宋体"/>
            <family val="3"/>
            <charset val="134"/>
          </rPr>
          <t>号）等相关税收政策规定，填报对符合条件的节能服务公司实施合同能源管理项目，符合企业所得税税法有关规定的，自项目取得第一笔生产经营收入所属纳税年度起，第一年至第三年免征企业所得税，第四年至第六年按照</t>
        </r>
        <r>
          <rPr>
            <sz val="9"/>
            <color indexed="81"/>
            <rFont val="Tahoma"/>
            <family val="2"/>
          </rPr>
          <t>25%</t>
        </r>
        <r>
          <rPr>
            <sz val="9"/>
            <color indexed="81"/>
            <rFont val="宋体"/>
            <family val="3"/>
            <charset val="134"/>
          </rPr>
          <t>的法定税率减半征收企业所得税。</t>
        </r>
        <r>
          <rPr>
            <sz val="9"/>
            <color indexed="81"/>
            <rFont val="Tahoma"/>
            <family val="2"/>
          </rPr>
          <t xml:space="preserve">
</t>
        </r>
      </text>
    </comment>
    <comment ref="D21" authorId="0">
      <text>
        <r>
          <rPr>
            <sz val="9"/>
            <color indexed="81"/>
            <rFont val="宋体"/>
            <family val="3"/>
            <charset val="134"/>
          </rPr>
          <t>本列不需填报。</t>
        </r>
        <r>
          <rPr>
            <sz val="9"/>
            <color indexed="81"/>
            <rFont val="Tahoma"/>
            <family val="2"/>
          </rPr>
          <t xml:space="preserve">
</t>
        </r>
      </text>
    </comment>
    <comment ref="B24" authorId="0">
      <text>
        <r>
          <rPr>
            <sz val="9"/>
            <color indexed="81"/>
            <rFont val="宋体"/>
            <family val="3"/>
            <charset val="134"/>
          </rPr>
          <t>填报纳税人享受的其他专项减免项目名称、优惠事项名称及减免税代码、项目收入等。按照享受所得减免企业所得税优惠的其他项目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t>
        </r>
        <r>
          <rPr>
            <sz val="9"/>
            <color indexed="81"/>
            <rFont val="Tahoma"/>
            <family val="2"/>
          </rPr>
          <t xml:space="preserve">
</t>
        </r>
      </text>
    </comment>
    <comment ref="D24" authorId="0">
      <text>
        <r>
          <rPr>
            <sz val="9"/>
            <color indexed="81"/>
            <rFont val="宋体"/>
            <family val="3"/>
            <charset val="134"/>
          </rPr>
          <t>填报上述所得减免优惠项目以外的其他所得减免优惠政策具体名称。</t>
        </r>
        <r>
          <rPr>
            <sz val="9"/>
            <color indexed="81"/>
            <rFont val="Tahoma"/>
            <family val="2"/>
          </rPr>
          <t xml:space="preserve">
</t>
        </r>
      </text>
    </comment>
    <comment ref="B27" authorId="0">
      <text>
        <r>
          <rPr>
            <sz val="9"/>
            <color indexed="81"/>
            <rFont val="宋体"/>
            <family val="3"/>
            <charset val="134"/>
          </rPr>
          <t>填报第一至第七项</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行的合计金额。</t>
        </r>
        <r>
          <rPr>
            <sz val="9"/>
            <color indexed="81"/>
            <rFont val="Tahoma"/>
            <family val="2"/>
          </rPr>
          <t xml:space="preserve">
</t>
        </r>
      </text>
    </comment>
    <comment ref="M27" authorId="0">
      <text>
        <r>
          <rPr>
            <sz val="9"/>
            <color indexed="81"/>
            <rFont val="宋体"/>
            <family val="3"/>
            <charset val="134"/>
          </rPr>
          <t>当本表合计行第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，且本表合计行第</t>
        </r>
        <r>
          <rPr>
            <sz val="9"/>
            <color indexed="81"/>
            <rFont val="Tahoma"/>
            <family val="2"/>
          </rPr>
          <t>11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行时，表</t>
        </r>
        <r>
          <rPr>
            <sz val="9"/>
            <color indexed="81"/>
            <rFont val="Tahoma"/>
            <family val="2"/>
          </rPr>
          <t>A100000</t>
        </r>
        <r>
          <rPr>
            <sz val="9"/>
            <color indexed="81"/>
            <rFont val="宋体"/>
            <family val="3"/>
            <charset val="134"/>
          </rPr>
          <t>第</t>
        </r>
        <r>
          <rPr>
            <sz val="9"/>
            <color indexed="81"/>
            <rFont val="Tahoma"/>
            <family val="2"/>
          </rPr>
          <t>20</t>
        </r>
        <r>
          <rPr>
            <sz val="9"/>
            <color indexed="81"/>
            <rFont val="宋体"/>
            <family val="3"/>
            <charset val="134"/>
          </rPr>
          <t>行＝合计行第</t>
        </r>
        <r>
          <rPr>
            <sz val="9"/>
            <color indexed="81"/>
            <rFont val="Tahoma"/>
            <family val="2"/>
          </rPr>
          <t>11</t>
        </r>
        <r>
          <rPr>
            <sz val="9"/>
            <color indexed="81"/>
            <rFont val="宋体"/>
            <family val="3"/>
            <charset val="134"/>
          </rPr>
          <t xml:space="preserve">列。
</t>
        </r>
        <r>
          <rPr>
            <sz val="9"/>
            <color indexed="81"/>
            <rFont val="Tahoma"/>
            <family val="2"/>
          </rPr>
          <t>2.</t>
        </r>
        <r>
          <rPr>
            <sz val="9"/>
            <color indexed="81"/>
            <rFont val="宋体"/>
            <family val="3"/>
            <charset val="134"/>
          </rPr>
          <t>当本表合计行第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，且本表合计行第</t>
        </r>
        <r>
          <rPr>
            <sz val="9"/>
            <color indexed="81"/>
            <rFont val="Tahoma"/>
            <family val="2"/>
          </rPr>
          <t>11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行时，表</t>
        </r>
        <r>
          <rPr>
            <sz val="9"/>
            <color indexed="81"/>
            <rFont val="Tahoma"/>
            <family val="2"/>
          </rPr>
          <t>A100000</t>
        </r>
        <r>
          <rPr>
            <sz val="9"/>
            <color indexed="81"/>
            <rFont val="宋体"/>
            <family val="3"/>
            <charset val="134"/>
          </rPr>
          <t>第</t>
        </r>
        <r>
          <rPr>
            <sz val="9"/>
            <color indexed="81"/>
            <rFont val="Tahoma"/>
            <family val="2"/>
          </rPr>
          <t>20</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t>
        </r>
        <r>
          <rPr>
            <sz val="9"/>
            <color indexed="81"/>
            <rFont val="Tahoma"/>
            <family val="2"/>
          </rPr>
          <t xml:space="preserve"> 
</t>
        </r>
      </text>
    </comment>
  </commentList>
</comments>
</file>

<file path=xl/comments7.xml><?xml version="1.0" encoding="utf-8"?>
<comments xmlns="http://schemas.openxmlformats.org/spreadsheetml/2006/main">
  <authors>
    <author>Zhang, Dorothy</author>
  </authors>
  <commentList>
    <comment ref="C3" authorId="0">
      <text>
        <r>
          <rPr>
            <sz val="9"/>
            <color indexed="81"/>
            <rFont val="宋体"/>
            <family val="3"/>
            <charset val="134"/>
          </rPr>
          <t>第</t>
        </r>
        <r>
          <rPr>
            <sz val="9"/>
            <color indexed="81"/>
            <rFont val="Tahoma"/>
            <family val="2"/>
          </rPr>
          <t>1</t>
        </r>
        <r>
          <rPr>
            <sz val="9"/>
            <color indexed="81"/>
            <rFont val="宋体"/>
            <family val="3"/>
            <charset val="134"/>
          </rPr>
          <t>列填报抵扣应纳税所得额的整体情况。</t>
        </r>
        <r>
          <rPr>
            <sz val="9"/>
            <color indexed="81"/>
            <rFont val="Tahoma"/>
            <family val="2"/>
          </rPr>
          <t xml:space="preserve">
</t>
        </r>
      </text>
    </comment>
    <comment ref="D3" authorId="0">
      <text>
        <r>
          <rPr>
            <sz val="9"/>
            <color indexed="81"/>
            <rFont val="宋体"/>
            <family val="3"/>
            <charset val="134"/>
          </rPr>
          <t>第</t>
        </r>
        <r>
          <rPr>
            <sz val="9"/>
            <color indexed="81"/>
            <rFont val="Tahoma"/>
            <family val="2"/>
          </rPr>
          <t>2</t>
        </r>
        <r>
          <rPr>
            <sz val="9"/>
            <color indexed="81"/>
            <rFont val="宋体"/>
            <family val="3"/>
            <charset val="134"/>
          </rPr>
          <t>列填报投资于未上市中小高新技术企业部分。</t>
        </r>
        <r>
          <rPr>
            <sz val="9"/>
            <color indexed="81"/>
            <rFont val="Tahoma"/>
            <family val="2"/>
          </rPr>
          <t xml:space="preserve">
</t>
        </r>
      </text>
    </comment>
    <comment ref="E3" authorId="0">
      <text>
        <r>
          <rPr>
            <sz val="9"/>
            <color indexed="81"/>
            <rFont val="宋体"/>
            <family val="3"/>
            <charset val="134"/>
          </rPr>
          <t>第</t>
        </r>
        <r>
          <rPr>
            <sz val="9"/>
            <color indexed="81"/>
            <rFont val="Tahoma"/>
            <family val="2"/>
          </rPr>
          <t>3</t>
        </r>
        <r>
          <rPr>
            <sz val="9"/>
            <color indexed="81"/>
            <rFont val="宋体"/>
            <family val="3"/>
            <charset val="134"/>
          </rPr>
          <t>列填报投资于种子期、初创期科技型企业部分。</t>
        </r>
        <r>
          <rPr>
            <sz val="9"/>
            <color indexed="81"/>
            <rFont val="Tahoma"/>
            <family val="2"/>
          </rPr>
          <t xml:space="preserve">
</t>
        </r>
      </text>
    </comment>
    <comment ref="A5" authorId="0">
      <text>
        <r>
          <rPr>
            <sz val="9"/>
            <color indexed="81"/>
            <rFont val="宋体"/>
            <family val="3"/>
            <charset val="134"/>
          </rPr>
          <t>由创业投资企业（非合伙制）纳税人填报其以股权投资方式直接投资未上市的中小高新技术企业和投资于种子期、初创期科技型企业</t>
        </r>
        <r>
          <rPr>
            <sz val="9"/>
            <color indexed="81"/>
            <rFont val="Tahoma"/>
            <family val="2"/>
          </rPr>
          <t>2</t>
        </r>
        <r>
          <rPr>
            <sz val="9"/>
            <color indexed="81"/>
            <rFont val="宋体"/>
            <family val="3"/>
            <charset val="134"/>
          </rPr>
          <t>年（</t>
        </r>
        <r>
          <rPr>
            <sz val="9"/>
            <color indexed="81"/>
            <rFont val="Tahoma"/>
            <family val="2"/>
          </rPr>
          <t>24</t>
        </r>
        <r>
          <rPr>
            <sz val="9"/>
            <color indexed="81"/>
            <rFont val="宋体"/>
            <family val="3"/>
            <charset val="134"/>
          </rPr>
          <t>个月，下同）以上限额抵免应纳税所得额的金额。对于通过有限合伙制创业投资企业间接投资未上市的中小高新技术企业和投资于种子期、初创期科技型企业享受优惠政策填写本表第</t>
        </r>
        <r>
          <rPr>
            <sz val="9"/>
            <color indexed="81"/>
            <rFont val="Tahoma"/>
            <family val="2"/>
          </rPr>
          <t>9</t>
        </r>
        <r>
          <rPr>
            <sz val="9"/>
            <color indexed="81"/>
            <rFont val="宋体"/>
            <family val="3"/>
            <charset val="134"/>
          </rPr>
          <t>行至第</t>
        </r>
        <r>
          <rPr>
            <sz val="9"/>
            <color indexed="81"/>
            <rFont val="Tahoma"/>
            <family val="2"/>
          </rPr>
          <t>14</t>
        </r>
        <r>
          <rPr>
            <sz val="9"/>
            <color indexed="81"/>
            <rFont val="宋体"/>
            <family val="3"/>
            <charset val="134"/>
          </rPr>
          <t>行。</t>
        </r>
        <r>
          <rPr>
            <sz val="9"/>
            <color indexed="81"/>
            <rFont val="Tahoma"/>
            <family val="2"/>
          </rPr>
          <t xml:space="preserve">
</t>
        </r>
      </text>
    </comment>
    <comment ref="B6" authorId="0">
      <text>
        <r>
          <rPr>
            <sz val="9"/>
            <color indexed="81"/>
            <rFont val="宋体"/>
            <family val="3"/>
            <charset val="134"/>
          </rPr>
          <t>填报创业投资企业采取股权投资方式投资于未上市的中小高新技术企业和投资于种子期、初创期科技型企业满</t>
        </r>
        <r>
          <rPr>
            <sz val="9"/>
            <color indexed="81"/>
            <rFont val="Tahoma"/>
            <family val="2"/>
          </rPr>
          <t>2</t>
        </r>
        <r>
          <rPr>
            <sz val="9"/>
            <color indexed="81"/>
            <rFont val="宋体"/>
            <family val="3"/>
            <charset val="134"/>
          </rPr>
          <t>年的，本年新增的符合条件的股权投资额。本行第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列。无论企业本年是否盈利，有符合条件的投资额即填报本表，以后年度盈利时填写第</t>
        </r>
        <r>
          <rPr>
            <sz val="9"/>
            <color indexed="81"/>
            <rFont val="Tahoma"/>
            <family val="2"/>
          </rPr>
          <t>4</t>
        </r>
        <r>
          <rPr>
            <sz val="9"/>
            <color indexed="81"/>
            <rFont val="宋体"/>
            <family val="3"/>
            <charset val="134"/>
          </rPr>
          <t>行</t>
        </r>
        <r>
          <rPr>
            <sz val="9"/>
            <color indexed="81"/>
            <rFont val="Tahoma"/>
            <family val="2"/>
          </rPr>
          <t>“</t>
        </r>
        <r>
          <rPr>
            <sz val="9"/>
            <color indexed="81"/>
            <rFont val="宋体"/>
            <family val="3"/>
            <charset val="134"/>
          </rPr>
          <t>以前年度结转的尚未抵扣的股权投资余额</t>
        </r>
        <r>
          <rPr>
            <sz val="9"/>
            <color indexed="81"/>
            <rFont val="Tahoma"/>
            <family val="2"/>
          </rPr>
          <t>”</t>
        </r>
        <r>
          <rPr>
            <sz val="9"/>
            <color indexed="81"/>
            <rFont val="宋体"/>
            <family val="3"/>
            <charset val="134"/>
          </rPr>
          <t>。</t>
        </r>
        <r>
          <rPr>
            <sz val="9"/>
            <color indexed="81"/>
            <rFont val="Tahoma"/>
            <family val="2"/>
          </rPr>
          <t xml:space="preserve">
</t>
        </r>
      </text>
    </comment>
    <comment ref="B8" authorId="0">
      <text>
        <r>
          <rPr>
            <sz val="9"/>
            <color indexed="81"/>
            <rFont val="宋体"/>
            <family val="3"/>
            <charset val="134"/>
          </rPr>
          <t>本行填报第</t>
        </r>
        <r>
          <rPr>
            <sz val="9"/>
            <color indexed="81"/>
            <rFont val="Tahoma"/>
            <family val="2"/>
          </rPr>
          <t>1×2</t>
        </r>
        <r>
          <rPr>
            <sz val="9"/>
            <color indexed="81"/>
            <rFont val="宋体"/>
            <family val="3"/>
            <charset val="134"/>
          </rPr>
          <t>行金额。本行第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text>
    </comment>
    <comment ref="B9" authorId="0">
      <text>
        <r>
          <rPr>
            <sz val="9"/>
            <color indexed="81"/>
            <rFont val="宋体"/>
            <family val="3"/>
            <charset val="134"/>
          </rPr>
          <t>填报以前年度符合条件的尚未抵扣的股权投资余额。</t>
        </r>
        <r>
          <rPr>
            <sz val="9"/>
            <color indexed="81"/>
            <rFont val="Tahoma"/>
            <family val="2"/>
          </rPr>
          <t xml:space="preserve">
</t>
        </r>
      </text>
    </comment>
    <comment ref="B10" authorId="0">
      <text>
        <r>
          <rPr>
            <sz val="9"/>
            <color indexed="81"/>
            <rFont val="宋体"/>
            <family val="3"/>
            <charset val="134"/>
          </rPr>
          <t>本行填报第</t>
        </r>
        <r>
          <rPr>
            <sz val="9"/>
            <color indexed="81"/>
            <rFont val="Tahoma"/>
            <family val="2"/>
          </rPr>
          <t>3+4</t>
        </r>
        <r>
          <rPr>
            <sz val="9"/>
            <color indexed="81"/>
            <rFont val="宋体"/>
            <family val="3"/>
            <charset val="134"/>
          </rPr>
          <t>行的合计金额。</t>
        </r>
        <r>
          <rPr>
            <sz val="9"/>
            <color indexed="81"/>
            <rFont val="Tahoma"/>
            <family val="2"/>
          </rPr>
          <t xml:space="preserve">
</t>
        </r>
      </text>
    </comment>
    <comment ref="B11" authorId="0">
      <text>
        <r>
          <rPr>
            <sz val="9"/>
            <color indexed="81"/>
            <rFont val="宋体"/>
            <family val="3"/>
            <charset val="134"/>
          </rPr>
          <t>本行第</t>
        </r>
        <r>
          <rPr>
            <sz val="9"/>
            <color indexed="81"/>
            <rFont val="Tahoma"/>
            <family val="2"/>
          </rPr>
          <t>1</t>
        </r>
        <r>
          <rPr>
            <sz val="9"/>
            <color indexed="81"/>
            <rFont val="宋体"/>
            <family val="3"/>
            <charset val="134"/>
          </rPr>
          <t>列填报表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t>
        </r>
        <r>
          <rPr>
            <sz val="9"/>
            <color indexed="81"/>
            <rFont val="Tahoma"/>
            <family val="2"/>
          </rPr>
          <t>-</t>
        </r>
        <r>
          <rPr>
            <sz val="9"/>
            <color indexed="81"/>
            <rFont val="宋体"/>
            <family val="3"/>
            <charset val="134"/>
          </rPr>
          <t>本表第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本年实际抵扣应分得的应纳税所得额</t>
        </r>
        <r>
          <rPr>
            <sz val="9"/>
            <color indexed="81"/>
            <rFont val="Tahoma"/>
            <family val="2"/>
          </rPr>
          <t>”</t>
        </r>
        <r>
          <rPr>
            <sz val="9"/>
            <color indexed="81"/>
            <rFont val="宋体"/>
            <family val="3"/>
            <charset val="134"/>
          </rPr>
          <t>的金额，若金额小于零，则填报零。</t>
        </r>
      </text>
    </comment>
    <comment ref="C11" authorId="0">
      <text>
        <r>
          <rPr>
            <sz val="9"/>
            <color indexed="81"/>
            <rFont val="宋体"/>
            <family val="3"/>
            <charset val="134"/>
          </rPr>
          <t>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t>
        </r>
        <r>
          <rPr>
            <sz val="9"/>
            <color indexed="81"/>
            <rFont val="Tahoma"/>
            <family val="2"/>
          </rPr>
          <t>-</t>
        </r>
        <r>
          <rPr>
            <sz val="9"/>
            <color indexed="81"/>
            <rFont val="宋体"/>
            <family val="3"/>
            <charset val="134"/>
          </rPr>
          <t>本表第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列；若表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t>
        </r>
        <r>
          <rPr>
            <sz val="9"/>
            <color indexed="81"/>
            <rFont val="Tahoma"/>
            <family val="2"/>
          </rPr>
          <t>-</t>
        </r>
        <r>
          <rPr>
            <sz val="9"/>
            <color indexed="81"/>
            <rFont val="宋体"/>
            <family val="3"/>
            <charset val="134"/>
          </rPr>
          <t>本表第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t>
        </r>
        <r>
          <rPr>
            <sz val="9"/>
            <color indexed="81"/>
            <rFont val="Tahoma"/>
            <family val="2"/>
          </rPr>
          <t xml:space="preserve">
</t>
        </r>
      </text>
    </comment>
    <comment ref="B12" authorId="0">
      <text>
        <r>
          <rPr>
            <sz val="9"/>
            <color indexed="81"/>
            <rFont val="宋体"/>
            <family val="3"/>
            <charset val="134"/>
          </rPr>
          <t>若第</t>
        </r>
        <r>
          <rPr>
            <sz val="9"/>
            <color indexed="81"/>
            <rFont val="Tahoma"/>
            <family val="2"/>
          </rPr>
          <t>5</t>
        </r>
        <r>
          <rPr>
            <sz val="9"/>
            <color indexed="81"/>
            <rFont val="宋体"/>
            <family val="3"/>
            <charset val="134"/>
          </rPr>
          <t>行第</t>
        </r>
        <r>
          <rPr>
            <sz val="9"/>
            <color indexed="81"/>
            <rFont val="Tahoma"/>
            <family val="2"/>
          </rPr>
          <t>1</t>
        </r>
        <r>
          <rPr>
            <sz val="9"/>
            <color indexed="81"/>
            <rFont val="宋体"/>
            <family val="3"/>
            <charset val="134"/>
          </rPr>
          <t>列≤第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列，则本行第</t>
        </r>
        <r>
          <rPr>
            <sz val="9"/>
            <color indexed="81"/>
            <rFont val="Tahoma"/>
            <family val="2"/>
          </rPr>
          <t>1</t>
        </r>
        <r>
          <rPr>
            <sz val="9"/>
            <color indexed="81"/>
            <rFont val="宋体"/>
            <family val="3"/>
            <charset val="134"/>
          </rPr>
          <t>列＝第</t>
        </r>
        <r>
          <rPr>
            <sz val="9"/>
            <color indexed="81"/>
            <rFont val="Tahoma"/>
            <family val="2"/>
          </rPr>
          <t>5</t>
        </r>
        <r>
          <rPr>
            <sz val="9"/>
            <color indexed="81"/>
            <rFont val="宋体"/>
            <family val="3"/>
            <charset val="134"/>
          </rPr>
          <t>行第</t>
        </r>
        <r>
          <rPr>
            <sz val="9"/>
            <color indexed="81"/>
            <rFont val="Tahoma"/>
            <family val="2"/>
          </rPr>
          <t>1</t>
        </r>
        <r>
          <rPr>
            <sz val="9"/>
            <color indexed="81"/>
            <rFont val="宋体"/>
            <family val="3"/>
            <charset val="134"/>
          </rPr>
          <t>列；若第</t>
        </r>
        <r>
          <rPr>
            <sz val="9"/>
            <color indexed="81"/>
            <rFont val="Tahoma"/>
            <family val="2"/>
          </rPr>
          <t>5</t>
        </r>
        <r>
          <rPr>
            <sz val="9"/>
            <color indexed="81"/>
            <rFont val="宋体"/>
            <family val="3"/>
            <charset val="134"/>
          </rPr>
          <t>行第</t>
        </r>
        <r>
          <rPr>
            <sz val="9"/>
            <color indexed="81"/>
            <rFont val="Tahoma"/>
            <family val="2"/>
          </rPr>
          <t>1</t>
        </r>
        <r>
          <rPr>
            <sz val="9"/>
            <color indexed="81"/>
            <rFont val="宋体"/>
            <family val="3"/>
            <charset val="134"/>
          </rPr>
          <t>列＞第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列，则本行第</t>
        </r>
        <r>
          <rPr>
            <sz val="9"/>
            <color indexed="81"/>
            <rFont val="Tahoma"/>
            <family val="2"/>
          </rPr>
          <t>1</t>
        </r>
        <r>
          <rPr>
            <sz val="9"/>
            <color indexed="81"/>
            <rFont val="宋体"/>
            <family val="3"/>
            <charset val="134"/>
          </rPr>
          <t>列＝第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text>
    </comment>
    <comment ref="B13" authorId="0">
      <text>
        <r>
          <rPr>
            <sz val="9"/>
            <color indexed="81"/>
            <rFont val="宋体"/>
            <family val="3"/>
            <charset val="134"/>
          </rPr>
          <t>填报本年可抵扣的股权投资额大于本年实际抵扣应纳税所得额时，抵扣后余额部分结转以后年度抵扣的金额。</t>
        </r>
        <r>
          <rPr>
            <sz val="9"/>
            <color indexed="81"/>
            <rFont val="Tahoma"/>
            <family val="2"/>
          </rPr>
          <t xml:space="preserve">
</t>
        </r>
      </text>
    </comment>
    <comment ref="A14" authorId="0">
      <text>
        <r>
          <rPr>
            <sz val="9"/>
            <color indexed="81"/>
            <rFont val="宋体"/>
            <family val="3"/>
            <charset val="134"/>
          </rPr>
          <t>企业作为有限合伙制创业投资企业的合伙人，通过合伙企业间接投资未上市中小高新技术企业和种子期、初创期科技型企业，享受有限合伙制创业投资企业法人合伙人按投资额的一定比例抵扣应纳税所得额政策，在本部分填报。</t>
        </r>
        <r>
          <rPr>
            <sz val="9"/>
            <color indexed="81"/>
            <rFont val="Tahoma"/>
            <family val="2"/>
          </rPr>
          <t xml:space="preserve">
</t>
        </r>
      </text>
    </comment>
    <comment ref="B15" authorId="0">
      <text>
        <r>
          <rPr>
            <sz val="9"/>
            <color indexed="81"/>
            <rFont val="宋体"/>
            <family val="3"/>
            <charset val="134"/>
          </rPr>
          <t>填写企业作为法人合伙人，通过有限合伙制创业投资企业投资未上市的中小高新技术企业或者投资于种子期、初创期科技型企业，无论本年是否盈利、是否抵扣应纳税所得额，只要本年从有限合伙制创业投资企业中分配归属于该法人合伙人的应纳税所得额，需填写本行。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text>
    </comment>
    <comment ref="B16" authorId="0">
      <text>
        <r>
          <rPr>
            <sz val="9"/>
            <color indexed="81"/>
            <rFont val="宋体"/>
            <family val="3"/>
            <charset val="134"/>
          </rPr>
          <t>填写企业作为法人合伙人，通过有限合伙制创业投资企业投资未上市中小高新技术企业和种子期、初创期科技型企业，本年投资满</t>
        </r>
        <r>
          <rPr>
            <sz val="9"/>
            <color indexed="81"/>
            <rFont val="Tahoma"/>
            <family val="2"/>
          </rPr>
          <t>2</t>
        </r>
        <r>
          <rPr>
            <sz val="9"/>
            <color indexed="81"/>
            <rFont val="宋体"/>
            <family val="3"/>
            <charset val="134"/>
          </rPr>
          <t>年符合条件的可抵扣投资额中归属于该法人合伙人的本年新增可抵扣投资额。无论本年是否盈利、是否需要抵扣应纳税所得额，均需填写本行。本行第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r>
          <rPr>
            <sz val="9"/>
            <color indexed="81"/>
            <rFont val="宋体"/>
            <family val="3"/>
            <charset val="134"/>
          </rPr>
          <t>有限合伙制创业投资企业的法人合伙人对未上市中小高新技术企业和种子期、初创期科技型企业的投资额，按照有限合伙制创业投资企业的投资额和合伙协议约定的法人合伙人占有限合伙制创业投资企业的出资比例计算确定。其中，有限合伙制创业投资企业的投资额按实缴投资额计算；法人合伙人占有限合伙制创业投资企业的出资比例按法人合伙人对有限合伙制创业投资企业的实缴出资额占该有限合伙制创业投资企业的全部实缴出资额的比例计算。</t>
        </r>
      </text>
    </comment>
    <comment ref="B17" authorId="0">
      <text>
        <r>
          <rPr>
            <sz val="9"/>
            <color indexed="81"/>
            <rFont val="宋体"/>
            <family val="3"/>
            <charset val="134"/>
          </rPr>
          <t>填写法人合伙人上年度未抵扣，可以结转到本年及以后年度的抵扣投资额。</t>
        </r>
        <r>
          <rPr>
            <sz val="9"/>
            <color indexed="81"/>
            <rFont val="Tahoma"/>
            <family val="2"/>
          </rPr>
          <t xml:space="preserve">
</t>
        </r>
      </text>
    </comment>
    <comment ref="B18" authorId="0">
      <text>
        <r>
          <rPr>
            <sz val="9"/>
            <color indexed="81"/>
            <rFont val="宋体"/>
            <family val="3"/>
            <charset val="134"/>
          </rPr>
          <t>填写本年法人合伙人可用于抵扣的投资额合计，包括本年新增和以前年度结转两部分，等于第</t>
        </r>
        <r>
          <rPr>
            <sz val="9"/>
            <color indexed="81"/>
            <rFont val="Tahoma"/>
            <family val="2"/>
          </rPr>
          <t>10</t>
        </r>
        <r>
          <rPr>
            <sz val="9"/>
            <color indexed="81"/>
            <rFont val="宋体"/>
            <family val="3"/>
            <charset val="134"/>
          </rPr>
          <t>行</t>
        </r>
        <r>
          <rPr>
            <sz val="9"/>
            <color indexed="81"/>
            <rFont val="Tahoma"/>
            <family val="2"/>
          </rPr>
          <t>+</t>
        </r>
        <r>
          <rPr>
            <sz val="9"/>
            <color indexed="81"/>
            <rFont val="宋体"/>
            <family val="3"/>
            <charset val="134"/>
          </rPr>
          <t>第</t>
        </r>
        <r>
          <rPr>
            <sz val="9"/>
            <color indexed="81"/>
            <rFont val="Tahoma"/>
            <family val="2"/>
          </rPr>
          <t>11</t>
        </r>
        <r>
          <rPr>
            <sz val="9"/>
            <color indexed="81"/>
            <rFont val="宋体"/>
            <family val="3"/>
            <charset val="134"/>
          </rPr>
          <t>行。</t>
        </r>
        <r>
          <rPr>
            <sz val="9"/>
            <color indexed="81"/>
            <rFont val="Tahoma"/>
            <family val="2"/>
          </rPr>
          <t xml:space="preserve">
</t>
        </r>
      </text>
    </comment>
    <comment ref="B19" authorId="0">
      <text>
        <r>
          <rPr>
            <sz val="9"/>
            <color indexed="81"/>
            <rFont val="宋体"/>
            <family val="3"/>
            <charset val="134"/>
          </rPr>
          <t>填写本年法人合伙人享受优惠实际抵扣的投资额，本行第</t>
        </r>
        <r>
          <rPr>
            <sz val="9"/>
            <color indexed="81"/>
            <rFont val="Tahoma"/>
            <family val="2"/>
          </rPr>
          <t>1</t>
        </r>
        <r>
          <rPr>
            <sz val="9"/>
            <color indexed="81"/>
            <rFont val="宋体"/>
            <family val="3"/>
            <charset val="134"/>
          </rPr>
          <t>列为第</t>
        </r>
        <r>
          <rPr>
            <sz val="9"/>
            <color indexed="81"/>
            <rFont val="Tahoma"/>
            <family val="2"/>
          </rPr>
          <t>9</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本年从有限合伙创投企业应分得的应纳税所得额</t>
        </r>
        <r>
          <rPr>
            <sz val="9"/>
            <color indexed="81"/>
            <rFont val="Tahoma"/>
            <family val="2"/>
          </rPr>
          <t>”</t>
        </r>
        <r>
          <rPr>
            <sz val="9"/>
            <color indexed="81"/>
            <rFont val="宋体"/>
            <family val="3"/>
            <charset val="134"/>
          </rPr>
          <t>、第</t>
        </r>
        <r>
          <rPr>
            <sz val="9"/>
            <color indexed="81"/>
            <rFont val="Tahoma"/>
            <family val="2"/>
          </rPr>
          <t>12</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本年可抵扣投资额</t>
        </r>
        <r>
          <rPr>
            <sz val="9"/>
            <color indexed="81"/>
            <rFont val="Tahoma"/>
            <family val="2"/>
          </rPr>
          <t>”</t>
        </r>
        <r>
          <rPr>
            <sz val="9"/>
            <color indexed="81"/>
            <rFont val="宋体"/>
            <family val="3"/>
            <charset val="134"/>
          </rPr>
          <t>、主表第</t>
        </r>
        <r>
          <rPr>
            <sz val="9"/>
            <color indexed="81"/>
            <rFont val="Tahoma"/>
            <family val="2"/>
          </rPr>
          <t>19-20-21</t>
        </r>
        <r>
          <rPr>
            <sz val="9"/>
            <color indexed="81"/>
            <rFont val="宋体"/>
            <family val="3"/>
            <charset val="134"/>
          </rPr>
          <t>行的三者孰小值，若金额小于零，则填报零。本行第</t>
        </r>
        <r>
          <rPr>
            <sz val="9"/>
            <color indexed="81"/>
            <rFont val="Tahoma"/>
            <family val="2"/>
          </rPr>
          <t>1</t>
        </r>
        <r>
          <rPr>
            <sz val="9"/>
            <color indexed="81"/>
            <rFont val="宋体"/>
            <family val="3"/>
            <charset val="134"/>
          </rPr>
          <t>列＝第</t>
        </r>
        <r>
          <rPr>
            <sz val="9"/>
            <color indexed="81"/>
            <rFont val="Tahoma"/>
            <family val="2"/>
          </rPr>
          <t>2+3</t>
        </r>
        <r>
          <rPr>
            <sz val="9"/>
            <color indexed="81"/>
            <rFont val="宋体"/>
            <family val="3"/>
            <charset val="134"/>
          </rPr>
          <t>列。</t>
        </r>
        <r>
          <rPr>
            <sz val="9"/>
            <color indexed="81"/>
            <rFont val="Tahoma"/>
            <family val="2"/>
          </rPr>
          <t xml:space="preserve">
</t>
        </r>
      </text>
    </comment>
    <comment ref="C19" authorId="0">
      <text>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列＝本表第</t>
        </r>
        <r>
          <rPr>
            <sz val="9"/>
            <color indexed="81"/>
            <rFont val="Tahoma"/>
            <family val="2"/>
          </rPr>
          <t>9</t>
        </r>
        <r>
          <rPr>
            <sz val="9"/>
            <color indexed="81"/>
            <rFont val="宋体"/>
            <family val="3"/>
            <charset val="134"/>
          </rPr>
          <t>行第</t>
        </r>
        <r>
          <rPr>
            <sz val="9"/>
            <color indexed="81"/>
            <rFont val="Tahoma"/>
            <family val="2"/>
          </rPr>
          <t>1</t>
        </r>
        <r>
          <rPr>
            <sz val="9"/>
            <color indexed="81"/>
            <rFont val="宋体"/>
            <family val="3"/>
            <charset val="134"/>
          </rPr>
          <t>列、第</t>
        </r>
        <r>
          <rPr>
            <sz val="9"/>
            <color indexed="81"/>
            <rFont val="Tahoma"/>
            <family val="2"/>
          </rPr>
          <t>12</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行三者的孰小值；若上述孰小值＜</t>
        </r>
        <r>
          <rPr>
            <sz val="9"/>
            <color indexed="81"/>
            <rFont val="Tahoma"/>
            <family val="2"/>
          </rPr>
          <t>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t>
        </r>
        <r>
          <rPr>
            <sz val="9"/>
            <color indexed="81"/>
            <rFont val="Tahoma"/>
            <family val="2"/>
          </rPr>
          <t xml:space="preserve">
</t>
        </r>
      </text>
    </comment>
    <comment ref="B20" authorId="0">
      <text>
        <r>
          <rPr>
            <sz val="9"/>
            <color indexed="81"/>
            <rFont val="宋体"/>
            <family val="3"/>
            <charset val="134"/>
          </rPr>
          <t>本年可抵扣投资额大于应分得的应纳税所得额时，抵扣后余额部分结转以后年度抵扣的金额。</t>
        </r>
        <r>
          <rPr>
            <sz val="9"/>
            <color indexed="81"/>
            <rFont val="Tahoma"/>
            <family val="2"/>
          </rPr>
          <t xml:space="preserve">
</t>
        </r>
      </text>
    </comment>
    <comment ref="A21" authorId="0">
      <text>
        <r>
          <rPr>
            <sz val="9"/>
            <color indexed="81"/>
            <rFont val="宋体"/>
            <family val="3"/>
            <charset val="134"/>
          </rPr>
          <t>上述优惠合计额，带入表</t>
        </r>
        <r>
          <rPr>
            <sz val="9"/>
            <color indexed="81"/>
            <rFont val="Tahoma"/>
            <family val="2"/>
          </rPr>
          <t>A100000</t>
        </r>
        <r>
          <rPr>
            <sz val="9"/>
            <color indexed="81"/>
            <rFont val="宋体"/>
            <family val="3"/>
            <charset val="134"/>
          </rPr>
          <t>表计算应纳税所得额。
第</t>
        </r>
        <r>
          <rPr>
            <sz val="9"/>
            <color indexed="81"/>
            <rFont val="Tahoma"/>
            <family val="2"/>
          </rPr>
          <t>15</t>
        </r>
        <r>
          <rPr>
            <sz val="9"/>
            <color indexed="81"/>
            <rFont val="宋体"/>
            <family val="3"/>
            <charset val="134"/>
          </rPr>
          <t>行“合计”＝</t>
        </r>
        <r>
          <rPr>
            <sz val="9"/>
            <color indexed="81"/>
            <rFont val="Tahoma"/>
            <family val="2"/>
          </rPr>
          <t>7</t>
        </r>
        <r>
          <rPr>
            <sz val="9"/>
            <color indexed="81"/>
            <rFont val="宋体"/>
            <family val="3"/>
            <charset val="134"/>
          </rPr>
          <t>行</t>
        </r>
        <r>
          <rPr>
            <sz val="9"/>
            <color indexed="81"/>
            <rFont val="Tahoma"/>
            <family val="2"/>
          </rPr>
          <t>+13</t>
        </r>
        <r>
          <rPr>
            <sz val="9"/>
            <color indexed="81"/>
            <rFont val="宋体"/>
            <family val="3"/>
            <charset val="134"/>
          </rPr>
          <t>行。本行第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text>
    </comment>
    <comment ref="C22" authorId="0">
      <text>
        <r>
          <rPr>
            <sz val="9"/>
            <color indexed="81"/>
            <rFont val="宋体"/>
            <family val="3"/>
            <charset val="134"/>
          </rPr>
          <t>第</t>
        </r>
        <r>
          <rPr>
            <sz val="9"/>
            <color indexed="81"/>
            <rFont val="Tahoma"/>
            <family val="2"/>
          </rPr>
          <t>15</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22</t>
        </r>
        <r>
          <rPr>
            <sz val="9"/>
            <color indexed="81"/>
            <rFont val="宋体"/>
            <family val="3"/>
            <charset val="134"/>
          </rPr>
          <t>行。</t>
        </r>
        <r>
          <rPr>
            <sz val="9"/>
            <color indexed="81"/>
            <rFont val="Tahoma"/>
            <family val="2"/>
          </rPr>
          <t xml:space="preserve">
</t>
        </r>
      </text>
    </comment>
  </commentList>
</comments>
</file>

<file path=xl/comments8.xml><?xml version="1.0" encoding="utf-8"?>
<comments xmlns="http://schemas.openxmlformats.org/spreadsheetml/2006/main">
  <authors>
    <author>Zhang, Dorothy</author>
  </authors>
  <commentList>
    <comment ref="B4" authorId="0">
      <text>
        <r>
          <rPr>
            <sz val="9"/>
            <color indexed="81"/>
            <rFont val="Tahoma"/>
            <family val="2"/>
            <charset val="134"/>
          </rPr>
          <t>填报纳税人高新技术企业证书上的编号。</t>
        </r>
      </text>
    </comment>
    <comment ref="E4" authorId="0">
      <text>
        <r>
          <rPr>
            <sz val="9"/>
            <color indexed="81"/>
            <rFont val="Tahoma"/>
            <family val="2"/>
            <charset val="134"/>
          </rPr>
          <t xml:space="preserve">填报纳税人高新技术企业证书上的取得时间。
</t>
        </r>
      </text>
    </comment>
    <comment ref="B5" authorId="0">
      <text>
        <r>
          <rPr>
            <sz val="9"/>
            <color indexed="81"/>
            <rFont val="Tahoma"/>
            <family val="2"/>
            <charset val="134"/>
          </rPr>
          <t xml:space="preserve">填报对企业主要产品（服务）发挥核心支持作用的技术属于《国家重点支持的高新技术领域》规定的具体范围，填报至三级明细领域，如“一、电子信息技术（一）软件1.系统软件”。
</t>
        </r>
      </text>
    </comment>
    <comment ref="C9" authorId="0">
      <text>
        <r>
          <rPr>
            <sz val="9"/>
            <color indexed="81"/>
            <rFont val="Tahoma"/>
            <family val="2"/>
            <charset val="134"/>
          </rPr>
          <t xml:space="preserve">填报第5+6行的合计金额。
</t>
        </r>
      </text>
    </comment>
    <comment ref="C10" authorId="0">
      <text>
        <r>
          <rPr>
            <sz val="9"/>
            <color indexed="81"/>
            <rFont val="Tahoma"/>
            <family val="2"/>
            <charset val="134"/>
          </rPr>
          <t xml:space="preserve">填报纳税人本年发挥核心支持作用的技术属于《国家重点支持的高新技术领域》规定范围的产品（服务）收入。
</t>
        </r>
      </text>
    </comment>
    <comment ref="C11" authorId="0">
      <text>
        <r>
          <rPr>
            <sz val="9"/>
            <color indexed="81"/>
            <rFont val="Tahoma"/>
            <family val="2"/>
            <charset val="134"/>
          </rPr>
          <t xml:space="preserve">包括技术转让收入、技术服务收入和接受委托研究开发收入。
</t>
        </r>
      </text>
    </comment>
    <comment ref="C12" authorId="0">
      <text>
        <r>
          <rPr>
            <sz val="9"/>
            <color indexed="81"/>
            <rFont val="Tahoma"/>
            <family val="2"/>
            <charset val="134"/>
          </rPr>
          <t xml:space="preserve">填报第8-9行的余额。
</t>
        </r>
      </text>
    </comment>
    <comment ref="C13" authorId="0">
      <text>
        <r>
          <rPr>
            <sz val="9"/>
            <color indexed="81"/>
            <rFont val="Tahoma"/>
            <family val="2"/>
            <charset val="134"/>
          </rPr>
          <t xml:space="preserve">填报纳税人本年以货币形式和非货币形式从各种来源取得的收入，为收入总额。包括：销售货物收入，提供劳务收入，转让财产收入，股息、红利等权益性投资收益，利息收入，租金收入，特许权使用费收入，接受捐赠收入，其他收入。
</t>
        </r>
      </text>
    </comment>
    <comment ref="C14" authorId="0">
      <text>
        <r>
          <rPr>
            <sz val="9"/>
            <color indexed="81"/>
            <rFont val="Tahoma"/>
            <family val="2"/>
            <charset val="134"/>
          </rPr>
          <t xml:space="preserve">填报纳税人本年符合相关政策规定的不征税收入。
</t>
        </r>
      </text>
    </comment>
    <comment ref="C15" authorId="0">
      <text>
        <r>
          <rPr>
            <sz val="9"/>
            <color indexed="81"/>
            <rFont val="Tahoma"/>
            <family val="2"/>
            <charset val="134"/>
          </rPr>
          <t xml:space="preserve">填报第4÷7行计算后的比例。
</t>
        </r>
      </text>
    </comment>
    <comment ref="C16" authorId="0">
      <text>
        <r>
          <rPr>
            <sz val="9"/>
            <color indexed="81"/>
            <rFont val="Tahoma"/>
            <family val="2"/>
            <charset val="134"/>
          </rPr>
          <t xml:space="preserve">填报纳税人直接从事研发和相关技术创新活动，以及专门从事上述活动的管理和提供直接技术服务的，累计实际工作时间在183天以上的人员，包括在职、兼职和临时聘用人员。
</t>
        </r>
      </text>
    </comment>
    <comment ref="C17" authorId="0">
      <text>
        <r>
          <rPr>
            <sz val="9"/>
            <color indexed="81"/>
            <rFont val="Tahoma"/>
            <family val="2"/>
            <charset val="134"/>
          </rPr>
          <t xml:space="preserve">填报纳税人本年在职、兼职和临时聘用人员。在职人员可以通过企业是否签订了劳动合同或缴纳社会保险费来鉴别。兼职、临时聘用人员全年须在企业累计工作183天以上。
</t>
        </r>
      </text>
    </comment>
    <comment ref="C18" authorId="0">
      <text>
        <r>
          <rPr>
            <sz val="9"/>
            <color indexed="81"/>
            <rFont val="Tahoma"/>
            <family val="2"/>
          </rPr>
          <t>填报第11÷12行计算后的比例。</t>
        </r>
      </text>
    </comment>
    <comment ref="C19" authorId="0">
      <text>
        <r>
          <rPr>
            <sz val="9"/>
            <color indexed="81"/>
            <rFont val="Tahoma"/>
            <family val="2"/>
          </rPr>
          <t xml:space="preserve">本行设定了三个年度，与计算研发费比例相关的第15行至第29行需填报三年数据，实际经营不满三年的按实际经营时间填报。
</t>
        </r>
      </text>
    </comment>
    <comment ref="C21" authorId="0">
      <text>
        <r>
          <rPr>
            <sz val="9"/>
            <color indexed="81"/>
            <rFont val="Tahoma"/>
            <family val="2"/>
          </rPr>
          <t xml:space="preserve">填报第16+25行的合计金额。
</t>
        </r>
      </text>
    </comment>
    <comment ref="C22" authorId="0">
      <text>
        <r>
          <rPr>
            <sz val="9"/>
            <color indexed="81"/>
            <rFont val="Tahoma"/>
            <family val="2"/>
          </rPr>
          <t>填报第17+18+19+20+21+22+24行的合计金额。</t>
        </r>
      </text>
    </comment>
    <comment ref="C23" authorId="0">
      <text>
        <r>
          <rPr>
            <sz val="9"/>
            <color indexed="81"/>
            <rFont val="Tahoma"/>
            <family val="2"/>
          </rPr>
          <t xml:space="preserve">填报纳税人科技人员的工资薪金、基本养老保险费、基本医疗保险费、失业保险费、工伤保险费、生育保险费和住房公积金，以及外聘科技人员的劳务费用。
</t>
        </r>
      </text>
    </comment>
    <comment ref="C24" authorId="0">
      <text>
        <r>
          <rPr>
            <sz val="9"/>
            <color indexed="81"/>
            <rFont val="Tahoma"/>
            <family val="2"/>
          </rPr>
          <t>填报纳税人为实施研究开发活动而实际发生的相关支出。包括：直接消耗的材料、燃料和动力费用；用于中间试验和产品试制的模具、工艺装备开发及制造费，不构成固定资产的样品、样机及一般测试手段购置费，试制产品的检验费；用于研究开发活动的仪器、设备的运行维护、调整、检验、检测、维修等费用，以及通过经营租赁方式租入的用于研发活动的固定资产租赁费。</t>
        </r>
      </text>
    </comment>
    <comment ref="C25" authorId="0">
      <text>
        <r>
          <rPr>
            <sz val="9"/>
            <color indexed="81"/>
            <rFont val="Tahoma"/>
            <family val="2"/>
          </rPr>
          <t xml:space="preserve">填报纳税人用于研究开发活动的仪器、设备和在用建筑物的折旧费；研发设施的改建、改装、装修和修理过程中发生的长期待摊费用。
</t>
        </r>
      </text>
    </comment>
    <comment ref="C26" authorId="0">
      <text>
        <r>
          <rPr>
            <sz val="9"/>
            <color indexed="81"/>
            <rFont val="Tahoma"/>
            <family val="2"/>
          </rPr>
          <t xml:space="preserve">填报纳税人用于研究开发活动的软件、知识产权、非专利技术（专有技术、许可证、设计和计算方法等）的摊销费用。
</t>
        </r>
      </text>
    </comment>
    <comment ref="C27" authorId="0">
      <text>
        <r>
          <rPr>
            <sz val="9"/>
            <color indexed="81"/>
            <rFont val="Tahoma"/>
            <family val="2"/>
          </rPr>
          <t>填报纳税人为新产品和新工艺进行构思、开发和制造，进行工序、技术规范、规程制定、操作特性方面的设计等发生的费用，包括为获得创新性、创意性、突破性产品进行的创意设</t>
        </r>
        <r>
          <rPr>
            <b/>
            <sz val="9"/>
            <color indexed="81"/>
            <rFont val="Tahoma"/>
            <family val="2"/>
          </rPr>
          <t>计活动发生的相关费用。</t>
        </r>
        <r>
          <rPr>
            <sz val="9"/>
            <color indexed="81"/>
            <rFont val="Tahoma"/>
            <family val="2"/>
          </rPr>
          <t xml:space="preserve">
</t>
        </r>
      </text>
    </comment>
    <comment ref="C28" authorId="0">
      <text>
        <r>
          <rPr>
            <sz val="9"/>
            <color indexed="81"/>
            <rFont val="Tahoma"/>
            <family val="2"/>
          </rPr>
          <t xml:space="preserve">填报纳税人工装准备过程中研究开发活动所发生的费用，包括研制特殊、专用的生产机器，改变生产和质量控制程序，或制定新方法及标准等活动所发生的费用。
</t>
        </r>
      </text>
    </comment>
    <comment ref="C29" authorId="0">
      <text>
        <r>
          <rPr>
            <sz val="9"/>
            <color indexed="81"/>
            <rFont val="Tahoma"/>
            <family val="2"/>
          </rPr>
          <t xml:space="preserve">填报纳税人与研究开发活动直接相关的其他费用，包括技术图书资料费、资料翻译费、专家咨询费、高新科技研发保险费，研发成果的检索、论证、评审、鉴定、验收费用，知识产权的申请费、注册费、代理费，会议费、差旅费、通讯费等。
</t>
        </r>
      </text>
    </comment>
    <comment ref="C30" authorId="0">
      <text>
        <r>
          <rPr>
            <sz val="9"/>
            <color indexed="81"/>
            <rFont val="Tahoma"/>
            <family val="2"/>
          </rPr>
          <t xml:space="preserve">填报纳税人为研究开发活动所发生的其他费用中不超过研究开发总费用的20%的金额。该行取第17行至第22行之和×20%÷(1-20%)与第23行的孰小值。
</t>
        </r>
      </text>
    </comment>
    <comment ref="C31" authorId="0">
      <text>
        <r>
          <rPr>
            <sz val="9"/>
            <color indexed="81"/>
            <rFont val="Tahoma"/>
            <family val="2"/>
          </rPr>
          <t xml:space="preserve">填报纳税人委托境内外其他机构或个人进行研究开发活动所发生的费用（研究开发活动成果为委托方企业拥有，且与该企业的主要经营业务紧密相关）。委托外部研发费用的实际发生额应按照独立交易原则确定，按照实际发生额的80%计入委托方研发费用总额。本行填报（第26+28行）×80%的金额。
</t>
        </r>
      </text>
    </comment>
    <comment ref="C32" authorId="0">
      <text>
        <r>
          <rPr>
            <sz val="9"/>
            <color indexed="81"/>
            <rFont val="Tahoma"/>
            <family val="2"/>
          </rPr>
          <t xml:space="preserve">填报纳税人委托境内其他机构或个人进行的研究开发活动所支出的费用。本行填报实际发生境内的外部研发费用。
</t>
        </r>
      </text>
    </comment>
    <comment ref="C33" authorId="0">
      <text>
        <r>
          <rPr>
            <sz val="9"/>
            <color indexed="81"/>
            <rFont val="Tahoma"/>
            <family val="2"/>
          </rPr>
          <t xml:space="preserve">填报纳税人委托境外机构或个人完成的研究开发活动所发生的费用。受托研发的境外机构是指依照外国(地区)及港澳台法律成立的企业和其他取得收入的组织；受托研发的境外个人是指外籍及港澳台个人。本行填报实际发生境外的外部研发费用。
</t>
        </r>
      </text>
    </comment>
    <comment ref="C34" authorId="0">
      <text>
        <r>
          <rPr>
            <sz val="9"/>
            <color indexed="81"/>
            <rFont val="Tahoma"/>
            <family val="2"/>
          </rPr>
          <t xml:space="preserve">根据《高新技术企业认定管理办法》等规定，纳税人在中国境内发生的研发费用总额占全部研发费用总额的比例不低于60%，即境外发生的研发费用总额占全部研发费用总额的比例不超过40%。本行填报（第17+18+…+22+23+26行）×40%÷(1-40%)与第27行的孰小值。
</t>
        </r>
      </text>
    </comment>
    <comment ref="C35" authorId="0">
      <text>
        <r>
          <rPr>
            <sz val="9"/>
            <color indexed="81"/>
            <rFont val="Tahoma"/>
            <family val="2"/>
          </rPr>
          <t xml:space="preserve">填报纳税人主营业务收入与其他业务收入之和。
</t>
        </r>
      </text>
    </comment>
    <comment ref="C36" authorId="0">
      <text>
        <r>
          <rPr>
            <sz val="9"/>
            <color indexed="81"/>
            <rFont val="Tahoma"/>
            <family val="2"/>
          </rPr>
          <t xml:space="preserve">填报第15行4列÷第29行4列计算后的比例。
</t>
        </r>
      </text>
    </comment>
    <comment ref="C37" authorId="0">
      <text>
        <r>
          <rPr>
            <sz val="9"/>
            <color indexed="81"/>
            <rFont val="Tahoma"/>
            <family val="2"/>
          </rPr>
          <t xml:space="preserve">本行填报经济特区和上海浦东新区外的高新技术企业或虽在经济特区和上海浦东新区新设的高新技术企业但取得区外所得的减免税金额。
</t>
        </r>
      </text>
    </comment>
    <comment ref="I37" authorId="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2</t>
        </r>
        <r>
          <rPr>
            <sz val="9"/>
            <color indexed="81"/>
            <rFont val="宋体"/>
            <family val="3"/>
            <charset val="134"/>
          </rPr>
          <t>行。</t>
        </r>
        <r>
          <rPr>
            <sz val="9"/>
            <color indexed="81"/>
            <rFont val="Tahoma"/>
            <family val="2"/>
          </rPr>
          <t xml:space="preserve">
</t>
        </r>
      </text>
    </comment>
    <comment ref="C38" authorId="0">
      <text>
        <r>
          <rPr>
            <sz val="9"/>
            <color indexed="81"/>
            <rFont val="Tahoma"/>
            <family val="2"/>
          </rPr>
          <t xml:space="preserve">本行填报在经济特区和上海浦东新区新设的高新技术企业区内所得减免税金额。
</t>
        </r>
      </text>
    </comment>
    <comment ref="I38" authorId="0">
      <text>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3</t>
        </r>
        <r>
          <rPr>
            <sz val="9"/>
            <color indexed="81"/>
            <rFont val="宋体"/>
            <family val="3"/>
            <charset val="134"/>
          </rPr>
          <t>行。</t>
        </r>
        <r>
          <rPr>
            <sz val="9"/>
            <color indexed="81"/>
            <rFont val="Tahoma"/>
            <family val="2"/>
          </rPr>
          <t xml:space="preserve"> 
</t>
        </r>
      </text>
    </comment>
  </commentList>
</comments>
</file>

<file path=xl/comments9.xml><?xml version="1.0" encoding="utf-8"?>
<comments xmlns="http://schemas.openxmlformats.org/spreadsheetml/2006/main">
  <authors>
    <author>Zhang, Dorothy</author>
    <author>Cindy Wang</author>
  </authors>
  <commentList>
    <comment ref="A5" authorId="0">
      <text>
        <r>
          <rPr>
            <sz val="9"/>
            <color indexed="81"/>
            <rFont val="Tahoma"/>
            <family val="2"/>
          </rPr>
          <t>填报工商等部门核发的纳税人统一社会信用代码。未取得统一社会信用代码的，填报税务机关核发的纳税人识别号。</t>
        </r>
      </text>
    </comment>
    <comment ref="A6" authorId="1">
      <text>
        <r>
          <rPr>
            <sz val="9"/>
            <color indexed="81"/>
            <rFont val="宋体"/>
            <family val="3"/>
            <charset val="134"/>
          </rPr>
          <t>填报企业汇总计算的、且不包括境外所得应纳所得税额的本年应补（退）的所得税额。数据来源于《跨地区经营汇总纳税企业年度分摊企业所得税明细表》（A109000）第11行“本年度应分摊的应补（退）所得税额”。</t>
        </r>
      </text>
    </comment>
    <comment ref="D6" authorId="1">
      <text>
        <r>
          <rPr>
            <sz val="9"/>
            <color indexed="81"/>
            <rFont val="宋体"/>
            <family val="3"/>
            <charset val="134"/>
          </rPr>
          <t>对于跨省（自治区、直辖市、计划单列市）经营汇总纳税企业，填报企业本年应补（退）所得税额×25%后的金额；对于同一省（自治区、直辖市、计划单列市）内跨地区经营汇总纳税企业，填报企业本年应补（退）所得税额×规定比例后的金额。</t>
        </r>
      </text>
    </comment>
    <comment ref="F6" authorId="1">
      <text>
        <r>
          <rPr>
            <sz val="9"/>
            <color indexed="81"/>
            <rFont val="宋体"/>
            <family val="3"/>
            <charset val="134"/>
          </rPr>
          <t>对于跨省（自治区、直辖市、计划单列市）经营汇总纳税企业，填报企业本年应补（退）所得税额×25%后的金额；对于同一省（自治区、直辖市、计划单列市）内跨地区经营汇总纳税企业，填报企业本年应补（退）所得税额×规定比例后的金额。</t>
        </r>
      </text>
    </comment>
    <comment ref="H6" authorId="0">
      <text>
        <r>
          <rPr>
            <sz val="9"/>
            <color indexed="81"/>
            <rFont val="宋体"/>
            <family val="3"/>
            <charset val="134"/>
          </rPr>
          <t>对于跨省（自治区、直辖市、计划单列市）经营汇总纳税企业，填报企业本年应补（退）的所得税额</t>
        </r>
        <r>
          <rPr>
            <sz val="9"/>
            <color indexed="81"/>
            <rFont val="Tahoma"/>
            <family val="2"/>
          </rPr>
          <t>×50%</t>
        </r>
        <r>
          <rPr>
            <sz val="9"/>
            <color indexed="81"/>
            <rFont val="宋体"/>
            <family val="3"/>
            <charset val="134"/>
          </rPr>
          <t>后的金额；对于同一省（自治区、直辖市、计划单列市）内跨地区经营汇总纳税企业，填报企业本年应补（退）所得税额</t>
        </r>
        <r>
          <rPr>
            <sz val="9"/>
            <color indexed="81"/>
            <rFont val="Tahoma"/>
            <family val="2"/>
          </rPr>
          <t>×</t>
        </r>
        <r>
          <rPr>
            <sz val="9"/>
            <color indexed="81"/>
            <rFont val="宋体"/>
            <family val="3"/>
            <charset val="134"/>
          </rPr>
          <t>规定比例后的金额。</t>
        </r>
      </text>
    </comment>
    <comment ref="F7" authorId="1">
      <text>
        <r>
          <rPr>
            <sz val="9"/>
            <color indexed="81"/>
            <rFont val="宋体"/>
            <family val="3"/>
            <charset val="134"/>
          </rPr>
          <t>总机构分摊所得税额＝应纳所得税额×25%。</t>
        </r>
      </text>
    </comment>
    <comment ref="G8" authorId="1">
      <text>
        <r>
          <rPr>
            <sz val="9"/>
            <color indexed="81"/>
            <rFont val="宋体"/>
            <family val="3"/>
            <charset val="134"/>
          </rPr>
          <t>填报经总机构所在地主管税务机关审核确认的各分支机构分配比例，分配比例应保留小数点后十位。</t>
        </r>
      </text>
    </comment>
    <comment ref="H8" authorId="1">
      <text>
        <r>
          <rPr>
            <sz val="9"/>
            <color indexed="81"/>
            <rFont val="宋体"/>
            <family val="3"/>
            <charset val="134"/>
          </rPr>
          <t>填报分支机构按照分支机构分摊所得税额乘以相应的分配比例的金额。</t>
        </r>
      </text>
    </comment>
    <comment ref="D9" authorId="1">
      <text>
        <r>
          <rPr>
            <sz val="9"/>
            <color indexed="81"/>
            <rFont val="宋体"/>
            <family val="3"/>
            <charset val="134"/>
          </rPr>
          <t>填报上一年度各分支机构销售商品、提供劳务、让渡资产使用权等日常经营活动实现的全部收入的合计额。</t>
        </r>
      </text>
    </comment>
    <comment ref="E9" authorId="1">
      <text>
        <r>
          <rPr>
            <sz val="9"/>
            <color indexed="81"/>
            <rFont val="宋体"/>
            <family val="3"/>
            <charset val="134"/>
          </rPr>
          <t>填报上一年度各分支机构为获得职工提供的服务而给予各种形式的报酬以及其他相关支出的合计额。</t>
        </r>
      </text>
    </comment>
    <comment ref="F9" authorId="1">
      <text>
        <r>
          <rPr>
            <sz val="9"/>
            <color indexed="81"/>
            <rFont val="宋体"/>
            <family val="3"/>
            <charset val="134"/>
          </rPr>
          <t>填报上一年度各分支机构在经营活动中实际使用的应归属于该分支机构的资产合计额。</t>
        </r>
      </text>
    </comment>
    <comment ref="B24" authorId="1">
      <text>
        <r>
          <rPr>
            <sz val="9"/>
            <color indexed="81"/>
            <rFont val="宋体"/>
            <family val="3"/>
            <charset val="134"/>
          </rPr>
          <t>填报上一年度各分支机构的营业收入总额、职工薪酬总额和资产总额三项因素的合计金额及本年各分支机构分配比例和分配税额的合计金额。</t>
        </r>
      </text>
    </comment>
  </commentList>
</comments>
</file>

<file path=xl/comments10.xml><?xml version="1.0" encoding="utf-8"?>
<comments xmlns="http://schemas.openxmlformats.org/spreadsheetml/2006/main">
  <authors>
    <author>Cindy Wang</author>
  </authors>
  <commentList>
    <comment ref="A7" authorId="0">
      <text>
        <r>
          <rPr>
            <sz val="9"/>
            <color indexed="81"/>
            <rFont val="宋体"/>
            <family val="3"/>
            <charset val="134"/>
          </rPr>
          <t xml:space="preserve">1、正常经营的纳税人，填报公历当年1月1日至12月31日；
2、纳税人年度中间开业的，填报实际生产经营之日至当年12月31日；
3、纳税人年度中间发生合并、分立、破产、停业等情况的，填报公历当年1月1日至实际停业或法院裁定并宣告破产之日；
4、纳税人年度中间开业且年度中间又发生合并、分立、破产、停业等情况的，填报实际生产经营之日至实际停业或法院裁定并宣告破产之日。
</t>
        </r>
      </text>
    </comment>
    <comment ref="A10" authorId="0">
      <text>
        <r>
          <rPr>
            <sz val="9"/>
            <color indexed="81"/>
            <rFont val="宋体"/>
            <family val="3"/>
            <charset val="134"/>
          </rPr>
          <t>填报工商等部门核发的统一社会信用代码。未取得统一社会信用代码的，填报税务机关核发的纳税人识别号。</t>
        </r>
      </text>
    </comment>
    <comment ref="A12" authorId="0">
      <text>
        <r>
          <rPr>
            <sz val="9"/>
            <color indexed="81"/>
            <rFont val="宋体"/>
            <family val="3"/>
            <charset val="134"/>
          </rPr>
          <t xml:space="preserve">填报营业执照、税务登记证等证件载明的纳税人名称。
</t>
        </r>
      </text>
    </comment>
    <comment ref="D26" authorId="0">
      <text>
        <r>
          <rPr>
            <sz val="9"/>
            <color indexed="81"/>
            <rFont val="宋体"/>
            <family val="3"/>
            <charset val="134"/>
          </rPr>
          <t>纳税人聘请中介机构代理申报的，加盖代理申报中介机构公章，并填报经办人及其执业证件号码等，没有聘请的，填报“无”。</t>
        </r>
      </text>
    </comment>
    <comment ref="A34" authorId="0">
      <text>
        <r>
          <rPr>
            <sz val="9"/>
            <color indexed="81"/>
            <rFont val="宋体"/>
            <family val="3"/>
            <charset val="134"/>
          </rPr>
          <t xml:space="preserve">填报纳税人申报当日日期。
</t>
        </r>
      </text>
    </comment>
  </commentList>
</comments>
</file>

<file path=xl/comments11.xml><?xml version="1.0" encoding="utf-8"?>
<comments xmlns="http://schemas.openxmlformats.org/spreadsheetml/2006/main">
  <authors>
    <author>Cindy Wang</author>
    <author>Microsoft Office User</author>
  </authors>
  <commentList>
    <comment ref="A1" authorId="0">
      <text>
        <r>
          <rPr>
            <sz val="9"/>
            <color indexed="81"/>
            <rFont val="宋体"/>
            <family val="3"/>
            <charset val="134"/>
          </rPr>
          <t>本表列示申报表全部表单名称及编号。纳税人在填报申报表之前，请仔细阅读这些表单，并根据企业的涉税业务，选择“填报”或“不填报”。选择“填报”的，需完成该表格相关内容的填报；选择“不填报”的，可以不填报该表格。对选择“不填报”的表格，可以不上报税务机关。</t>
        </r>
      </text>
    </comment>
    <comment ref="B4" authorId="0">
      <text>
        <r>
          <rPr>
            <sz val="9"/>
            <color indexed="81"/>
            <rFont val="宋体"/>
            <family val="3"/>
            <charset val="134"/>
          </rPr>
          <t>本表为必填表。主要反映纳税人的基本信息，包括纳税人基本信息、重组事项、企业主要股东及分红情况等。纳税人填报申报表时，首先填报此表，为后续申报提供指引。</t>
        </r>
      </text>
    </comment>
    <comment ref="B5" authorId="0">
      <text>
        <r>
          <rPr>
            <sz val="9"/>
            <color indexed="81"/>
            <rFont val="宋体"/>
            <family val="3"/>
            <charset val="134"/>
          </rPr>
          <t>本表为必填表。是纳税人计算申报缴纳企业所得税的主表。</t>
        </r>
      </text>
    </comment>
    <comment ref="B6" authorId="0">
      <text>
        <r>
          <rPr>
            <sz val="9"/>
            <color indexed="81"/>
            <rFont val="宋体"/>
            <family val="3"/>
            <charset val="134"/>
          </rPr>
          <t>本表适用于除金融企业、事业单位和民间非营利组织外的纳税人填报，反映一般企业按照国家统一会计制度规定取得收入情况。</t>
        </r>
      </text>
    </comment>
    <comment ref="B7" authorId="0">
      <text>
        <r>
          <rPr>
            <sz val="9"/>
            <color indexed="81"/>
            <rFont val="宋体"/>
            <family val="3"/>
            <charset val="134"/>
          </rPr>
          <t>本表仅适用于金融企业（包括银行、信用社、保险公司、证券公司等金融企业）填报，反映金融企业按照企业会计准则规定取得收入情况。</t>
        </r>
      </text>
    </comment>
    <comment ref="B8" authorId="0">
      <text>
        <r>
          <rPr>
            <sz val="9"/>
            <color indexed="81"/>
            <rFont val="宋体"/>
            <family val="3"/>
            <charset val="134"/>
          </rPr>
          <t>本表适用于除金融企业、事业单位和民间非营利组织外的纳税人填报，反映一般企业按照国家统一会计制度的规定发生成本支出情况。</t>
        </r>
      </text>
    </comment>
    <comment ref="B9" authorId="0">
      <text>
        <r>
          <rPr>
            <sz val="9"/>
            <color indexed="81"/>
            <rFont val="宋体"/>
            <family val="3"/>
            <charset val="134"/>
          </rPr>
          <t>本表仅适用于金融企业（包括银行、信用社、保险公司、证券公司等金融企业）填报，反映金融企业按照企业会计准则规定发生支出情况。</t>
        </r>
      </text>
    </comment>
    <comment ref="B10" authorId="0">
      <text>
        <r>
          <rPr>
            <sz val="9"/>
            <color indexed="81"/>
            <rFont val="宋体"/>
            <family val="3"/>
            <charset val="134"/>
          </rPr>
          <t>本表适用于事业单位和民间非营利组织填报，反映事业单位、社会团体、民办非企业单位、非营利性组织等按照有关会计制度规定取得收入，发生支出、费用情况。</t>
        </r>
      </text>
    </comment>
    <comment ref="B11" authorId="0">
      <text>
        <r>
          <rPr>
            <sz val="9"/>
            <color indexed="81"/>
            <rFont val="宋体"/>
            <family val="3"/>
            <charset val="134"/>
          </rPr>
          <t>本表适用于除事业单位和民间非营利组织外的纳税人填报。纳税人根据国家统一会计制度规定，填报期间费用明细项目。</t>
        </r>
      </text>
    </comment>
    <comment ref="B12" authorId="0">
      <text>
        <r>
          <rPr>
            <sz val="9"/>
            <color indexed="81"/>
            <rFont val="宋体"/>
            <family val="3"/>
            <charset val="134"/>
          </rPr>
          <t>本表填报纳税人财务、会计处理办法（以下简称“会计处理”）与税收法律、行政法规的规定（以下简称“税收规定”）不一致，需要进行纳税调整的项目和金额。</t>
        </r>
      </text>
    </comment>
    <comment ref="B13" authorId="0">
      <text>
        <r>
          <rPr>
            <sz val="9"/>
            <color indexed="81"/>
            <rFont val="宋体"/>
            <family val="3"/>
            <charset val="134"/>
          </rPr>
          <t>本表填报纳税人发生视同销售行为、房地产开发企业销售未完工产品、未完工产品转完工产品，会计处理与税收规定不一致，需要进行纳税调整的项目和金额。</t>
        </r>
      </text>
    </comment>
    <comment ref="B14" authorId="0">
      <text>
        <r>
          <rPr>
            <sz val="9"/>
            <color indexed="81"/>
            <rFont val="宋体"/>
            <family val="3"/>
            <charset val="134"/>
          </rPr>
          <t>本表填报纳税人会计处理按照权责发生制确认收入，而税收规定不按照权责发生制确认收入，需要进行纳税调整的项目和金额。</t>
        </r>
      </text>
    </comment>
    <comment ref="B15" authorId="0">
      <text>
        <r>
          <rPr>
            <sz val="9"/>
            <color indexed="81"/>
            <rFont val="宋体"/>
            <family val="3"/>
            <charset val="134"/>
          </rPr>
          <t>本表填报纳税人发生投资收益，由于会计处理与税收规定不一致，需要进行纳税调整的项目和金额。</t>
        </r>
      </text>
    </comment>
    <comment ref="B16" authorId="0">
      <text>
        <r>
          <rPr>
            <sz val="9"/>
            <color indexed="81"/>
            <rFont val="宋体"/>
            <family val="3"/>
            <charset val="134"/>
          </rPr>
          <t>本表填报纳税人取得符合不征税收入条件的专项用途财政性资金，由于会计处理与税收规定不一致，需要进行纳税调整的金额。</t>
        </r>
      </text>
    </comment>
    <comment ref="B17" authorId="0">
      <text>
        <r>
          <rPr>
            <sz val="9"/>
            <color indexed="81"/>
            <rFont val="宋体"/>
            <family val="3"/>
            <charset val="134"/>
          </rPr>
          <t>本表填报纳税人发生的职工薪酬（包括工资薪金、职工福利费、职工教育经费、工会经费、各类基本社会保障性缴款、住房公积金、补充养老保险、补充医疗保险等支出）情况，以及由于会计处理与税收规定不一致，需要进行纳税调整的项目和金额。纳税人只要发生职工薪酬支出，均需填报本表。</t>
        </r>
      </text>
    </comment>
    <comment ref="B18" authorId="0">
      <text>
        <r>
          <rPr>
            <sz val="9"/>
            <color indexed="81"/>
            <rFont val="宋体"/>
            <family val="3"/>
            <charset val="134"/>
          </rPr>
          <t>本表填报纳税人发生的广告费和业务宣传费支出，会计处理与税收规定不一致，需要进行纳税调整的金额。纳税人发生以前年度广告费和业务宣传费未扣除完毕的，也应填报以前年度累计结转情况。</t>
        </r>
      </text>
    </comment>
    <comment ref="B19" authorId="0">
      <text>
        <r>
          <rPr>
            <sz val="9"/>
            <color indexed="81"/>
            <rFont val="宋体"/>
            <family val="3"/>
            <charset val="134"/>
          </rPr>
          <t>本表填报纳税人发生捐赠支出的情况，以及由于会计处理与税收规定不一致，需要进行纳税调整的项目和金额。纳税人发生以前年度捐赠支出未扣除完毕的，也应填报以前年度累计结转情况。</t>
        </r>
      </text>
    </comment>
    <comment ref="B20" authorId="0">
      <text>
        <r>
          <rPr>
            <sz val="9"/>
            <color indexed="81"/>
            <rFont val="宋体"/>
            <family val="3"/>
            <charset val="134"/>
          </rPr>
          <t>本表填报纳税人资产折旧、摊销情况，以及由于会计处理与税收规定不一致，需要进行纳税调整的项目和金额。</t>
        </r>
      </text>
    </comment>
    <comment ref="B21" authorId="0">
      <text>
        <r>
          <rPr>
            <sz val="9"/>
            <color indexed="81"/>
            <rFont val="宋体"/>
            <family val="3"/>
            <charset val="134"/>
          </rPr>
          <t>本表填报纳税人发生的资产损失的项目及金额，以及由于会计处理与税收规定不一致，需要进行纳税调整的项目和金额。</t>
        </r>
      </text>
    </comment>
    <comment ref="B22" authorId="0">
      <text>
        <r>
          <rPr>
            <sz val="9"/>
            <color indexed="81"/>
            <rFont val="宋体"/>
            <family val="3"/>
            <charset val="134"/>
          </rPr>
          <t>本表填报纳税人发生企业重组、非货币性资产对外投资、技术入股等业务所涉及的所得或损失情况，以及由于会计处理与税收规定不一致，需要进行纳税调整的项目和金额。</t>
        </r>
      </text>
    </comment>
    <comment ref="B23" authorId="0">
      <text>
        <r>
          <rPr>
            <sz val="9"/>
            <color indexed="81"/>
            <rFont val="宋体"/>
            <family val="3"/>
            <charset val="134"/>
          </rPr>
          <t>本表填报纳税人发生政策性搬迁所涉及的所得或损失，由于会计处理与税收规定不一致，需要进行纳税调整的项目和金额。</t>
        </r>
      </text>
    </comment>
    <comment ref="B24" authorId="0">
      <text>
        <r>
          <rPr>
            <sz val="9"/>
            <color indexed="81"/>
            <rFont val="宋体"/>
            <family val="3"/>
            <charset val="134"/>
          </rPr>
          <t>本表填报保险、证券、期货、金融、担保、小额贷款公司等特殊行业纳税人发生特殊行业准备金情况，以及由于会计处理与税收规定不一致，需要进行纳税调整的项目和金额。</t>
        </r>
      </text>
    </comment>
    <comment ref="B25" authorId="0">
      <text>
        <r>
          <rPr>
            <sz val="9"/>
            <color indexed="81"/>
            <rFont val="宋体"/>
            <family val="3"/>
            <charset val="134"/>
          </rPr>
          <t>本表填报纳税人以前年度发生的亏损需要在本年度结转弥补的金额，本年度可弥补的金额以及可继续结转以后年度弥补的亏损额。</t>
        </r>
      </text>
    </comment>
    <comment ref="B26" authorId="0">
      <text>
        <r>
          <rPr>
            <sz val="9"/>
            <color indexed="81"/>
            <rFont val="宋体"/>
            <family val="3"/>
            <charset val="134"/>
          </rPr>
          <t>本表填报纳税人本年度所享受免税收入、减计收入、加计扣除等优惠的项目和金额。</t>
        </r>
      </text>
    </comment>
    <comment ref="B27" authorId="0">
      <text>
        <r>
          <rPr>
            <sz val="9"/>
            <color indexed="81"/>
            <rFont val="宋体"/>
            <family val="3"/>
            <charset val="134"/>
          </rPr>
          <t>本表填报纳税人本年度享受居民企业之间的股息、红利等权益性投资收益免税优惠的项目和金额。</t>
        </r>
      </text>
    </comment>
    <comment ref="B28" authorId="0">
      <text>
        <r>
          <rPr>
            <sz val="9"/>
            <color indexed="81"/>
            <rFont val="宋体"/>
            <family val="3"/>
            <charset val="134"/>
          </rPr>
          <t>本表填报纳税人享受研发费用加计扣除优惠的情况和金额。纳税人以前年度有销售研发活动直接形成产品（包括组成部分）对应材料部分未扣减完毕的，也应填报以前年度未扣减情况。</t>
        </r>
      </text>
    </comment>
    <comment ref="B29" authorId="0">
      <text>
        <r>
          <rPr>
            <sz val="9"/>
            <color indexed="81"/>
            <rFont val="宋体"/>
            <family val="3"/>
            <charset val="134"/>
          </rPr>
          <t>本表填报纳税人本年度享受减免所得额（包括农、林、牧、渔项目和国家重点扶持的公共基础设施项目、环境保护、节能节水项目以及符合条件的技术转让项目等）优惠的项目和金额。</t>
        </r>
      </text>
    </comment>
    <comment ref="B30" authorId="0">
      <text>
        <r>
          <rPr>
            <sz val="9"/>
            <color indexed="81"/>
            <rFont val="宋体"/>
            <family val="3"/>
            <charset val="134"/>
          </rPr>
          <t>本表填报纳税人本年度享受创业投资企业抵扣应纳税所得额优惠的情况和金额。纳税人有以前年度结转的尚未抵扣的股权投资余额的，也应填报以前年度累计结转情况。</t>
        </r>
      </text>
    </comment>
    <comment ref="B31" authorId="0">
      <text>
        <r>
          <rPr>
            <sz val="9"/>
            <color indexed="81"/>
            <rFont val="宋体"/>
            <family val="3"/>
            <charset val="134"/>
          </rPr>
          <t>本表填报纳税人本年度享受减免所得税（包括小型微利企业、高新技术企业、民族自治地方企业、其他专项优惠等）的项目和金额。</t>
        </r>
      </text>
    </comment>
    <comment ref="B32" authorId="0">
      <text>
        <r>
          <rPr>
            <sz val="9"/>
            <color indexed="81"/>
            <rFont val="宋体"/>
            <family val="3"/>
            <charset val="134"/>
          </rPr>
          <t>本表为高新技术企业资格在有效期内纳税人的必填表，填报高新技术企业本年度有关情况和优惠金额。</t>
        </r>
      </text>
    </comment>
    <comment ref="B33" authorId="0">
      <text>
        <r>
          <rPr>
            <sz val="9"/>
            <color indexed="81"/>
            <rFont val="宋体"/>
            <family val="3"/>
            <charset val="134"/>
          </rPr>
          <t>本表填报纳税人本年度享受软件、集成电路企业优惠的有关情况和优惠金额。</t>
        </r>
      </text>
    </comment>
    <comment ref="B34" authorId="0">
      <text>
        <r>
          <rPr>
            <sz val="9"/>
            <color indexed="81"/>
            <rFont val="宋体"/>
            <family val="3"/>
            <charset val="134"/>
          </rPr>
          <t>本表填报纳税人享受购买专用设备投资额抵免税额情况和金额。纳税人有以前年度结转的尚未抵免的专用设备投资额的，也应填报以前年度已抵免情况。</t>
        </r>
      </text>
    </comment>
    <comment ref="B35" authorId="0">
      <text>
        <r>
          <rPr>
            <sz val="9"/>
            <color indexed="81"/>
            <rFont val="宋体"/>
            <family val="3"/>
            <charset val="134"/>
          </rPr>
          <t>本表填报纳税人本年度来源于或发生于不同国家、地区的所得，按照我国税收规定计算应缴纳和应抵免的企业所得税额。</t>
        </r>
      </text>
    </comment>
    <comment ref="B36" authorId="0">
      <text>
        <r>
          <rPr>
            <sz val="9"/>
            <color indexed="81"/>
            <rFont val="宋体"/>
            <family val="3"/>
            <charset val="134"/>
          </rPr>
          <t>本表填报纳税人本年度来源于或发生于不同国家、地区的所得，按照我国税收规定计算调整后的所得。</t>
        </r>
      </text>
    </comment>
    <comment ref="B37" authorId="0">
      <text>
        <r>
          <rPr>
            <sz val="9"/>
            <color indexed="81"/>
            <rFont val="宋体"/>
            <family val="3"/>
            <charset val="134"/>
          </rPr>
          <t>本表填报纳税人境外分支机构本年度及以前年度发生的税前尚未弥补的非实际亏损额和实际亏损额、结转以后年度弥补的非实际亏损额和实际亏损额。</t>
        </r>
      </text>
    </comment>
    <comment ref="B38" authorId="0">
      <text>
        <r>
          <rPr>
            <sz val="9"/>
            <color indexed="81"/>
            <rFont val="宋体"/>
            <family val="3"/>
            <charset val="134"/>
          </rPr>
          <t>本表填报纳税人本年度发生的来源于不同国家或地区的境外所得按照我国税收法律、法规的规定可以抵免的所得税额。</t>
        </r>
      </text>
    </comment>
    <comment ref="B39" authorId="0">
      <text>
        <r>
          <rPr>
            <sz val="9"/>
            <color indexed="81"/>
            <rFont val="宋体"/>
            <family val="3"/>
            <charset val="134"/>
          </rPr>
          <t>本表由跨地区经营汇总纳税企业的总机构按照规定计算的总机构、分支机构本年度应缴的企业所得税，以及总机构、分支机构应分摊的企业所得税。</t>
        </r>
      </text>
    </comment>
    <comment ref="B40" authorId="0">
      <text>
        <r>
          <rPr>
            <sz val="9"/>
            <color indexed="81"/>
            <rFont val="宋体"/>
            <family val="3"/>
            <charset val="134"/>
          </rPr>
          <t xml:space="preserve">本表填报总机构本年度实际应纳所得税额以及所属分支机构本年度应分摊的所得税额。 </t>
        </r>
      </text>
    </comment>
    <comment ref="B45" authorId="1">
      <text>
        <r>
          <rPr>
            <b/>
            <sz val="10"/>
            <color indexed="81"/>
            <rFont val="Calibri"/>
            <family val="2"/>
          </rPr>
          <t>Microsoft Office User:</t>
        </r>
        <r>
          <rPr>
            <sz val="10"/>
            <color indexed="81"/>
            <rFont val="Calibri"/>
            <family val="2"/>
          </rPr>
          <t xml:space="preserve">
</t>
        </r>
        <r>
          <rPr>
            <sz val="10"/>
            <color indexed="81"/>
            <rFont val="宋体"/>
            <family val="3"/>
            <charset val="134"/>
          </rPr>
          <t>本表在企业所得税汇算清缴时随申报表一并报送；本表应当按照</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辅助账汇总表填报</t>
        </r>
      </text>
    </comment>
    <comment ref="B46" authorId="1">
      <text>
        <r>
          <rPr>
            <b/>
            <sz val="10"/>
            <color indexed="81"/>
            <rFont val="Calibri"/>
            <family val="2"/>
          </rPr>
          <t>Microsoft Office User:</t>
        </r>
        <r>
          <rPr>
            <sz val="10"/>
            <color indexed="81"/>
            <rFont val="Calibri"/>
            <family val="2"/>
          </rPr>
          <t xml:space="preserve">
本表属于年度财务会计报告附注之一，应当随同年度财务会计报告一并报送主管税务机关；本表是根据所有上年未完成及本年新设置的项目的“研发支出”辅助账汇总填报。</t>
        </r>
      </text>
    </comment>
  </commentList>
</comments>
</file>

<file path=xl/comments12.xml><?xml version="1.0" encoding="utf-8"?>
<comments xmlns="http://schemas.openxmlformats.org/spreadsheetml/2006/main">
  <authors>
    <author>Zhang, Dorothy</author>
  </authors>
  <commentList>
    <comment ref="A2" authorId="0">
      <text>
        <r>
          <rPr>
            <sz val="9"/>
            <color indexed="81"/>
            <rFont val="宋体"/>
            <family val="3"/>
            <charset val="134"/>
          </rPr>
          <t>纳税人在填报申报表前，首先填报基础信息表，为后续申报提供指引。基础信息表主要内容包括基本信息、重组事项、企业主要股东及分红情况等部分。</t>
        </r>
      </text>
    </comment>
    <comment ref="A5" authorId="0">
      <text>
        <r>
          <rPr>
            <sz val="9"/>
            <color indexed="81"/>
            <rFont val="宋体"/>
            <family val="3"/>
            <charset val="134"/>
          </rPr>
          <t>根据《国民经济行业分类》标准填报纳税人的行业代码。工业企业所属行业代码为</t>
        </r>
        <r>
          <rPr>
            <sz val="9"/>
            <color indexed="81"/>
            <rFont val="Tahoma"/>
            <family val="2"/>
          </rPr>
          <t>06**</t>
        </r>
        <r>
          <rPr>
            <sz val="9"/>
            <color indexed="81"/>
            <rFont val="宋体"/>
            <family val="3"/>
            <charset val="134"/>
          </rPr>
          <t>至</t>
        </r>
        <r>
          <rPr>
            <sz val="9"/>
            <color indexed="81"/>
            <rFont val="Tahoma"/>
            <family val="2"/>
          </rPr>
          <t>4690</t>
        </r>
        <r>
          <rPr>
            <sz val="9"/>
            <color indexed="81"/>
            <rFont val="宋体"/>
            <family val="3"/>
            <charset val="134"/>
          </rPr>
          <t>，不包括建筑业。所属行业代码为</t>
        </r>
        <r>
          <rPr>
            <sz val="9"/>
            <color indexed="81"/>
            <rFont val="Tahoma"/>
            <family val="2"/>
          </rPr>
          <t>7010</t>
        </r>
        <r>
          <rPr>
            <sz val="9"/>
            <color indexed="81"/>
            <rFont val="宋体"/>
            <family val="3"/>
            <charset val="134"/>
          </rPr>
          <t>的房地产开发经营企业，可以填报表</t>
        </r>
        <r>
          <rPr>
            <sz val="9"/>
            <color indexed="81"/>
            <rFont val="Tahoma"/>
            <family val="2"/>
          </rPr>
          <t>A105010</t>
        </r>
        <r>
          <rPr>
            <sz val="9"/>
            <color indexed="81"/>
            <rFont val="宋体"/>
            <family val="3"/>
            <charset val="134"/>
          </rPr>
          <t>中第</t>
        </r>
        <r>
          <rPr>
            <sz val="9"/>
            <color indexed="81"/>
            <rFont val="Tahoma"/>
            <family val="2"/>
          </rPr>
          <t>21</t>
        </r>
        <r>
          <rPr>
            <sz val="9"/>
            <color indexed="81"/>
            <rFont val="宋体"/>
            <family val="3"/>
            <charset val="134"/>
          </rPr>
          <t>行至第</t>
        </r>
        <r>
          <rPr>
            <sz val="9"/>
            <color indexed="81"/>
            <rFont val="Tahoma"/>
            <family val="2"/>
          </rPr>
          <t>29</t>
        </r>
        <r>
          <rPr>
            <sz val="9"/>
            <color indexed="81"/>
            <rFont val="宋体"/>
            <family val="3"/>
            <charset val="134"/>
          </rPr>
          <t>行。</t>
        </r>
      </text>
    </comment>
    <comment ref="F5" authorId="0">
      <text>
        <r>
          <rPr>
            <sz val="9"/>
            <color indexed="81"/>
            <rFont val="宋体"/>
            <family val="3"/>
            <charset val="134"/>
          </rPr>
          <t>填报纳税人全年资产总额季度平均数，单位为万元，保留小数点后</t>
        </r>
        <r>
          <rPr>
            <sz val="9"/>
            <color indexed="81"/>
            <rFont val="Tahoma"/>
            <family val="2"/>
          </rPr>
          <t>2</t>
        </r>
        <r>
          <rPr>
            <sz val="9"/>
            <color indexed="81"/>
            <rFont val="宋体"/>
            <family val="3"/>
            <charset val="134"/>
          </rPr>
          <t xml:space="preserve">位。资产总额季度平均数，具体计算公式如下：
</t>
        </r>
        <r>
          <rPr>
            <sz val="9"/>
            <color indexed="81"/>
            <rFont val="Tahoma"/>
            <family val="2"/>
          </rPr>
          <t xml:space="preserve">    </t>
        </r>
        <r>
          <rPr>
            <sz val="9"/>
            <color indexed="81"/>
            <rFont val="宋体"/>
            <family val="3"/>
            <charset val="134"/>
          </rPr>
          <t>季度平均值＝（季初值＋季末值）</t>
        </r>
        <r>
          <rPr>
            <sz val="9"/>
            <color indexed="81"/>
            <rFont val="Tahoma"/>
            <family val="2"/>
          </rPr>
          <t xml:space="preserve">÷2
    </t>
        </r>
        <r>
          <rPr>
            <sz val="9"/>
            <color indexed="81"/>
            <rFont val="宋体"/>
            <family val="3"/>
            <charset val="134"/>
          </rPr>
          <t>全年季度平均值＝全年各季度平均值之和</t>
        </r>
        <r>
          <rPr>
            <sz val="9"/>
            <color indexed="81"/>
            <rFont val="Tahoma"/>
            <family val="2"/>
          </rPr>
          <t xml:space="preserve">÷4
    </t>
        </r>
        <r>
          <rPr>
            <sz val="9"/>
            <color indexed="81"/>
            <rFont val="宋体"/>
            <family val="3"/>
            <charset val="134"/>
          </rPr>
          <t xml:space="preserve">年度中间开业或者终止经营活动的，以其实际经营期作为一个纳税年度确定上述相关指标。
</t>
        </r>
        <r>
          <rPr>
            <sz val="9"/>
            <color indexed="81"/>
            <rFont val="Tahoma"/>
            <family val="2"/>
          </rPr>
          <t xml:space="preserve"> </t>
        </r>
      </text>
    </comment>
    <comment ref="A6" authorId="0">
      <text>
        <r>
          <rPr>
            <sz val="9"/>
            <color indexed="81"/>
            <rFont val="宋体"/>
            <family val="3"/>
            <charset val="134"/>
          </rPr>
          <t>填报纳税人全年平均从业人数，从业人数是指与企业建立劳动关系的职工人数和企业接受的劳务派遣用工人数之和，依据和计算方法同</t>
        </r>
        <r>
          <rPr>
            <sz val="9"/>
            <color indexed="81"/>
            <rFont val="Tahoma"/>
            <family val="2"/>
          </rPr>
          <t>“</t>
        </r>
        <r>
          <rPr>
            <sz val="9"/>
            <color indexed="81"/>
            <rFont val="宋体"/>
            <family val="3"/>
            <charset val="134"/>
          </rPr>
          <t>资产总额</t>
        </r>
        <r>
          <rPr>
            <sz val="9"/>
            <color indexed="81"/>
            <rFont val="Tahoma"/>
            <family val="2"/>
          </rPr>
          <t>”</t>
        </r>
        <r>
          <rPr>
            <sz val="9"/>
            <color indexed="81"/>
            <rFont val="宋体"/>
            <family val="3"/>
            <charset val="134"/>
          </rPr>
          <t>口径。</t>
        </r>
      </text>
    </comment>
    <comment ref="F6" authorId="0">
      <text>
        <r>
          <rPr>
            <sz val="9"/>
            <color indexed="81"/>
            <rFont val="宋体"/>
            <family val="3"/>
            <charset val="134"/>
          </rPr>
          <t>纳税人从事国家限制和禁止行业，选择</t>
        </r>
        <r>
          <rPr>
            <sz val="9"/>
            <color indexed="81"/>
            <rFont val="Tahoma"/>
            <family val="2"/>
          </rPr>
          <t>“</t>
        </r>
        <r>
          <rPr>
            <sz val="9"/>
            <color indexed="81"/>
            <rFont val="宋体"/>
            <family val="3"/>
            <charset val="134"/>
          </rPr>
          <t>是</t>
        </r>
        <r>
          <rPr>
            <sz val="9"/>
            <color indexed="81"/>
            <rFont val="Tahoma"/>
            <family val="2"/>
          </rPr>
          <t>”</t>
        </r>
        <r>
          <rPr>
            <sz val="9"/>
            <color indexed="81"/>
            <rFont val="宋体"/>
            <family val="3"/>
            <charset val="134"/>
          </rPr>
          <t>，其他选择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A7" authorId="0">
      <text>
        <r>
          <rPr>
            <sz val="9"/>
            <color indexed="81"/>
            <rFont val="宋体"/>
            <family val="3"/>
            <charset val="134"/>
          </rPr>
          <t>非营利组织选择</t>
        </r>
        <r>
          <rPr>
            <sz val="9"/>
            <color indexed="81"/>
            <rFont val="Tahoma"/>
            <family val="2"/>
          </rPr>
          <t>“</t>
        </r>
        <r>
          <rPr>
            <sz val="9"/>
            <color indexed="81"/>
            <rFont val="宋体"/>
            <family val="3"/>
            <charset val="134"/>
          </rPr>
          <t>是</t>
        </r>
        <r>
          <rPr>
            <sz val="9"/>
            <color indexed="81"/>
            <rFont val="Tahoma"/>
            <family val="2"/>
          </rPr>
          <t>”</t>
        </r>
        <r>
          <rPr>
            <sz val="9"/>
            <color indexed="81"/>
            <rFont val="宋体"/>
            <family val="3"/>
            <charset val="134"/>
          </rPr>
          <t>，其余企业选择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F7" authorId="0">
      <text>
        <r>
          <rPr>
            <sz val="9"/>
            <color indexed="81"/>
            <rFont val="宋体"/>
            <family val="3"/>
            <charset val="134"/>
          </rPr>
          <t>纳税人存在境外关联交易，选择</t>
        </r>
        <r>
          <rPr>
            <sz val="9"/>
            <color indexed="81"/>
            <rFont val="Tahoma"/>
            <family val="2"/>
          </rPr>
          <t>“</t>
        </r>
        <r>
          <rPr>
            <sz val="9"/>
            <color indexed="81"/>
            <rFont val="宋体"/>
            <family val="3"/>
            <charset val="134"/>
          </rPr>
          <t>是</t>
        </r>
        <r>
          <rPr>
            <sz val="9"/>
            <color indexed="81"/>
            <rFont val="Tahoma"/>
            <family val="2"/>
          </rPr>
          <t>”</t>
        </r>
        <r>
          <rPr>
            <sz val="9"/>
            <color indexed="81"/>
            <rFont val="宋体"/>
            <family val="3"/>
            <charset val="134"/>
          </rPr>
          <t>，不存在选择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A8" authorId="0">
      <text>
        <r>
          <rPr>
            <sz val="9"/>
            <color indexed="81"/>
            <rFont val="宋体"/>
            <family val="3"/>
            <charset val="134"/>
          </rPr>
          <t>纳税人根据情况，在境内上市的选择</t>
        </r>
        <r>
          <rPr>
            <sz val="9"/>
            <color indexed="81"/>
            <rFont val="Tahoma"/>
            <family val="2"/>
          </rPr>
          <t>“</t>
        </r>
        <r>
          <rPr>
            <sz val="9"/>
            <color indexed="81"/>
            <rFont val="宋体"/>
            <family val="3"/>
            <charset val="134"/>
          </rPr>
          <t>境内</t>
        </r>
        <r>
          <rPr>
            <sz val="9"/>
            <color indexed="81"/>
            <rFont val="Tahoma"/>
            <family val="2"/>
          </rPr>
          <t>”</t>
        </r>
        <r>
          <rPr>
            <sz val="9"/>
            <color indexed="81"/>
            <rFont val="宋体"/>
            <family val="3"/>
            <charset val="134"/>
          </rPr>
          <t>；在境外（含香港）上市的选择</t>
        </r>
        <r>
          <rPr>
            <sz val="9"/>
            <color indexed="81"/>
            <rFont val="Tahoma"/>
            <family val="2"/>
          </rPr>
          <t>“</t>
        </r>
        <r>
          <rPr>
            <sz val="9"/>
            <color indexed="81"/>
            <rFont val="宋体"/>
            <family val="3"/>
            <charset val="134"/>
          </rPr>
          <t>境外</t>
        </r>
        <r>
          <rPr>
            <sz val="9"/>
            <color indexed="81"/>
            <rFont val="Tahoma"/>
            <family val="2"/>
          </rPr>
          <t>”</t>
        </r>
        <r>
          <rPr>
            <sz val="9"/>
            <color indexed="81"/>
            <rFont val="宋体"/>
            <family val="3"/>
            <charset val="134"/>
          </rPr>
          <t>；其他选择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F8" authorId="0">
      <text>
        <r>
          <rPr>
            <sz val="9"/>
            <color indexed="81"/>
            <rFont val="宋体"/>
            <family val="3"/>
            <charset val="134"/>
          </rPr>
          <t>从事股权投资业务的企业（包括集团公司总部、创业投资企业等），选择</t>
        </r>
        <r>
          <rPr>
            <sz val="9"/>
            <color indexed="81"/>
            <rFont val="Tahoma"/>
            <family val="2"/>
          </rPr>
          <t>“</t>
        </r>
        <r>
          <rPr>
            <sz val="9"/>
            <color indexed="81"/>
            <rFont val="宋体"/>
            <family val="3"/>
            <charset val="134"/>
          </rPr>
          <t>是</t>
        </r>
        <r>
          <rPr>
            <sz val="9"/>
            <color indexed="81"/>
            <rFont val="Tahoma"/>
            <family val="2"/>
          </rPr>
          <t>”</t>
        </r>
        <r>
          <rPr>
            <sz val="9"/>
            <color indexed="81"/>
            <rFont val="宋体"/>
            <family val="3"/>
            <charset val="134"/>
          </rPr>
          <t>，其余企业选择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A9" authorId="0">
      <text>
        <r>
          <rPr>
            <sz val="9"/>
            <color indexed="81"/>
            <rFont val="宋体"/>
            <family val="3"/>
            <charset val="134"/>
          </rPr>
          <t>纳税人根据采用的会计准则或会计制度选择。</t>
        </r>
      </text>
    </comment>
    <comment ref="A19" authorId="0">
      <text>
        <r>
          <rPr>
            <sz val="9"/>
            <color indexed="81"/>
            <rFont val="宋体"/>
            <family val="3"/>
            <charset val="134"/>
          </rPr>
          <t>企业根据情况，发生资产（股权）划转特殊性税务处理事项，选择</t>
        </r>
        <r>
          <rPr>
            <sz val="9"/>
            <color indexed="81"/>
            <rFont val="Tahoma"/>
            <family val="2"/>
          </rPr>
          <t>“</t>
        </r>
        <r>
          <rPr>
            <sz val="9"/>
            <color indexed="81"/>
            <rFont val="宋体"/>
            <family val="3"/>
            <charset val="134"/>
          </rPr>
          <t>是</t>
        </r>
        <r>
          <rPr>
            <sz val="9"/>
            <color indexed="81"/>
            <rFont val="Tahoma"/>
            <family val="2"/>
          </rPr>
          <t>”</t>
        </r>
        <r>
          <rPr>
            <sz val="9"/>
            <color indexed="81"/>
            <rFont val="宋体"/>
            <family val="3"/>
            <charset val="134"/>
          </rPr>
          <t>，并填报表</t>
        </r>
        <r>
          <rPr>
            <sz val="9"/>
            <color indexed="81"/>
            <rFont val="Tahoma"/>
            <family val="2"/>
          </rPr>
          <t>A105100</t>
        </r>
        <r>
          <rPr>
            <sz val="9"/>
            <color indexed="81"/>
            <rFont val="宋体"/>
            <family val="3"/>
            <charset val="134"/>
          </rPr>
          <t>；未发生选择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A20" authorId="0">
      <text>
        <r>
          <rPr>
            <sz val="9"/>
            <color indexed="81"/>
            <rFont val="宋体"/>
            <family val="3"/>
            <charset val="134"/>
          </rPr>
          <t>企业根据情况，发生非货币性资产投资递延纳税事项，选择</t>
        </r>
        <r>
          <rPr>
            <sz val="9"/>
            <color indexed="81"/>
            <rFont val="Tahoma"/>
            <family val="2"/>
          </rPr>
          <t>“</t>
        </r>
        <r>
          <rPr>
            <sz val="9"/>
            <color indexed="81"/>
            <rFont val="宋体"/>
            <family val="3"/>
            <charset val="134"/>
          </rPr>
          <t>是</t>
        </r>
        <r>
          <rPr>
            <sz val="9"/>
            <color indexed="81"/>
            <rFont val="Tahoma"/>
            <family val="2"/>
          </rPr>
          <t>”</t>
        </r>
        <r>
          <rPr>
            <sz val="9"/>
            <color indexed="81"/>
            <rFont val="宋体"/>
            <family val="3"/>
            <charset val="134"/>
          </rPr>
          <t>，并填报表</t>
        </r>
        <r>
          <rPr>
            <sz val="9"/>
            <color indexed="81"/>
            <rFont val="Tahoma"/>
            <family val="2"/>
          </rPr>
          <t>A105100</t>
        </r>
        <r>
          <rPr>
            <sz val="9"/>
            <color indexed="81"/>
            <rFont val="宋体"/>
            <family val="3"/>
            <charset val="134"/>
          </rPr>
          <t>；未发生选择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A21" authorId="0">
      <text>
        <r>
          <rPr>
            <sz val="9"/>
            <color indexed="81"/>
            <rFont val="宋体"/>
            <family val="3"/>
            <charset val="134"/>
          </rPr>
          <t>企业发生技术入股递延纳税事项，选择</t>
        </r>
        <r>
          <rPr>
            <sz val="9"/>
            <color indexed="81"/>
            <rFont val="Tahoma"/>
            <family val="2"/>
          </rPr>
          <t>“</t>
        </r>
        <r>
          <rPr>
            <sz val="9"/>
            <color indexed="81"/>
            <rFont val="宋体"/>
            <family val="3"/>
            <charset val="134"/>
          </rPr>
          <t>是</t>
        </r>
        <r>
          <rPr>
            <sz val="9"/>
            <color indexed="81"/>
            <rFont val="Tahoma"/>
            <family val="2"/>
          </rPr>
          <t>”</t>
        </r>
        <r>
          <rPr>
            <sz val="9"/>
            <color indexed="81"/>
            <rFont val="宋体"/>
            <family val="3"/>
            <charset val="134"/>
          </rPr>
          <t>，并填报表</t>
        </r>
        <r>
          <rPr>
            <sz val="9"/>
            <color indexed="81"/>
            <rFont val="Tahoma"/>
            <family val="2"/>
          </rPr>
          <t>A105100</t>
        </r>
        <r>
          <rPr>
            <sz val="9"/>
            <color indexed="81"/>
            <rFont val="宋体"/>
            <family val="3"/>
            <charset val="134"/>
          </rPr>
          <t>；未发生选择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A22" authorId="0">
      <text>
        <r>
          <rPr>
            <sz val="9"/>
            <color indexed="81"/>
            <rFont val="宋体"/>
            <family val="3"/>
            <charset val="134"/>
          </rPr>
          <t>企业发生重组事项，根据情况选择税务处理方式，并填报</t>
        </r>
        <r>
          <rPr>
            <sz val="9"/>
            <color indexed="81"/>
            <rFont val="Tahoma"/>
            <family val="2"/>
          </rPr>
          <t>204-1</t>
        </r>
        <r>
          <rPr>
            <sz val="9"/>
            <color indexed="81"/>
            <rFont val="宋体"/>
            <family val="3"/>
            <charset val="134"/>
          </rPr>
          <t>至</t>
        </r>
        <r>
          <rPr>
            <sz val="9"/>
            <color indexed="81"/>
            <rFont val="Tahoma"/>
            <family val="2"/>
          </rPr>
          <t>204-4</t>
        </r>
        <r>
          <rPr>
            <sz val="9"/>
            <color indexed="81"/>
            <rFont val="宋体"/>
            <family val="3"/>
            <charset val="134"/>
          </rPr>
          <t>及表</t>
        </r>
        <r>
          <rPr>
            <sz val="9"/>
            <color indexed="81"/>
            <rFont val="Tahoma"/>
            <family val="2"/>
          </rPr>
          <t>A105100</t>
        </r>
        <r>
          <rPr>
            <sz val="9"/>
            <color indexed="81"/>
            <rFont val="宋体"/>
            <family val="3"/>
            <charset val="134"/>
          </rPr>
          <t>；未发生选择</t>
        </r>
        <r>
          <rPr>
            <sz val="9"/>
            <color indexed="81"/>
            <rFont val="Tahoma"/>
            <family val="2"/>
          </rPr>
          <t>“</t>
        </r>
        <r>
          <rPr>
            <sz val="9"/>
            <color indexed="81"/>
            <rFont val="宋体"/>
            <family val="3"/>
            <charset val="134"/>
          </rPr>
          <t>否</t>
        </r>
        <r>
          <rPr>
            <sz val="9"/>
            <color indexed="81"/>
            <rFont val="Tahoma"/>
            <family val="2"/>
          </rPr>
          <t>”</t>
        </r>
        <r>
          <rPr>
            <sz val="9"/>
            <color indexed="81"/>
            <rFont val="宋体"/>
            <family val="3"/>
            <charset val="134"/>
          </rPr>
          <t>。</t>
        </r>
      </text>
    </comment>
    <comment ref="A23" authorId="0">
      <text>
        <r>
          <rPr>
            <sz val="9"/>
            <color indexed="81"/>
            <rFont val="宋体"/>
            <family val="3"/>
            <charset val="134"/>
          </rPr>
          <t>填报企业本次重组交易开始时间。</t>
        </r>
      </text>
    </comment>
    <comment ref="F23" authorId="0">
      <text>
        <r>
          <rPr>
            <sz val="9"/>
            <color indexed="81"/>
            <rFont val="宋体"/>
            <family val="3"/>
            <charset val="134"/>
          </rPr>
          <t>填报企业本次重组完成时间或预计完成时间。</t>
        </r>
      </text>
    </comment>
    <comment ref="A24" authorId="0">
      <text>
        <r>
          <rPr>
            <sz val="9"/>
            <color indexed="81"/>
            <rFont val="宋体"/>
            <family val="3"/>
            <charset val="134"/>
          </rPr>
          <t>企业根据重组交易类型，选择填报</t>
        </r>
        <r>
          <rPr>
            <sz val="9"/>
            <color indexed="81"/>
            <rFont val="Tahoma"/>
            <family val="2"/>
          </rPr>
          <t>“</t>
        </r>
        <r>
          <rPr>
            <sz val="9"/>
            <color indexed="81"/>
            <rFont val="宋体"/>
            <family val="3"/>
            <charset val="134"/>
          </rPr>
          <t>法律形式改变</t>
        </r>
        <r>
          <rPr>
            <sz val="9"/>
            <color indexed="81"/>
            <rFont val="Tahoma"/>
            <family val="2"/>
          </rPr>
          <t>”“</t>
        </r>
        <r>
          <rPr>
            <sz val="9"/>
            <color indexed="81"/>
            <rFont val="宋体"/>
            <family val="3"/>
            <charset val="134"/>
          </rPr>
          <t>债务重组</t>
        </r>
        <r>
          <rPr>
            <sz val="9"/>
            <color indexed="81"/>
            <rFont val="Tahoma"/>
            <family val="2"/>
          </rPr>
          <t>”“</t>
        </r>
        <r>
          <rPr>
            <sz val="9"/>
            <color indexed="81"/>
            <rFont val="宋体"/>
            <family val="3"/>
            <charset val="134"/>
          </rPr>
          <t>股权收购</t>
        </r>
        <r>
          <rPr>
            <sz val="9"/>
            <color indexed="81"/>
            <rFont val="Tahoma"/>
            <family val="2"/>
          </rPr>
          <t>”“</t>
        </r>
        <r>
          <rPr>
            <sz val="9"/>
            <color indexed="81"/>
            <rFont val="宋体"/>
            <family val="3"/>
            <charset val="134"/>
          </rPr>
          <t>资产收购</t>
        </r>
        <r>
          <rPr>
            <sz val="9"/>
            <color indexed="81"/>
            <rFont val="Tahoma"/>
            <family val="2"/>
          </rPr>
          <t>”“</t>
        </r>
        <r>
          <rPr>
            <sz val="9"/>
            <color indexed="81"/>
            <rFont val="宋体"/>
            <family val="3"/>
            <charset val="134"/>
          </rPr>
          <t>合并</t>
        </r>
        <r>
          <rPr>
            <sz val="9"/>
            <color indexed="81"/>
            <rFont val="Tahoma"/>
            <family val="2"/>
          </rPr>
          <t>”“</t>
        </r>
        <r>
          <rPr>
            <sz val="9"/>
            <color indexed="81"/>
            <rFont val="宋体"/>
            <family val="3"/>
            <charset val="134"/>
          </rPr>
          <t>分立</t>
        </r>
        <r>
          <rPr>
            <sz val="9"/>
            <color indexed="81"/>
            <rFont val="Tahoma"/>
            <family val="2"/>
          </rPr>
          <t>”</t>
        </r>
        <r>
          <rPr>
            <sz val="9"/>
            <color indexed="81"/>
            <rFont val="宋体"/>
            <family val="3"/>
            <charset val="134"/>
          </rPr>
          <t>。</t>
        </r>
      </text>
    </comment>
    <comment ref="A25" authorId="0">
      <text>
        <r>
          <rPr>
            <sz val="9"/>
            <color indexed="81"/>
            <rFont val="宋体"/>
            <family val="3"/>
            <charset val="134"/>
          </rPr>
          <t xml:space="preserve">企业选择填报在重组业务中所属当事方类型：
</t>
        </r>
        <r>
          <rPr>
            <sz val="9"/>
            <color indexed="81"/>
            <rFont val="Tahoma"/>
            <family val="2"/>
          </rPr>
          <t>1</t>
        </r>
        <r>
          <rPr>
            <sz val="9"/>
            <color indexed="81"/>
            <rFont val="宋体"/>
            <family val="3"/>
            <charset val="134"/>
          </rPr>
          <t>、</t>
        </r>
        <r>
          <rPr>
            <sz val="9"/>
            <color indexed="81"/>
            <rFont val="Tahoma"/>
            <family val="2"/>
          </rPr>
          <t>“</t>
        </r>
        <r>
          <rPr>
            <sz val="9"/>
            <color indexed="81"/>
            <rFont val="宋体"/>
            <family val="3"/>
            <charset val="134"/>
          </rPr>
          <t>交易类型</t>
        </r>
        <r>
          <rPr>
            <sz val="9"/>
            <color indexed="81"/>
            <rFont val="Tahoma"/>
            <family val="2"/>
          </rPr>
          <t>”</t>
        </r>
        <r>
          <rPr>
            <sz val="9"/>
            <color indexed="81"/>
            <rFont val="宋体"/>
            <family val="3"/>
            <charset val="134"/>
          </rPr>
          <t>选择</t>
        </r>
        <r>
          <rPr>
            <sz val="9"/>
            <color indexed="81"/>
            <rFont val="Tahoma"/>
            <family val="2"/>
          </rPr>
          <t>“</t>
        </r>
        <r>
          <rPr>
            <sz val="9"/>
            <color indexed="81"/>
            <rFont val="宋体"/>
            <family val="3"/>
            <charset val="134"/>
          </rPr>
          <t>债务重组</t>
        </r>
        <r>
          <rPr>
            <sz val="9"/>
            <color indexed="81"/>
            <rFont val="Tahoma"/>
            <family val="2"/>
          </rPr>
          <t>”</t>
        </r>
        <r>
          <rPr>
            <sz val="9"/>
            <color indexed="81"/>
            <rFont val="宋体"/>
            <family val="3"/>
            <charset val="134"/>
          </rPr>
          <t>的，选择填报</t>
        </r>
        <r>
          <rPr>
            <sz val="9"/>
            <color indexed="81"/>
            <rFont val="Tahoma"/>
            <family val="2"/>
          </rPr>
          <t>“</t>
        </r>
        <r>
          <rPr>
            <sz val="9"/>
            <color indexed="81"/>
            <rFont val="宋体"/>
            <family val="3"/>
            <charset val="134"/>
          </rPr>
          <t>债务人</t>
        </r>
        <r>
          <rPr>
            <sz val="9"/>
            <color indexed="81"/>
            <rFont val="Tahoma"/>
            <family val="2"/>
          </rPr>
          <t>”</t>
        </r>
        <r>
          <rPr>
            <sz val="9"/>
            <color indexed="81"/>
            <rFont val="宋体"/>
            <family val="3"/>
            <charset val="134"/>
          </rPr>
          <t>或</t>
        </r>
        <r>
          <rPr>
            <sz val="9"/>
            <color indexed="81"/>
            <rFont val="Tahoma"/>
            <family val="2"/>
          </rPr>
          <t>“</t>
        </r>
        <r>
          <rPr>
            <sz val="9"/>
            <color indexed="81"/>
            <rFont val="宋体"/>
            <family val="3"/>
            <charset val="134"/>
          </rPr>
          <t>债权人</t>
        </r>
        <r>
          <rPr>
            <sz val="9"/>
            <color indexed="81"/>
            <rFont val="Tahoma"/>
            <family val="2"/>
          </rPr>
          <t>”</t>
        </r>
        <r>
          <rPr>
            <sz val="9"/>
            <color indexed="81"/>
            <rFont val="宋体"/>
            <family val="3"/>
            <charset val="134"/>
          </rPr>
          <t xml:space="preserve">；
</t>
        </r>
        <r>
          <rPr>
            <sz val="9"/>
            <color indexed="81"/>
            <rFont val="Tahoma"/>
            <family val="2"/>
          </rPr>
          <t>2</t>
        </r>
        <r>
          <rPr>
            <sz val="9"/>
            <color indexed="81"/>
            <rFont val="宋体"/>
            <family val="3"/>
            <charset val="134"/>
          </rPr>
          <t>、</t>
        </r>
        <r>
          <rPr>
            <sz val="9"/>
            <color indexed="81"/>
            <rFont val="Tahoma"/>
            <family val="2"/>
          </rPr>
          <t>“</t>
        </r>
        <r>
          <rPr>
            <sz val="9"/>
            <color indexed="81"/>
            <rFont val="宋体"/>
            <family val="3"/>
            <charset val="134"/>
          </rPr>
          <t>交易类型</t>
        </r>
        <r>
          <rPr>
            <sz val="9"/>
            <color indexed="81"/>
            <rFont val="Tahoma"/>
            <family val="2"/>
          </rPr>
          <t>”</t>
        </r>
        <r>
          <rPr>
            <sz val="9"/>
            <color indexed="81"/>
            <rFont val="宋体"/>
            <family val="3"/>
            <charset val="134"/>
          </rPr>
          <t>选择</t>
        </r>
        <r>
          <rPr>
            <sz val="9"/>
            <color indexed="81"/>
            <rFont val="Tahoma"/>
            <family val="2"/>
          </rPr>
          <t>“</t>
        </r>
        <r>
          <rPr>
            <sz val="9"/>
            <color indexed="81"/>
            <rFont val="宋体"/>
            <family val="3"/>
            <charset val="134"/>
          </rPr>
          <t>股权收购</t>
        </r>
        <r>
          <rPr>
            <sz val="9"/>
            <color indexed="81"/>
            <rFont val="Tahoma"/>
            <family val="2"/>
          </rPr>
          <t>”</t>
        </r>
        <r>
          <rPr>
            <sz val="9"/>
            <color indexed="81"/>
            <rFont val="宋体"/>
            <family val="3"/>
            <charset val="134"/>
          </rPr>
          <t>的，选择填报</t>
        </r>
        <r>
          <rPr>
            <sz val="9"/>
            <color indexed="81"/>
            <rFont val="Tahoma"/>
            <family val="2"/>
          </rPr>
          <t>“</t>
        </r>
        <r>
          <rPr>
            <sz val="9"/>
            <color indexed="81"/>
            <rFont val="宋体"/>
            <family val="3"/>
            <charset val="134"/>
          </rPr>
          <t>收购方</t>
        </r>
        <r>
          <rPr>
            <sz val="9"/>
            <color indexed="81"/>
            <rFont val="Tahoma"/>
            <family val="2"/>
          </rPr>
          <t>”“</t>
        </r>
        <r>
          <rPr>
            <sz val="9"/>
            <color indexed="81"/>
            <rFont val="宋体"/>
            <family val="3"/>
            <charset val="134"/>
          </rPr>
          <t>转让方</t>
        </r>
        <r>
          <rPr>
            <sz val="9"/>
            <color indexed="81"/>
            <rFont val="Tahoma"/>
            <family val="2"/>
          </rPr>
          <t>”</t>
        </r>
        <r>
          <rPr>
            <sz val="9"/>
            <color indexed="81"/>
            <rFont val="宋体"/>
            <family val="3"/>
            <charset val="134"/>
          </rPr>
          <t>或</t>
        </r>
        <r>
          <rPr>
            <sz val="9"/>
            <color indexed="81"/>
            <rFont val="Tahoma"/>
            <family val="2"/>
          </rPr>
          <t>“</t>
        </r>
        <r>
          <rPr>
            <sz val="9"/>
            <color indexed="81"/>
            <rFont val="宋体"/>
            <family val="3"/>
            <charset val="134"/>
          </rPr>
          <t>被收购企业</t>
        </r>
        <r>
          <rPr>
            <sz val="9"/>
            <color indexed="81"/>
            <rFont val="Tahoma"/>
            <family val="2"/>
          </rPr>
          <t>”</t>
        </r>
        <r>
          <rPr>
            <sz val="9"/>
            <color indexed="81"/>
            <rFont val="宋体"/>
            <family val="3"/>
            <charset val="134"/>
          </rPr>
          <t xml:space="preserve">；
</t>
        </r>
        <r>
          <rPr>
            <sz val="9"/>
            <color indexed="81"/>
            <rFont val="Tahoma"/>
            <family val="2"/>
          </rPr>
          <t>3</t>
        </r>
        <r>
          <rPr>
            <sz val="9"/>
            <color indexed="81"/>
            <rFont val="宋体"/>
            <family val="3"/>
            <charset val="134"/>
          </rPr>
          <t>、</t>
        </r>
        <r>
          <rPr>
            <sz val="9"/>
            <color indexed="81"/>
            <rFont val="Tahoma"/>
            <family val="2"/>
          </rPr>
          <t>“</t>
        </r>
        <r>
          <rPr>
            <sz val="9"/>
            <color indexed="81"/>
            <rFont val="宋体"/>
            <family val="3"/>
            <charset val="134"/>
          </rPr>
          <t>交易类型</t>
        </r>
        <r>
          <rPr>
            <sz val="9"/>
            <color indexed="81"/>
            <rFont val="Tahoma"/>
            <family val="2"/>
          </rPr>
          <t>”</t>
        </r>
        <r>
          <rPr>
            <sz val="9"/>
            <color indexed="81"/>
            <rFont val="宋体"/>
            <family val="3"/>
            <charset val="134"/>
          </rPr>
          <t>选择</t>
        </r>
        <r>
          <rPr>
            <sz val="9"/>
            <color indexed="81"/>
            <rFont val="Tahoma"/>
            <family val="2"/>
          </rPr>
          <t>“</t>
        </r>
        <r>
          <rPr>
            <sz val="9"/>
            <color indexed="81"/>
            <rFont val="宋体"/>
            <family val="3"/>
            <charset val="134"/>
          </rPr>
          <t>资产收购</t>
        </r>
        <r>
          <rPr>
            <sz val="9"/>
            <color indexed="81"/>
            <rFont val="Tahoma"/>
            <family val="2"/>
          </rPr>
          <t>”</t>
        </r>
        <r>
          <rPr>
            <sz val="9"/>
            <color indexed="81"/>
            <rFont val="宋体"/>
            <family val="3"/>
            <charset val="134"/>
          </rPr>
          <t>的，选择填报</t>
        </r>
        <r>
          <rPr>
            <sz val="9"/>
            <color indexed="81"/>
            <rFont val="Tahoma"/>
            <family val="2"/>
          </rPr>
          <t>“</t>
        </r>
        <r>
          <rPr>
            <sz val="9"/>
            <color indexed="81"/>
            <rFont val="宋体"/>
            <family val="3"/>
            <charset val="134"/>
          </rPr>
          <t>收购方</t>
        </r>
        <r>
          <rPr>
            <sz val="9"/>
            <color indexed="81"/>
            <rFont val="Tahoma"/>
            <family val="2"/>
          </rPr>
          <t>”</t>
        </r>
        <r>
          <rPr>
            <sz val="9"/>
            <color indexed="81"/>
            <rFont val="宋体"/>
            <family val="3"/>
            <charset val="134"/>
          </rPr>
          <t>或</t>
        </r>
        <r>
          <rPr>
            <sz val="9"/>
            <color indexed="81"/>
            <rFont val="Tahoma"/>
            <family val="2"/>
          </rPr>
          <t>“</t>
        </r>
        <r>
          <rPr>
            <sz val="9"/>
            <color indexed="81"/>
            <rFont val="宋体"/>
            <family val="3"/>
            <charset val="134"/>
          </rPr>
          <t>转让方</t>
        </r>
        <r>
          <rPr>
            <sz val="9"/>
            <color indexed="81"/>
            <rFont val="Tahoma"/>
            <family val="2"/>
          </rPr>
          <t>”</t>
        </r>
        <r>
          <rPr>
            <sz val="9"/>
            <color indexed="81"/>
            <rFont val="宋体"/>
            <family val="3"/>
            <charset val="134"/>
          </rPr>
          <t xml:space="preserve">；
</t>
        </r>
        <r>
          <rPr>
            <sz val="9"/>
            <color indexed="81"/>
            <rFont val="Tahoma"/>
            <family val="2"/>
          </rPr>
          <t>4</t>
        </r>
        <r>
          <rPr>
            <sz val="9"/>
            <color indexed="81"/>
            <rFont val="宋体"/>
            <family val="3"/>
            <charset val="134"/>
          </rPr>
          <t>、</t>
        </r>
        <r>
          <rPr>
            <sz val="9"/>
            <color indexed="81"/>
            <rFont val="Tahoma"/>
            <family val="2"/>
          </rPr>
          <t>“</t>
        </r>
        <r>
          <rPr>
            <sz val="9"/>
            <color indexed="81"/>
            <rFont val="宋体"/>
            <family val="3"/>
            <charset val="134"/>
          </rPr>
          <t>交易类型</t>
        </r>
        <r>
          <rPr>
            <sz val="9"/>
            <color indexed="81"/>
            <rFont val="Tahoma"/>
            <family val="2"/>
          </rPr>
          <t>”</t>
        </r>
        <r>
          <rPr>
            <sz val="9"/>
            <color indexed="81"/>
            <rFont val="宋体"/>
            <family val="3"/>
            <charset val="134"/>
          </rPr>
          <t>选择</t>
        </r>
        <r>
          <rPr>
            <sz val="9"/>
            <color indexed="81"/>
            <rFont val="Tahoma"/>
            <family val="2"/>
          </rPr>
          <t>“</t>
        </r>
        <r>
          <rPr>
            <sz val="9"/>
            <color indexed="81"/>
            <rFont val="宋体"/>
            <family val="3"/>
            <charset val="134"/>
          </rPr>
          <t>合并</t>
        </r>
        <r>
          <rPr>
            <sz val="9"/>
            <color indexed="81"/>
            <rFont val="Tahoma"/>
            <family val="2"/>
          </rPr>
          <t>”</t>
        </r>
        <r>
          <rPr>
            <sz val="9"/>
            <color indexed="81"/>
            <rFont val="宋体"/>
            <family val="3"/>
            <charset val="134"/>
          </rPr>
          <t>的，选择填报</t>
        </r>
        <r>
          <rPr>
            <sz val="9"/>
            <color indexed="81"/>
            <rFont val="Tahoma"/>
            <family val="2"/>
          </rPr>
          <t>“</t>
        </r>
        <r>
          <rPr>
            <sz val="9"/>
            <color indexed="81"/>
            <rFont val="宋体"/>
            <family val="3"/>
            <charset val="134"/>
          </rPr>
          <t>合并企业</t>
        </r>
        <r>
          <rPr>
            <sz val="9"/>
            <color indexed="81"/>
            <rFont val="Tahoma"/>
            <family val="2"/>
          </rPr>
          <t>”“</t>
        </r>
        <r>
          <rPr>
            <sz val="9"/>
            <color indexed="81"/>
            <rFont val="宋体"/>
            <family val="3"/>
            <charset val="134"/>
          </rPr>
          <t>被合并企业</t>
        </r>
        <r>
          <rPr>
            <sz val="9"/>
            <color indexed="81"/>
            <rFont val="Tahoma"/>
            <family val="2"/>
          </rPr>
          <t>”</t>
        </r>
        <r>
          <rPr>
            <sz val="9"/>
            <color indexed="81"/>
            <rFont val="宋体"/>
            <family val="3"/>
            <charset val="134"/>
          </rPr>
          <t>或</t>
        </r>
        <r>
          <rPr>
            <sz val="9"/>
            <color indexed="81"/>
            <rFont val="Tahoma"/>
            <family val="2"/>
          </rPr>
          <t>“</t>
        </r>
        <r>
          <rPr>
            <sz val="9"/>
            <color indexed="81"/>
            <rFont val="宋体"/>
            <family val="3"/>
            <charset val="134"/>
          </rPr>
          <t>被合并企业股东</t>
        </r>
        <r>
          <rPr>
            <sz val="9"/>
            <color indexed="81"/>
            <rFont val="Tahoma"/>
            <family val="2"/>
          </rPr>
          <t>”</t>
        </r>
        <r>
          <rPr>
            <sz val="9"/>
            <color indexed="81"/>
            <rFont val="宋体"/>
            <family val="3"/>
            <charset val="134"/>
          </rPr>
          <t xml:space="preserve">；
</t>
        </r>
        <r>
          <rPr>
            <sz val="9"/>
            <color indexed="81"/>
            <rFont val="Tahoma"/>
            <family val="2"/>
          </rPr>
          <t>5</t>
        </r>
        <r>
          <rPr>
            <sz val="9"/>
            <color indexed="81"/>
            <rFont val="宋体"/>
            <family val="3"/>
            <charset val="134"/>
          </rPr>
          <t>、</t>
        </r>
        <r>
          <rPr>
            <sz val="9"/>
            <color indexed="81"/>
            <rFont val="Tahoma"/>
            <family val="2"/>
          </rPr>
          <t>“</t>
        </r>
        <r>
          <rPr>
            <sz val="9"/>
            <color indexed="81"/>
            <rFont val="宋体"/>
            <family val="3"/>
            <charset val="134"/>
          </rPr>
          <t>交易类型</t>
        </r>
        <r>
          <rPr>
            <sz val="9"/>
            <color indexed="81"/>
            <rFont val="Tahoma"/>
            <family val="2"/>
          </rPr>
          <t>”</t>
        </r>
        <r>
          <rPr>
            <sz val="9"/>
            <color indexed="81"/>
            <rFont val="宋体"/>
            <family val="3"/>
            <charset val="134"/>
          </rPr>
          <t>选择</t>
        </r>
        <r>
          <rPr>
            <sz val="9"/>
            <color indexed="81"/>
            <rFont val="Tahoma"/>
            <family val="2"/>
          </rPr>
          <t>“</t>
        </r>
        <r>
          <rPr>
            <sz val="9"/>
            <color indexed="81"/>
            <rFont val="宋体"/>
            <family val="3"/>
            <charset val="134"/>
          </rPr>
          <t>分立</t>
        </r>
        <r>
          <rPr>
            <sz val="9"/>
            <color indexed="81"/>
            <rFont val="Tahoma"/>
            <family val="2"/>
          </rPr>
          <t>”</t>
        </r>
        <r>
          <rPr>
            <sz val="9"/>
            <color indexed="81"/>
            <rFont val="宋体"/>
            <family val="3"/>
            <charset val="134"/>
          </rPr>
          <t>的，选择填报</t>
        </r>
        <r>
          <rPr>
            <sz val="9"/>
            <color indexed="81"/>
            <rFont val="Tahoma"/>
            <family val="2"/>
          </rPr>
          <t>“</t>
        </r>
        <r>
          <rPr>
            <sz val="9"/>
            <color indexed="81"/>
            <rFont val="宋体"/>
            <family val="3"/>
            <charset val="134"/>
          </rPr>
          <t>分立企业</t>
        </r>
        <r>
          <rPr>
            <sz val="9"/>
            <color indexed="81"/>
            <rFont val="Tahoma"/>
            <family val="2"/>
          </rPr>
          <t>”“</t>
        </r>
        <r>
          <rPr>
            <sz val="9"/>
            <color indexed="81"/>
            <rFont val="宋体"/>
            <family val="3"/>
            <charset val="134"/>
          </rPr>
          <t>被分立企业</t>
        </r>
        <r>
          <rPr>
            <sz val="9"/>
            <color indexed="81"/>
            <rFont val="Tahoma"/>
            <family val="2"/>
          </rPr>
          <t>”</t>
        </r>
        <r>
          <rPr>
            <sz val="9"/>
            <color indexed="81"/>
            <rFont val="宋体"/>
            <family val="3"/>
            <charset val="134"/>
          </rPr>
          <t>或</t>
        </r>
        <r>
          <rPr>
            <sz val="9"/>
            <color indexed="81"/>
            <rFont val="Tahoma"/>
            <family val="2"/>
          </rPr>
          <t>“</t>
        </r>
        <r>
          <rPr>
            <sz val="9"/>
            <color indexed="81"/>
            <rFont val="宋体"/>
            <family val="3"/>
            <charset val="134"/>
          </rPr>
          <t>被分立企业股东</t>
        </r>
        <r>
          <rPr>
            <sz val="9"/>
            <color indexed="81"/>
            <rFont val="Tahoma"/>
            <family val="2"/>
          </rPr>
          <t>”</t>
        </r>
        <r>
          <rPr>
            <sz val="9"/>
            <color indexed="81"/>
            <rFont val="宋体"/>
            <family val="3"/>
            <charset val="134"/>
          </rPr>
          <t>。</t>
        </r>
      </text>
    </comment>
    <comment ref="A26" authorId="0">
      <text>
        <r>
          <rPr>
            <sz val="9"/>
            <color indexed="81"/>
            <rFont val="宋体"/>
            <family val="3"/>
            <charset val="134"/>
          </rPr>
          <t>填报本企业投资比例前</t>
        </r>
        <r>
          <rPr>
            <sz val="9"/>
            <color indexed="81"/>
            <rFont val="Tahoma"/>
            <family val="2"/>
          </rPr>
          <t>10</t>
        </r>
        <r>
          <rPr>
            <sz val="9"/>
            <color indexed="81"/>
            <rFont val="宋体"/>
            <family val="3"/>
            <charset val="134"/>
          </rPr>
          <t xml:space="preserve">位的股东情况：
</t>
        </r>
        <r>
          <rPr>
            <sz val="9"/>
            <color indexed="81"/>
            <rFont val="Tahoma"/>
            <family val="2"/>
          </rPr>
          <t>1</t>
        </r>
        <r>
          <rPr>
            <sz val="9"/>
            <color indexed="81"/>
            <rFont val="宋体"/>
            <family val="3"/>
            <charset val="134"/>
          </rPr>
          <t xml:space="preserve">、包括股东名称，证件种类（营业执照、税务登记证、组织机构代码证、身份证、护照等），证件号码（统一社会信用代码、纳税人识别号、组织机构代码号、身份证号、护照号等），投资比例，当年（决议日）分配的股息、红利等权益性投资收益金额，国籍（注册地址）。
</t>
        </r>
        <r>
          <rPr>
            <sz val="9"/>
            <color indexed="81"/>
            <rFont val="Tahoma"/>
            <family val="2"/>
          </rPr>
          <t>2</t>
        </r>
        <r>
          <rPr>
            <sz val="9"/>
            <color indexed="81"/>
            <rFont val="宋体"/>
            <family val="3"/>
            <charset val="134"/>
          </rPr>
          <t>、超过十位的其余股东，有关数据合计后填在</t>
        </r>
        <r>
          <rPr>
            <sz val="9"/>
            <color indexed="81"/>
            <rFont val="Tahoma"/>
            <family val="2"/>
          </rPr>
          <t>“</t>
        </r>
        <r>
          <rPr>
            <sz val="9"/>
            <color indexed="81"/>
            <rFont val="宋体"/>
            <family val="3"/>
            <charset val="134"/>
          </rPr>
          <t>其余股东合计</t>
        </r>
        <r>
          <rPr>
            <sz val="9"/>
            <color indexed="81"/>
            <rFont val="Tahoma"/>
            <family val="2"/>
          </rPr>
          <t>”</t>
        </r>
        <r>
          <rPr>
            <sz val="9"/>
            <color indexed="81"/>
            <rFont val="宋体"/>
            <family val="3"/>
            <charset val="134"/>
          </rPr>
          <t xml:space="preserve">行。
</t>
        </r>
        <r>
          <rPr>
            <sz val="9"/>
            <color indexed="81"/>
            <rFont val="Tahoma"/>
            <family val="2"/>
          </rPr>
          <t>3</t>
        </r>
        <r>
          <rPr>
            <sz val="9"/>
            <color indexed="81"/>
            <rFont val="宋体"/>
            <family val="3"/>
            <charset val="134"/>
          </rPr>
          <t>、企业主要股东为国外非居民企业的，证件种类和证件号码可不填写。</t>
        </r>
      </text>
    </comment>
  </commentList>
</comments>
</file>

<file path=xl/comments13.xml><?xml version="1.0" encoding="utf-8"?>
<comments xmlns="http://schemas.openxmlformats.org/spreadsheetml/2006/main">
  <authors>
    <author>Cindy Wang</author>
    <author>Zhang, Dorothy</author>
  </authors>
  <commentList>
    <comment ref="A2" authorId="0">
      <text>
        <r>
          <rPr>
            <sz val="9"/>
            <color indexed="81"/>
            <rFont val="宋体"/>
            <family val="3"/>
            <charset val="134"/>
          </rPr>
          <t xml:space="preserve">本表为企业所得税年度纳税申报表主表，企业应该根据《中华人民共和国企业所得税法》及其实施条例（以下简称税法）、相关税收政策，以及国家统一会计制度（企业会计准则、小企业会计准则、企业会计制度、事业单位会计准则和民间非营利组织会计制度等）的规定，计算填报纳税人利润总额、应纳税所得额和应纳税额等有关项目。
企业在计算应纳税所得额及应纳所得税时，企业会计处理与税收规定不一致的，应当按照税收规定计算。税收规定不明确的，在没有明确规定之前，暂按国家统一会计制度计算。
</t>
        </r>
      </text>
    </comment>
    <comment ref="C3" authorId="1">
      <text>
        <r>
          <rPr>
            <sz val="9"/>
            <color indexed="81"/>
            <rFont val="宋体"/>
            <family val="3"/>
            <charset val="134"/>
          </rPr>
          <t>本表是在纳税人会计利润总额的基础上，加减纳税调整等金额后计算出</t>
        </r>
        <r>
          <rPr>
            <sz val="9"/>
            <color indexed="81"/>
            <rFont val="Tahoma"/>
            <family val="2"/>
          </rPr>
          <t>“</t>
        </r>
        <r>
          <rPr>
            <sz val="9"/>
            <color indexed="81"/>
            <rFont val="宋体"/>
            <family val="3"/>
            <charset val="134"/>
          </rPr>
          <t>纳税调整后所得</t>
        </r>
        <r>
          <rPr>
            <sz val="9"/>
            <color indexed="81"/>
            <rFont val="Tahoma"/>
            <family val="2"/>
          </rPr>
          <t>”</t>
        </r>
        <r>
          <rPr>
            <sz val="9"/>
            <color indexed="81"/>
            <rFont val="宋体"/>
            <family val="3"/>
            <charset val="134"/>
          </rPr>
          <t>。会计与税法的差异（包括收入类、扣除类、资产类等差异）通过《纳税调整项目明细表》</t>
        </r>
        <r>
          <rPr>
            <sz val="9"/>
            <color indexed="81"/>
            <rFont val="Tahoma"/>
            <family val="2"/>
          </rPr>
          <t>(A105000</t>
        </r>
        <r>
          <rPr>
            <sz val="9"/>
            <color indexed="81"/>
            <rFont val="宋体"/>
            <family val="3"/>
            <charset val="134"/>
          </rPr>
          <t>）集中填报。</t>
        </r>
      </text>
    </comment>
    <comment ref="B4" authorId="1">
      <text>
        <r>
          <rPr>
            <sz val="9"/>
            <color indexed="81"/>
            <rFont val="Tahoma"/>
            <family val="2"/>
          </rPr>
          <t>“</t>
        </r>
        <r>
          <rPr>
            <sz val="9"/>
            <color indexed="81"/>
            <rFont val="宋体"/>
            <family val="3"/>
            <charset val="134"/>
          </rPr>
          <t>利润总额计算</t>
        </r>
        <r>
          <rPr>
            <sz val="9"/>
            <color indexed="81"/>
            <rFont val="Tahoma"/>
            <family val="2"/>
          </rPr>
          <t>”</t>
        </r>
        <r>
          <rPr>
            <sz val="9"/>
            <color indexed="81"/>
            <rFont val="宋体"/>
            <family val="3"/>
            <charset val="134"/>
          </rPr>
          <t>中的项目，按照国家统一会计制度规定计算填报。实行企业会计准则、小企业会计准则、企业会计制度、分行业会计制度纳税人其数据直接取自利润表；实行事业单位会计准则的纳税人其数据取自收入支出表；实行民间非营利组织会计制度纳税人其数据取自业务活动表；实行其他国家统一会计制度的纳税人，根据本表项目进行分析填报。</t>
        </r>
      </text>
    </comment>
    <comment ref="C4" authorId="1">
      <text>
        <r>
          <rPr>
            <sz val="9"/>
            <color indexed="81"/>
            <rFont val="宋体"/>
            <family val="3"/>
            <charset val="134"/>
          </rPr>
          <t>1、填报纳税人主要经营业务和其他经营业务取得的收入总额。
2、本行根据“主营业务收入”和“其他业务收入”的数额填报。
3、一般企业纳税人根据《一般企业收入明细表》（A101010）填报；金融企业纳税人根据《金融企业收入明细表》(A101020)填报；事业单位、社会团体、民办非企业单位、非营利组织等纳税人根据《事业单位、民间非营利组织收入、支出明细表》(A103000)填报。</t>
        </r>
      </text>
    </comment>
    <comment ref="D4" authorId="1">
      <text>
        <r>
          <rPr>
            <sz val="9"/>
            <color indexed="81"/>
            <rFont val="Tahoma"/>
            <family val="2"/>
          </rPr>
          <t xml:space="preserve">第1行＝表A101010第1行或表A101020第1行或表A103000第2+3+4+5+6行或表A103000第11+12+13+14+15行。
注：此单元格，目前对应公式为：表A101010第一行
</t>
        </r>
      </text>
    </comment>
    <comment ref="C5" authorId="1">
      <text>
        <r>
          <rPr>
            <sz val="9"/>
            <color indexed="81"/>
            <rFont val="Tahoma"/>
            <family val="2"/>
          </rPr>
          <t>1</t>
        </r>
        <r>
          <rPr>
            <sz val="9"/>
            <color indexed="81"/>
            <rFont val="宋体"/>
            <family val="3"/>
            <charset val="134"/>
          </rPr>
          <t xml:space="preserve">、填报纳税人主要经营业务和其他经营业务发生的成本总额。
</t>
        </r>
        <r>
          <rPr>
            <sz val="9"/>
            <color indexed="81"/>
            <rFont val="Tahoma"/>
            <family val="2"/>
          </rPr>
          <t>2</t>
        </r>
        <r>
          <rPr>
            <sz val="9"/>
            <color indexed="81"/>
            <rFont val="宋体"/>
            <family val="3"/>
            <charset val="134"/>
          </rPr>
          <t>、本行根据</t>
        </r>
        <r>
          <rPr>
            <sz val="9"/>
            <color indexed="81"/>
            <rFont val="Tahoma"/>
            <family val="2"/>
          </rPr>
          <t>“</t>
        </r>
        <r>
          <rPr>
            <sz val="9"/>
            <color indexed="81"/>
            <rFont val="宋体"/>
            <family val="3"/>
            <charset val="134"/>
          </rPr>
          <t>主营业务成本</t>
        </r>
        <r>
          <rPr>
            <sz val="9"/>
            <color indexed="81"/>
            <rFont val="Tahoma"/>
            <family val="2"/>
          </rPr>
          <t>”</t>
        </r>
        <r>
          <rPr>
            <sz val="9"/>
            <color indexed="81"/>
            <rFont val="宋体"/>
            <family val="3"/>
            <charset val="134"/>
          </rPr>
          <t>和</t>
        </r>
        <r>
          <rPr>
            <sz val="9"/>
            <color indexed="81"/>
            <rFont val="Tahoma"/>
            <family val="2"/>
          </rPr>
          <t>“</t>
        </r>
        <r>
          <rPr>
            <sz val="9"/>
            <color indexed="81"/>
            <rFont val="宋体"/>
            <family val="3"/>
            <charset val="134"/>
          </rPr>
          <t>其他业务成本</t>
        </r>
        <r>
          <rPr>
            <sz val="9"/>
            <color indexed="81"/>
            <rFont val="Tahoma"/>
            <family val="2"/>
          </rPr>
          <t>”</t>
        </r>
        <r>
          <rPr>
            <sz val="9"/>
            <color indexed="81"/>
            <rFont val="宋体"/>
            <family val="3"/>
            <charset val="134"/>
          </rPr>
          <t xml:space="preserve">的数额填报。
</t>
        </r>
        <r>
          <rPr>
            <sz val="9"/>
            <color indexed="81"/>
            <rFont val="Tahoma"/>
            <family val="2"/>
          </rPr>
          <t>3</t>
        </r>
        <r>
          <rPr>
            <sz val="9"/>
            <color indexed="81"/>
            <rFont val="宋体"/>
            <family val="3"/>
            <charset val="134"/>
          </rPr>
          <t>、一般企业纳税人根据《一般企业成本支出明细表》</t>
        </r>
        <r>
          <rPr>
            <sz val="9"/>
            <color indexed="81"/>
            <rFont val="Tahoma"/>
            <family val="2"/>
          </rPr>
          <t>(A102010)</t>
        </r>
        <r>
          <rPr>
            <sz val="9"/>
            <color indexed="81"/>
            <rFont val="宋体"/>
            <family val="3"/>
            <charset val="134"/>
          </rPr>
          <t>填报；金融企业纳税人根据《金融企业支出明细表》</t>
        </r>
        <r>
          <rPr>
            <sz val="9"/>
            <color indexed="81"/>
            <rFont val="Tahoma"/>
            <family val="2"/>
          </rPr>
          <t>(A102020)</t>
        </r>
        <r>
          <rPr>
            <sz val="9"/>
            <color indexed="81"/>
            <rFont val="宋体"/>
            <family val="3"/>
            <charset val="134"/>
          </rPr>
          <t>填报；事业单位、社会团体、民办非企业单位、非营利组织等纳税人，根据《事业单位、民间非营利组织收入、支出明细表》。</t>
        </r>
        <r>
          <rPr>
            <sz val="9"/>
            <color indexed="81"/>
            <rFont val="Tahoma"/>
            <family val="2"/>
          </rPr>
          <t>(A103000)</t>
        </r>
        <r>
          <rPr>
            <sz val="9"/>
            <color indexed="81"/>
            <rFont val="宋体"/>
            <family val="3"/>
            <charset val="134"/>
          </rPr>
          <t>填报。</t>
        </r>
      </text>
    </comment>
    <comment ref="D5" authorId="1">
      <text>
        <r>
          <rPr>
            <sz val="9"/>
            <color indexed="81"/>
            <rFont val="宋体"/>
            <family val="3"/>
            <charset val="134"/>
          </rPr>
          <t>第</t>
        </r>
        <r>
          <rPr>
            <sz val="9"/>
            <color indexed="81"/>
            <rFont val="Tahoma"/>
            <family val="2"/>
          </rPr>
          <t>2</t>
        </r>
        <r>
          <rPr>
            <sz val="9"/>
            <color indexed="81"/>
            <rFont val="宋体"/>
            <family val="3"/>
            <charset val="134"/>
          </rPr>
          <t>行＝表</t>
        </r>
        <r>
          <rPr>
            <sz val="9"/>
            <color indexed="81"/>
            <rFont val="Tahoma"/>
            <family val="2"/>
          </rPr>
          <t>A102010</t>
        </r>
        <r>
          <rPr>
            <sz val="9"/>
            <color indexed="81"/>
            <rFont val="宋体"/>
            <family val="3"/>
            <charset val="134"/>
          </rPr>
          <t>第</t>
        </r>
        <r>
          <rPr>
            <sz val="9"/>
            <color indexed="81"/>
            <rFont val="Tahoma"/>
            <family val="2"/>
          </rPr>
          <t>1</t>
        </r>
        <r>
          <rPr>
            <sz val="9"/>
            <color indexed="81"/>
            <rFont val="宋体"/>
            <family val="3"/>
            <charset val="134"/>
          </rPr>
          <t>行或表</t>
        </r>
        <r>
          <rPr>
            <sz val="9"/>
            <color indexed="81"/>
            <rFont val="Tahoma"/>
            <family val="2"/>
          </rPr>
          <t>A102020</t>
        </r>
        <r>
          <rPr>
            <sz val="9"/>
            <color indexed="81"/>
            <rFont val="宋体"/>
            <family val="3"/>
            <charset val="134"/>
          </rPr>
          <t>第</t>
        </r>
        <r>
          <rPr>
            <sz val="9"/>
            <color indexed="81"/>
            <rFont val="Tahoma"/>
            <family val="2"/>
          </rPr>
          <t>1</t>
        </r>
        <r>
          <rPr>
            <sz val="9"/>
            <color indexed="81"/>
            <rFont val="宋体"/>
            <family val="3"/>
            <charset val="134"/>
          </rPr>
          <t>行或表</t>
        </r>
        <r>
          <rPr>
            <sz val="9"/>
            <color indexed="81"/>
            <rFont val="Tahoma"/>
            <family val="2"/>
          </rPr>
          <t>A103000</t>
        </r>
        <r>
          <rPr>
            <sz val="9"/>
            <color indexed="81"/>
            <rFont val="宋体"/>
            <family val="3"/>
            <charset val="134"/>
          </rPr>
          <t>第</t>
        </r>
        <r>
          <rPr>
            <sz val="9"/>
            <color indexed="81"/>
            <rFont val="Tahoma"/>
            <family val="2"/>
          </rPr>
          <t>19+20+21+22</t>
        </r>
        <r>
          <rPr>
            <sz val="9"/>
            <color indexed="81"/>
            <rFont val="宋体"/>
            <family val="3"/>
            <charset val="134"/>
          </rPr>
          <t>行或表</t>
        </r>
        <r>
          <rPr>
            <sz val="9"/>
            <color indexed="81"/>
            <rFont val="Tahoma"/>
            <family val="2"/>
          </rPr>
          <t>A103000</t>
        </r>
        <r>
          <rPr>
            <sz val="9"/>
            <color indexed="81"/>
            <rFont val="宋体"/>
            <family val="3"/>
            <charset val="134"/>
          </rPr>
          <t>第</t>
        </r>
        <r>
          <rPr>
            <sz val="9"/>
            <color indexed="81"/>
            <rFont val="Tahoma"/>
            <family val="2"/>
          </rPr>
          <t>25+26+27</t>
        </r>
        <r>
          <rPr>
            <sz val="9"/>
            <color indexed="81"/>
            <rFont val="宋体"/>
            <family val="3"/>
            <charset val="134"/>
          </rPr>
          <t>行。
注：此单元格公式，目前对应的是</t>
        </r>
        <r>
          <rPr>
            <sz val="9"/>
            <color indexed="81"/>
            <rFont val="Tahoma"/>
            <family val="2"/>
          </rPr>
          <t>A102010</t>
        </r>
        <r>
          <rPr>
            <sz val="9"/>
            <color indexed="81"/>
            <rFont val="宋体"/>
            <family val="3"/>
            <charset val="134"/>
          </rPr>
          <t xml:space="preserve">第一行。
</t>
        </r>
      </text>
    </comment>
    <comment ref="C6" authorId="1">
      <text>
        <r>
          <rPr>
            <sz val="9"/>
            <color indexed="81"/>
            <rFont val="宋体"/>
            <family val="3"/>
            <charset val="134"/>
          </rPr>
          <t>填报纳税人经营活动发生的消费税、城市维护建设税、资源税、土地增值税和教育费附加等相关税费。</t>
        </r>
        <r>
          <rPr>
            <sz val="9"/>
            <color indexed="81"/>
            <rFont val="宋体"/>
            <family val="3"/>
            <charset val="134"/>
          </rPr>
          <t>本行根据纳税人相关会计科目填报。纳税人在其他会计科目核算的税金不得重复填报。</t>
        </r>
      </text>
    </comment>
    <comment ref="C7" authorId="1">
      <text>
        <r>
          <rPr>
            <sz val="9"/>
            <color indexed="81"/>
            <rFont val="宋体"/>
            <family val="3"/>
            <charset val="134"/>
          </rPr>
          <t>填报纳税人在销售商品和材料、提供劳务的过程中发生的各种费用。</t>
        </r>
        <r>
          <rPr>
            <sz val="9"/>
            <color indexed="81"/>
            <rFont val="宋体"/>
            <family val="3"/>
            <charset val="134"/>
          </rPr>
          <t>本行根据《期间费用明细表》（</t>
        </r>
        <r>
          <rPr>
            <sz val="9"/>
            <color indexed="81"/>
            <rFont val="Tahoma"/>
            <family val="2"/>
          </rPr>
          <t>A104000</t>
        </r>
        <r>
          <rPr>
            <sz val="9"/>
            <color indexed="81"/>
            <rFont val="宋体"/>
            <family val="3"/>
            <charset val="134"/>
          </rPr>
          <t>）中对应的</t>
        </r>
        <r>
          <rPr>
            <sz val="9"/>
            <color indexed="81"/>
            <rFont val="Tahoma"/>
            <family val="2"/>
          </rPr>
          <t>“</t>
        </r>
        <r>
          <rPr>
            <sz val="9"/>
            <color indexed="81"/>
            <rFont val="宋体"/>
            <family val="3"/>
            <charset val="134"/>
          </rPr>
          <t>销售费用</t>
        </r>
        <r>
          <rPr>
            <sz val="9"/>
            <color indexed="81"/>
            <rFont val="Tahoma"/>
            <family val="2"/>
          </rPr>
          <t>”</t>
        </r>
        <r>
          <rPr>
            <sz val="9"/>
            <color indexed="81"/>
            <rFont val="宋体"/>
            <family val="3"/>
            <charset val="134"/>
          </rPr>
          <t>填报。</t>
        </r>
      </text>
    </comment>
    <comment ref="D7" authorId="1">
      <text>
        <r>
          <rPr>
            <sz val="9"/>
            <color indexed="81"/>
            <rFont val="Tahoma"/>
            <family val="2"/>
          </rPr>
          <t>第4行＝表A104000第26行第1列。</t>
        </r>
      </text>
    </comment>
    <comment ref="C8" authorId="1">
      <text>
        <r>
          <rPr>
            <sz val="9"/>
            <color indexed="81"/>
            <rFont val="宋体"/>
            <family val="3"/>
            <charset val="134"/>
          </rPr>
          <t>填报纳税人为组织和管理企业生产经营发生的管理费用。本行根据《期间费用明细表》（</t>
        </r>
        <r>
          <rPr>
            <sz val="9"/>
            <color indexed="81"/>
            <rFont val="Tahoma"/>
            <family val="2"/>
          </rPr>
          <t>A104000</t>
        </r>
        <r>
          <rPr>
            <sz val="9"/>
            <color indexed="81"/>
            <rFont val="宋体"/>
            <family val="3"/>
            <charset val="134"/>
          </rPr>
          <t>）中对应的</t>
        </r>
        <r>
          <rPr>
            <sz val="9"/>
            <color indexed="81"/>
            <rFont val="Tahoma"/>
            <family val="2"/>
          </rPr>
          <t>“</t>
        </r>
        <r>
          <rPr>
            <sz val="9"/>
            <color indexed="81"/>
            <rFont val="宋体"/>
            <family val="3"/>
            <charset val="134"/>
          </rPr>
          <t>管理费用</t>
        </r>
        <r>
          <rPr>
            <sz val="9"/>
            <color indexed="81"/>
            <rFont val="Tahoma"/>
            <family val="2"/>
          </rPr>
          <t>”</t>
        </r>
        <r>
          <rPr>
            <sz val="9"/>
            <color indexed="81"/>
            <rFont val="宋体"/>
            <family val="3"/>
            <charset val="134"/>
          </rPr>
          <t>填报。</t>
        </r>
      </text>
    </comment>
    <comment ref="D8" authorId="1">
      <text>
        <r>
          <rPr>
            <sz val="9"/>
            <color indexed="81"/>
            <rFont val="Tahoma"/>
            <family val="2"/>
          </rPr>
          <t>第5行＝表A104000第26行第3列。</t>
        </r>
      </text>
    </comment>
    <comment ref="C9" authorId="1">
      <text>
        <r>
          <rPr>
            <sz val="9"/>
            <color indexed="81"/>
            <rFont val="宋体"/>
            <family val="3"/>
            <charset val="134"/>
          </rPr>
          <t>填报纳税人为筹集生产经营所需资金等发生的筹资费用。本行根据《期间费用明细表》（</t>
        </r>
        <r>
          <rPr>
            <sz val="9"/>
            <color indexed="81"/>
            <rFont val="Tahoma"/>
            <family val="2"/>
          </rPr>
          <t>A104000</t>
        </r>
        <r>
          <rPr>
            <sz val="9"/>
            <color indexed="81"/>
            <rFont val="宋体"/>
            <family val="3"/>
            <charset val="134"/>
          </rPr>
          <t>）中对应的</t>
        </r>
        <r>
          <rPr>
            <sz val="9"/>
            <color indexed="81"/>
            <rFont val="Tahoma"/>
            <family val="2"/>
          </rPr>
          <t>“</t>
        </r>
        <r>
          <rPr>
            <sz val="9"/>
            <color indexed="81"/>
            <rFont val="宋体"/>
            <family val="3"/>
            <charset val="134"/>
          </rPr>
          <t>财务费用</t>
        </r>
        <r>
          <rPr>
            <sz val="9"/>
            <color indexed="81"/>
            <rFont val="Tahoma"/>
            <family val="2"/>
          </rPr>
          <t>”</t>
        </r>
        <r>
          <rPr>
            <sz val="9"/>
            <color indexed="81"/>
            <rFont val="宋体"/>
            <family val="3"/>
            <charset val="134"/>
          </rPr>
          <t>填报。</t>
        </r>
      </text>
    </comment>
    <comment ref="D9" authorId="1">
      <text>
        <r>
          <rPr>
            <sz val="9"/>
            <color indexed="81"/>
            <rFont val="Tahoma"/>
            <family val="2"/>
          </rPr>
          <t>第6行＝表A104000第26行第5列。</t>
        </r>
      </text>
    </comment>
    <comment ref="C10" authorId="1">
      <text>
        <r>
          <rPr>
            <sz val="9"/>
            <color indexed="81"/>
            <rFont val="宋体"/>
            <family val="3"/>
            <charset val="134"/>
          </rPr>
          <t>填报纳税人计提各项资产准备发生的减值损失。本行根据企业</t>
        </r>
        <r>
          <rPr>
            <sz val="9"/>
            <color indexed="81"/>
            <rFont val="Tahoma"/>
            <family val="2"/>
          </rPr>
          <t>“</t>
        </r>
        <r>
          <rPr>
            <sz val="9"/>
            <color indexed="81"/>
            <rFont val="宋体"/>
            <family val="3"/>
            <charset val="134"/>
          </rPr>
          <t>资产减值损失</t>
        </r>
        <r>
          <rPr>
            <sz val="9"/>
            <color indexed="81"/>
            <rFont val="Tahoma"/>
            <family val="2"/>
          </rPr>
          <t>”</t>
        </r>
        <r>
          <rPr>
            <sz val="9"/>
            <color indexed="81"/>
            <rFont val="宋体"/>
            <family val="3"/>
            <charset val="134"/>
          </rPr>
          <t>科目上的数额填报。实行其他会计制度的比照填报。</t>
        </r>
      </text>
    </comment>
    <comment ref="C11" authorId="1">
      <text>
        <r>
          <rPr>
            <sz val="9"/>
            <color indexed="81"/>
            <rFont val="宋体"/>
            <family val="3"/>
            <charset val="134"/>
          </rPr>
          <t>填报纳税人在初始确认时划分为以公允价值计量且其变动计入当期损益的金融资产或金融负债（包括交易性金融资产或负债，直接指定为以公允价值计量且其变动计入当期损益的金融资产或金融负债），以及采用公允价值模式计量的投资性房地产、衍生工具和套期业务中公允价值变动形成的应计入当期损益的利得或损失。本行根据企业</t>
        </r>
        <r>
          <rPr>
            <sz val="9"/>
            <color indexed="81"/>
            <rFont val="Tahoma"/>
            <family val="2"/>
          </rPr>
          <t>“</t>
        </r>
        <r>
          <rPr>
            <sz val="9"/>
            <color indexed="81"/>
            <rFont val="宋体"/>
            <family val="3"/>
            <charset val="134"/>
          </rPr>
          <t>公允价值变动损益</t>
        </r>
        <r>
          <rPr>
            <sz val="9"/>
            <color indexed="81"/>
            <rFont val="Tahoma"/>
            <family val="2"/>
          </rPr>
          <t>”</t>
        </r>
        <r>
          <rPr>
            <sz val="9"/>
            <color indexed="81"/>
            <rFont val="宋体"/>
            <family val="3"/>
            <charset val="134"/>
          </rPr>
          <t>科目的数额填报，损失以</t>
        </r>
        <r>
          <rPr>
            <sz val="9"/>
            <color indexed="81"/>
            <rFont val="Tahoma"/>
            <family val="2"/>
          </rPr>
          <t>“-”</t>
        </r>
        <r>
          <rPr>
            <sz val="9"/>
            <color indexed="81"/>
            <rFont val="宋体"/>
            <family val="3"/>
            <charset val="134"/>
          </rPr>
          <t>号填列。</t>
        </r>
      </text>
    </comment>
    <comment ref="C12" authorId="1">
      <text>
        <r>
          <rPr>
            <sz val="9"/>
            <color indexed="81"/>
            <rFont val="宋体"/>
            <family val="3"/>
            <charset val="134"/>
          </rPr>
          <t>填报纳税人以各种方式对外投资确认所取得的收益或发生的损失。根据企业</t>
        </r>
        <r>
          <rPr>
            <sz val="9"/>
            <color indexed="81"/>
            <rFont val="Tahoma"/>
            <family val="2"/>
          </rPr>
          <t>“</t>
        </r>
        <r>
          <rPr>
            <sz val="9"/>
            <color indexed="81"/>
            <rFont val="宋体"/>
            <family val="3"/>
            <charset val="134"/>
          </rPr>
          <t>投资收益</t>
        </r>
        <r>
          <rPr>
            <sz val="9"/>
            <color indexed="81"/>
            <rFont val="Tahoma"/>
            <family val="2"/>
          </rPr>
          <t>”</t>
        </r>
        <r>
          <rPr>
            <sz val="9"/>
            <color indexed="81"/>
            <rFont val="宋体"/>
            <family val="3"/>
            <charset val="134"/>
          </rPr>
          <t>科目的数额计算填报，实行事业单位会计准则的纳税人根据</t>
        </r>
        <r>
          <rPr>
            <sz val="9"/>
            <color indexed="81"/>
            <rFont val="Tahoma"/>
            <family val="2"/>
          </rPr>
          <t>“</t>
        </r>
        <r>
          <rPr>
            <sz val="9"/>
            <color indexed="81"/>
            <rFont val="宋体"/>
            <family val="3"/>
            <charset val="134"/>
          </rPr>
          <t>其他收入</t>
        </r>
        <r>
          <rPr>
            <sz val="9"/>
            <color indexed="81"/>
            <rFont val="Tahoma"/>
            <family val="2"/>
          </rPr>
          <t>”</t>
        </r>
        <r>
          <rPr>
            <sz val="9"/>
            <color indexed="81"/>
            <rFont val="宋体"/>
            <family val="3"/>
            <charset val="134"/>
          </rPr>
          <t>科目中的投资收益金额分析填报，损失以</t>
        </r>
        <r>
          <rPr>
            <sz val="9"/>
            <color indexed="81"/>
            <rFont val="Tahoma"/>
            <family val="2"/>
          </rPr>
          <t>“-”</t>
        </r>
        <r>
          <rPr>
            <sz val="9"/>
            <color indexed="81"/>
            <rFont val="宋体"/>
            <family val="3"/>
            <charset val="134"/>
          </rPr>
          <t>号填列。实行其他会计制度的纳税人比照填报。</t>
        </r>
      </text>
    </comment>
    <comment ref="D12" authorId="1">
      <text>
        <r>
          <rPr>
            <sz val="9"/>
            <color indexed="81"/>
            <rFont val="Tahoma"/>
            <family val="2"/>
          </rPr>
          <t>第9行＝表A103000第8行或者第16行（仅限于填报表A103000的纳税人，其他纳税人根据财务核算情况自行填写）。</t>
        </r>
      </text>
    </comment>
    <comment ref="C13" authorId="1">
      <text>
        <r>
          <rPr>
            <sz val="9"/>
            <color indexed="81"/>
            <rFont val="宋体"/>
            <family val="3"/>
            <charset val="134"/>
          </rPr>
          <t>填报纳税人当期的营业利润。根据上述项目计算填列。</t>
        </r>
      </text>
    </comment>
    <comment ref="C14" authorId="1">
      <text>
        <r>
          <rPr>
            <sz val="9"/>
            <color indexed="81"/>
            <rFont val="宋体"/>
            <family val="3"/>
            <charset val="134"/>
          </rPr>
          <t>填报纳税人取得的与其经营活动无直接关系的各项收入的金额。一般企业纳税人根据《一般企业收入明细表》（</t>
        </r>
        <r>
          <rPr>
            <sz val="9"/>
            <color indexed="81"/>
            <rFont val="Tahoma"/>
            <family val="2"/>
          </rPr>
          <t>A101010</t>
        </r>
        <r>
          <rPr>
            <sz val="9"/>
            <color indexed="81"/>
            <rFont val="宋体"/>
            <family val="3"/>
            <charset val="134"/>
          </rPr>
          <t>）填报；金融企业纳税人根据《金融企业收入明细表》</t>
        </r>
        <r>
          <rPr>
            <sz val="9"/>
            <color indexed="81"/>
            <rFont val="Tahoma"/>
            <family val="2"/>
          </rPr>
          <t>(A101020)</t>
        </r>
        <r>
          <rPr>
            <sz val="9"/>
            <color indexed="81"/>
            <rFont val="宋体"/>
            <family val="3"/>
            <charset val="134"/>
          </rPr>
          <t>填报；实行事业单位会计准则或民间非营利组织会计制度的纳税人根据《事业单位、民间非营利组织收入、支出明细表》</t>
        </r>
        <r>
          <rPr>
            <sz val="9"/>
            <color indexed="81"/>
            <rFont val="Tahoma"/>
            <family val="2"/>
          </rPr>
          <t>(A103000)</t>
        </r>
        <r>
          <rPr>
            <sz val="9"/>
            <color indexed="81"/>
            <rFont val="宋体"/>
            <family val="3"/>
            <charset val="134"/>
          </rPr>
          <t>填报。</t>
        </r>
      </text>
    </comment>
    <comment ref="D14" authorId="1">
      <text>
        <r>
          <rPr>
            <sz val="9"/>
            <color indexed="81"/>
            <rFont val="Tahoma"/>
            <family val="2"/>
          </rPr>
          <t>第11行＝表A101010第16行或表A101020第35行或表A103000第9行或第17行。
注：此单元格目前对应表A101010第16行。</t>
        </r>
      </text>
    </comment>
    <comment ref="C15" authorId="1">
      <text>
        <r>
          <rPr>
            <sz val="9"/>
            <color indexed="81"/>
            <rFont val="宋体"/>
            <family val="3"/>
            <charset val="134"/>
          </rPr>
          <t>填报纳税人发生的与其经营活动无直接关系的各项支出的金额。一般企业纳税人根据《一般企业成本支出明细表》</t>
        </r>
        <r>
          <rPr>
            <sz val="9"/>
            <color indexed="81"/>
            <rFont val="Tahoma"/>
            <family val="2"/>
          </rPr>
          <t>(A102010)</t>
        </r>
        <r>
          <rPr>
            <sz val="9"/>
            <color indexed="81"/>
            <rFont val="宋体"/>
            <family val="3"/>
            <charset val="134"/>
          </rPr>
          <t>填报；金融企业纳税人根据《金融企业支出明细表》</t>
        </r>
        <r>
          <rPr>
            <sz val="9"/>
            <color indexed="81"/>
            <rFont val="Tahoma"/>
            <family val="2"/>
          </rPr>
          <t>(A102020)</t>
        </r>
        <r>
          <rPr>
            <sz val="9"/>
            <color indexed="81"/>
            <rFont val="宋体"/>
            <family val="3"/>
            <charset val="134"/>
          </rPr>
          <t>填报；实行事业单位会计准则或民间非营利组织会计制度的纳税人根据《事业单位、民间非营利组织收入、支出明细表》</t>
        </r>
        <r>
          <rPr>
            <sz val="9"/>
            <color indexed="81"/>
            <rFont val="Tahoma"/>
            <family val="2"/>
          </rPr>
          <t>(A103000)</t>
        </r>
        <r>
          <rPr>
            <sz val="9"/>
            <color indexed="81"/>
            <rFont val="宋体"/>
            <family val="3"/>
            <charset val="134"/>
          </rPr>
          <t>填报。</t>
        </r>
      </text>
    </comment>
    <comment ref="D15" authorId="1">
      <text>
        <r>
          <rPr>
            <sz val="9"/>
            <color indexed="81"/>
            <rFont val="Tahoma"/>
            <family val="2"/>
          </rPr>
          <t>第12行＝表A102010第16行或表A102020第33行或表A103000第23行或第28行。
注：目前此单元格，对应表A102010第16行。</t>
        </r>
      </text>
    </comment>
    <comment ref="C16" authorId="1">
      <text>
        <r>
          <rPr>
            <sz val="9"/>
            <color indexed="81"/>
            <rFont val="宋体"/>
            <family val="3"/>
            <charset val="134"/>
          </rPr>
          <t>填报纳税人当期的利润总额。根据上述项目计算填列。</t>
        </r>
      </text>
    </comment>
    <comment ref="B17" authorId="1">
      <text>
        <r>
          <rPr>
            <sz val="9"/>
            <color indexed="81"/>
            <rFont val="Tahoma"/>
            <family val="2"/>
          </rPr>
          <t>“</t>
        </r>
        <r>
          <rPr>
            <sz val="9"/>
            <color indexed="81"/>
            <rFont val="宋体"/>
            <family val="3"/>
            <charset val="134"/>
          </rPr>
          <t>应纳税所得额计算</t>
        </r>
        <r>
          <rPr>
            <sz val="9"/>
            <color indexed="81"/>
            <rFont val="Tahoma"/>
            <family val="2"/>
          </rPr>
          <t>”</t>
        </r>
        <r>
          <rPr>
            <sz val="9"/>
            <color indexed="81"/>
            <rFont val="宋体"/>
            <family val="3"/>
            <charset val="134"/>
          </rPr>
          <t>和</t>
        </r>
        <r>
          <rPr>
            <sz val="9"/>
            <color indexed="81"/>
            <rFont val="Tahoma"/>
            <family val="2"/>
          </rPr>
          <t>“</t>
        </r>
        <r>
          <rPr>
            <sz val="9"/>
            <color indexed="81"/>
            <rFont val="宋体"/>
            <family val="3"/>
            <charset val="134"/>
          </rPr>
          <t>应纳税额计算</t>
        </r>
        <r>
          <rPr>
            <sz val="9"/>
            <color indexed="81"/>
            <rFont val="Tahoma"/>
            <family val="2"/>
          </rPr>
          <t>”</t>
        </r>
        <r>
          <rPr>
            <sz val="9"/>
            <color indexed="81"/>
            <rFont val="宋体"/>
            <family val="3"/>
            <charset val="134"/>
          </rPr>
          <t>中的项目，除根据主表逻辑关系计算的外，通过附表相应栏次填报。</t>
        </r>
      </text>
    </comment>
    <comment ref="C17" authorId="1">
      <text>
        <r>
          <rPr>
            <sz val="9"/>
            <color indexed="81"/>
            <rFont val="宋体"/>
            <family val="3"/>
            <charset val="134"/>
          </rPr>
          <t>填报纳税人取得的境外所得且已计入利润总额的金额。本行根据《境外所得纳税调整后所得明细表》</t>
        </r>
        <r>
          <rPr>
            <sz val="9"/>
            <color indexed="81"/>
            <rFont val="Tahoma"/>
            <family val="2"/>
          </rPr>
          <t>(A108010)</t>
        </r>
        <r>
          <rPr>
            <sz val="9"/>
            <color indexed="81"/>
            <rFont val="宋体"/>
            <family val="3"/>
            <charset val="134"/>
          </rPr>
          <t>填报。</t>
        </r>
      </text>
    </comment>
    <comment ref="D17" authorId="1">
      <text>
        <r>
          <rPr>
            <sz val="9"/>
            <color indexed="81"/>
            <rFont val="Tahoma"/>
            <family val="2"/>
          </rPr>
          <t>第14行＝表A108010第14列合计-第11列合计。</t>
        </r>
      </text>
    </comment>
    <comment ref="C18" authorId="1">
      <text>
        <r>
          <rPr>
            <sz val="9"/>
            <color indexed="81"/>
            <rFont val="宋体"/>
            <family val="3"/>
            <charset val="134"/>
          </rPr>
          <t>填报纳税人会计处理与税收规定不一致，进行纳税调整增加的金额。本行根据《纳税调整项目明细表》（</t>
        </r>
        <r>
          <rPr>
            <sz val="9"/>
            <color indexed="81"/>
            <rFont val="Tahoma"/>
            <family val="2"/>
          </rPr>
          <t>A105000</t>
        </r>
        <r>
          <rPr>
            <sz val="9"/>
            <color indexed="81"/>
            <rFont val="宋体"/>
            <family val="3"/>
            <charset val="134"/>
          </rPr>
          <t>）</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列填报。</t>
        </r>
      </text>
    </comment>
    <comment ref="D18" authorId="1">
      <text>
        <r>
          <rPr>
            <sz val="9"/>
            <color indexed="81"/>
            <rFont val="Tahoma"/>
            <family val="2"/>
          </rPr>
          <t>第15行＝表A105000第45行第3列。</t>
        </r>
      </text>
    </comment>
    <comment ref="C19" authorId="1">
      <text>
        <r>
          <rPr>
            <sz val="9"/>
            <color indexed="81"/>
            <rFont val="宋体"/>
            <family val="3"/>
            <charset val="134"/>
          </rPr>
          <t>填报纳税人会计处理与税收规定不一致，进行纳税调整减少的金额。本行根据《纳税调整项目明细表》（</t>
        </r>
        <r>
          <rPr>
            <sz val="9"/>
            <color indexed="81"/>
            <rFont val="Tahoma"/>
            <family val="2"/>
          </rPr>
          <t>A105000</t>
        </r>
        <r>
          <rPr>
            <sz val="9"/>
            <color indexed="81"/>
            <rFont val="宋体"/>
            <family val="3"/>
            <charset val="134"/>
          </rPr>
          <t>）</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列填报。</t>
        </r>
      </text>
    </comment>
    <comment ref="D19" authorId="1">
      <text>
        <r>
          <rPr>
            <sz val="9"/>
            <color indexed="81"/>
            <rFont val="Tahoma"/>
            <family val="2"/>
          </rPr>
          <t>第16行＝表A105000第45行第4列。</t>
        </r>
      </text>
    </comment>
    <comment ref="C20" authorId="1">
      <text>
        <r>
          <rPr>
            <sz val="9"/>
            <color indexed="81"/>
            <rFont val="宋体"/>
            <family val="3"/>
            <charset val="134"/>
          </rPr>
          <t>填报属于税收规定免税收入、减计收入、加计扣除金额。本行根据《免税、减计收入及加计扣除优惠明细表》（</t>
        </r>
        <r>
          <rPr>
            <sz val="9"/>
            <color indexed="81"/>
            <rFont val="Tahoma"/>
            <family val="2"/>
          </rPr>
          <t>A107010</t>
        </r>
        <r>
          <rPr>
            <sz val="9"/>
            <color indexed="81"/>
            <rFont val="宋体"/>
            <family val="3"/>
            <charset val="134"/>
          </rPr>
          <t>）填报。</t>
        </r>
      </text>
    </comment>
    <comment ref="D20" authorId="1">
      <text>
        <r>
          <rPr>
            <sz val="9"/>
            <color indexed="81"/>
            <rFont val="Tahoma"/>
            <family val="2"/>
          </rPr>
          <t>第17行＝表A107010第31行。</t>
        </r>
      </text>
    </comment>
    <comment ref="C21" authorId="1">
      <text>
        <r>
          <rPr>
            <sz val="9"/>
            <color indexed="81"/>
            <rFont val="宋体"/>
            <family val="3"/>
            <charset val="134"/>
          </rPr>
          <t>当纳税人选择不用境外所得抵减境内亏损时，填报</t>
        </r>
        <r>
          <rPr>
            <sz val="9"/>
            <color indexed="81"/>
            <rFont val="Tahoma"/>
            <family val="2"/>
          </rPr>
          <t>0</t>
        </r>
        <r>
          <rPr>
            <sz val="9"/>
            <color indexed="81"/>
            <rFont val="宋体"/>
            <family val="3"/>
            <charset val="134"/>
          </rPr>
          <t>；当纳税人选择用境外所得抵减境内亏损时，填报境外所得抵减当年度境内亏损的金额，用境外所得弥补以前年度境内亏损的</t>
        </r>
        <r>
          <rPr>
            <sz val="9"/>
            <color indexed="81"/>
            <rFont val="Tahoma"/>
            <family val="2"/>
          </rPr>
          <t>,</t>
        </r>
        <r>
          <rPr>
            <sz val="9"/>
            <color indexed="81"/>
            <rFont val="宋体"/>
            <family val="3"/>
            <charset val="134"/>
          </rPr>
          <t>填报《境外所得税收抵免明细表》（</t>
        </r>
        <r>
          <rPr>
            <sz val="9"/>
            <color indexed="81"/>
            <rFont val="Tahoma"/>
            <family val="2"/>
          </rPr>
          <t>A108000</t>
        </r>
        <r>
          <rPr>
            <sz val="9"/>
            <color indexed="81"/>
            <rFont val="宋体"/>
            <family val="3"/>
            <charset val="134"/>
          </rPr>
          <t>）。</t>
        </r>
      </text>
    </comment>
    <comment ref="D21" authorId="1">
      <text>
        <r>
          <rPr>
            <sz val="9"/>
            <color indexed="81"/>
            <rFont val="宋体"/>
            <family val="3"/>
            <charset val="134"/>
          </rPr>
          <t>第</t>
        </r>
        <r>
          <rPr>
            <sz val="9"/>
            <color indexed="81"/>
            <rFont val="Tahoma"/>
            <family val="2"/>
          </rPr>
          <t>18</t>
        </r>
        <r>
          <rPr>
            <sz val="9"/>
            <color indexed="81"/>
            <rFont val="宋体"/>
            <family val="3"/>
            <charset val="134"/>
          </rPr>
          <t>行：
（</t>
        </r>
        <r>
          <rPr>
            <sz val="9"/>
            <color indexed="81"/>
            <rFont val="Tahoma"/>
            <family val="2"/>
          </rPr>
          <t>1</t>
        </r>
        <r>
          <rPr>
            <sz val="9"/>
            <color indexed="81"/>
            <rFont val="宋体"/>
            <family val="3"/>
            <charset val="134"/>
          </rPr>
          <t>）当</t>
        </r>
        <r>
          <rPr>
            <sz val="9"/>
            <color indexed="81"/>
            <rFont val="Tahoma"/>
            <family val="2"/>
          </rPr>
          <t>A100000</t>
        </r>
        <r>
          <rPr>
            <sz val="9"/>
            <color indexed="81"/>
            <rFont val="宋体"/>
            <family val="3"/>
            <charset val="134"/>
          </rPr>
          <t>第</t>
        </r>
        <r>
          <rPr>
            <sz val="9"/>
            <color indexed="81"/>
            <rFont val="Tahoma"/>
            <family val="2"/>
          </rPr>
          <t>13-14+15-16-17</t>
        </r>
        <r>
          <rPr>
            <sz val="9"/>
            <color indexed="81"/>
            <rFont val="宋体"/>
            <family val="3"/>
            <charset val="134"/>
          </rPr>
          <t>行≥</t>
        </r>
        <r>
          <rPr>
            <sz val="9"/>
            <color indexed="81"/>
            <rFont val="Tahoma"/>
            <family val="2"/>
          </rPr>
          <t>0,</t>
        </r>
        <r>
          <rPr>
            <sz val="9"/>
            <color indexed="81"/>
            <rFont val="宋体"/>
            <family val="3"/>
            <charset val="134"/>
          </rPr>
          <t>第</t>
        </r>
        <r>
          <rPr>
            <sz val="9"/>
            <color indexed="81"/>
            <rFont val="Tahoma"/>
            <family val="2"/>
          </rPr>
          <t>18</t>
        </r>
        <r>
          <rPr>
            <sz val="9"/>
            <color indexed="81"/>
            <rFont val="宋体"/>
            <family val="3"/>
            <charset val="134"/>
          </rPr>
          <t>行＝</t>
        </r>
        <r>
          <rPr>
            <sz val="9"/>
            <color indexed="81"/>
            <rFont val="Tahoma"/>
            <family val="2"/>
          </rPr>
          <t>0</t>
        </r>
        <r>
          <rPr>
            <sz val="9"/>
            <color indexed="81"/>
            <rFont val="宋体"/>
            <family val="3"/>
            <charset val="134"/>
          </rPr>
          <t>；
（</t>
        </r>
        <r>
          <rPr>
            <sz val="9"/>
            <color indexed="81"/>
            <rFont val="Tahoma"/>
            <family val="2"/>
          </rPr>
          <t>2</t>
        </r>
        <r>
          <rPr>
            <sz val="9"/>
            <color indexed="81"/>
            <rFont val="宋体"/>
            <family val="3"/>
            <charset val="134"/>
          </rPr>
          <t>）当</t>
        </r>
        <r>
          <rPr>
            <sz val="9"/>
            <color indexed="81"/>
            <rFont val="Tahoma"/>
            <family val="2"/>
          </rPr>
          <t>A100000</t>
        </r>
        <r>
          <rPr>
            <sz val="9"/>
            <color indexed="81"/>
            <rFont val="宋体"/>
            <family val="3"/>
            <charset val="134"/>
          </rPr>
          <t>第</t>
        </r>
        <r>
          <rPr>
            <sz val="9"/>
            <color indexed="81"/>
            <rFont val="Tahoma"/>
            <family val="2"/>
          </rPr>
          <t>13-14+15-16-17</t>
        </r>
        <r>
          <rPr>
            <sz val="9"/>
            <color indexed="81"/>
            <rFont val="宋体"/>
            <family val="3"/>
            <charset val="134"/>
          </rPr>
          <t>＜</t>
        </r>
        <r>
          <rPr>
            <sz val="9"/>
            <color indexed="81"/>
            <rFont val="Tahoma"/>
            <family val="2"/>
          </rPr>
          <t>0</t>
        </r>
        <r>
          <rPr>
            <sz val="9"/>
            <color indexed="81"/>
            <rFont val="宋体"/>
            <family val="3"/>
            <charset val="134"/>
          </rPr>
          <t>且表</t>
        </r>
        <r>
          <rPr>
            <sz val="9"/>
            <color indexed="81"/>
            <rFont val="Tahoma"/>
            <family val="2"/>
          </rPr>
          <t>A108000</t>
        </r>
        <r>
          <rPr>
            <sz val="9"/>
            <color indexed="81"/>
            <rFont val="宋体"/>
            <family val="3"/>
            <charset val="134"/>
          </rPr>
          <t>第</t>
        </r>
        <r>
          <rPr>
            <sz val="9"/>
            <color indexed="81"/>
            <rFont val="Tahoma"/>
            <family val="2"/>
          </rPr>
          <t>5</t>
        </r>
        <r>
          <rPr>
            <sz val="9"/>
            <color indexed="81"/>
            <rFont val="宋体"/>
            <family val="3"/>
            <charset val="134"/>
          </rPr>
          <t>列合计行≥</t>
        </r>
        <r>
          <rPr>
            <sz val="9"/>
            <color indexed="81"/>
            <rFont val="Tahoma"/>
            <family val="2"/>
          </rPr>
          <t>0,</t>
        </r>
        <r>
          <rPr>
            <sz val="9"/>
            <color indexed="81"/>
            <rFont val="宋体"/>
            <family val="3"/>
            <charset val="134"/>
          </rPr>
          <t>表</t>
        </r>
        <r>
          <rPr>
            <sz val="9"/>
            <color indexed="81"/>
            <rFont val="Tahoma"/>
            <family val="2"/>
          </rPr>
          <t>A108000</t>
        </r>
        <r>
          <rPr>
            <sz val="9"/>
            <color indexed="81"/>
            <rFont val="宋体"/>
            <family val="3"/>
            <charset val="134"/>
          </rPr>
          <t>第</t>
        </r>
        <r>
          <rPr>
            <sz val="9"/>
            <color indexed="81"/>
            <rFont val="Tahoma"/>
            <family val="2"/>
          </rPr>
          <t>6</t>
        </r>
        <r>
          <rPr>
            <sz val="9"/>
            <color indexed="81"/>
            <rFont val="宋体"/>
            <family val="3"/>
            <charset val="134"/>
          </rPr>
          <t>列合计行＞</t>
        </r>
        <r>
          <rPr>
            <sz val="9"/>
            <color indexed="81"/>
            <rFont val="Tahoma"/>
            <family val="2"/>
          </rPr>
          <t>0</t>
        </r>
        <r>
          <rPr>
            <sz val="9"/>
            <color indexed="81"/>
            <rFont val="宋体"/>
            <family val="3"/>
            <charset val="134"/>
          </rPr>
          <t>时</t>
        </r>
        <r>
          <rPr>
            <sz val="9"/>
            <color indexed="81"/>
            <rFont val="Tahoma"/>
            <family val="2"/>
          </rPr>
          <t>,</t>
        </r>
        <r>
          <rPr>
            <sz val="9"/>
            <color indexed="81"/>
            <rFont val="宋体"/>
            <family val="3"/>
            <charset val="134"/>
          </rPr>
          <t>第</t>
        </r>
        <r>
          <rPr>
            <sz val="9"/>
            <color indexed="81"/>
            <rFont val="Tahoma"/>
            <family val="2"/>
          </rPr>
          <t>18</t>
        </r>
        <r>
          <rPr>
            <sz val="9"/>
            <color indexed="81"/>
            <rFont val="宋体"/>
            <family val="3"/>
            <charset val="134"/>
          </rPr>
          <t>行＝表</t>
        </r>
        <r>
          <rPr>
            <sz val="9"/>
            <color indexed="81"/>
            <rFont val="Tahoma"/>
            <family val="2"/>
          </rPr>
          <t>A108000</t>
        </r>
        <r>
          <rPr>
            <sz val="9"/>
            <color indexed="81"/>
            <rFont val="宋体"/>
            <family val="3"/>
            <charset val="134"/>
          </rPr>
          <t>第</t>
        </r>
        <r>
          <rPr>
            <sz val="9"/>
            <color indexed="81"/>
            <rFont val="Tahoma"/>
            <family val="2"/>
          </rPr>
          <t>5</t>
        </r>
        <r>
          <rPr>
            <sz val="9"/>
            <color indexed="81"/>
            <rFont val="宋体"/>
            <family val="3"/>
            <charset val="134"/>
          </rPr>
          <t>列合计行与表</t>
        </r>
        <r>
          <rPr>
            <sz val="9"/>
            <color indexed="81"/>
            <rFont val="Tahoma"/>
            <family val="2"/>
          </rPr>
          <t>A100000</t>
        </r>
        <r>
          <rPr>
            <sz val="9"/>
            <color indexed="81"/>
            <rFont val="宋体"/>
            <family val="3"/>
            <charset val="134"/>
          </rPr>
          <t>第</t>
        </r>
        <r>
          <rPr>
            <sz val="9"/>
            <color indexed="81"/>
            <rFont val="Tahoma"/>
            <family val="2"/>
          </rPr>
          <t>13-14+15-16-17</t>
        </r>
        <r>
          <rPr>
            <sz val="9"/>
            <color indexed="81"/>
            <rFont val="宋体"/>
            <family val="3"/>
            <charset val="134"/>
          </rPr>
          <t>行绝对值的孰小值；
（</t>
        </r>
        <r>
          <rPr>
            <sz val="9"/>
            <color indexed="81"/>
            <rFont val="Tahoma"/>
            <family val="2"/>
          </rPr>
          <t>3</t>
        </r>
        <r>
          <rPr>
            <sz val="9"/>
            <color indexed="81"/>
            <rFont val="宋体"/>
            <family val="3"/>
            <charset val="134"/>
          </rPr>
          <t>）当</t>
        </r>
        <r>
          <rPr>
            <sz val="9"/>
            <color indexed="81"/>
            <rFont val="Tahoma"/>
            <family val="2"/>
          </rPr>
          <t>A100000</t>
        </r>
        <r>
          <rPr>
            <sz val="9"/>
            <color indexed="81"/>
            <rFont val="宋体"/>
            <family val="3"/>
            <charset val="134"/>
          </rPr>
          <t>第</t>
        </r>
        <r>
          <rPr>
            <sz val="9"/>
            <color indexed="81"/>
            <rFont val="Tahoma"/>
            <family val="2"/>
          </rPr>
          <t>13-14+15-16-17</t>
        </r>
        <r>
          <rPr>
            <sz val="9"/>
            <color indexed="81"/>
            <rFont val="宋体"/>
            <family val="3"/>
            <charset val="134"/>
          </rPr>
          <t>＜</t>
        </r>
        <r>
          <rPr>
            <sz val="9"/>
            <color indexed="81"/>
            <rFont val="Tahoma"/>
            <family val="2"/>
          </rPr>
          <t>0</t>
        </r>
        <r>
          <rPr>
            <sz val="9"/>
            <color indexed="81"/>
            <rFont val="宋体"/>
            <family val="3"/>
            <charset val="134"/>
          </rPr>
          <t>且表</t>
        </r>
        <r>
          <rPr>
            <sz val="9"/>
            <color indexed="81"/>
            <rFont val="Tahoma"/>
            <family val="2"/>
          </rPr>
          <t>A108000</t>
        </r>
        <r>
          <rPr>
            <sz val="9"/>
            <color indexed="81"/>
            <rFont val="宋体"/>
            <family val="3"/>
            <charset val="134"/>
          </rPr>
          <t>第</t>
        </r>
        <r>
          <rPr>
            <sz val="9"/>
            <color indexed="81"/>
            <rFont val="Tahoma"/>
            <family val="2"/>
          </rPr>
          <t>5</t>
        </r>
        <r>
          <rPr>
            <sz val="9"/>
            <color indexed="81"/>
            <rFont val="宋体"/>
            <family val="3"/>
            <charset val="134"/>
          </rPr>
          <t>列合计行≥</t>
        </r>
        <r>
          <rPr>
            <sz val="9"/>
            <color indexed="81"/>
            <rFont val="Tahoma"/>
            <family val="2"/>
          </rPr>
          <t>0,</t>
        </r>
        <r>
          <rPr>
            <sz val="9"/>
            <color indexed="81"/>
            <rFont val="宋体"/>
            <family val="3"/>
            <charset val="134"/>
          </rPr>
          <t>表</t>
        </r>
        <r>
          <rPr>
            <sz val="9"/>
            <color indexed="81"/>
            <rFont val="Tahoma"/>
            <family val="2"/>
          </rPr>
          <t>A108000</t>
        </r>
        <r>
          <rPr>
            <sz val="9"/>
            <color indexed="81"/>
            <rFont val="宋体"/>
            <family val="3"/>
            <charset val="134"/>
          </rPr>
          <t>第</t>
        </r>
        <r>
          <rPr>
            <sz val="9"/>
            <color indexed="81"/>
            <rFont val="Tahoma"/>
            <family val="2"/>
          </rPr>
          <t>6</t>
        </r>
        <r>
          <rPr>
            <sz val="9"/>
            <color indexed="81"/>
            <rFont val="宋体"/>
            <family val="3"/>
            <charset val="134"/>
          </rPr>
          <t>列合计行＝</t>
        </r>
        <r>
          <rPr>
            <sz val="9"/>
            <color indexed="81"/>
            <rFont val="Tahoma"/>
            <family val="2"/>
          </rPr>
          <t>0</t>
        </r>
        <r>
          <rPr>
            <sz val="9"/>
            <color indexed="81"/>
            <rFont val="宋体"/>
            <family val="3"/>
            <charset val="134"/>
          </rPr>
          <t>时</t>
        </r>
        <r>
          <rPr>
            <sz val="9"/>
            <color indexed="81"/>
            <rFont val="Tahoma"/>
            <family val="2"/>
          </rPr>
          <t>,</t>
        </r>
        <r>
          <rPr>
            <sz val="9"/>
            <color indexed="81"/>
            <rFont val="宋体"/>
            <family val="3"/>
            <charset val="134"/>
          </rPr>
          <t>第</t>
        </r>
        <r>
          <rPr>
            <sz val="9"/>
            <color indexed="81"/>
            <rFont val="Tahoma"/>
            <family val="2"/>
          </rPr>
          <t>18</t>
        </r>
        <r>
          <rPr>
            <sz val="9"/>
            <color indexed="81"/>
            <rFont val="宋体"/>
            <family val="3"/>
            <charset val="134"/>
          </rPr>
          <t>行＝</t>
        </r>
        <r>
          <rPr>
            <sz val="9"/>
            <color indexed="81"/>
            <rFont val="Tahoma"/>
            <family val="2"/>
          </rPr>
          <t>0</t>
        </r>
        <r>
          <rPr>
            <sz val="9"/>
            <color indexed="81"/>
            <rFont val="宋体"/>
            <family val="3"/>
            <charset val="134"/>
          </rPr>
          <t xml:space="preserve">。
</t>
        </r>
      </text>
    </comment>
    <comment ref="C22" authorId="1">
      <text>
        <r>
          <rPr>
            <sz val="9"/>
            <color indexed="81"/>
            <rFont val="宋体"/>
            <family val="3"/>
            <charset val="134"/>
          </rPr>
          <t>填报纳税人经过纳税调整、税收优惠、境外所得计算后的所得额。</t>
        </r>
      </text>
    </comment>
    <comment ref="D22" authorId="1">
      <text>
        <r>
          <rPr>
            <sz val="9"/>
            <color indexed="81"/>
            <rFont val="宋体"/>
            <family val="3"/>
            <charset val="134"/>
          </rPr>
          <t>第</t>
        </r>
        <r>
          <rPr>
            <sz val="9"/>
            <color indexed="81"/>
            <rFont val="Tahoma"/>
            <family val="2"/>
          </rPr>
          <t>19</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13-14+15-16-17+18</t>
        </r>
        <r>
          <rPr>
            <sz val="9"/>
            <color indexed="81"/>
            <rFont val="宋体"/>
            <family val="3"/>
            <charset val="134"/>
          </rPr>
          <t>行。</t>
        </r>
      </text>
    </comment>
    <comment ref="C23" authorId="1">
      <text>
        <r>
          <rPr>
            <sz val="9"/>
            <color indexed="81"/>
            <rFont val="宋体"/>
            <family val="3"/>
            <charset val="134"/>
          </rPr>
          <t>填报属于税收规定所得减免金额。本行根据《所得减免优惠明细表》（</t>
        </r>
        <r>
          <rPr>
            <sz val="9"/>
            <color indexed="81"/>
            <rFont val="Tahoma"/>
            <family val="2"/>
          </rPr>
          <t>A107020</t>
        </r>
        <r>
          <rPr>
            <sz val="9"/>
            <color indexed="81"/>
            <rFont val="宋体"/>
            <family val="3"/>
            <charset val="134"/>
          </rPr>
          <t>）填报。</t>
        </r>
      </text>
    </comment>
    <comment ref="D23" authorId="1">
      <text>
        <r>
          <rPr>
            <sz val="9"/>
            <color indexed="81"/>
            <rFont val="宋体"/>
            <family val="3"/>
            <charset val="134"/>
          </rPr>
          <t>第</t>
        </r>
        <r>
          <rPr>
            <sz val="9"/>
            <color indexed="81"/>
            <rFont val="Tahoma"/>
            <family val="2"/>
          </rPr>
          <t>20</t>
        </r>
        <r>
          <rPr>
            <sz val="9"/>
            <color indexed="81"/>
            <rFont val="宋体"/>
            <family val="3"/>
            <charset val="134"/>
          </rPr>
          <t>行：
当第</t>
        </r>
        <r>
          <rPr>
            <sz val="9"/>
            <color indexed="81"/>
            <rFont val="Tahoma"/>
            <family val="2"/>
          </rPr>
          <t>19</t>
        </r>
        <r>
          <rPr>
            <sz val="9"/>
            <color indexed="81"/>
            <rFont val="宋体"/>
            <family val="3"/>
            <charset val="134"/>
          </rPr>
          <t>行≤</t>
        </r>
        <r>
          <rPr>
            <sz val="9"/>
            <color indexed="81"/>
            <rFont val="Tahoma"/>
            <family val="2"/>
          </rPr>
          <t>0</t>
        </r>
        <r>
          <rPr>
            <sz val="9"/>
            <color indexed="81"/>
            <rFont val="宋体"/>
            <family val="3"/>
            <charset val="134"/>
          </rPr>
          <t>时，本行填报</t>
        </r>
        <r>
          <rPr>
            <sz val="9"/>
            <color indexed="81"/>
            <rFont val="Tahoma"/>
            <family val="2"/>
          </rPr>
          <t>0</t>
        </r>
        <r>
          <rPr>
            <sz val="9"/>
            <color indexed="81"/>
            <rFont val="宋体"/>
            <family val="3"/>
            <charset val="134"/>
          </rPr>
          <t>；
当第</t>
        </r>
        <r>
          <rPr>
            <sz val="9"/>
            <color indexed="81"/>
            <rFont val="Tahoma"/>
            <family val="2"/>
          </rPr>
          <t>19</t>
        </r>
        <r>
          <rPr>
            <sz val="9"/>
            <color indexed="81"/>
            <rFont val="宋体"/>
            <family val="3"/>
            <charset val="134"/>
          </rPr>
          <t>行＞</t>
        </r>
        <r>
          <rPr>
            <sz val="9"/>
            <color indexed="81"/>
            <rFont val="Tahoma"/>
            <family val="2"/>
          </rPr>
          <t>0</t>
        </r>
        <r>
          <rPr>
            <sz val="9"/>
            <color indexed="81"/>
            <rFont val="宋体"/>
            <family val="3"/>
            <charset val="134"/>
          </rPr>
          <t>时，
（</t>
        </r>
        <r>
          <rPr>
            <sz val="9"/>
            <color indexed="81"/>
            <rFont val="Tahoma"/>
            <family val="2"/>
          </rPr>
          <t>1</t>
        </r>
        <r>
          <rPr>
            <sz val="9"/>
            <color indexed="81"/>
            <rFont val="宋体"/>
            <family val="3"/>
            <charset val="134"/>
          </rPr>
          <t>）</t>
        </r>
        <r>
          <rPr>
            <sz val="9"/>
            <color indexed="81"/>
            <rFont val="Tahoma"/>
            <family val="2"/>
          </rPr>
          <t>A107020</t>
        </r>
        <r>
          <rPr>
            <sz val="9"/>
            <color indexed="81"/>
            <rFont val="宋体"/>
            <family val="3"/>
            <charset val="134"/>
          </rPr>
          <t>表合计行第</t>
        </r>
        <r>
          <rPr>
            <sz val="9"/>
            <color indexed="81"/>
            <rFont val="Tahoma"/>
            <family val="2"/>
          </rPr>
          <t>11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行，本行＝表</t>
        </r>
        <r>
          <rPr>
            <sz val="9"/>
            <color indexed="81"/>
            <rFont val="Tahoma"/>
            <family val="2"/>
          </rPr>
          <t>A107020</t>
        </r>
        <r>
          <rPr>
            <sz val="9"/>
            <color indexed="81"/>
            <rFont val="宋体"/>
            <family val="3"/>
            <charset val="134"/>
          </rPr>
          <t>合计行第</t>
        </r>
        <r>
          <rPr>
            <sz val="9"/>
            <color indexed="81"/>
            <rFont val="Tahoma"/>
            <family val="2"/>
          </rPr>
          <t>11</t>
        </r>
        <r>
          <rPr>
            <sz val="9"/>
            <color indexed="81"/>
            <rFont val="宋体"/>
            <family val="3"/>
            <charset val="134"/>
          </rPr>
          <t>列；
（</t>
        </r>
        <r>
          <rPr>
            <sz val="9"/>
            <color indexed="81"/>
            <rFont val="Tahoma"/>
            <family val="2"/>
          </rPr>
          <t>2</t>
        </r>
        <r>
          <rPr>
            <sz val="9"/>
            <color indexed="81"/>
            <rFont val="宋体"/>
            <family val="3"/>
            <charset val="134"/>
          </rPr>
          <t>）</t>
        </r>
        <r>
          <rPr>
            <sz val="9"/>
            <color indexed="81"/>
            <rFont val="Tahoma"/>
            <family val="2"/>
          </rPr>
          <t>A107020</t>
        </r>
        <r>
          <rPr>
            <sz val="9"/>
            <color indexed="81"/>
            <rFont val="宋体"/>
            <family val="3"/>
            <charset val="134"/>
          </rPr>
          <t>表合计行第</t>
        </r>
        <r>
          <rPr>
            <sz val="9"/>
            <color indexed="81"/>
            <rFont val="Tahoma"/>
            <family val="2"/>
          </rPr>
          <t>11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行，本行＝表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 xml:space="preserve">行。
</t>
        </r>
      </text>
    </comment>
    <comment ref="C24" authorId="1">
      <text>
        <r>
          <rPr>
            <sz val="9"/>
            <color indexed="81"/>
            <rFont val="宋体"/>
            <family val="3"/>
            <charset val="134"/>
          </rPr>
          <t>填报纳税人按照税收规定可在税前弥补的以前年度亏损数额，本行根据《企业所得税弥补亏损明细表》（</t>
        </r>
        <r>
          <rPr>
            <sz val="9"/>
            <color indexed="81"/>
            <rFont val="Tahoma"/>
            <family val="2"/>
          </rPr>
          <t>A106000</t>
        </r>
        <r>
          <rPr>
            <sz val="9"/>
            <color indexed="81"/>
            <rFont val="宋体"/>
            <family val="3"/>
            <charset val="134"/>
          </rPr>
          <t>）填报。</t>
        </r>
      </text>
    </comment>
    <comment ref="D24" authorId="1">
      <text>
        <r>
          <rPr>
            <sz val="9"/>
            <color indexed="81"/>
            <rFont val="Tahoma"/>
            <family val="2"/>
          </rPr>
          <t>第21行＝表A106000第6行第10列。</t>
        </r>
      </text>
    </comment>
    <comment ref="C25" authorId="1">
      <text>
        <r>
          <rPr>
            <sz val="9"/>
            <color indexed="81"/>
            <rFont val="宋体"/>
            <family val="3"/>
            <charset val="134"/>
          </rPr>
          <t>填报根据税收规定应抵扣的应纳税所得额。本行根据《抵扣应纳税所得额明细表》（</t>
        </r>
        <r>
          <rPr>
            <sz val="9"/>
            <color indexed="81"/>
            <rFont val="Tahoma"/>
            <family val="2"/>
          </rPr>
          <t>A107030</t>
        </r>
        <r>
          <rPr>
            <sz val="9"/>
            <color indexed="81"/>
            <rFont val="宋体"/>
            <family val="3"/>
            <charset val="134"/>
          </rPr>
          <t>）填报。</t>
        </r>
      </text>
    </comment>
    <comment ref="D25" authorId="1">
      <text>
        <r>
          <rPr>
            <sz val="9"/>
            <color indexed="81"/>
            <rFont val="Tahoma"/>
            <family val="2"/>
          </rPr>
          <t>第22行＝表A107030第15行第1列。</t>
        </r>
      </text>
    </comment>
    <comment ref="C26" authorId="1">
      <text>
        <r>
          <rPr>
            <sz val="9"/>
            <color indexed="81"/>
            <rFont val="宋体"/>
            <family val="3"/>
            <charset val="134"/>
          </rPr>
          <t>金额等于本表第</t>
        </r>
        <r>
          <rPr>
            <sz val="9"/>
            <color indexed="81"/>
            <rFont val="Tahoma"/>
            <family val="2"/>
          </rPr>
          <t>19-20-21-22</t>
        </r>
        <r>
          <rPr>
            <sz val="9"/>
            <color indexed="81"/>
            <rFont val="宋体"/>
            <family val="3"/>
            <charset val="134"/>
          </rPr>
          <t>行计算结果。本行不得为负数。按照上述行次顺序计算结果本行为负数，本行金额填零。</t>
        </r>
      </text>
    </comment>
    <comment ref="C27" authorId="1">
      <text>
        <r>
          <rPr>
            <sz val="9"/>
            <color indexed="81"/>
            <rFont val="宋体"/>
            <family val="3"/>
            <charset val="134"/>
          </rPr>
          <t>填报税收规定的税率</t>
        </r>
        <r>
          <rPr>
            <sz val="9"/>
            <color indexed="81"/>
            <rFont val="Tahoma"/>
            <family val="2"/>
          </rPr>
          <t>25%</t>
        </r>
        <r>
          <rPr>
            <sz val="9"/>
            <color indexed="81"/>
            <rFont val="宋体"/>
            <family val="3"/>
            <charset val="134"/>
          </rPr>
          <t>。</t>
        </r>
      </text>
    </comment>
    <comment ref="C28" authorId="1">
      <text>
        <r>
          <rPr>
            <sz val="9"/>
            <color indexed="81"/>
            <rFont val="Tahoma"/>
            <family val="2"/>
          </rPr>
          <t xml:space="preserve"> </t>
        </r>
        <r>
          <rPr>
            <sz val="9"/>
            <color indexed="81"/>
            <rFont val="宋体"/>
            <family val="3"/>
            <charset val="134"/>
          </rPr>
          <t>金额等于本表第</t>
        </r>
        <r>
          <rPr>
            <sz val="9"/>
            <color indexed="81"/>
            <rFont val="Tahoma"/>
            <family val="2"/>
          </rPr>
          <t>23×24</t>
        </r>
        <r>
          <rPr>
            <sz val="9"/>
            <color indexed="81"/>
            <rFont val="宋体"/>
            <family val="3"/>
            <charset val="134"/>
          </rPr>
          <t>行。</t>
        </r>
      </text>
    </comment>
    <comment ref="C29" authorId="1">
      <text>
        <r>
          <rPr>
            <sz val="9"/>
            <color indexed="81"/>
            <rFont val="宋体"/>
            <family val="3"/>
            <charset val="134"/>
          </rPr>
          <t>填报纳税人按税收规定实际减免的企业所得税额。本行根据《减免所得税优惠明细表》（</t>
        </r>
        <r>
          <rPr>
            <sz val="9"/>
            <color indexed="81"/>
            <rFont val="Tahoma"/>
            <family val="2"/>
          </rPr>
          <t>A107040</t>
        </r>
        <r>
          <rPr>
            <sz val="9"/>
            <color indexed="81"/>
            <rFont val="宋体"/>
            <family val="3"/>
            <charset val="134"/>
          </rPr>
          <t>）填报。</t>
        </r>
      </text>
    </comment>
    <comment ref="D29" authorId="1">
      <text>
        <r>
          <rPr>
            <sz val="9"/>
            <color indexed="81"/>
            <rFont val="Tahoma"/>
            <family val="2"/>
          </rPr>
          <t>第26行＝表A107040第32行。</t>
        </r>
      </text>
    </comment>
    <comment ref="C30" authorId="1">
      <text>
        <r>
          <rPr>
            <sz val="9"/>
            <color indexed="81"/>
            <rFont val="宋体"/>
            <family val="3"/>
            <charset val="134"/>
          </rPr>
          <t>填报企业当年的应纳所得税额中抵免的金额。本行根据《税额抵免优惠明细表》（</t>
        </r>
        <r>
          <rPr>
            <sz val="9"/>
            <color indexed="81"/>
            <rFont val="Tahoma"/>
            <family val="2"/>
          </rPr>
          <t>A107050</t>
        </r>
        <r>
          <rPr>
            <sz val="9"/>
            <color indexed="81"/>
            <rFont val="宋体"/>
            <family val="3"/>
            <charset val="134"/>
          </rPr>
          <t>）填报。</t>
        </r>
      </text>
    </comment>
    <comment ref="D30" authorId="1">
      <text>
        <r>
          <rPr>
            <sz val="9"/>
            <color indexed="81"/>
            <rFont val="Tahoma"/>
            <family val="2"/>
          </rPr>
          <t>第27行＝表A107050第7行第11列。</t>
        </r>
      </text>
    </comment>
    <comment ref="C31" authorId="1">
      <text>
        <r>
          <rPr>
            <sz val="9"/>
            <color indexed="81"/>
            <rFont val="宋体"/>
            <family val="3"/>
            <charset val="134"/>
          </rPr>
          <t>金额等于本表第</t>
        </r>
        <r>
          <rPr>
            <sz val="9"/>
            <color indexed="81"/>
            <rFont val="Tahoma"/>
            <family val="2"/>
          </rPr>
          <t>25-26-27</t>
        </r>
        <r>
          <rPr>
            <sz val="9"/>
            <color indexed="81"/>
            <rFont val="宋体"/>
            <family val="3"/>
            <charset val="134"/>
          </rPr>
          <t>行。</t>
        </r>
      </text>
    </comment>
    <comment ref="C32" authorId="1">
      <text>
        <r>
          <rPr>
            <sz val="9"/>
            <color indexed="81"/>
            <rFont val="宋体"/>
            <family val="3"/>
            <charset val="134"/>
          </rPr>
          <t>填报纳税人来源于中国境外的所得，按照我国税收规定计算的应纳所得税额。本行根据《境外所得税收抵免明细表》（</t>
        </r>
        <r>
          <rPr>
            <sz val="9"/>
            <color indexed="81"/>
            <rFont val="Tahoma"/>
            <family val="2"/>
          </rPr>
          <t>A108000</t>
        </r>
        <r>
          <rPr>
            <sz val="9"/>
            <color indexed="81"/>
            <rFont val="宋体"/>
            <family val="3"/>
            <charset val="134"/>
          </rPr>
          <t>）填报。</t>
        </r>
      </text>
    </comment>
    <comment ref="D32" authorId="1">
      <text>
        <r>
          <rPr>
            <sz val="9"/>
            <color indexed="81"/>
            <rFont val="Tahoma"/>
            <family val="2"/>
          </rPr>
          <t>第29行＝表A108000第9列合计。</t>
        </r>
      </text>
    </comment>
    <comment ref="C33" authorId="1">
      <text>
        <r>
          <rPr>
            <sz val="9"/>
            <color indexed="81"/>
            <rFont val="宋体"/>
            <family val="3"/>
            <charset val="134"/>
          </rPr>
          <t>填报纳税人来源于中国境外所得依照中国境外税收法律以及相关规定应缴纳并实际缴纳（包括视同已实际缴纳）的企业所得税性质的税款（准予抵免税款）。本行根据《境外所得税收抵免明细表》（</t>
        </r>
        <r>
          <rPr>
            <sz val="9"/>
            <color indexed="81"/>
            <rFont val="Tahoma"/>
            <family val="2"/>
          </rPr>
          <t>A108000</t>
        </r>
        <r>
          <rPr>
            <sz val="9"/>
            <color indexed="81"/>
            <rFont val="宋体"/>
            <family val="3"/>
            <charset val="134"/>
          </rPr>
          <t>）填报。</t>
        </r>
      </text>
    </comment>
    <comment ref="D33" authorId="1">
      <text>
        <r>
          <rPr>
            <sz val="9"/>
            <color indexed="81"/>
            <rFont val="Tahoma"/>
            <family val="2"/>
          </rPr>
          <t>第30行＝表A108000第19列合计。</t>
        </r>
      </text>
    </comment>
    <comment ref="C34" authorId="1">
      <text>
        <r>
          <rPr>
            <sz val="9"/>
            <color indexed="81"/>
            <rFont val="宋体"/>
            <family val="3"/>
            <charset val="134"/>
          </rPr>
          <t>填报纳税人当期的实际应纳所得税额。金额等于本表第</t>
        </r>
        <r>
          <rPr>
            <sz val="9"/>
            <color indexed="81"/>
            <rFont val="Tahoma"/>
            <family val="2"/>
          </rPr>
          <t>28+29-30</t>
        </r>
        <r>
          <rPr>
            <sz val="9"/>
            <color indexed="81"/>
            <rFont val="宋体"/>
            <family val="3"/>
            <charset val="134"/>
          </rPr>
          <t>行。</t>
        </r>
      </text>
    </comment>
    <comment ref="C35" authorId="1">
      <text>
        <r>
          <rPr>
            <sz val="9"/>
            <color indexed="81"/>
            <rFont val="宋体"/>
            <family val="3"/>
            <charset val="134"/>
          </rPr>
          <t>填报纳税人按照税收规定本纳税年度已在月（季）度累计预缴的所得税额，包括按照税收规定的特定业务已预缴（征）的所得税额，建筑企业总机构直接管理的跨地区设立的项目部按规定向项目所在地主管税务机关预缴的所得税额。</t>
        </r>
      </text>
    </comment>
    <comment ref="C36" authorId="1">
      <text>
        <r>
          <rPr>
            <sz val="9"/>
            <color indexed="81"/>
            <rFont val="宋体"/>
            <family val="3"/>
            <charset val="134"/>
          </rPr>
          <t>填报纳税人当期应补（退）的所得税额。金额等于本表第</t>
        </r>
        <r>
          <rPr>
            <sz val="9"/>
            <color indexed="81"/>
            <rFont val="Tahoma"/>
            <family val="2"/>
          </rPr>
          <t>31-32</t>
        </r>
        <r>
          <rPr>
            <sz val="9"/>
            <color indexed="81"/>
            <rFont val="宋体"/>
            <family val="3"/>
            <charset val="134"/>
          </rPr>
          <t>行。</t>
        </r>
      </text>
    </comment>
    <comment ref="C37" authorId="1">
      <text>
        <r>
          <rPr>
            <sz val="9"/>
            <color indexed="81"/>
            <rFont val="宋体"/>
            <family val="3"/>
            <charset val="134"/>
          </rPr>
          <t>填报汇总纳税的总机构按照税收规定在总机构所在地分摊本年应补（退）所得税额。本行根据《跨地区经营汇总纳税企业年度分摊企业所得税明细表》（</t>
        </r>
        <r>
          <rPr>
            <sz val="9"/>
            <color indexed="81"/>
            <rFont val="Tahoma"/>
            <family val="2"/>
          </rPr>
          <t>A109000</t>
        </r>
        <r>
          <rPr>
            <sz val="9"/>
            <color indexed="81"/>
            <rFont val="宋体"/>
            <family val="3"/>
            <charset val="134"/>
          </rPr>
          <t>）填报。</t>
        </r>
      </text>
    </comment>
    <comment ref="D37" authorId="1">
      <text>
        <r>
          <rPr>
            <sz val="9"/>
            <color indexed="81"/>
            <rFont val="Tahoma"/>
            <family val="2"/>
          </rPr>
          <t>第34行＝表A109000第12+16行。</t>
        </r>
      </text>
    </comment>
    <comment ref="C38" authorId="1">
      <text>
        <r>
          <rPr>
            <sz val="9"/>
            <color indexed="81"/>
            <rFont val="宋体"/>
            <family val="3"/>
            <charset val="134"/>
          </rPr>
          <t>填报汇总纳税的总机构按照税收规定财政集中分配本年应补（退）所得税款。本行根据《跨地区经营汇总纳税企业年度分摊企业所得税明细表》（</t>
        </r>
        <r>
          <rPr>
            <sz val="9"/>
            <color indexed="81"/>
            <rFont val="Tahoma"/>
            <family val="2"/>
          </rPr>
          <t>A109000</t>
        </r>
        <r>
          <rPr>
            <sz val="9"/>
            <color indexed="81"/>
            <rFont val="宋体"/>
            <family val="3"/>
            <charset val="134"/>
          </rPr>
          <t>）填报。</t>
        </r>
      </text>
    </comment>
    <comment ref="D38" authorId="1">
      <text>
        <r>
          <rPr>
            <sz val="9"/>
            <color indexed="81"/>
            <rFont val="Tahoma"/>
            <family val="2"/>
          </rPr>
          <t>第35行＝表A109000第13行。</t>
        </r>
      </text>
    </comment>
    <comment ref="C39" authorId="1">
      <text>
        <r>
          <rPr>
            <sz val="9"/>
            <color indexed="81"/>
            <rFont val="宋体"/>
            <family val="3"/>
            <charset val="134"/>
          </rPr>
          <t>填报汇总纳税的总机构所属的具有主体生产经营职能的部门按照税收规定应分摊的本年应补（退）所得税额。本行根据《跨地区经营汇总纳税企业年度分摊企业所得税明细表》（</t>
        </r>
        <r>
          <rPr>
            <sz val="9"/>
            <color indexed="81"/>
            <rFont val="Tahoma"/>
            <family val="2"/>
          </rPr>
          <t>A109000</t>
        </r>
        <r>
          <rPr>
            <sz val="9"/>
            <color indexed="81"/>
            <rFont val="宋体"/>
            <family val="3"/>
            <charset val="134"/>
          </rPr>
          <t>）填报。</t>
        </r>
      </text>
    </comment>
    <comment ref="D39" authorId="1">
      <text>
        <r>
          <rPr>
            <sz val="9"/>
            <color indexed="81"/>
            <rFont val="Tahoma"/>
            <family val="2"/>
          </rPr>
          <t>第36行＝表A109000第15行。</t>
        </r>
      </text>
    </comment>
  </commentList>
</comments>
</file>

<file path=xl/comments14.xml><?xml version="1.0" encoding="utf-8"?>
<comments xmlns="http://schemas.openxmlformats.org/spreadsheetml/2006/main">
  <authors>
    <author>Cindy Wang</author>
    <author>Zhang, Dorothy</author>
  </authors>
  <commentList>
    <comment ref="A2" authorId="0">
      <text>
        <r>
          <rPr>
            <sz val="9"/>
            <color indexed="81"/>
            <rFont val="宋体"/>
            <family val="3"/>
            <charset val="134"/>
          </rPr>
          <t>本表适用于除金融企业、事业单位和民间非营利组织外的企业填报。纳税人应根据国家统一会计制度的规定，填报“主营业务收入”“其他业务收入”和“营业外收入”。</t>
        </r>
      </text>
    </comment>
    <comment ref="B4" authorId="0">
      <text>
        <r>
          <rPr>
            <sz val="9"/>
            <color indexed="81"/>
            <rFont val="宋体"/>
            <family val="3"/>
            <charset val="134"/>
          </rPr>
          <t>根据主营业务收入、其他业务收入的数额计算填报。</t>
        </r>
      </text>
    </comment>
    <comment ref="C4" authorId="1">
      <text>
        <r>
          <rPr>
            <sz val="9"/>
            <color indexed="81"/>
            <rFont val="Tahoma"/>
            <family val="2"/>
          </rPr>
          <t>第1行＝表A100000第1行。</t>
        </r>
      </text>
    </comment>
    <comment ref="B5" authorId="0">
      <text>
        <r>
          <rPr>
            <sz val="9"/>
            <color indexed="81"/>
            <rFont val="宋体"/>
            <family val="3"/>
            <charset val="134"/>
          </rPr>
          <t>根据不同行业的业务性质分别填报纳税人核算的主营业务收入。</t>
        </r>
      </text>
    </comment>
    <comment ref="B6" authorId="0">
      <text>
        <r>
          <rPr>
            <sz val="9"/>
            <color indexed="81"/>
            <rFont val="宋体"/>
            <family val="3"/>
            <charset val="134"/>
          </rPr>
          <t>填报纳税人从事工业制造、商品流通、农业生产以及其他商品销售活动取得的主营业务收入。房地产开发企业销售开发产品（销售未完工开发产品除外）取得的收入也在此行填报。</t>
        </r>
      </text>
    </comment>
    <comment ref="B7" authorId="0">
      <text>
        <r>
          <rPr>
            <sz val="9"/>
            <color indexed="81"/>
            <rFont val="宋体"/>
            <family val="3"/>
            <charset val="134"/>
          </rPr>
          <t>非货币性资产交换收入”：填报纳税人发生的非货币性资产交换按照国家统一会计制度应确认的销售商品收入。</t>
        </r>
      </text>
    </comment>
    <comment ref="B8" authorId="0">
      <text>
        <r>
          <rPr>
            <sz val="9"/>
            <color indexed="81"/>
            <rFont val="宋体"/>
            <family val="3"/>
            <charset val="134"/>
          </rPr>
          <t>填报纳税人从事建筑安装、修理修配、交通运输、仓储租赁、邮电通信、咨询经纪、文化体育、科学研究、技术服务、教育培训、餐饮住宿、中介代理、卫生保健、社区服务、旅游、娱乐、加工以及其他劳务活动取得的主营业务收入。</t>
        </r>
      </text>
    </comment>
    <comment ref="B9" authorId="0">
      <text>
        <r>
          <rPr>
            <sz val="9"/>
            <color indexed="81"/>
            <rFont val="宋体"/>
            <family val="3"/>
            <charset val="134"/>
          </rPr>
          <t>填报纳税人建造房屋、道路、桥梁、水坝等建筑物，以及生产船舶、飞机、大型机械设备等取得的主营业务收入。</t>
        </r>
      </text>
    </comment>
    <comment ref="B10" authorId="0">
      <text>
        <r>
          <rPr>
            <sz val="9"/>
            <color indexed="81"/>
            <rFont val="宋体"/>
            <family val="3"/>
            <charset val="134"/>
          </rPr>
          <t>填报纳税人在主营业务收入核算的，让渡无形资产使用权而取得的使用费收入以及出租固定资产、无形资产、投资性房地产取得的租金收入。</t>
        </r>
      </text>
    </comment>
    <comment ref="B11" authorId="0">
      <text>
        <r>
          <rPr>
            <sz val="9"/>
            <color indexed="81"/>
            <rFont val="宋体"/>
            <family val="3"/>
            <charset val="134"/>
          </rPr>
          <t>填报纳税人按照国家统一会计制度核算、上述未列举的其他主营业务收入。</t>
        </r>
      </text>
    </comment>
    <comment ref="B12" authorId="0">
      <text>
        <r>
          <rPr>
            <sz val="9"/>
            <color indexed="81"/>
            <rFont val="宋体"/>
            <family val="3"/>
            <charset val="134"/>
          </rPr>
          <t>填报根据不同行业的业务性质分别填报纳税人核算的其他业务收入。</t>
        </r>
      </text>
    </comment>
    <comment ref="B13" authorId="0">
      <text>
        <r>
          <rPr>
            <sz val="9"/>
            <color indexed="81"/>
            <rFont val="宋体"/>
            <family val="3"/>
            <charset val="134"/>
          </rPr>
          <t>填报纳税人销售材料、下脚料、废料、废旧物资等取得的收入。</t>
        </r>
      </text>
    </comment>
    <comment ref="B14" authorId="0">
      <text>
        <r>
          <rPr>
            <sz val="9"/>
            <color indexed="81"/>
            <rFont val="宋体"/>
            <family val="3"/>
            <charset val="134"/>
          </rPr>
          <t>填报纳税人发生的非货币性资产交换按照国家统一会计制度应确认的材料销售收入。</t>
        </r>
      </text>
    </comment>
    <comment ref="B15" authorId="0">
      <text>
        <r>
          <rPr>
            <sz val="9"/>
            <color indexed="81"/>
            <rFont val="宋体"/>
            <family val="3"/>
            <charset val="134"/>
          </rPr>
          <t>填报纳税人将固定资产使用权让与承租人获取的其他业务收入。</t>
        </r>
      </text>
    </comment>
    <comment ref="B16" authorId="0">
      <text>
        <r>
          <rPr>
            <sz val="9"/>
            <color indexed="81"/>
            <rFont val="宋体"/>
            <family val="3"/>
            <charset val="134"/>
          </rPr>
          <t>填报纳税人让渡无形资产使用权取得的其他业务收入。</t>
        </r>
      </text>
    </comment>
    <comment ref="B17" authorId="0">
      <text>
        <r>
          <rPr>
            <sz val="9"/>
            <color indexed="81"/>
            <rFont val="宋体"/>
            <family val="3"/>
            <charset val="134"/>
          </rPr>
          <t>填报纳税人出租、出借包装物和商品取得的其他业务收入。</t>
        </r>
      </text>
    </comment>
    <comment ref="B18" authorId="0">
      <text>
        <r>
          <rPr>
            <sz val="9"/>
            <color indexed="81"/>
            <rFont val="宋体"/>
            <family val="3"/>
            <charset val="134"/>
          </rPr>
          <t>填报纳税人按照国家统一会计制度核算，上述未列举的其他业务收入。</t>
        </r>
      </text>
    </comment>
    <comment ref="B19" authorId="0">
      <text>
        <r>
          <rPr>
            <sz val="9"/>
            <color indexed="81"/>
            <rFont val="宋体"/>
            <family val="3"/>
            <charset val="134"/>
          </rPr>
          <t>填报纳税人计入本科目核算的与生产经营无直接关系的各项收入。</t>
        </r>
      </text>
    </comment>
    <comment ref="C19" authorId="1">
      <text>
        <r>
          <rPr>
            <sz val="9"/>
            <color indexed="81"/>
            <rFont val="Tahoma"/>
            <family val="2"/>
          </rPr>
          <t xml:space="preserve">第16行＝表A100000第11行。 </t>
        </r>
      </text>
    </comment>
    <comment ref="B20" authorId="0">
      <text>
        <r>
          <rPr>
            <sz val="9"/>
            <color indexed="81"/>
            <rFont val="宋体"/>
            <family val="3"/>
            <charset val="134"/>
          </rPr>
          <t>填报纳税人处置固定资产、无形资产等取得的净收益。</t>
        </r>
      </text>
    </comment>
    <comment ref="B21" authorId="0">
      <text>
        <r>
          <rPr>
            <sz val="9"/>
            <color indexed="81"/>
            <rFont val="宋体"/>
            <family val="3"/>
            <charset val="134"/>
          </rPr>
          <t>填报纳税人发生非货币性资产交换应确认的净收益。</t>
        </r>
      </text>
    </comment>
    <comment ref="B22" authorId="0">
      <text>
        <r>
          <rPr>
            <sz val="9"/>
            <color indexed="81"/>
            <rFont val="宋体"/>
            <family val="3"/>
            <charset val="134"/>
          </rPr>
          <t>填报纳税人发生的债务重组业务确认的净收益。</t>
        </r>
      </text>
    </comment>
    <comment ref="B23" authorId="0">
      <text>
        <r>
          <rPr>
            <sz val="9"/>
            <color indexed="81"/>
            <rFont val="宋体"/>
            <family val="3"/>
            <charset val="134"/>
          </rPr>
          <t>填报纳税人从政府无偿取得货币性资产或非货币性资产应确认的净收益。</t>
        </r>
      </text>
    </comment>
    <comment ref="B24" authorId="0">
      <text>
        <r>
          <rPr>
            <sz val="9"/>
            <color indexed="81"/>
            <rFont val="宋体"/>
            <family val="3"/>
            <charset val="134"/>
          </rPr>
          <t>填报纳税人在清查财产过程中查明的各种财产盘盈应确认的净收益。</t>
        </r>
      </text>
    </comment>
    <comment ref="B25" authorId="0">
      <text>
        <r>
          <rPr>
            <sz val="9"/>
            <color indexed="81"/>
            <rFont val="宋体"/>
            <family val="3"/>
            <charset val="134"/>
          </rPr>
          <t>填报纳税人接受的来自企业、组织或个人无偿给予的货币性资产、非货币性资产捐赠应确认的净收益。</t>
        </r>
      </text>
    </comment>
    <comment ref="B26" authorId="0">
      <text>
        <r>
          <rPr>
            <sz val="9"/>
            <color indexed="81"/>
            <rFont val="宋体"/>
            <family val="3"/>
            <charset val="134"/>
          </rPr>
          <t>填报纳税人在日常经营管理活动中取得的罚款、没收收入应确认的净收益。</t>
        </r>
      </text>
    </comment>
    <comment ref="B27" authorId="0">
      <text>
        <r>
          <rPr>
            <sz val="9"/>
            <color indexed="81"/>
            <rFont val="宋体"/>
            <family val="3"/>
            <charset val="134"/>
          </rPr>
          <t>填报纳税人因确实无法偿付的应付款项而确认的收入。</t>
        </r>
      </text>
    </comment>
    <comment ref="B28" authorId="0">
      <text>
        <r>
          <rPr>
            <sz val="9"/>
            <color indexed="81"/>
            <rFont val="宋体"/>
            <family val="3"/>
            <charset val="134"/>
          </rPr>
          <t>填报纳税人取得企业外币货币性项目因汇率变动形成的收益应确认的收入。（该项目为执行小企业会计准则企业填报）</t>
        </r>
      </text>
    </comment>
    <comment ref="B29" authorId="0">
      <text>
        <r>
          <rPr>
            <sz val="9"/>
            <color indexed="81"/>
            <rFont val="宋体"/>
            <family val="3"/>
            <charset val="134"/>
          </rPr>
          <t>填报纳税人取得的上述项目未列举的其他营业外收入，包括执行企业会计准则纳税人按权益法核算长期股权投资对初始投资成本调整确认的收益，执行小企业会计准则纳税人取得的出租包装物和商品的租金收入、逾期未退包装物押金收益等。</t>
        </r>
      </text>
    </comment>
  </commentList>
</comments>
</file>

<file path=xl/comments15.xml><?xml version="1.0" encoding="utf-8"?>
<comments xmlns="http://schemas.openxmlformats.org/spreadsheetml/2006/main">
  <authors>
    <author>Zhang, Dorothy</author>
    <author>Cindy Wang</author>
  </authors>
  <commentList>
    <comment ref="A2" authorId="0">
      <text>
        <r>
          <rPr>
            <sz val="9"/>
            <color indexed="81"/>
            <rFont val="宋体"/>
            <family val="3"/>
            <charset val="134"/>
          </rPr>
          <t>本表适用于执行企业会计准则的金融企业纳税人填报，包括银行（信用社）、保险公司、证券公司等金融企业。金融企业应根据企业会计准则的规定填报</t>
        </r>
        <r>
          <rPr>
            <sz val="9"/>
            <color indexed="81"/>
            <rFont val="Tahoma"/>
            <family val="2"/>
          </rPr>
          <t>“</t>
        </r>
        <r>
          <rPr>
            <sz val="9"/>
            <color indexed="81"/>
            <rFont val="宋体"/>
            <family val="3"/>
            <charset val="134"/>
          </rPr>
          <t>营业收入</t>
        </r>
        <r>
          <rPr>
            <sz val="9"/>
            <color indexed="81"/>
            <rFont val="Tahoma"/>
            <family val="2"/>
          </rPr>
          <t>”“</t>
        </r>
        <r>
          <rPr>
            <sz val="9"/>
            <color indexed="81"/>
            <rFont val="宋体"/>
            <family val="3"/>
            <charset val="134"/>
          </rPr>
          <t>营业外收入</t>
        </r>
        <r>
          <rPr>
            <sz val="9"/>
            <color indexed="81"/>
            <rFont val="Tahoma"/>
            <family val="2"/>
          </rPr>
          <t>”</t>
        </r>
        <r>
          <rPr>
            <sz val="9"/>
            <color indexed="81"/>
            <rFont val="宋体"/>
            <family val="3"/>
            <charset val="134"/>
          </rPr>
          <t>。</t>
        </r>
      </text>
    </comment>
    <comment ref="B4" authorId="1">
      <text>
        <r>
          <rPr>
            <sz val="9"/>
            <color indexed="81"/>
            <rFont val="宋体"/>
            <family val="3"/>
            <charset val="134"/>
          </rPr>
          <t>填报纳税人提供金融商品服务取得的收入。</t>
        </r>
      </text>
    </comment>
    <comment ref="C4" authorId="0">
      <text>
        <r>
          <rPr>
            <sz val="9"/>
            <color indexed="81"/>
            <rFont val="Tahoma"/>
            <family val="2"/>
          </rPr>
          <t>第1行＝表A100000第1行。</t>
        </r>
      </text>
    </comment>
    <comment ref="B5" authorId="1">
      <text>
        <r>
          <rPr>
            <sz val="9"/>
            <color indexed="81"/>
            <rFont val="宋体"/>
            <family val="3"/>
            <charset val="134"/>
          </rPr>
          <t>填报纳税人从事银行业务取得的收入。</t>
        </r>
      </text>
    </comment>
    <comment ref="B6" authorId="1">
      <text>
        <r>
          <rPr>
            <sz val="9"/>
            <color indexed="81"/>
            <rFont val="宋体"/>
            <family val="3"/>
            <charset val="134"/>
          </rPr>
          <t>填报银行存贷款业务等取得的各项利息收入，包括发放的各类贷款（银团贷款、贸易融资、贴现和转贴现融出资金、协议透支、信用卡透支、转贷款、垫款等）、与其他金融机构（中央银行、同业等）之间发生资金往来业务、买入返售金融资产等实现的利息收入等。</t>
        </r>
      </text>
    </comment>
    <comment ref="B7" authorId="1">
      <text>
        <r>
          <rPr>
            <sz val="9"/>
            <color indexed="81"/>
            <rFont val="宋体"/>
            <family val="3"/>
            <charset val="134"/>
          </rPr>
          <t>填报纳税人存放于境内、境外银行和非银行金融机构款项取得的利息收入。</t>
        </r>
      </text>
    </comment>
    <comment ref="B8" authorId="1">
      <text>
        <r>
          <rPr>
            <sz val="9"/>
            <color indexed="81"/>
            <rFont val="宋体"/>
            <family val="3"/>
            <charset val="134"/>
          </rPr>
          <t>填报纳税人存放于中国人民银行的各种款项利息收入。</t>
        </r>
      </text>
    </comment>
    <comment ref="B9" authorId="1">
      <text>
        <r>
          <rPr>
            <sz val="9"/>
            <color indexed="81"/>
            <rFont val="宋体"/>
            <family val="3"/>
            <charset val="134"/>
          </rPr>
          <t>填报纳税人拆借给境内、境外其他金融机构款项的利息收入。</t>
        </r>
      </text>
    </comment>
    <comment ref="B10" authorId="1">
      <text>
        <r>
          <rPr>
            <sz val="9"/>
            <color indexed="81"/>
            <rFont val="宋体"/>
            <family val="3"/>
            <charset val="134"/>
          </rPr>
          <t>填报纳税人发放贷款及垫资的利息收入。</t>
        </r>
      </text>
    </comment>
    <comment ref="B11" authorId="1">
      <text>
        <r>
          <rPr>
            <sz val="9"/>
            <color indexed="81"/>
            <rFont val="宋体"/>
            <family val="3"/>
            <charset val="134"/>
          </rPr>
          <t>填报纳税人按照返售协议约定先买入再按固定价格返售的票据、证券、贷款等金融资产所融出资金的利息收入。</t>
        </r>
      </text>
    </comment>
    <comment ref="B12" authorId="1">
      <text>
        <r>
          <rPr>
            <sz val="9"/>
            <color indexed="81"/>
            <rFont val="宋体"/>
            <family val="3"/>
            <charset val="134"/>
          </rPr>
          <t>填报纳税人除本表第4行至第8行以外的其他利息收入，包括债券投资利息等收入。</t>
        </r>
      </text>
    </comment>
    <comment ref="B13" authorId="1">
      <text>
        <r>
          <rPr>
            <sz val="9"/>
            <color indexed="81"/>
            <rFont val="宋体"/>
            <family val="3"/>
            <charset val="134"/>
          </rPr>
          <t>填报银行在提供相关金融业务服务时向客户收取的收入，包括结算与清算手续费、代理业务手续费、信用承诺手续费及佣金、银行卡手续费、顾问和咨询费、托管及其他受托业务佣金等。</t>
        </r>
      </text>
    </comment>
    <comment ref="B21" authorId="1">
      <text>
        <r>
          <rPr>
            <sz val="9"/>
            <color indexed="81"/>
            <rFont val="宋体"/>
            <family val="3"/>
            <charset val="134"/>
          </rPr>
          <t>填报纳税人从事证券业务取得的收入。</t>
        </r>
      </text>
    </comment>
    <comment ref="B22" authorId="1">
      <text>
        <r>
          <rPr>
            <sz val="9"/>
            <color indexed="81"/>
            <rFont val="宋体"/>
            <family val="3"/>
            <charset val="134"/>
          </rPr>
          <t>填报纳税人承销、代理兑付等业务取得的各项手续费、佣金等收入。</t>
        </r>
      </text>
    </comment>
    <comment ref="B29" authorId="1">
      <text>
        <r>
          <rPr>
            <sz val="9"/>
            <color indexed="81"/>
            <rFont val="宋体"/>
            <family val="3"/>
            <charset val="134"/>
          </rPr>
          <t>填报纳税人在国家许可的范围内从事的除经纪、自营和承销业务以外的与证券有关的业务收入。</t>
        </r>
      </text>
    </comment>
    <comment ref="B30" authorId="1">
      <text>
        <r>
          <rPr>
            <sz val="9"/>
            <color indexed="81"/>
            <rFont val="宋体"/>
            <family val="3"/>
            <charset val="134"/>
          </rPr>
          <t>填报纳税人从事保险业务确认的本年实际保费收入。</t>
        </r>
      </text>
    </comment>
    <comment ref="B31" authorId="1">
      <text>
        <r>
          <rPr>
            <sz val="9"/>
            <color indexed="81"/>
            <rFont val="宋体"/>
            <family val="3"/>
            <charset val="134"/>
          </rPr>
          <t>填报纳税人从事保险业务确认的保费收入。</t>
        </r>
      </text>
    </comment>
    <comment ref="B32" authorId="1">
      <text>
        <r>
          <rPr>
            <sz val="9"/>
            <color indexed="81"/>
            <rFont val="宋体"/>
            <family val="3"/>
            <charset val="134"/>
          </rPr>
          <t>填报纳税人（再保险公司或分入公司）从原保险公司或分出公司分入的保费收入。</t>
        </r>
      </text>
    </comment>
    <comment ref="B33" authorId="1">
      <text>
        <r>
          <rPr>
            <sz val="9"/>
            <color indexed="81"/>
            <rFont val="宋体"/>
            <family val="3"/>
            <charset val="134"/>
          </rPr>
          <t>填报纳税人（再保险分出人）向再保险接受人分出的保费。</t>
        </r>
      </text>
    </comment>
    <comment ref="B34" authorId="1">
      <text>
        <r>
          <rPr>
            <sz val="9"/>
            <color indexed="81"/>
            <rFont val="宋体"/>
            <family val="3"/>
            <charset val="134"/>
          </rPr>
          <t>填报纳税人（保险企业）提取的非寿险原保险合同未到期责任准备金和再保险合同分保未到期责任准备金。</t>
        </r>
      </text>
    </comment>
    <comment ref="B35" authorId="1">
      <text>
        <r>
          <rPr>
            <sz val="9"/>
            <color indexed="81"/>
            <rFont val="宋体"/>
            <family val="3"/>
            <charset val="134"/>
          </rPr>
          <t>填报纳税人提供除银行业、保险业、证券业以外的金融商品服务取得的收入。</t>
        </r>
      </text>
    </comment>
    <comment ref="B36" authorId="1">
      <text>
        <r>
          <rPr>
            <sz val="9"/>
            <color indexed="81"/>
            <rFont val="宋体"/>
            <family val="3"/>
            <charset val="134"/>
          </rPr>
          <t>填报纳税人发生的外币交易因汇率变动而产生的汇兑损益，损失以“-”号填列。</t>
        </r>
      </text>
    </comment>
    <comment ref="B37" authorId="1">
      <text>
        <r>
          <rPr>
            <sz val="9"/>
            <color indexed="81"/>
            <rFont val="宋体"/>
            <family val="3"/>
            <charset val="134"/>
          </rPr>
          <t>填报纳税人发生的除主营业务活动以外的其他经营活动实现的收入。</t>
        </r>
      </text>
    </comment>
    <comment ref="B38" authorId="1">
      <text>
        <r>
          <rPr>
            <sz val="9"/>
            <color indexed="81"/>
            <rFont val="宋体"/>
            <family val="3"/>
            <charset val="134"/>
          </rPr>
          <t>填报纳税人发生的各项营业外收入，主要包括非流动资产处置利得、非货币性资产交换利得、债务重组利得、政府补助利得、盘盈利得、捐赠利得等。</t>
        </r>
      </text>
    </comment>
    <comment ref="C38" authorId="0">
      <text>
        <r>
          <rPr>
            <sz val="9"/>
            <color indexed="81"/>
            <rFont val="Tahoma"/>
            <family val="2"/>
          </rPr>
          <t xml:space="preserve">第35行＝表A100000第11行。 </t>
        </r>
      </text>
    </comment>
    <comment ref="B39" authorId="1">
      <text>
        <r>
          <rPr>
            <sz val="9"/>
            <color indexed="81"/>
            <rFont val="宋体"/>
            <family val="3"/>
            <charset val="134"/>
          </rPr>
          <t>填报纳税人处置固定资产、无形资产等取得的净收益。</t>
        </r>
      </text>
    </comment>
    <comment ref="B40" authorId="1">
      <text>
        <r>
          <rPr>
            <sz val="9"/>
            <color indexed="81"/>
            <rFont val="宋体"/>
            <family val="3"/>
            <charset val="134"/>
          </rPr>
          <t>填报纳税人发生非货币性资产交换应确认的净收益。</t>
        </r>
      </text>
    </comment>
    <comment ref="B41" authorId="1">
      <text>
        <r>
          <rPr>
            <sz val="9"/>
            <color indexed="81"/>
            <rFont val="宋体"/>
            <family val="3"/>
            <charset val="134"/>
          </rPr>
          <t>填报纳税人发生的债务重组业务确认的净收益。</t>
        </r>
      </text>
    </comment>
    <comment ref="B42" authorId="1">
      <text>
        <r>
          <rPr>
            <sz val="9"/>
            <color indexed="81"/>
            <rFont val="宋体"/>
            <family val="3"/>
            <charset val="134"/>
          </rPr>
          <t>填报纳税人从政府无偿取得货币性资产或非货币性资产应确认的净收益。</t>
        </r>
      </text>
    </comment>
    <comment ref="B43" authorId="1">
      <text>
        <r>
          <rPr>
            <sz val="9"/>
            <color indexed="81"/>
            <rFont val="宋体"/>
            <family val="3"/>
            <charset val="134"/>
          </rPr>
          <t>填报纳税人在清查财产过程中查明的各种财产盘盈应确认的净收益。</t>
        </r>
      </text>
    </comment>
    <comment ref="B44" authorId="1">
      <text>
        <r>
          <rPr>
            <sz val="9"/>
            <color indexed="81"/>
            <rFont val="宋体"/>
            <family val="3"/>
            <charset val="134"/>
          </rPr>
          <t>填报纳税人接受的来自企业、组织或个人无偿给予的货币性资产、非货币性资产捐赠应确认的净收益。</t>
        </r>
      </text>
    </comment>
    <comment ref="B45" authorId="1">
      <text>
        <r>
          <rPr>
            <sz val="9"/>
            <color indexed="81"/>
            <rFont val="宋体"/>
            <family val="3"/>
            <charset val="134"/>
          </rPr>
          <t>填报纳税人取得的上述项目未列举的其他营业外收入，包括执行《企业会计准则》纳税人对按权益法核算的长期股权投资初始投资成本调整确认的收益。</t>
        </r>
      </text>
    </comment>
  </commentList>
</comments>
</file>

<file path=xl/comments16.xml><?xml version="1.0" encoding="utf-8"?>
<comments xmlns="http://schemas.openxmlformats.org/spreadsheetml/2006/main">
  <authors>
    <author>Zhang, Dorothy</author>
    <author>Cindy Wang</author>
  </authors>
  <commentList>
    <comment ref="A2" authorId="0">
      <text>
        <r>
          <rPr>
            <sz val="9"/>
            <color indexed="81"/>
            <rFont val="宋体"/>
            <family val="3"/>
            <charset val="134"/>
          </rPr>
          <t>本表适用于除金融企业、事业单位和民间非营利组织外的企业填报。纳税人应根据国家统一会计制度的规定，填报</t>
        </r>
        <r>
          <rPr>
            <sz val="9"/>
            <color indexed="81"/>
            <rFont val="Tahoma"/>
            <family val="2"/>
          </rPr>
          <t>“</t>
        </r>
        <r>
          <rPr>
            <sz val="9"/>
            <color indexed="81"/>
            <rFont val="宋体"/>
            <family val="3"/>
            <charset val="134"/>
          </rPr>
          <t>主营业务成本</t>
        </r>
        <r>
          <rPr>
            <sz val="9"/>
            <color indexed="81"/>
            <rFont val="Tahoma"/>
            <family val="2"/>
          </rPr>
          <t>”“</t>
        </r>
        <r>
          <rPr>
            <sz val="9"/>
            <color indexed="81"/>
            <rFont val="宋体"/>
            <family val="3"/>
            <charset val="134"/>
          </rPr>
          <t>其他业务成本</t>
        </r>
        <r>
          <rPr>
            <sz val="9"/>
            <color indexed="81"/>
            <rFont val="Tahoma"/>
            <family val="2"/>
          </rPr>
          <t>”</t>
        </r>
        <r>
          <rPr>
            <sz val="9"/>
            <color indexed="81"/>
            <rFont val="宋体"/>
            <family val="3"/>
            <charset val="134"/>
          </rPr>
          <t>和</t>
        </r>
        <r>
          <rPr>
            <sz val="9"/>
            <color indexed="81"/>
            <rFont val="Tahoma"/>
            <family val="2"/>
          </rPr>
          <t>“</t>
        </r>
        <r>
          <rPr>
            <sz val="9"/>
            <color indexed="81"/>
            <rFont val="宋体"/>
            <family val="3"/>
            <charset val="134"/>
          </rPr>
          <t>营业外支出</t>
        </r>
        <r>
          <rPr>
            <sz val="9"/>
            <color indexed="81"/>
            <rFont val="Tahoma"/>
            <family val="2"/>
          </rPr>
          <t>”</t>
        </r>
        <r>
          <rPr>
            <sz val="9"/>
            <color indexed="81"/>
            <rFont val="宋体"/>
            <family val="3"/>
            <charset val="134"/>
          </rPr>
          <t>。</t>
        </r>
      </text>
    </comment>
    <comment ref="B4" authorId="1">
      <text>
        <r>
          <rPr>
            <sz val="9"/>
            <color indexed="81"/>
            <rFont val="宋体"/>
            <family val="3"/>
            <charset val="134"/>
          </rPr>
          <t>填报纳税人主要经营业务和其他经营业务发生的成本总额。本行根据“主营业务成本”和“其他业务成本”的数额计算填报。</t>
        </r>
      </text>
    </comment>
    <comment ref="C4" authorId="0">
      <text>
        <r>
          <rPr>
            <sz val="9"/>
            <color indexed="81"/>
            <rFont val="Tahoma"/>
            <family val="2"/>
          </rPr>
          <t>第1行＝表A100000第2行。</t>
        </r>
      </text>
    </comment>
    <comment ref="B5" authorId="1">
      <text>
        <r>
          <rPr>
            <sz val="9"/>
            <color indexed="81"/>
            <rFont val="宋体"/>
            <family val="3"/>
            <charset val="134"/>
          </rPr>
          <t>根据不同行业的业务性质分别填报纳税人核算的主营业务成本。</t>
        </r>
      </text>
    </comment>
    <comment ref="B6" authorId="1">
      <text>
        <r>
          <rPr>
            <sz val="9"/>
            <color indexed="81"/>
            <rFont val="宋体"/>
            <family val="3"/>
            <charset val="134"/>
          </rPr>
          <t>填报纳税人从事工业制造、商品流通、农业生产以及其他商品销售活动发生的主营业务成本。房地产开发企业销售开发产品（销售未完工开发产品除外）发生的成本也在此行填报。</t>
        </r>
      </text>
    </comment>
    <comment ref="B7" authorId="1">
      <text>
        <r>
          <rPr>
            <sz val="9"/>
            <color indexed="81"/>
            <rFont val="宋体"/>
            <family val="3"/>
            <charset val="134"/>
          </rPr>
          <t>填报纳税人发生的非货币性资产交换按照国家统一会计制度应确认的销售商品成本。</t>
        </r>
      </text>
    </comment>
    <comment ref="B8" authorId="1">
      <text>
        <r>
          <rPr>
            <sz val="9"/>
            <color indexed="81"/>
            <rFont val="宋体"/>
            <family val="3"/>
            <charset val="134"/>
          </rPr>
          <t>填报纳税人从事建筑安装、修理修配、交通运输、仓储租赁、邮电通信、咨询经纪、文化体育、科学研究、技术服务、教育培训、餐饮住宿、中介代理、卫生保健、社区服务、旅游、娱乐、加工以及其他劳务活动发生的主营业务成本。</t>
        </r>
      </text>
    </comment>
    <comment ref="B9" authorId="1">
      <text>
        <r>
          <rPr>
            <sz val="9"/>
            <color indexed="81"/>
            <rFont val="宋体"/>
            <family val="3"/>
            <charset val="134"/>
          </rPr>
          <t>填报纳税人建造房屋、道路、桥梁、水坝等建筑物，以及生产船舶、飞机、大型机械设备等发生的主营业务成本。</t>
        </r>
      </text>
    </comment>
    <comment ref="B10" authorId="1">
      <text>
        <r>
          <rPr>
            <sz val="9"/>
            <color indexed="81"/>
            <rFont val="宋体"/>
            <family val="3"/>
            <charset val="134"/>
          </rPr>
          <t>填报纳税人在主营业务成本核算的，让渡无形资产使用权而发生的使用费成本以及出租固定资产、无形资产、投资性房地产发生的租金成本。</t>
        </r>
      </text>
    </comment>
    <comment ref="B11" authorId="1">
      <text>
        <r>
          <rPr>
            <sz val="9"/>
            <color indexed="81"/>
            <rFont val="宋体"/>
            <family val="3"/>
            <charset val="134"/>
          </rPr>
          <t>填报纳税人按照国家统一会计制度核算、上述未列举的其他主营业务成本。</t>
        </r>
      </text>
    </comment>
    <comment ref="B12" authorId="1">
      <text>
        <r>
          <rPr>
            <sz val="9"/>
            <color indexed="81"/>
            <rFont val="宋体"/>
            <family val="3"/>
            <charset val="134"/>
          </rPr>
          <t>根据不同行业的业务性质分别填报纳税人按照国家统一会计制度核算的其他业务成本。</t>
        </r>
      </text>
    </comment>
    <comment ref="B13" authorId="1">
      <text>
        <r>
          <rPr>
            <sz val="9"/>
            <color indexed="81"/>
            <rFont val="宋体"/>
            <family val="3"/>
            <charset val="134"/>
          </rPr>
          <t>填报纳税人销售材料、下脚料、废料、废旧物资等发生的成本。</t>
        </r>
      </text>
    </comment>
    <comment ref="B14" authorId="1">
      <text>
        <r>
          <rPr>
            <sz val="9"/>
            <color indexed="81"/>
            <rFont val="宋体"/>
            <family val="3"/>
            <charset val="134"/>
          </rPr>
          <t>填报纳税人发生的非货币性资产交换按照国家统一会计制度应确认的材料销售成本。</t>
        </r>
      </text>
    </comment>
    <comment ref="B15" authorId="1">
      <text>
        <r>
          <rPr>
            <sz val="9"/>
            <color indexed="81"/>
            <rFont val="宋体"/>
            <family val="3"/>
            <charset val="134"/>
          </rPr>
          <t>填报纳税人将固定资产使用权让与承租人形成的出租固定资产成本。</t>
        </r>
      </text>
    </comment>
    <comment ref="B16" authorId="1">
      <text>
        <r>
          <rPr>
            <sz val="9"/>
            <color indexed="81"/>
            <rFont val="宋体"/>
            <family val="3"/>
            <charset val="134"/>
          </rPr>
          <t>填报纳税人让渡无形资产使用权形成的出租无形资产成本。</t>
        </r>
      </text>
    </comment>
    <comment ref="B17" authorId="1">
      <text>
        <r>
          <rPr>
            <sz val="9"/>
            <color indexed="81"/>
            <rFont val="宋体"/>
            <family val="3"/>
            <charset val="134"/>
          </rPr>
          <t>填报纳税人出租、出借包装物形成的包装物出租成本。</t>
        </r>
      </text>
    </comment>
    <comment ref="B18" authorId="1">
      <text>
        <r>
          <rPr>
            <sz val="9"/>
            <color indexed="81"/>
            <rFont val="宋体"/>
            <family val="3"/>
            <charset val="134"/>
          </rPr>
          <t>填报纳税人按照国家统一会计制度核算，上述未列举的其他业务成本。</t>
        </r>
      </text>
    </comment>
    <comment ref="B19" authorId="1">
      <text>
        <r>
          <rPr>
            <sz val="9"/>
            <color indexed="81"/>
            <rFont val="宋体"/>
            <family val="3"/>
            <charset val="134"/>
          </rPr>
          <t>填报纳税人计入本科目核算的与生产经营无直接关系的各项支出。</t>
        </r>
      </text>
    </comment>
    <comment ref="C19" authorId="0">
      <text>
        <r>
          <rPr>
            <sz val="9"/>
            <color indexed="81"/>
            <rFont val="Tahoma"/>
            <family val="2"/>
          </rPr>
          <t>第16行＝表A100000第12行。</t>
        </r>
      </text>
    </comment>
    <comment ref="B20" authorId="1">
      <text>
        <r>
          <rPr>
            <sz val="9"/>
            <color indexed="81"/>
            <rFont val="宋体"/>
            <family val="3"/>
            <charset val="134"/>
          </rPr>
          <t>填报纳税人处置非流动资产形成的净损失。</t>
        </r>
      </text>
    </comment>
    <comment ref="B21" authorId="1">
      <text>
        <r>
          <rPr>
            <sz val="9"/>
            <color indexed="81"/>
            <rFont val="宋体"/>
            <family val="3"/>
            <charset val="134"/>
          </rPr>
          <t>填报纳税人发生非货币性资产交换应确认的净损失。</t>
        </r>
      </text>
    </comment>
    <comment ref="B22" authorId="1">
      <text>
        <r>
          <rPr>
            <sz val="9"/>
            <color indexed="81"/>
            <rFont val="宋体"/>
            <family val="3"/>
            <charset val="134"/>
          </rPr>
          <t>填报纳税人进行债务重组应确认的净损失。</t>
        </r>
      </text>
    </comment>
    <comment ref="B23" authorId="1">
      <text>
        <r>
          <rPr>
            <sz val="9"/>
            <color indexed="81"/>
            <rFont val="宋体"/>
            <family val="3"/>
            <charset val="134"/>
          </rPr>
          <t>填报纳税人在营业外支出中核算的各项非正常的财产损失。</t>
        </r>
      </text>
    </comment>
    <comment ref="B24" authorId="1">
      <text>
        <r>
          <rPr>
            <sz val="9"/>
            <color indexed="81"/>
            <rFont val="宋体"/>
            <family val="3"/>
            <charset val="134"/>
          </rPr>
          <t>填报纳税人无偿给予其他企业、组织或个人的货币性资产、非货币性资产的捐赠支出。</t>
        </r>
      </text>
    </comment>
    <comment ref="B25" authorId="1">
      <text>
        <r>
          <rPr>
            <sz val="9"/>
            <color indexed="81"/>
            <rFont val="宋体"/>
            <family val="3"/>
            <charset val="134"/>
          </rPr>
          <t>填报纳税人发生的货币性资产、非货币性资产赞助支出。</t>
        </r>
      </text>
    </comment>
    <comment ref="B26" authorId="1">
      <text>
        <r>
          <rPr>
            <sz val="9"/>
            <color indexed="81"/>
            <rFont val="宋体"/>
            <family val="3"/>
            <charset val="134"/>
          </rPr>
          <t>填报纳税人在日常经营管理活动中对外支付的各项罚款、没收收入的支出。</t>
        </r>
      </text>
    </comment>
    <comment ref="B27" authorId="1">
      <text>
        <r>
          <rPr>
            <sz val="9"/>
            <color indexed="81"/>
            <rFont val="宋体"/>
            <family val="3"/>
            <charset val="134"/>
          </rPr>
          <t>填报纳税人发生的各项坏帐损失。（该项目为使用小企业会计准则企业填报）</t>
        </r>
      </text>
    </comment>
    <comment ref="B28" authorId="1">
      <text>
        <r>
          <rPr>
            <sz val="9"/>
            <color indexed="81"/>
            <rFont val="宋体"/>
            <family val="3"/>
            <charset val="134"/>
          </rPr>
          <t>填报纳税人各项无法收回的债券股权投资损失。（该项目为使用小企业会计准则企业填报）</t>
        </r>
      </text>
    </comment>
    <comment ref="B29" authorId="1">
      <text>
        <r>
          <rPr>
            <sz val="9"/>
            <color indexed="81"/>
            <rFont val="宋体"/>
            <family val="3"/>
            <charset val="134"/>
          </rPr>
          <t>填报纳税人本期实际发生的在营业外支出核算的其他损失及支出。</t>
        </r>
      </text>
    </comment>
  </commentList>
</comments>
</file>

<file path=xl/comments17.xml><?xml version="1.0" encoding="utf-8"?>
<comments xmlns="http://schemas.openxmlformats.org/spreadsheetml/2006/main">
  <authors>
    <author>Zhang, Dorothy</author>
    <author>Cindy Wang</author>
  </authors>
  <commentList>
    <comment ref="A2" authorId="0">
      <text>
        <r>
          <rPr>
            <sz val="9"/>
            <color indexed="81"/>
            <rFont val="宋体"/>
            <family val="3"/>
            <charset val="134"/>
          </rPr>
          <t>本表适用于执行企业会计准则的金融企业纳税人填报，包括银行（信用社）、保险公司、证券公司等金融企业。纳税人根据企业会计准则的规定填报</t>
        </r>
        <r>
          <rPr>
            <sz val="9"/>
            <color indexed="81"/>
            <rFont val="Tahoma"/>
            <family val="2"/>
          </rPr>
          <t>“</t>
        </r>
        <r>
          <rPr>
            <sz val="9"/>
            <color indexed="81"/>
            <rFont val="宋体"/>
            <family val="3"/>
            <charset val="134"/>
          </rPr>
          <t>营业支出</t>
        </r>
        <r>
          <rPr>
            <sz val="9"/>
            <color indexed="81"/>
            <rFont val="Tahoma"/>
            <family val="2"/>
          </rPr>
          <t>”“</t>
        </r>
        <r>
          <rPr>
            <sz val="9"/>
            <color indexed="81"/>
            <rFont val="宋体"/>
            <family val="3"/>
            <charset val="134"/>
          </rPr>
          <t>营业外支出</t>
        </r>
        <r>
          <rPr>
            <sz val="9"/>
            <color indexed="81"/>
            <rFont val="Tahoma"/>
            <family val="2"/>
          </rPr>
          <t>”</t>
        </r>
        <r>
          <rPr>
            <sz val="9"/>
            <color indexed="81"/>
            <rFont val="宋体"/>
            <family val="3"/>
            <charset val="134"/>
          </rPr>
          <t>。金融企业发生的业务及管理费填报表</t>
        </r>
        <r>
          <rPr>
            <sz val="9"/>
            <color indexed="81"/>
            <rFont val="Tahoma"/>
            <family val="2"/>
          </rPr>
          <t>A104000</t>
        </r>
        <r>
          <rPr>
            <sz val="9"/>
            <color indexed="81"/>
            <rFont val="宋体"/>
            <family val="3"/>
            <charset val="134"/>
          </rPr>
          <t>《期间费用明细表》第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销售费用</t>
        </r>
        <r>
          <rPr>
            <sz val="9"/>
            <color indexed="81"/>
            <rFont val="Tahoma"/>
            <family val="2"/>
          </rPr>
          <t>”</t>
        </r>
        <r>
          <rPr>
            <sz val="9"/>
            <color indexed="81"/>
            <rFont val="宋体"/>
            <family val="3"/>
            <charset val="134"/>
          </rPr>
          <t>相应的行次。</t>
        </r>
      </text>
    </comment>
    <comment ref="B4" authorId="1">
      <text>
        <r>
          <rPr>
            <sz val="9"/>
            <color indexed="81"/>
            <rFont val="宋体"/>
            <family val="3"/>
            <charset val="134"/>
          </rPr>
          <t>填报金融企业提供金融商品服务发生的支出。</t>
        </r>
      </text>
    </comment>
    <comment ref="C4" authorId="0">
      <text>
        <r>
          <rPr>
            <sz val="9"/>
            <color indexed="81"/>
            <rFont val="Tahoma"/>
            <family val="2"/>
          </rPr>
          <t>第1行＝表A100000第2行。</t>
        </r>
      </text>
    </comment>
    <comment ref="B5" authorId="1">
      <text>
        <r>
          <rPr>
            <sz val="9"/>
            <color indexed="81"/>
            <rFont val="宋体"/>
            <family val="3"/>
            <charset val="134"/>
          </rPr>
          <t>填报纳税人从事银行业务发生的支出。</t>
        </r>
      </text>
    </comment>
    <comment ref="B6" authorId="1">
      <text>
        <r>
          <rPr>
            <sz val="9"/>
            <color indexed="81"/>
            <rFont val="宋体"/>
            <family val="3"/>
            <charset val="134"/>
          </rPr>
          <t>填报纳税人经营存贷款业务等发生的利息支出，包括同业存放、向中央银行借款、拆入资金、吸收存款、卖出回购金融资产、发行债券和其他业务利息支出。df</t>
        </r>
      </text>
    </comment>
    <comment ref="B14" authorId="1">
      <text>
        <r>
          <rPr>
            <sz val="9"/>
            <color indexed="81"/>
            <rFont val="宋体"/>
            <family val="3"/>
            <charset val="134"/>
          </rPr>
          <t>填报纳税人发生的与银行业务活动相关的各项手续费、佣金等支出。</t>
        </r>
      </text>
    </comment>
    <comment ref="B18" authorId="1">
      <text>
        <r>
          <rPr>
            <sz val="9"/>
            <color indexed="81"/>
            <rFont val="宋体"/>
            <family val="3"/>
            <charset val="134"/>
          </rPr>
          <t>填报保险企业发生的与保险业务相关的费用支出。</t>
        </r>
      </text>
    </comment>
    <comment ref="B19" authorId="1">
      <text>
        <r>
          <rPr>
            <sz val="9"/>
            <color indexed="81"/>
            <rFont val="宋体"/>
            <family val="3"/>
            <charset val="134"/>
          </rPr>
          <t>填报保险企业寿险原保险合同提前解除时按照约定应当退还投保人的保单现金价值。</t>
        </r>
      </text>
    </comment>
    <comment ref="B20" authorId="1">
      <text>
        <r>
          <rPr>
            <sz val="9"/>
            <color indexed="81"/>
            <rFont val="宋体"/>
            <family val="3"/>
            <charset val="134"/>
          </rPr>
          <t>填报保险企业支付的原保险合同赔付款项和再保险合同赔付款项。</t>
        </r>
      </text>
    </comment>
    <comment ref="B21" authorId="1">
      <text>
        <r>
          <rPr>
            <sz val="9"/>
            <color indexed="81"/>
            <rFont val="宋体"/>
            <family val="3"/>
            <charset val="134"/>
          </rPr>
          <t>填报保险企业（再保险分出人）向再保险接受人摊回的赔付成本。</t>
        </r>
      </text>
    </comment>
    <comment ref="B22" authorId="1">
      <text>
        <r>
          <rPr>
            <sz val="9"/>
            <color indexed="81"/>
            <rFont val="宋体"/>
            <family val="3"/>
            <charset val="134"/>
          </rPr>
          <t>填报保险企业提取的原保险合同保险责任准备金，包括提取的未决赔款准备金、提取的寿险责任准备金、提取的长期健康责任准备金。</t>
        </r>
      </text>
    </comment>
    <comment ref="B23" authorId="1">
      <text>
        <r>
          <rPr>
            <sz val="9"/>
            <color indexed="81"/>
            <rFont val="宋体"/>
            <family val="3"/>
            <charset val="134"/>
          </rPr>
          <t>填报保险企业（再保险分出人）从事再保险业务应向再保险接受人摊回的保险责任准备金，包括未决赔款准备金、寿险责任准备金、长期健康险责任准备金。</t>
        </r>
      </text>
    </comment>
    <comment ref="B24" authorId="1">
      <text>
        <r>
          <rPr>
            <sz val="9"/>
            <color indexed="81"/>
            <rFont val="宋体"/>
            <family val="3"/>
            <charset val="134"/>
          </rPr>
          <t>填报保险企业按原保险合同约定支付给投保人的红利。</t>
        </r>
      </text>
    </comment>
    <comment ref="B25" authorId="1">
      <text>
        <r>
          <rPr>
            <sz val="9"/>
            <color indexed="81"/>
            <rFont val="宋体"/>
            <family val="3"/>
            <charset val="134"/>
          </rPr>
          <t>填报保险企业（再保险接受人）向再保险分出人支付的分保费用。</t>
        </r>
      </text>
    </comment>
    <comment ref="B26" authorId="1">
      <text>
        <r>
          <rPr>
            <sz val="9"/>
            <color indexed="81"/>
            <rFont val="宋体"/>
            <family val="3"/>
            <charset val="134"/>
          </rPr>
          <t>填报保险企业（再保险分出人）向再保险接受人摊回的分保费用。</t>
        </r>
      </text>
    </comment>
    <comment ref="B27" authorId="1">
      <text>
        <r>
          <rPr>
            <sz val="9"/>
            <color indexed="81"/>
            <rFont val="宋体"/>
            <family val="3"/>
            <charset val="134"/>
          </rPr>
          <t>填报保险企业发生的与其保险业务活动相关的各项手续费、佣金支出。</t>
        </r>
      </text>
    </comment>
    <comment ref="B28" authorId="1">
      <text>
        <r>
          <rPr>
            <sz val="9"/>
            <color indexed="81"/>
            <rFont val="宋体"/>
            <family val="3"/>
            <charset val="134"/>
          </rPr>
          <t>填报纳税人从事证券业务发生的证券手续费支出和其他证券业务支出。</t>
        </r>
      </text>
    </comment>
    <comment ref="B29" authorId="1">
      <text>
        <r>
          <rPr>
            <sz val="9"/>
            <color indexed="81"/>
            <rFont val="宋体"/>
            <family val="3"/>
            <charset val="134"/>
          </rPr>
          <t>填报纳税人代理承销、兑付和买卖证券等业务发生的各项手续费、风险结算金、承销业务直接相关的各项费用及佣金支出。</t>
        </r>
      </text>
    </comment>
    <comment ref="B33" authorId="1">
      <text>
        <r>
          <rPr>
            <sz val="9"/>
            <color indexed="81"/>
            <rFont val="宋体"/>
            <family val="3"/>
            <charset val="134"/>
          </rPr>
          <t>填报纳税人从事除经纪、自营和承销业务以外的与证券有关的业务支出。</t>
        </r>
      </text>
    </comment>
    <comment ref="B34" authorId="1">
      <text>
        <r>
          <rPr>
            <sz val="9"/>
            <color indexed="81"/>
            <rFont val="宋体"/>
            <family val="3"/>
            <charset val="134"/>
          </rPr>
          <t>填报纳税人提供除银行业、保险业、证券业以外的金融商品服务发生的相关业务支出。</t>
        </r>
      </text>
    </comment>
    <comment ref="B35" authorId="1">
      <text>
        <r>
          <rPr>
            <sz val="9"/>
            <color indexed="81"/>
            <rFont val="宋体"/>
            <family val="3"/>
            <charset val="134"/>
          </rPr>
          <t>填报纳税人发生的除主营业务活动以外的其他经营活动发生的支出。</t>
        </r>
      </text>
    </comment>
    <comment ref="B36" authorId="1">
      <text>
        <r>
          <rPr>
            <sz val="9"/>
            <color indexed="81"/>
            <rFont val="宋体"/>
            <family val="3"/>
            <charset val="134"/>
          </rPr>
          <t>填报纳税人发生的各项营业外支出，包括非流动资产处置损失、非货币性资产交换损失、债务重组损失、捐赠支出、非常损失等。</t>
        </r>
      </text>
    </comment>
    <comment ref="C36" authorId="0">
      <text>
        <r>
          <rPr>
            <sz val="9"/>
            <color indexed="81"/>
            <rFont val="Tahoma"/>
            <family val="2"/>
          </rPr>
          <t xml:space="preserve">第33行＝表A100000第12行。 </t>
        </r>
      </text>
    </comment>
    <comment ref="B37" authorId="1">
      <text>
        <r>
          <rPr>
            <sz val="9"/>
            <color indexed="81"/>
            <rFont val="宋体"/>
            <family val="3"/>
            <charset val="134"/>
          </rPr>
          <t>填报纳税人处置非流动资产形成的净损失。</t>
        </r>
      </text>
    </comment>
    <comment ref="B38" authorId="1">
      <text>
        <r>
          <rPr>
            <sz val="9"/>
            <color indexed="81"/>
            <rFont val="宋体"/>
            <family val="3"/>
            <charset val="134"/>
          </rPr>
          <t>填报纳税人发生非货币性资产交换应确认的净损失。</t>
        </r>
      </text>
    </comment>
    <comment ref="B39" authorId="1">
      <text>
        <r>
          <rPr>
            <sz val="9"/>
            <color indexed="81"/>
            <rFont val="宋体"/>
            <family val="3"/>
            <charset val="134"/>
          </rPr>
          <t>填报纳税人进行债务重组应确认的净损失。</t>
        </r>
      </text>
    </comment>
    <comment ref="B40" authorId="1">
      <text>
        <r>
          <rPr>
            <sz val="9"/>
            <color indexed="81"/>
            <rFont val="宋体"/>
            <family val="3"/>
            <charset val="134"/>
          </rPr>
          <t>填报纳税人无偿给予其他企业、组织或个人的货币性资产、非货币性资产的捐赠支出。</t>
        </r>
      </text>
    </comment>
    <comment ref="B41" authorId="1">
      <text>
        <r>
          <rPr>
            <sz val="9"/>
            <color indexed="81"/>
            <rFont val="宋体"/>
            <family val="3"/>
            <charset val="134"/>
          </rPr>
          <t>填报纳税人在营业外支出中核算的各项非正常的财产损失。</t>
        </r>
      </text>
    </comment>
    <comment ref="B42" authorId="1">
      <text>
        <r>
          <rPr>
            <sz val="9"/>
            <color indexed="81"/>
            <rFont val="宋体"/>
            <family val="3"/>
            <charset val="134"/>
          </rPr>
          <t>填报纳税人本期实际发生的在营业外支出核算的其他损失及支出。</t>
        </r>
      </text>
    </comment>
  </commentList>
</comments>
</file>

<file path=xl/comments18.xml><?xml version="1.0" encoding="utf-8"?>
<comments xmlns="http://schemas.openxmlformats.org/spreadsheetml/2006/main">
  <authors>
    <author>Zhang, Dorothy</author>
    <author>Cindy Wang</author>
  </authors>
  <commentList>
    <comment ref="A2" authorId="0">
      <text>
        <r>
          <rPr>
            <sz val="9"/>
            <color indexed="81"/>
            <rFont val="宋体"/>
            <family val="3"/>
            <charset val="134"/>
          </rPr>
          <t>本表适用于实行事业单位会计准则的事业单位以及执行民间非营利组织会计制度的社会团体、民办非企业单位、非营利性组织等查账征收居民纳税人填报。纳税人应根据事业单位会计准则、民间非营利组织会计制度的规定，填报</t>
        </r>
        <r>
          <rPr>
            <sz val="9"/>
            <color indexed="81"/>
            <rFont val="Tahoma"/>
            <family val="2"/>
          </rPr>
          <t>“</t>
        </r>
        <r>
          <rPr>
            <sz val="9"/>
            <color indexed="81"/>
            <rFont val="宋体"/>
            <family val="3"/>
            <charset val="134"/>
          </rPr>
          <t>事业单位收入</t>
        </r>
        <r>
          <rPr>
            <sz val="9"/>
            <color indexed="81"/>
            <rFont val="Tahoma"/>
            <family val="2"/>
          </rPr>
          <t>”“</t>
        </r>
        <r>
          <rPr>
            <sz val="9"/>
            <color indexed="81"/>
            <rFont val="宋体"/>
            <family val="3"/>
            <charset val="134"/>
          </rPr>
          <t>民间非营利组织收入</t>
        </r>
        <r>
          <rPr>
            <sz val="9"/>
            <color indexed="81"/>
            <rFont val="Tahoma"/>
            <family val="2"/>
          </rPr>
          <t>”“</t>
        </r>
        <r>
          <rPr>
            <sz val="9"/>
            <color indexed="81"/>
            <rFont val="宋体"/>
            <family val="3"/>
            <charset val="134"/>
          </rPr>
          <t>事业单位支出</t>
        </r>
        <r>
          <rPr>
            <sz val="9"/>
            <color indexed="81"/>
            <rFont val="Tahoma"/>
            <family val="2"/>
          </rPr>
          <t>”“</t>
        </r>
        <r>
          <rPr>
            <sz val="9"/>
            <color indexed="81"/>
            <rFont val="宋体"/>
            <family val="3"/>
            <charset val="134"/>
          </rPr>
          <t>民间非营利组织支出</t>
        </r>
        <r>
          <rPr>
            <sz val="9"/>
            <color indexed="81"/>
            <rFont val="Tahoma"/>
            <family val="2"/>
          </rPr>
          <t>”</t>
        </r>
        <r>
          <rPr>
            <sz val="9"/>
            <color indexed="81"/>
            <rFont val="宋体"/>
            <family val="3"/>
            <charset val="134"/>
          </rPr>
          <t>等。</t>
        </r>
      </text>
    </comment>
    <comment ref="B3" authorId="0">
      <text>
        <r>
          <rPr>
            <sz val="9"/>
            <color indexed="81"/>
            <rFont val="Tahoma"/>
            <family val="2"/>
          </rPr>
          <t>1</t>
        </r>
        <r>
          <rPr>
            <sz val="9"/>
            <color indexed="81"/>
            <rFont val="宋体"/>
            <family val="3"/>
            <charset val="134"/>
          </rPr>
          <t>、第</t>
        </r>
        <r>
          <rPr>
            <sz val="9"/>
            <color indexed="81"/>
            <rFont val="Tahoma"/>
            <family val="2"/>
          </rPr>
          <t>1</t>
        </r>
        <r>
          <rPr>
            <sz val="9"/>
            <color indexed="81"/>
            <rFont val="宋体"/>
            <family val="3"/>
            <charset val="134"/>
          </rPr>
          <t>行至第</t>
        </r>
        <r>
          <rPr>
            <sz val="9"/>
            <color indexed="81"/>
            <rFont val="Tahoma"/>
            <family val="2"/>
          </rPr>
          <t>9</t>
        </r>
        <r>
          <rPr>
            <sz val="9"/>
            <color indexed="81"/>
            <rFont val="宋体"/>
            <family val="3"/>
            <charset val="134"/>
          </rPr>
          <t xml:space="preserve">行由执行事业单位会计准则的纳税人填报。
</t>
        </r>
        <r>
          <rPr>
            <sz val="9"/>
            <color indexed="81"/>
            <rFont val="Tahoma"/>
            <family val="2"/>
          </rPr>
          <t>2</t>
        </r>
        <r>
          <rPr>
            <sz val="9"/>
            <color indexed="81"/>
            <rFont val="宋体"/>
            <family val="3"/>
            <charset val="134"/>
          </rPr>
          <t>、第</t>
        </r>
        <r>
          <rPr>
            <sz val="9"/>
            <color indexed="81"/>
            <rFont val="Tahoma"/>
            <family val="2"/>
          </rPr>
          <t>10</t>
        </r>
        <r>
          <rPr>
            <sz val="9"/>
            <color indexed="81"/>
            <rFont val="宋体"/>
            <family val="3"/>
            <charset val="134"/>
          </rPr>
          <t>行至第</t>
        </r>
        <r>
          <rPr>
            <sz val="9"/>
            <color indexed="81"/>
            <rFont val="Tahoma"/>
            <family val="2"/>
          </rPr>
          <t>17</t>
        </r>
        <r>
          <rPr>
            <sz val="9"/>
            <color indexed="81"/>
            <rFont val="宋体"/>
            <family val="3"/>
            <charset val="134"/>
          </rPr>
          <t xml:space="preserve">行由执行民间非营利组织会计制度的纳税人填报。
</t>
        </r>
        <r>
          <rPr>
            <sz val="9"/>
            <color indexed="81"/>
            <rFont val="Tahoma"/>
            <family val="2"/>
          </rPr>
          <t>3</t>
        </r>
        <r>
          <rPr>
            <sz val="9"/>
            <color indexed="81"/>
            <rFont val="宋体"/>
            <family val="3"/>
            <charset val="134"/>
          </rPr>
          <t>、第</t>
        </r>
        <r>
          <rPr>
            <sz val="9"/>
            <color indexed="81"/>
            <rFont val="Tahoma"/>
            <family val="2"/>
          </rPr>
          <t>18</t>
        </r>
        <r>
          <rPr>
            <sz val="9"/>
            <color indexed="81"/>
            <rFont val="宋体"/>
            <family val="3"/>
            <charset val="134"/>
          </rPr>
          <t>行至第</t>
        </r>
        <r>
          <rPr>
            <sz val="9"/>
            <color indexed="81"/>
            <rFont val="Tahoma"/>
            <family val="2"/>
          </rPr>
          <t>23</t>
        </r>
        <r>
          <rPr>
            <sz val="9"/>
            <color indexed="81"/>
            <rFont val="宋体"/>
            <family val="3"/>
            <charset val="134"/>
          </rPr>
          <t xml:space="preserve">行由执行事业单位会计准则的纳税人填报。
</t>
        </r>
        <r>
          <rPr>
            <sz val="9"/>
            <color indexed="81"/>
            <rFont val="Tahoma"/>
            <family val="2"/>
          </rPr>
          <t>4</t>
        </r>
        <r>
          <rPr>
            <sz val="9"/>
            <color indexed="81"/>
            <rFont val="宋体"/>
            <family val="3"/>
            <charset val="134"/>
          </rPr>
          <t>、第</t>
        </r>
        <r>
          <rPr>
            <sz val="9"/>
            <color indexed="81"/>
            <rFont val="Tahoma"/>
            <family val="2"/>
          </rPr>
          <t>24</t>
        </r>
        <r>
          <rPr>
            <sz val="9"/>
            <color indexed="81"/>
            <rFont val="宋体"/>
            <family val="3"/>
            <charset val="134"/>
          </rPr>
          <t>行至第</t>
        </r>
        <r>
          <rPr>
            <sz val="9"/>
            <color indexed="81"/>
            <rFont val="Tahoma"/>
            <family val="2"/>
          </rPr>
          <t>28</t>
        </r>
        <r>
          <rPr>
            <sz val="9"/>
            <color indexed="81"/>
            <rFont val="宋体"/>
            <family val="3"/>
            <charset val="134"/>
          </rPr>
          <t>行由执行民间非营利组织会计制度的纳税人填报。</t>
        </r>
      </text>
    </comment>
    <comment ref="B4" authorId="1">
      <text>
        <r>
          <rPr>
            <sz val="9"/>
            <color indexed="81"/>
            <rFont val="宋体"/>
            <family val="3"/>
            <charset val="134"/>
          </rPr>
          <t>填报纳税人取得的所有收入的金额（包括不征税收入和免税收入），按照会计核算口径填报。</t>
        </r>
      </text>
    </comment>
    <comment ref="C4" authorId="0">
      <text>
        <r>
          <rPr>
            <sz val="9"/>
            <color indexed="81"/>
            <rFont val="Tahoma"/>
            <family val="2"/>
          </rPr>
          <t>第2+3+4+5+6行或第11+12+13+14+15行＝表A100000第1行。</t>
        </r>
      </text>
    </comment>
    <comment ref="B5" authorId="1">
      <text>
        <r>
          <rPr>
            <sz val="9"/>
            <color indexed="81"/>
            <rFont val="宋体"/>
            <family val="3"/>
            <charset val="134"/>
          </rPr>
          <t>填报纳税人直接从同级财政部门取得的各类财政拨款，包括基本支出补助和项目支出补助。</t>
        </r>
      </text>
    </comment>
    <comment ref="B6" authorId="1">
      <text>
        <r>
          <rPr>
            <sz val="9"/>
            <color indexed="81"/>
            <rFont val="宋体"/>
            <family val="3"/>
            <charset val="134"/>
          </rPr>
          <t>填报纳税人通过开展专业业务活动及辅助活动所取得的收入。</t>
        </r>
      </text>
    </comment>
    <comment ref="B7" authorId="1">
      <text>
        <r>
          <rPr>
            <sz val="9"/>
            <color indexed="81"/>
            <rFont val="宋体"/>
            <family val="3"/>
            <charset val="134"/>
          </rPr>
          <t>填报纳税人从主管部门和上级单位取得的非财政补助收入。</t>
        </r>
      </text>
    </comment>
    <comment ref="B8" authorId="1">
      <text>
        <r>
          <rPr>
            <sz val="9"/>
            <color indexed="81"/>
            <rFont val="宋体"/>
            <family val="3"/>
            <charset val="134"/>
          </rPr>
          <t>填报纳税人附属独立核算单位按有关规定上缴的收入。包括附属事业单位上缴的收入和附属企业上缴的利润等。</t>
        </r>
      </text>
    </comment>
    <comment ref="B9" authorId="1">
      <text>
        <r>
          <rPr>
            <sz val="9"/>
            <color indexed="81"/>
            <rFont val="宋体"/>
            <family val="3"/>
            <charset val="134"/>
          </rPr>
          <t>填报纳税人开展专业业务活动及其辅助活动之外开展非独立核算经营活动取得的收入。</t>
        </r>
      </text>
    </comment>
    <comment ref="B10" authorId="1">
      <text>
        <r>
          <rPr>
            <sz val="9"/>
            <color indexed="81"/>
            <rFont val="宋体"/>
            <family val="3"/>
            <charset val="134"/>
          </rPr>
          <t>填报纳税人取得的除本表第2行至第6行项目以外的收入，包括投资收益、银行存款利息收入、租金收入、捐赠收入、现金盘盈收入、存货盘盈收入、收回已核销应收及预付款项、无法偿付的应付及预收款项等。</t>
        </r>
      </text>
    </comment>
    <comment ref="B11" authorId="1">
      <text>
        <r>
          <rPr>
            <sz val="9"/>
            <color indexed="81"/>
            <rFont val="宋体"/>
            <family val="3"/>
            <charset val="134"/>
          </rPr>
          <t>填报在“其他收入”科目中核算的各项短期投资、长期债券投资、长期股权投资取得的投资收益。</t>
        </r>
      </text>
    </comment>
    <comment ref="C11" authorId="0">
      <text>
        <r>
          <rPr>
            <sz val="9"/>
            <color indexed="81"/>
            <rFont val="Tahoma"/>
            <family val="2"/>
          </rPr>
          <t>第8行或第16行＝表A100000第9行。</t>
        </r>
      </text>
    </comment>
    <comment ref="B12" authorId="1">
      <text>
        <r>
          <rPr>
            <sz val="9"/>
            <color indexed="81"/>
            <rFont val="宋体"/>
            <family val="3"/>
            <charset val="134"/>
          </rPr>
          <t>填报在“其他收入”科目中核算的除投资收益以外的收入。</t>
        </r>
      </text>
    </comment>
    <comment ref="C12" authorId="0">
      <text>
        <r>
          <rPr>
            <sz val="9"/>
            <color indexed="81"/>
            <rFont val="Tahoma"/>
            <family val="2"/>
          </rPr>
          <t>第9行或第17行＝表A100000第11行。</t>
        </r>
      </text>
    </comment>
    <comment ref="B13" authorId="1">
      <text>
        <r>
          <rPr>
            <sz val="9"/>
            <color indexed="81"/>
            <rFont val="宋体"/>
            <family val="3"/>
            <charset val="134"/>
          </rPr>
          <t>填报纳税人开展业务活动取得的收入，应当包括接受捐赠收入、会费收入、提供劳务收入、政府补助收入、投资收益、商品销售收入等主要业务活动收入和其他收入等。</t>
        </r>
      </text>
    </comment>
    <comment ref="C13" authorId="0">
      <text>
        <r>
          <rPr>
            <sz val="9"/>
            <color indexed="81"/>
            <rFont val="Tahoma"/>
            <family val="2"/>
          </rPr>
          <t>第2+3+4+5+6行或第11+12+13+14+15行＝表A100000第1行。</t>
        </r>
      </text>
    </comment>
    <comment ref="B14" authorId="1">
      <text>
        <r>
          <rPr>
            <sz val="9"/>
            <color indexed="81"/>
            <rFont val="宋体"/>
            <family val="3"/>
            <charset val="134"/>
          </rPr>
          <t>填报纳税人接受其他单位或者个人捐赠所取得的收入。</t>
        </r>
      </text>
    </comment>
    <comment ref="B15" authorId="1">
      <text>
        <r>
          <rPr>
            <sz val="9"/>
            <color indexed="81"/>
            <rFont val="宋体"/>
            <family val="3"/>
            <charset val="134"/>
          </rPr>
          <t>填报纳税人根据章程等规定向会员收取的会费收入。</t>
        </r>
      </text>
    </comment>
    <comment ref="B16" authorId="1">
      <text>
        <r>
          <rPr>
            <sz val="9"/>
            <color indexed="81"/>
            <rFont val="宋体"/>
            <family val="3"/>
            <charset val="134"/>
          </rPr>
          <t>填报纳税人根据章程等规定向其服务对象提供服务取得的收入，包括学费收入、医疗费收入、培训收入等。</t>
        </r>
      </text>
    </comment>
    <comment ref="B17" authorId="1">
      <text>
        <r>
          <rPr>
            <sz val="9"/>
            <color indexed="81"/>
            <rFont val="宋体"/>
            <family val="3"/>
            <charset val="134"/>
          </rPr>
          <t>填报纳税人销售商品（如出版物、药品等）所形成的收入。</t>
        </r>
      </text>
    </comment>
    <comment ref="B18" authorId="1">
      <text>
        <r>
          <rPr>
            <sz val="9"/>
            <color indexed="81"/>
            <rFont val="宋体"/>
            <family val="3"/>
            <charset val="134"/>
          </rPr>
          <t>填报纳税人接受政府拨款或者政府机构给予的补助而取得的收入。</t>
        </r>
      </text>
    </comment>
    <comment ref="B19" authorId="1">
      <text>
        <r>
          <rPr>
            <sz val="9"/>
            <color indexed="81"/>
            <rFont val="宋体"/>
            <family val="3"/>
            <charset val="134"/>
          </rPr>
          <t>填报纳税人因对外投资取得的投资净收益。</t>
        </r>
      </text>
    </comment>
    <comment ref="C19" authorId="0">
      <text>
        <r>
          <rPr>
            <sz val="9"/>
            <color indexed="81"/>
            <rFont val="Tahoma"/>
            <family val="2"/>
          </rPr>
          <t>第8行或第16行＝表A100000第9行。</t>
        </r>
      </text>
    </comment>
    <comment ref="B20" authorId="1">
      <text>
        <r>
          <rPr>
            <sz val="9"/>
            <color indexed="81"/>
            <rFont val="宋体"/>
            <family val="3"/>
            <charset val="134"/>
          </rPr>
          <t>填报纳税人除上述主要业务活动收入以外的其他收入，如固定资产处置净收入、无形资产处置净收入等。</t>
        </r>
      </text>
    </comment>
    <comment ref="C20" authorId="0">
      <text>
        <r>
          <rPr>
            <sz val="9"/>
            <color indexed="81"/>
            <rFont val="Tahoma"/>
            <family val="2"/>
          </rPr>
          <t>第9行或第17行＝表A100000第11行。</t>
        </r>
      </text>
    </comment>
    <comment ref="B21" authorId="1">
      <text>
        <r>
          <rPr>
            <sz val="9"/>
            <color indexed="81"/>
            <rFont val="宋体"/>
            <family val="3"/>
            <charset val="134"/>
          </rPr>
          <t>填报纳税人发生的所有支出总额（含不征税收入形成的支出），按照会计核算口径填报。</t>
        </r>
      </text>
    </comment>
    <comment ref="B22" authorId="1">
      <text>
        <r>
          <rPr>
            <sz val="9"/>
            <color indexed="81"/>
            <rFont val="宋体"/>
            <family val="3"/>
            <charset val="134"/>
          </rPr>
          <t>填报纳税人开展专业业务活动及其辅助活动发生的支出，包括工资、补助工资、职工福利费、社会保障费、助学金，公务费、业务费、设备购置费、修缮费和其他费用。</t>
        </r>
      </text>
    </comment>
    <comment ref="B23" authorId="1">
      <text>
        <r>
          <rPr>
            <sz val="9"/>
            <color indexed="81"/>
            <rFont val="宋体"/>
            <family val="3"/>
            <charset val="134"/>
          </rPr>
          <t>填报纳税人按照财政部门和主管部门的规定上缴上级单位的支出。</t>
        </r>
      </text>
    </comment>
    <comment ref="B24" authorId="1">
      <text>
        <r>
          <rPr>
            <sz val="9"/>
            <color indexed="81"/>
            <rFont val="宋体"/>
            <family val="3"/>
            <charset val="134"/>
          </rPr>
          <t>填报纳税人用财政补助收入之外的收入对附属单位补助发生的支出。</t>
        </r>
      </text>
    </comment>
    <comment ref="B25" authorId="1">
      <text>
        <r>
          <rPr>
            <sz val="9"/>
            <color indexed="81"/>
            <rFont val="宋体"/>
            <family val="3"/>
            <charset val="134"/>
          </rPr>
          <t>填报纳税人在专业业务活动及其辅助活动之外开展非独立核算经营活动发生的支出。</t>
        </r>
      </text>
    </comment>
    <comment ref="B26" authorId="1">
      <text>
        <r>
          <rPr>
            <sz val="9"/>
            <color indexed="81"/>
            <rFont val="宋体"/>
            <family val="3"/>
            <charset val="134"/>
          </rPr>
          <t>填报纳税人除本表第19行至第22行项目以外的支出，包括利息支出、捐赠支出、现金盘亏损失、资产处置损失、接受捐赠（调入）非流动资产发生的税费支出等。</t>
        </r>
      </text>
    </comment>
    <comment ref="C26" authorId="0">
      <text>
        <r>
          <rPr>
            <sz val="9"/>
            <color indexed="81"/>
            <rFont val="Tahoma"/>
            <family val="2"/>
          </rPr>
          <t>第23行或第28行＝表A100000第12行。</t>
        </r>
      </text>
    </comment>
    <comment ref="B27" authorId="1">
      <text>
        <r>
          <rPr>
            <sz val="9"/>
            <color indexed="81"/>
            <rFont val="宋体"/>
            <family val="3"/>
            <charset val="134"/>
          </rPr>
          <t>填报纳税人发生的所有支出总额。按照会计核算口径填报。</t>
        </r>
      </text>
    </comment>
    <comment ref="B28" authorId="1">
      <text>
        <r>
          <rPr>
            <sz val="9"/>
            <color indexed="81"/>
            <rFont val="宋体"/>
            <family val="3"/>
            <charset val="134"/>
          </rPr>
          <t>填报民间非营利组织为了实现其业务活动目标、开展某项目活动或者提供劳务所发生的费用。</t>
        </r>
      </text>
    </comment>
    <comment ref="B29" authorId="1">
      <text>
        <r>
          <rPr>
            <sz val="9"/>
            <color indexed="81"/>
            <rFont val="宋体"/>
            <family val="3"/>
            <charset val="134"/>
          </rPr>
          <t>填报民间非营利组织为组织和管理其业务活动所发生的各项费用，包括民间非营利组织董事会（或者理事会或者类似权力机构）经费和行政管理人员的工资、奖金、津贴、福利费、住房公积金、住房补贴、社会保障费、离退休人员工资与补助，以及办公费、水电费、邮电费、物业管理费、差旅费、折旧费、修理费、无形资产摊销费、存货盘亏损失、资产减值损失、因预计负债所产生的损失、聘请中介机构费和应偿还的受赠资产等。</t>
        </r>
      </text>
    </comment>
    <comment ref="B30" authorId="1">
      <text>
        <r>
          <rPr>
            <sz val="9"/>
            <color indexed="81"/>
            <rFont val="宋体"/>
            <family val="3"/>
            <charset val="134"/>
          </rPr>
          <t>填报民间非营利组织为筹集业务活动所需资金而发生的费用，包括民间非营利组织获得捐赠资产而发生的费用以及应当计入当期费用的借款费用、汇兑损失（减汇兑收益）等。民间非营利组织为了获得捐赠资产而发生的费用包括举办募款活动费，准备、印刷和发放募款宣传资料费以及其他与募款或者争取捐赠有关的费用。</t>
        </r>
      </text>
    </comment>
    <comment ref="B31" authorId="1">
      <text>
        <r>
          <rPr>
            <sz val="9"/>
            <color indexed="81"/>
            <rFont val="宋体"/>
            <family val="3"/>
            <charset val="134"/>
          </rPr>
          <t>填报民间非营利组织发生的、无法归属到上述业务活动成本、管理费用或者筹资费用中的费用，包括固定资产处置净损失、无形资产处置净损失等。</t>
        </r>
      </text>
    </comment>
    <comment ref="C31" authorId="0">
      <text>
        <r>
          <rPr>
            <sz val="9"/>
            <color indexed="81"/>
            <rFont val="Tahoma"/>
            <family val="2"/>
          </rPr>
          <t xml:space="preserve">第23行或第28行＝表A100000第12行。
</t>
        </r>
      </text>
    </comment>
  </commentList>
</comments>
</file>

<file path=xl/comments19.xml><?xml version="1.0" encoding="utf-8"?>
<comments xmlns="http://schemas.openxmlformats.org/spreadsheetml/2006/main">
  <authors>
    <author>Zhang, Dorothy</author>
    <author>Cindy Wang</author>
  </authors>
  <commentList>
    <comment ref="A2" authorId="0">
      <text>
        <r>
          <rPr>
            <sz val="9"/>
            <color indexed="81"/>
            <rFont val="宋体"/>
            <family val="3"/>
            <charset val="134"/>
          </rPr>
          <t>本表适用于执行企业会计准则、小企业会计准则、企业会计制度、分行业会计制度的查账征收居民纳税人填报。纳税人应根据企业会计准则、小企业会计准则、企业会计、分行业会计制度规定，填报</t>
        </r>
        <r>
          <rPr>
            <sz val="9"/>
            <color indexed="81"/>
            <rFont val="Tahoma"/>
            <family val="2"/>
          </rPr>
          <t>“</t>
        </r>
        <r>
          <rPr>
            <sz val="9"/>
            <color indexed="81"/>
            <rFont val="宋体"/>
            <family val="3"/>
            <charset val="134"/>
          </rPr>
          <t>销售费用</t>
        </r>
        <r>
          <rPr>
            <sz val="9"/>
            <color indexed="81"/>
            <rFont val="Tahoma"/>
            <family val="2"/>
          </rPr>
          <t>”“</t>
        </r>
        <r>
          <rPr>
            <sz val="9"/>
            <color indexed="81"/>
            <rFont val="宋体"/>
            <family val="3"/>
            <charset val="134"/>
          </rPr>
          <t>管理费用</t>
        </r>
        <r>
          <rPr>
            <sz val="9"/>
            <color indexed="81"/>
            <rFont val="Tahoma"/>
            <family val="2"/>
          </rPr>
          <t>”</t>
        </r>
        <r>
          <rPr>
            <sz val="9"/>
            <color indexed="81"/>
            <rFont val="宋体"/>
            <family val="3"/>
            <charset val="134"/>
          </rPr>
          <t>和</t>
        </r>
        <r>
          <rPr>
            <sz val="9"/>
            <color indexed="81"/>
            <rFont val="Tahoma"/>
            <family val="2"/>
          </rPr>
          <t>“</t>
        </r>
        <r>
          <rPr>
            <sz val="9"/>
            <color indexed="81"/>
            <rFont val="宋体"/>
            <family val="3"/>
            <charset val="134"/>
          </rPr>
          <t>财务费用</t>
        </r>
        <r>
          <rPr>
            <sz val="9"/>
            <color indexed="81"/>
            <rFont val="Tahoma"/>
            <family val="2"/>
          </rPr>
          <t>”</t>
        </r>
        <r>
          <rPr>
            <sz val="9"/>
            <color indexed="81"/>
            <rFont val="宋体"/>
            <family val="3"/>
            <charset val="134"/>
          </rPr>
          <t>等项目。</t>
        </r>
        <r>
          <rPr>
            <sz val="9"/>
            <color indexed="81"/>
            <rFont val="Tahoma"/>
            <family val="2"/>
          </rPr>
          <t xml:space="preserve">
</t>
        </r>
      </text>
    </comment>
    <comment ref="A3" authorId="0">
      <text>
        <r>
          <rPr>
            <sz val="9"/>
            <color indexed="81"/>
            <rFont val="宋体"/>
            <family val="3"/>
            <charset val="134"/>
          </rPr>
          <t>第</t>
        </r>
        <r>
          <rPr>
            <sz val="9"/>
            <color indexed="81"/>
            <rFont val="Tahoma"/>
            <family val="2"/>
          </rPr>
          <t>1</t>
        </r>
        <r>
          <rPr>
            <sz val="9"/>
            <color indexed="81"/>
            <rFont val="宋体"/>
            <family val="3"/>
            <charset val="134"/>
          </rPr>
          <t>行至第</t>
        </r>
        <r>
          <rPr>
            <sz val="9"/>
            <color indexed="81"/>
            <rFont val="Tahoma"/>
            <family val="2"/>
          </rPr>
          <t>25</t>
        </r>
        <r>
          <rPr>
            <sz val="9"/>
            <color indexed="81"/>
            <rFont val="宋体"/>
            <family val="3"/>
            <charset val="134"/>
          </rPr>
          <t>行：根据费用科目核算的具体项目金额进行填报，如果贷方发生额大于借方发生额，应填报负数。</t>
        </r>
        <r>
          <rPr>
            <sz val="9"/>
            <color indexed="81"/>
            <rFont val="Tahoma"/>
            <family val="2"/>
          </rPr>
          <t xml:space="preserve">
</t>
        </r>
      </text>
    </comment>
    <comment ref="C3" authorId="1">
      <text>
        <r>
          <rPr>
            <sz val="9"/>
            <color indexed="81"/>
            <rFont val="宋体"/>
            <family val="3"/>
            <charset val="134"/>
          </rPr>
          <t>填报在销售费用科目进行核算的相关明细项目的金额，其中金融企业填报在业务及管理费科目进行核算的相关明细项目的金额。</t>
        </r>
      </text>
    </comment>
    <comment ref="D3" authorId="1">
      <text>
        <r>
          <rPr>
            <sz val="9"/>
            <color indexed="81"/>
            <rFont val="宋体"/>
            <family val="3"/>
            <charset val="134"/>
          </rPr>
          <t>填报在销售费用科目进行核算的向境外支付的相关明细项目的金额，其中金融企业填报在业务及管理费科目进行核算的相关明细项目的金额。</t>
        </r>
      </text>
    </comment>
    <comment ref="E3" authorId="1">
      <text>
        <r>
          <rPr>
            <sz val="9"/>
            <color indexed="81"/>
            <rFont val="宋体"/>
            <family val="3"/>
            <charset val="134"/>
          </rPr>
          <t>填报在管理费用科目进行核算的相关明细项目的金额。</t>
        </r>
      </text>
    </comment>
    <comment ref="F3" authorId="1">
      <text>
        <r>
          <rPr>
            <sz val="9"/>
            <color indexed="81"/>
            <rFont val="宋体"/>
            <family val="3"/>
            <charset val="134"/>
          </rPr>
          <t>填报在管理费用科目进行核算的向境外支付的相关明细项目的金额。</t>
        </r>
      </text>
    </comment>
    <comment ref="G3" authorId="1">
      <text>
        <r>
          <rPr>
            <sz val="9"/>
            <color indexed="81"/>
            <rFont val="宋体"/>
            <family val="3"/>
            <charset val="134"/>
          </rPr>
          <t>填报在财务费用科目进行核算的有关明细项目的金额。</t>
        </r>
      </text>
    </comment>
    <comment ref="H3" authorId="1">
      <text>
        <r>
          <rPr>
            <sz val="9"/>
            <color indexed="81"/>
            <rFont val="宋体"/>
            <family val="3"/>
            <charset val="134"/>
          </rPr>
          <t>填报在财务费用科目进行核算的向境外支付的有关明细项目的金额。</t>
        </r>
      </text>
    </comment>
    <comment ref="C31" authorId="0">
      <text>
        <r>
          <rPr>
            <sz val="9"/>
            <color indexed="81"/>
            <rFont val="Tahoma"/>
            <family val="2"/>
          </rPr>
          <t>第26行第1列＝表A100000第4行。</t>
        </r>
      </text>
    </comment>
    <comment ref="E31" authorId="0">
      <text>
        <r>
          <rPr>
            <sz val="9"/>
            <color indexed="81"/>
            <rFont val="Tahoma"/>
            <family val="2"/>
          </rPr>
          <t>第26行第3列＝表A100000第5行。</t>
        </r>
      </text>
    </comment>
    <comment ref="G31" authorId="0">
      <text>
        <r>
          <rPr>
            <sz val="9"/>
            <color indexed="81"/>
            <rFont val="Tahoma"/>
            <family val="2"/>
          </rPr>
          <t xml:space="preserve">第26行第5列＝表A100000第6行。 </t>
        </r>
      </text>
    </comment>
  </commentList>
</comments>
</file>

<file path=xl/comments20.xml><?xml version="1.0" encoding="utf-8"?>
<comments xmlns="http://schemas.openxmlformats.org/spreadsheetml/2006/main">
  <authors>
    <author>Cindy Wang</author>
    <author>Zhang, Dorothy</author>
  </authors>
  <commentList>
    <comment ref="A2" authorId="0">
      <text>
        <r>
          <rPr>
            <sz val="9"/>
            <color indexed="81"/>
            <rFont val="宋体"/>
            <family val="3"/>
            <charset val="134"/>
          </rPr>
          <t>本表由纳税人根据税法、相关税收规定以及国家统一会计制度的规定，填报企业所得税涉税事项的会计处理、税务处理以及纳税调整情况。</t>
        </r>
      </text>
    </comment>
    <comment ref="B3" authorId="1">
      <text>
        <r>
          <rPr>
            <sz val="9"/>
            <color indexed="81"/>
            <rFont val="宋体"/>
            <family val="3"/>
            <charset val="134"/>
          </rPr>
          <t>本表纳税调整项目按照</t>
        </r>
        <r>
          <rPr>
            <sz val="9"/>
            <color indexed="81"/>
            <rFont val="Tahoma"/>
            <family val="2"/>
          </rPr>
          <t>“</t>
        </r>
        <r>
          <rPr>
            <sz val="9"/>
            <color indexed="81"/>
            <rFont val="宋体"/>
            <family val="3"/>
            <charset val="134"/>
          </rPr>
          <t>收入类调整项目</t>
        </r>
        <r>
          <rPr>
            <sz val="9"/>
            <color indexed="81"/>
            <rFont val="Tahoma"/>
            <family val="2"/>
          </rPr>
          <t>”“</t>
        </r>
        <r>
          <rPr>
            <sz val="9"/>
            <color indexed="81"/>
            <rFont val="宋体"/>
            <family val="3"/>
            <charset val="134"/>
          </rPr>
          <t>扣除类调整项目</t>
        </r>
        <r>
          <rPr>
            <sz val="9"/>
            <color indexed="81"/>
            <rFont val="Tahoma"/>
            <family val="2"/>
          </rPr>
          <t>”“</t>
        </r>
        <r>
          <rPr>
            <sz val="9"/>
            <color indexed="81"/>
            <rFont val="宋体"/>
            <family val="3"/>
            <charset val="134"/>
          </rPr>
          <t>资产类调整项目</t>
        </r>
        <r>
          <rPr>
            <sz val="9"/>
            <color indexed="81"/>
            <rFont val="Tahoma"/>
            <family val="2"/>
          </rPr>
          <t>”“</t>
        </r>
        <r>
          <rPr>
            <sz val="9"/>
            <color indexed="81"/>
            <rFont val="宋体"/>
            <family val="3"/>
            <charset val="134"/>
          </rPr>
          <t>特殊事项调整项目</t>
        </r>
        <r>
          <rPr>
            <sz val="9"/>
            <color indexed="81"/>
            <rFont val="Tahoma"/>
            <family val="2"/>
          </rPr>
          <t>”“</t>
        </r>
        <r>
          <rPr>
            <sz val="9"/>
            <color indexed="81"/>
            <rFont val="宋体"/>
            <family val="3"/>
            <charset val="134"/>
          </rPr>
          <t>特别纳税调整应税所得</t>
        </r>
        <r>
          <rPr>
            <sz val="9"/>
            <color indexed="81"/>
            <rFont val="Tahoma"/>
            <family val="2"/>
          </rPr>
          <t>”“</t>
        </r>
        <r>
          <rPr>
            <sz val="9"/>
            <color indexed="81"/>
            <rFont val="宋体"/>
            <family val="3"/>
            <charset val="134"/>
          </rPr>
          <t>其他</t>
        </r>
        <r>
          <rPr>
            <sz val="9"/>
            <color indexed="81"/>
            <rFont val="Tahoma"/>
            <family val="2"/>
          </rPr>
          <t>”</t>
        </r>
        <r>
          <rPr>
            <sz val="9"/>
            <color indexed="81"/>
            <rFont val="宋体"/>
            <family val="3"/>
            <charset val="134"/>
          </rPr>
          <t>六大项分类填报汇总，并计算出纳税</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和</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的合计金额。
本表纳税调整项目按照“收入类调整项目”“扣除类调整项目”“资产类调整项目”“特殊事项调整项目”“特别纳税调整应税所得”“其他”六大项分类填报汇总，并计算出纳税“调增金额”和“调减金额”的合计金额。
对需填报下级明细表的纳税调整项目，其“账载金额”、“税收金额”“调增金额”，“调减金额”根据相应附表进行计算填报。</t>
        </r>
      </text>
    </comment>
    <comment ref="C3" authorId="0">
      <text>
        <r>
          <rPr>
            <sz val="9"/>
            <color indexed="81"/>
            <rFont val="宋体"/>
            <family val="3"/>
            <charset val="134"/>
          </rPr>
          <t>“账载金额”是指纳税人按照国家统一会计制度规定核算的项目金额。</t>
        </r>
      </text>
    </comment>
    <comment ref="D3" authorId="0">
      <text>
        <r>
          <rPr>
            <sz val="9"/>
            <color indexed="81"/>
            <rFont val="宋体"/>
            <family val="3"/>
            <charset val="134"/>
          </rPr>
          <t>“税收金额”是指纳税人按照税收规定计算的项目金额。</t>
        </r>
      </text>
    </comment>
    <comment ref="B5" authorId="0">
      <text>
        <r>
          <rPr>
            <sz val="9"/>
            <color indexed="81"/>
            <rFont val="宋体"/>
            <family val="3"/>
            <charset val="134"/>
          </rPr>
          <t>根据第2行至第11行(不含第9行)进行填报。</t>
        </r>
      </text>
    </comment>
    <comment ref="B6" authorId="0">
      <text>
        <r>
          <rPr>
            <sz val="9"/>
            <color indexed="81"/>
            <rFont val="宋体"/>
            <family val="3"/>
            <charset val="134"/>
          </rPr>
          <t>填报会计处理不确认为销售收入，税收规定确认应税收入的收入。根据《视同销售和房地产开发企业特定业务纳税调整明细表》(A105010)填报。</t>
        </r>
      </text>
    </comment>
    <comment ref="D6" authorId="1">
      <text>
        <r>
          <rPr>
            <sz val="9"/>
            <color indexed="81"/>
            <rFont val="宋体"/>
            <family val="3"/>
            <charset val="134"/>
          </rPr>
          <t>第</t>
        </r>
        <r>
          <rPr>
            <sz val="9"/>
            <color indexed="81"/>
            <rFont val="Tahoma"/>
            <family val="2"/>
          </rPr>
          <t>2</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A105010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1</t>
        </r>
        <r>
          <rPr>
            <sz val="9"/>
            <color indexed="81"/>
            <rFont val="宋体"/>
            <family val="3"/>
            <charset val="134"/>
          </rPr>
          <t>列。</t>
        </r>
      </text>
    </comment>
    <comment ref="E6" authorId="1">
      <text>
        <r>
          <rPr>
            <sz val="9"/>
            <color indexed="81"/>
            <rFont val="宋体"/>
            <family val="3"/>
            <charset val="134"/>
          </rPr>
          <t>第</t>
        </r>
        <r>
          <rPr>
            <sz val="9"/>
            <color indexed="81"/>
            <rFont val="Tahoma"/>
            <family val="2"/>
          </rPr>
          <t>2</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A105010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2</t>
        </r>
        <r>
          <rPr>
            <sz val="9"/>
            <color indexed="81"/>
            <rFont val="宋体"/>
            <family val="3"/>
            <charset val="134"/>
          </rPr>
          <t>列。</t>
        </r>
      </text>
    </comment>
    <comment ref="B7" authorId="1">
      <text>
        <r>
          <rPr>
            <sz val="9"/>
            <color indexed="81"/>
            <rFont val="宋体"/>
            <family val="3"/>
            <charset val="134"/>
          </rPr>
          <t>根据《未按权责发生制确认收入纳税调整明细表》</t>
        </r>
        <r>
          <rPr>
            <sz val="9"/>
            <color indexed="81"/>
            <rFont val="Tahoma"/>
            <family val="2"/>
          </rPr>
          <t>(A105020)</t>
        </r>
        <r>
          <rPr>
            <sz val="9"/>
            <color indexed="81"/>
            <rFont val="宋体"/>
            <family val="3"/>
            <charset val="134"/>
          </rPr>
          <t>填报。</t>
        </r>
        <r>
          <rPr>
            <sz val="9"/>
            <color indexed="81"/>
            <rFont val="Tahoma"/>
            <family val="2"/>
          </rPr>
          <t xml:space="preserve">
</t>
        </r>
      </text>
    </comment>
    <comment ref="C7" authorId="1">
      <text>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A105020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2</t>
        </r>
        <r>
          <rPr>
            <sz val="9"/>
            <color indexed="81"/>
            <rFont val="宋体"/>
            <family val="3"/>
            <charset val="134"/>
          </rPr>
          <t>列。</t>
        </r>
      </text>
    </comment>
    <comment ref="D7" authorId="1">
      <text>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A105020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4</t>
        </r>
        <r>
          <rPr>
            <sz val="9"/>
            <color indexed="81"/>
            <rFont val="宋体"/>
            <family val="3"/>
            <charset val="134"/>
          </rPr>
          <t>列。</t>
        </r>
      </text>
    </comment>
    <comment ref="E7" authorId="1">
      <text>
        <r>
          <rPr>
            <sz val="9"/>
            <color indexed="81"/>
            <rFont val="宋体"/>
            <family val="3"/>
            <charset val="134"/>
          </rPr>
          <t>若表</t>
        </r>
        <r>
          <rPr>
            <sz val="9"/>
            <color indexed="81"/>
            <rFont val="Tahoma"/>
            <family val="2"/>
          </rPr>
          <t>A105020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A105020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text>
    </comment>
    <comment ref="F7" authorId="1">
      <text>
        <r>
          <rPr>
            <sz val="9"/>
            <color indexed="81"/>
            <rFont val="宋体"/>
            <family val="3"/>
            <charset val="134"/>
          </rPr>
          <t>若表</t>
        </r>
        <r>
          <rPr>
            <sz val="9"/>
            <color indexed="81"/>
            <rFont val="Tahoma"/>
            <family val="2"/>
          </rPr>
          <t>A105020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A105020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列的绝对值。</t>
        </r>
      </text>
    </comment>
    <comment ref="B8" authorId="1">
      <text>
        <r>
          <rPr>
            <sz val="9"/>
            <color indexed="81"/>
            <rFont val="宋体"/>
            <family val="3"/>
            <charset val="134"/>
          </rPr>
          <t>根据《投资收益纳税调整明细表》</t>
        </r>
        <r>
          <rPr>
            <sz val="9"/>
            <color indexed="81"/>
            <rFont val="Tahoma"/>
            <family val="2"/>
          </rPr>
          <t>(A105030)</t>
        </r>
        <r>
          <rPr>
            <sz val="9"/>
            <color indexed="81"/>
            <rFont val="宋体"/>
            <family val="3"/>
            <charset val="134"/>
          </rPr>
          <t>填报。</t>
        </r>
        <r>
          <rPr>
            <sz val="9"/>
            <color indexed="81"/>
            <rFont val="Tahoma"/>
            <family val="2"/>
          </rPr>
          <t xml:space="preserve">
</t>
        </r>
      </text>
    </comment>
    <comment ref="C8" authorId="1">
      <text>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A105030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1+8</t>
        </r>
        <r>
          <rPr>
            <sz val="9"/>
            <color indexed="81"/>
            <rFont val="宋体"/>
            <family val="3"/>
            <charset val="134"/>
          </rPr>
          <t>列。</t>
        </r>
      </text>
    </comment>
    <comment ref="D8" authorId="1">
      <text>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A105030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2+9</t>
        </r>
        <r>
          <rPr>
            <sz val="9"/>
            <color indexed="81"/>
            <rFont val="宋体"/>
            <family val="3"/>
            <charset val="134"/>
          </rPr>
          <t>列。</t>
        </r>
      </text>
    </comment>
    <comment ref="E8" authorId="1">
      <text>
        <r>
          <rPr>
            <sz val="9"/>
            <color indexed="81"/>
            <rFont val="宋体"/>
            <family val="3"/>
            <charset val="134"/>
          </rPr>
          <t>若表</t>
        </r>
        <r>
          <rPr>
            <sz val="9"/>
            <color indexed="81"/>
            <rFont val="Tahoma"/>
            <family val="2"/>
          </rPr>
          <t>A105030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A105030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t>
        </r>
      </text>
    </comment>
    <comment ref="F8" authorId="1">
      <text>
        <r>
          <rPr>
            <sz val="9"/>
            <color indexed="81"/>
            <rFont val="宋体"/>
            <family val="3"/>
            <charset val="134"/>
          </rPr>
          <t>若表</t>
        </r>
        <r>
          <rPr>
            <sz val="9"/>
            <color indexed="81"/>
            <rFont val="Tahoma"/>
            <family val="2"/>
          </rPr>
          <t>A105030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A105030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列的绝对值。</t>
        </r>
      </text>
    </comment>
    <comment ref="F9" authorId="1">
      <text>
        <r>
          <rPr>
            <sz val="9"/>
            <color indexed="81"/>
            <rFont val="宋体"/>
            <family val="3"/>
            <charset val="134"/>
          </rPr>
          <t>第</t>
        </r>
        <r>
          <rPr>
            <sz val="9"/>
            <color indexed="81"/>
            <rFont val="Tahoma"/>
            <family val="2"/>
          </rPr>
          <t>4</t>
        </r>
        <r>
          <rPr>
            <sz val="9"/>
            <color indexed="81"/>
            <rFont val="宋体"/>
            <family val="3"/>
            <charset val="134"/>
          </rPr>
          <t>列</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填报纳税人采取权益法核算，初始投资成本小于取得投资时应享有被投资单位可辩认净资产公允价值份额的差额计入取得投资当期的营业外收入的金额。</t>
        </r>
        <r>
          <rPr>
            <sz val="9"/>
            <color indexed="81"/>
            <rFont val="Tahoma"/>
            <family val="2"/>
          </rPr>
          <t xml:space="preserve">
</t>
        </r>
      </text>
    </comment>
    <comment ref="E10" authorId="1">
      <text>
        <r>
          <rPr>
            <sz val="9"/>
            <color indexed="81"/>
            <rFont val="宋体"/>
            <family val="3"/>
            <charset val="134"/>
          </rPr>
          <t>第</t>
        </r>
        <r>
          <rPr>
            <sz val="9"/>
            <color indexed="81"/>
            <rFont val="Tahoma"/>
            <family val="2"/>
          </rPr>
          <t>3</t>
        </r>
        <r>
          <rPr>
            <sz val="9"/>
            <color indexed="81"/>
            <rFont val="宋体"/>
            <family val="3"/>
            <charset val="134"/>
          </rPr>
          <t>列</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填报纳税人根据税收规定确认交易性金融资产初始投资金额与会计核算的交易性金融资产初始投资账面价值的差额。</t>
        </r>
        <r>
          <rPr>
            <sz val="9"/>
            <color indexed="81"/>
            <rFont val="Tahoma"/>
            <family val="2"/>
          </rPr>
          <t xml:space="preserve">
</t>
        </r>
      </text>
    </comment>
    <comment ref="B11" authorId="1">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填报纳税人会计核算的以公允价值计量的金融资产、金融负债以及投资性房地产类项目，计入当期损益的公允价值变动金额；第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，将绝对值填入第</t>
        </r>
        <r>
          <rPr>
            <sz val="9"/>
            <color indexed="81"/>
            <rFont val="Tahoma"/>
            <family val="2"/>
          </rPr>
          <t>3</t>
        </r>
        <r>
          <rPr>
            <sz val="9"/>
            <color indexed="81"/>
            <rFont val="宋体"/>
            <family val="3"/>
            <charset val="134"/>
          </rPr>
          <t>列</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；若第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，填入第</t>
        </r>
        <r>
          <rPr>
            <sz val="9"/>
            <color indexed="81"/>
            <rFont val="Tahoma"/>
            <family val="2"/>
          </rPr>
          <t>4</t>
        </r>
        <r>
          <rPr>
            <sz val="9"/>
            <color indexed="81"/>
            <rFont val="宋体"/>
            <family val="3"/>
            <charset val="134"/>
          </rPr>
          <t>列</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t>
        </r>
        <r>
          <rPr>
            <sz val="9"/>
            <color indexed="81"/>
            <rFont val="Tahoma"/>
            <family val="2"/>
          </rPr>
          <t xml:space="preserve">
</t>
        </r>
      </text>
    </comment>
    <comment ref="B12" authorId="1">
      <text>
        <r>
          <rPr>
            <sz val="9"/>
            <color indexed="81"/>
            <rFont val="宋体"/>
            <family val="3"/>
            <charset val="134"/>
          </rPr>
          <t>填报纳税人计入收入总额但属于税收规定不征税的财政拨款、依法收取并纳入财政管理的行政事业性收费以及政府性基金和国务院规定的其他不征税收入。</t>
        </r>
        <r>
          <rPr>
            <sz val="9"/>
            <color indexed="81"/>
            <rFont val="Tahoma"/>
            <family val="2"/>
          </rPr>
          <t xml:space="preserve">
</t>
        </r>
      </text>
    </comment>
    <comment ref="E12" authorId="1">
      <text>
        <r>
          <rPr>
            <sz val="9"/>
            <color indexed="81"/>
            <rFont val="宋体"/>
            <family val="3"/>
            <charset val="134"/>
          </rPr>
          <t>第</t>
        </r>
        <r>
          <rPr>
            <sz val="9"/>
            <color indexed="81"/>
            <rFont val="Tahoma"/>
            <family val="2"/>
          </rPr>
          <t>3</t>
        </r>
        <r>
          <rPr>
            <sz val="9"/>
            <color indexed="81"/>
            <rFont val="宋体"/>
            <family val="3"/>
            <charset val="134"/>
          </rPr>
          <t>列</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填报纳税人以前年度取得财政性资金且已作为不征税收入处理，在</t>
        </r>
        <r>
          <rPr>
            <sz val="9"/>
            <color indexed="81"/>
            <rFont val="Tahoma"/>
            <family val="2"/>
          </rPr>
          <t>5</t>
        </r>
        <r>
          <rPr>
            <sz val="9"/>
            <color indexed="81"/>
            <rFont val="宋体"/>
            <family val="3"/>
            <charset val="134"/>
          </rPr>
          <t>年（</t>
        </r>
        <r>
          <rPr>
            <sz val="9"/>
            <color indexed="81"/>
            <rFont val="Tahoma"/>
            <family val="2"/>
          </rPr>
          <t>60</t>
        </r>
        <r>
          <rPr>
            <sz val="9"/>
            <color indexed="81"/>
            <rFont val="宋体"/>
            <family val="3"/>
            <charset val="134"/>
          </rPr>
          <t>个月）内未发生支出且未缴回财政部门或其他拨付资金的政府部门，应计入应税收入额的金额。</t>
        </r>
        <r>
          <rPr>
            <sz val="9"/>
            <color indexed="81"/>
            <rFont val="Tahoma"/>
            <family val="2"/>
          </rPr>
          <t xml:space="preserve">
</t>
        </r>
      </text>
    </comment>
    <comment ref="F12" authorId="1">
      <text>
        <r>
          <rPr>
            <sz val="9"/>
            <color indexed="81"/>
            <rFont val="宋体"/>
            <family val="3"/>
            <charset val="134"/>
          </rPr>
          <t>第</t>
        </r>
        <r>
          <rPr>
            <sz val="9"/>
            <color indexed="81"/>
            <rFont val="Tahoma"/>
            <family val="2"/>
          </rPr>
          <t>4</t>
        </r>
        <r>
          <rPr>
            <sz val="9"/>
            <color indexed="81"/>
            <rFont val="宋体"/>
            <family val="3"/>
            <charset val="134"/>
          </rPr>
          <t>列</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填报符合税收规定不征税收入条件并作为不征税收入处理，且已计入当期损益的金额。</t>
        </r>
        <r>
          <rPr>
            <sz val="9"/>
            <color indexed="81"/>
            <rFont val="Tahoma"/>
            <family val="2"/>
          </rPr>
          <t xml:space="preserve">
</t>
        </r>
      </text>
    </comment>
    <comment ref="B13" authorId="1">
      <text>
        <r>
          <rPr>
            <sz val="9"/>
            <color indexed="81"/>
            <rFont val="宋体"/>
            <family val="3"/>
            <charset val="134"/>
          </rPr>
          <t>根据《专项用途财政性资金纳税调整明细表》</t>
        </r>
        <r>
          <rPr>
            <sz val="9"/>
            <color indexed="81"/>
            <rFont val="Tahoma"/>
            <family val="2"/>
          </rPr>
          <t>(A105040)</t>
        </r>
        <r>
          <rPr>
            <sz val="9"/>
            <color indexed="81"/>
            <rFont val="宋体"/>
            <family val="3"/>
            <charset val="134"/>
          </rPr>
          <t>填报。</t>
        </r>
        <r>
          <rPr>
            <sz val="9"/>
            <color indexed="81"/>
            <rFont val="Tahoma"/>
            <family val="2"/>
          </rPr>
          <t xml:space="preserve">
</t>
        </r>
      </text>
    </comment>
    <comment ref="E13" authorId="1">
      <text>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A105040</t>
        </r>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14</t>
        </r>
        <r>
          <rPr>
            <sz val="9"/>
            <color indexed="81"/>
            <rFont val="宋体"/>
            <family val="3"/>
            <charset val="134"/>
          </rPr>
          <t>列。</t>
        </r>
      </text>
    </comment>
    <comment ref="F13" authorId="1">
      <text>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A105040</t>
        </r>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4</t>
        </r>
        <r>
          <rPr>
            <sz val="9"/>
            <color indexed="81"/>
            <rFont val="宋体"/>
            <family val="3"/>
            <charset val="134"/>
          </rPr>
          <t>列。</t>
        </r>
      </text>
    </comment>
    <comment ref="B14" authorId="1">
      <text>
        <r>
          <rPr>
            <sz val="9"/>
            <color indexed="81"/>
            <rFont val="宋体"/>
            <family val="3"/>
            <charset val="134"/>
          </rPr>
          <t>填报不符合税收规定的销售折扣和折让应进行纳税调整的金额，和发生的销售退回因会计处理与税收规定有差异需纳税调整的金额。</t>
        </r>
        <r>
          <rPr>
            <sz val="9"/>
            <color indexed="81"/>
            <rFont val="Tahoma"/>
            <family val="2"/>
          </rPr>
          <t xml:space="preserve">
</t>
        </r>
        <r>
          <rPr>
            <sz val="9"/>
            <color indexed="81"/>
            <rFont val="宋体"/>
            <family val="3"/>
            <charset val="134"/>
          </rPr>
          <t>第1列减第2列，若余额≥0，填入第3列</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；若余额＜0，将绝对值填入第4列</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，第4列仅为销货退回影响损益的跨期时间性差异。</t>
        </r>
      </text>
    </comment>
    <comment ref="C14" authorId="1">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填报纳税人会计核算的销售折扣和折让金额及销货退回的追溯处理的净调整额。</t>
        </r>
        <r>
          <rPr>
            <sz val="9"/>
            <color indexed="81"/>
            <rFont val="Tahoma"/>
            <family val="2"/>
          </rPr>
          <t xml:space="preserve">
</t>
        </r>
      </text>
    </comment>
    <comment ref="D14" authorId="1">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填报根据税收规定可以税前扣除的折扣和折让的金额及销货退回业务影响当期损益的金额。</t>
        </r>
        <r>
          <rPr>
            <sz val="9"/>
            <color indexed="81"/>
            <rFont val="Tahoma"/>
            <family val="2"/>
          </rPr>
          <t xml:space="preserve">
</t>
        </r>
      </text>
    </comment>
    <comment ref="B15" authorId="1">
      <text>
        <r>
          <rPr>
            <sz val="9"/>
            <color indexed="81"/>
            <rFont val="宋体"/>
            <family val="3"/>
            <charset val="134"/>
          </rPr>
          <t>填报其他因会计处理与税收规定有差异需纳税调整的收入类项目金额。若第</t>
        </r>
        <r>
          <rPr>
            <sz val="9"/>
            <color indexed="81"/>
            <rFont val="Tahoma"/>
            <family val="2"/>
          </rPr>
          <t>2</t>
        </r>
        <r>
          <rPr>
            <sz val="9"/>
            <color indexed="81"/>
            <rFont val="宋体"/>
            <family val="3"/>
            <charset val="134"/>
          </rPr>
          <t>列≥第</t>
        </r>
        <r>
          <rPr>
            <sz val="9"/>
            <color indexed="81"/>
            <rFont val="Tahoma"/>
            <family val="2"/>
          </rPr>
          <t>1</t>
        </r>
        <r>
          <rPr>
            <sz val="9"/>
            <color indexed="81"/>
            <rFont val="宋体"/>
            <family val="3"/>
            <charset val="134"/>
          </rPr>
          <t>列，将第</t>
        </r>
        <r>
          <rPr>
            <sz val="9"/>
            <color indexed="81"/>
            <rFont val="Tahoma"/>
            <family val="2"/>
          </rPr>
          <t>2-1</t>
        </r>
        <r>
          <rPr>
            <sz val="9"/>
            <color indexed="81"/>
            <rFont val="宋体"/>
            <family val="3"/>
            <charset val="134"/>
          </rPr>
          <t>列的余额填入第</t>
        </r>
        <r>
          <rPr>
            <sz val="9"/>
            <color indexed="81"/>
            <rFont val="Tahoma"/>
            <family val="2"/>
          </rPr>
          <t>3</t>
        </r>
        <r>
          <rPr>
            <sz val="9"/>
            <color indexed="81"/>
            <rFont val="宋体"/>
            <family val="3"/>
            <charset val="134"/>
          </rPr>
          <t>列</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；若第</t>
        </r>
        <r>
          <rPr>
            <sz val="9"/>
            <color indexed="81"/>
            <rFont val="Tahoma"/>
            <family val="2"/>
          </rPr>
          <t>2</t>
        </r>
        <r>
          <rPr>
            <sz val="9"/>
            <color indexed="81"/>
            <rFont val="宋体"/>
            <family val="3"/>
            <charset val="134"/>
          </rPr>
          <t>列＜第</t>
        </r>
        <r>
          <rPr>
            <sz val="9"/>
            <color indexed="81"/>
            <rFont val="Tahoma"/>
            <family val="2"/>
          </rPr>
          <t>1</t>
        </r>
        <r>
          <rPr>
            <sz val="9"/>
            <color indexed="81"/>
            <rFont val="宋体"/>
            <family val="3"/>
            <charset val="134"/>
          </rPr>
          <t>列，将第</t>
        </r>
        <r>
          <rPr>
            <sz val="9"/>
            <color indexed="81"/>
            <rFont val="Tahoma"/>
            <family val="2"/>
          </rPr>
          <t>2-1</t>
        </r>
        <r>
          <rPr>
            <sz val="9"/>
            <color indexed="81"/>
            <rFont val="宋体"/>
            <family val="3"/>
            <charset val="134"/>
          </rPr>
          <t>列余额的绝对值填入第</t>
        </r>
        <r>
          <rPr>
            <sz val="9"/>
            <color indexed="81"/>
            <rFont val="Tahoma"/>
            <family val="2"/>
          </rPr>
          <t>4</t>
        </r>
        <r>
          <rPr>
            <sz val="9"/>
            <color indexed="81"/>
            <rFont val="宋体"/>
            <family val="3"/>
            <charset val="134"/>
          </rPr>
          <t>列</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t>
        </r>
      </text>
    </comment>
    <comment ref="B16" authorId="0">
      <text>
        <r>
          <rPr>
            <sz val="9"/>
            <color indexed="81"/>
            <rFont val="宋体"/>
            <family val="3"/>
            <charset val="134"/>
          </rPr>
          <t>根据第13行至第30行(不含第25行)填报。</t>
        </r>
      </text>
    </comment>
    <comment ref="B17" authorId="1">
      <text>
        <r>
          <rPr>
            <sz val="9"/>
            <color indexed="81"/>
            <rFont val="宋体"/>
            <family val="3"/>
            <charset val="134"/>
          </rPr>
          <t>填报会计处理不作为销售核算，税收规定作为应税收入对应的销售成本金额。根据《视同销售和房地产开发企业特定业务纳税调整明细表》</t>
        </r>
        <r>
          <rPr>
            <sz val="9"/>
            <color indexed="81"/>
            <rFont val="Tahoma"/>
            <family val="2"/>
          </rPr>
          <t>(A105010)</t>
        </r>
        <r>
          <rPr>
            <sz val="9"/>
            <color indexed="81"/>
            <rFont val="宋体"/>
            <family val="3"/>
            <charset val="134"/>
          </rPr>
          <t>填报。</t>
        </r>
        <r>
          <rPr>
            <sz val="9"/>
            <color indexed="81"/>
            <rFont val="Tahoma"/>
            <family val="2"/>
          </rPr>
          <t xml:space="preserve">
</t>
        </r>
      </text>
    </comment>
    <comment ref="D17" authorId="1">
      <text>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A105010</t>
        </r>
        <r>
          <rPr>
            <sz val="9"/>
            <color indexed="81"/>
            <rFont val="宋体"/>
            <family val="3"/>
            <charset val="134"/>
          </rPr>
          <t>第</t>
        </r>
        <r>
          <rPr>
            <sz val="9"/>
            <color indexed="81"/>
            <rFont val="Tahoma"/>
            <family val="2"/>
          </rPr>
          <t>11</t>
        </r>
        <r>
          <rPr>
            <sz val="9"/>
            <color indexed="81"/>
            <rFont val="宋体"/>
            <family val="3"/>
            <charset val="134"/>
          </rPr>
          <t>行第</t>
        </r>
        <r>
          <rPr>
            <sz val="9"/>
            <color indexed="81"/>
            <rFont val="Tahoma"/>
            <family val="2"/>
          </rPr>
          <t>1</t>
        </r>
        <r>
          <rPr>
            <sz val="9"/>
            <color indexed="81"/>
            <rFont val="宋体"/>
            <family val="3"/>
            <charset val="134"/>
          </rPr>
          <t>列。</t>
        </r>
      </text>
    </comment>
    <comment ref="F17" authorId="1">
      <text>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A105010</t>
        </r>
        <r>
          <rPr>
            <sz val="9"/>
            <color indexed="81"/>
            <rFont val="宋体"/>
            <family val="3"/>
            <charset val="134"/>
          </rPr>
          <t>第</t>
        </r>
        <r>
          <rPr>
            <sz val="9"/>
            <color indexed="81"/>
            <rFont val="Tahoma"/>
            <family val="2"/>
          </rPr>
          <t>11</t>
        </r>
        <r>
          <rPr>
            <sz val="9"/>
            <color indexed="81"/>
            <rFont val="宋体"/>
            <family val="3"/>
            <charset val="134"/>
          </rPr>
          <t>行第</t>
        </r>
        <r>
          <rPr>
            <sz val="9"/>
            <color indexed="81"/>
            <rFont val="Tahoma"/>
            <family val="2"/>
          </rPr>
          <t>2</t>
        </r>
        <r>
          <rPr>
            <sz val="9"/>
            <color indexed="81"/>
            <rFont val="宋体"/>
            <family val="3"/>
            <charset val="134"/>
          </rPr>
          <t>列的绝对值。</t>
        </r>
      </text>
    </comment>
    <comment ref="B18" authorId="1">
      <text>
        <r>
          <rPr>
            <sz val="9"/>
            <color indexed="81"/>
            <rFont val="宋体"/>
            <family val="3"/>
            <charset val="134"/>
          </rPr>
          <t>根据《职工薪酬支出及纳税调整明细表》</t>
        </r>
        <r>
          <rPr>
            <sz val="9"/>
            <color indexed="81"/>
            <rFont val="Tahoma"/>
            <family val="2"/>
          </rPr>
          <t>(A105050)</t>
        </r>
        <r>
          <rPr>
            <sz val="9"/>
            <color indexed="81"/>
            <rFont val="宋体"/>
            <family val="3"/>
            <charset val="134"/>
          </rPr>
          <t>填报。</t>
        </r>
        <r>
          <rPr>
            <sz val="9"/>
            <color indexed="81"/>
            <rFont val="Tahoma"/>
            <family val="2"/>
          </rPr>
          <t xml:space="preserve">
</t>
        </r>
      </text>
    </comment>
    <comment ref="C18" authorId="1">
      <text>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A105050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t>
        </r>
      </text>
    </comment>
    <comment ref="D18" authorId="1">
      <text>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A105050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5</t>
        </r>
        <r>
          <rPr>
            <sz val="9"/>
            <color indexed="81"/>
            <rFont val="宋体"/>
            <family val="3"/>
            <charset val="134"/>
          </rPr>
          <t>列。</t>
        </r>
        <r>
          <rPr>
            <sz val="9"/>
            <color indexed="81"/>
            <rFont val="Tahoma"/>
            <family val="2"/>
          </rPr>
          <t xml:space="preserve">
</t>
        </r>
      </text>
    </comment>
    <comment ref="E18" authorId="1">
      <text>
        <r>
          <rPr>
            <sz val="9"/>
            <color indexed="81"/>
            <rFont val="宋体"/>
            <family val="3"/>
            <charset val="134"/>
          </rPr>
          <t>若表</t>
        </r>
        <r>
          <rPr>
            <sz val="9"/>
            <color indexed="81"/>
            <rFont val="Tahoma"/>
            <family val="2"/>
          </rPr>
          <t>A105050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A105050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 xml:space="preserve">
</t>
        </r>
      </text>
    </comment>
    <comment ref="F18" authorId="1">
      <text>
        <r>
          <rPr>
            <sz val="9"/>
            <color indexed="81"/>
            <rFont val="宋体"/>
            <family val="3"/>
            <charset val="134"/>
          </rPr>
          <t>若表</t>
        </r>
        <r>
          <rPr>
            <sz val="9"/>
            <color indexed="81"/>
            <rFont val="Tahoma"/>
            <family val="2"/>
          </rPr>
          <t>A105050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A105050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列的绝对值。</t>
        </r>
        <r>
          <rPr>
            <sz val="9"/>
            <color indexed="81"/>
            <rFont val="Tahoma"/>
            <family val="2"/>
          </rPr>
          <t xml:space="preserve">
</t>
        </r>
      </text>
    </comment>
    <comment ref="C19" authorId="1">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填报纳税人会计核算计入当期损益的业务招待费金额。</t>
        </r>
        <r>
          <rPr>
            <sz val="9"/>
            <color indexed="81"/>
            <rFont val="Tahoma"/>
            <family val="2"/>
          </rPr>
          <t xml:space="preserve">
</t>
        </r>
      </text>
    </comment>
    <comment ref="D19" authorId="1">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填报按照税收规定允许税前扣除的业务招待费支出的金额。</t>
        </r>
      </text>
    </comment>
    <comment ref="B20" authorId="1">
      <text>
        <r>
          <rPr>
            <sz val="9"/>
            <color indexed="81"/>
            <rFont val="宋体"/>
            <family val="3"/>
            <charset val="134"/>
          </rPr>
          <t>根据《广告费和业务宣传费跨年度纳税调整明细表》</t>
        </r>
        <r>
          <rPr>
            <sz val="9"/>
            <color indexed="81"/>
            <rFont val="Tahoma"/>
            <family val="2"/>
          </rPr>
          <t>(A105060)</t>
        </r>
        <r>
          <rPr>
            <sz val="9"/>
            <color indexed="81"/>
            <rFont val="宋体"/>
            <family val="3"/>
            <charset val="134"/>
          </rPr>
          <t>填报。</t>
        </r>
      </text>
    </comment>
    <comment ref="E20" authorId="1">
      <text>
        <r>
          <rPr>
            <sz val="9"/>
            <color indexed="81"/>
            <rFont val="宋体"/>
            <family val="3"/>
            <charset val="134"/>
          </rPr>
          <t>若表</t>
        </r>
        <r>
          <rPr>
            <sz val="9"/>
            <color indexed="81"/>
            <rFont val="Tahoma"/>
            <family val="2"/>
          </rPr>
          <t>A105060</t>
        </r>
        <r>
          <rPr>
            <sz val="9"/>
            <color indexed="81"/>
            <rFont val="宋体"/>
            <family val="3"/>
            <charset val="134"/>
          </rPr>
          <t>第</t>
        </r>
        <r>
          <rPr>
            <sz val="9"/>
            <color indexed="81"/>
            <rFont val="Tahoma"/>
            <family val="2"/>
          </rPr>
          <t>12</t>
        </r>
        <r>
          <rPr>
            <sz val="9"/>
            <color indexed="81"/>
            <rFont val="宋体"/>
            <family val="3"/>
            <charset val="134"/>
          </rPr>
          <t>行≥</t>
        </r>
        <r>
          <rPr>
            <sz val="9"/>
            <color indexed="81"/>
            <rFont val="Tahoma"/>
            <family val="2"/>
          </rPr>
          <t>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A105060</t>
        </r>
        <r>
          <rPr>
            <sz val="9"/>
            <color indexed="81"/>
            <rFont val="宋体"/>
            <family val="3"/>
            <charset val="134"/>
          </rPr>
          <t>第</t>
        </r>
        <r>
          <rPr>
            <sz val="9"/>
            <color indexed="81"/>
            <rFont val="Tahoma"/>
            <family val="2"/>
          </rPr>
          <t>12</t>
        </r>
        <r>
          <rPr>
            <sz val="9"/>
            <color indexed="81"/>
            <rFont val="宋体"/>
            <family val="3"/>
            <charset val="134"/>
          </rPr>
          <t>行。</t>
        </r>
        <r>
          <rPr>
            <sz val="9"/>
            <color indexed="81"/>
            <rFont val="Tahoma"/>
            <family val="2"/>
          </rPr>
          <t xml:space="preserve">
</t>
        </r>
      </text>
    </comment>
    <comment ref="F20" authorId="1">
      <text>
        <r>
          <rPr>
            <sz val="9"/>
            <color indexed="81"/>
            <rFont val="宋体"/>
            <family val="3"/>
            <charset val="134"/>
          </rPr>
          <t>若表</t>
        </r>
        <r>
          <rPr>
            <sz val="9"/>
            <color indexed="81"/>
            <rFont val="Tahoma"/>
            <family val="2"/>
          </rPr>
          <t>A105060</t>
        </r>
        <r>
          <rPr>
            <sz val="9"/>
            <color indexed="81"/>
            <rFont val="宋体"/>
            <family val="3"/>
            <charset val="134"/>
          </rPr>
          <t>第</t>
        </r>
        <r>
          <rPr>
            <sz val="9"/>
            <color indexed="81"/>
            <rFont val="Tahoma"/>
            <family val="2"/>
          </rPr>
          <t>12</t>
        </r>
        <r>
          <rPr>
            <sz val="9"/>
            <color indexed="81"/>
            <rFont val="宋体"/>
            <family val="3"/>
            <charset val="134"/>
          </rPr>
          <t>行＜</t>
        </r>
        <r>
          <rPr>
            <sz val="9"/>
            <color indexed="81"/>
            <rFont val="Tahoma"/>
            <family val="2"/>
          </rPr>
          <t>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A105060</t>
        </r>
        <r>
          <rPr>
            <sz val="9"/>
            <color indexed="81"/>
            <rFont val="宋体"/>
            <family val="3"/>
            <charset val="134"/>
          </rPr>
          <t>第</t>
        </r>
        <r>
          <rPr>
            <sz val="9"/>
            <color indexed="81"/>
            <rFont val="Tahoma"/>
            <family val="2"/>
          </rPr>
          <t>12</t>
        </r>
        <r>
          <rPr>
            <sz val="9"/>
            <color indexed="81"/>
            <rFont val="宋体"/>
            <family val="3"/>
            <charset val="134"/>
          </rPr>
          <t>行的绝对值。</t>
        </r>
      </text>
    </comment>
    <comment ref="B21" authorId="1">
      <text>
        <r>
          <rPr>
            <sz val="9"/>
            <color indexed="81"/>
            <rFont val="宋体"/>
            <family val="3"/>
            <charset val="134"/>
          </rPr>
          <t>根据《捐赠支出及纳税调整明细表》</t>
        </r>
        <r>
          <rPr>
            <sz val="9"/>
            <color indexed="81"/>
            <rFont val="Tahoma"/>
            <family val="2"/>
          </rPr>
          <t>(A105070)</t>
        </r>
        <r>
          <rPr>
            <sz val="9"/>
            <color indexed="81"/>
            <rFont val="宋体"/>
            <family val="3"/>
            <charset val="134"/>
          </rPr>
          <t>填报。</t>
        </r>
      </text>
    </comment>
    <comment ref="C21" authorId="1">
      <text>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A105070</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D21" authorId="1">
      <text>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A105070</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4</t>
        </r>
        <r>
          <rPr>
            <sz val="9"/>
            <color indexed="81"/>
            <rFont val="宋体"/>
            <family val="3"/>
            <charset val="134"/>
          </rPr>
          <t>列。</t>
        </r>
      </text>
    </comment>
    <comment ref="E21" authorId="1">
      <text>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A105070</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5</t>
        </r>
        <r>
          <rPr>
            <sz val="9"/>
            <color indexed="81"/>
            <rFont val="宋体"/>
            <family val="3"/>
            <charset val="134"/>
          </rPr>
          <t>列。</t>
        </r>
      </text>
    </comment>
    <comment ref="F21" authorId="1">
      <text>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A105070</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 xml:space="preserve">
</t>
        </r>
      </text>
    </comment>
    <comment ref="C22" authorId="1">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填报纳税人向非金融企业借款，会计核算计入当期损益的利息支出的金额。</t>
        </r>
        <r>
          <rPr>
            <sz val="9"/>
            <color indexed="81"/>
            <rFont val="Tahoma"/>
            <family val="2"/>
          </rPr>
          <t xml:space="preserve">
</t>
        </r>
      </text>
    </comment>
    <comment ref="D22" authorId="1">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填报按照税收规定允许税前扣除的利息支出的金额。</t>
        </r>
      </text>
    </comment>
    <comment ref="C23" authorId="1">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填报纳税人会计核算计入当期损益的罚金、罚款和被罚没财物的损失，不包括纳税人按照经济合同规定支付的违约金（包括银行罚息）、罚款和诉讼费。</t>
        </r>
      </text>
    </comment>
    <comment ref="C24" authorId="1">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填报纳税人会计核算计入当期损益的税收滞纳金、加收利息。</t>
        </r>
      </text>
    </comment>
    <comment ref="C25" authorId="1">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填报纳税人会计核算计入当期损益的不符合税收规定的公益性捐赠的赞助支出的金额，包括直接向受赠人的捐赠、赞助支出等（不含广告性的赞助支出，广告性的赞助支出在表</t>
        </r>
        <r>
          <rPr>
            <sz val="9"/>
            <color indexed="81"/>
            <rFont val="Tahoma"/>
            <family val="2"/>
          </rPr>
          <t>A105060</t>
        </r>
        <r>
          <rPr>
            <sz val="9"/>
            <color indexed="81"/>
            <rFont val="宋体"/>
            <family val="3"/>
            <charset val="134"/>
          </rPr>
          <t>中调整）。</t>
        </r>
      </text>
    </comment>
    <comment ref="C26" authorId="1">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填报纳税人会计核算的与未实现融资收益相关并在当期确认的财务费用的金额。</t>
        </r>
      </text>
    </comment>
    <comment ref="D26" authorId="1">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填报按照税收规定允许税前扣除的金额。</t>
        </r>
      </text>
    </comment>
    <comment ref="C27" authorId="1">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填报纳税人会计核算计入当期损益的佣金和手续费金额。</t>
        </r>
      </text>
    </comment>
    <comment ref="D27" authorId="1">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填报按照税收规定允许税前扣除的佣金和手续费支出金额。</t>
        </r>
      </text>
    </comment>
    <comment ref="E28" authorId="1">
      <text>
        <r>
          <rPr>
            <sz val="9"/>
            <color indexed="81"/>
            <rFont val="宋体"/>
            <family val="3"/>
            <charset val="134"/>
          </rPr>
          <t>第</t>
        </r>
        <r>
          <rPr>
            <sz val="9"/>
            <color indexed="81"/>
            <rFont val="Tahoma"/>
            <family val="2"/>
          </rPr>
          <t>3</t>
        </r>
        <r>
          <rPr>
            <sz val="9"/>
            <color indexed="81"/>
            <rFont val="宋体"/>
            <family val="3"/>
            <charset val="134"/>
          </rPr>
          <t>列</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填报符合条件的不征税收入用于支出所形成的计入当期损益的费用化支出金额。</t>
        </r>
      </text>
    </comment>
    <comment ref="B29" authorId="1">
      <text>
        <r>
          <rPr>
            <sz val="9"/>
            <color indexed="81"/>
            <rFont val="宋体"/>
            <family val="3"/>
            <charset val="134"/>
          </rPr>
          <t>根据《专项用途财政性资金纳税调整明细表》</t>
        </r>
        <r>
          <rPr>
            <sz val="9"/>
            <color indexed="81"/>
            <rFont val="Tahoma"/>
            <family val="2"/>
          </rPr>
          <t>(A105040)</t>
        </r>
        <r>
          <rPr>
            <sz val="9"/>
            <color indexed="81"/>
            <rFont val="宋体"/>
            <family val="3"/>
            <charset val="134"/>
          </rPr>
          <t>填报。</t>
        </r>
      </text>
    </comment>
    <comment ref="E29" authorId="1">
      <text>
        <r>
          <rPr>
            <sz val="9"/>
            <color indexed="81"/>
            <rFont val="宋体"/>
            <family val="3"/>
            <charset val="134"/>
          </rPr>
          <t>第</t>
        </r>
        <r>
          <rPr>
            <sz val="9"/>
            <color indexed="81"/>
            <rFont val="Tahoma"/>
            <family val="2"/>
          </rPr>
          <t>25</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A105040</t>
        </r>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11</t>
        </r>
        <r>
          <rPr>
            <sz val="9"/>
            <color indexed="81"/>
            <rFont val="宋体"/>
            <family val="3"/>
            <charset val="134"/>
          </rPr>
          <t>列。</t>
        </r>
      </text>
    </comment>
    <comment ref="B30" authorId="0">
      <text>
        <r>
          <rPr>
            <sz val="9"/>
            <color indexed="81"/>
            <rFont val="宋体"/>
            <family val="3"/>
            <charset val="134"/>
          </rPr>
          <t>填报维简费、安全生产费用、预提费用、预计负债等跨期扣除项目调整情况。</t>
        </r>
      </text>
    </comment>
    <comment ref="C30" authorId="1">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填报纳税人会计核算计入当期损益的跨期扣除项目金额。</t>
        </r>
      </text>
    </comment>
    <comment ref="D30" authorId="1">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填报按照税收规定允许税前扣除的金额。</t>
        </r>
      </text>
    </comment>
    <comment ref="C31" authorId="1">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填报纳税人会计核算计入当期损益的与取得收入无关的支出的金额。</t>
        </r>
      </text>
    </comment>
    <comment ref="E32" authorId="1">
      <text>
        <r>
          <rPr>
            <sz val="9"/>
            <color indexed="81"/>
            <rFont val="宋体"/>
            <family val="3"/>
            <charset val="134"/>
          </rPr>
          <t>第</t>
        </r>
        <r>
          <rPr>
            <sz val="9"/>
            <color indexed="81"/>
            <rFont val="Tahoma"/>
            <family val="2"/>
          </rPr>
          <t>28</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A108010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16+17</t>
        </r>
        <r>
          <rPr>
            <sz val="9"/>
            <color indexed="81"/>
            <rFont val="宋体"/>
            <family val="3"/>
            <charset val="134"/>
          </rPr>
          <t>列。</t>
        </r>
        <r>
          <rPr>
            <sz val="9"/>
            <color indexed="81"/>
            <rFont val="Tahoma"/>
            <family val="2"/>
          </rPr>
          <t xml:space="preserve">
</t>
        </r>
      </text>
    </comment>
    <comment ref="B33" authorId="1">
      <text>
        <r>
          <rPr>
            <sz val="9"/>
            <color indexed="81"/>
            <rFont val="宋体"/>
            <family val="3"/>
            <charset val="134"/>
          </rPr>
          <t>填报纳税人根据有关文件规定，为创新基层党建工作、建立稳定的经费保障制度发生的党组织工作经费及纳税调整情况。</t>
        </r>
      </text>
    </comment>
    <comment ref="B34" authorId="1">
      <text>
        <r>
          <rPr>
            <sz val="9"/>
            <color indexed="81"/>
            <rFont val="宋体"/>
            <family val="3"/>
            <charset val="134"/>
          </rPr>
          <t>填报其他因会计处理与税收规定有差异需纳税调整的扣除类项目金额。</t>
        </r>
      </text>
    </comment>
    <comment ref="B35" authorId="0">
      <text>
        <r>
          <rPr>
            <sz val="9"/>
            <color indexed="81"/>
            <rFont val="宋体"/>
            <family val="3"/>
            <charset val="134"/>
          </rPr>
          <t>填报资产类调整项目第32行至第35行的合计金额。</t>
        </r>
      </text>
    </comment>
    <comment ref="B36" authorId="1">
      <text>
        <r>
          <rPr>
            <sz val="9"/>
            <color indexed="81"/>
            <rFont val="宋体"/>
            <family val="3"/>
            <charset val="134"/>
          </rPr>
          <t>根据《资产折旧、摊销及纳税调整明细表》</t>
        </r>
        <r>
          <rPr>
            <sz val="9"/>
            <color indexed="81"/>
            <rFont val="Tahoma"/>
            <family val="2"/>
          </rPr>
          <t>(A105080)</t>
        </r>
        <r>
          <rPr>
            <sz val="9"/>
            <color indexed="81"/>
            <rFont val="宋体"/>
            <family val="3"/>
            <charset val="134"/>
          </rPr>
          <t>填报。</t>
        </r>
      </text>
    </comment>
    <comment ref="C36" authorId="1">
      <text>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A105080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D36" authorId="1">
      <text>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A105080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5</t>
        </r>
        <r>
          <rPr>
            <sz val="9"/>
            <color indexed="81"/>
            <rFont val="宋体"/>
            <family val="3"/>
            <charset val="134"/>
          </rPr>
          <t>列。</t>
        </r>
        <r>
          <rPr>
            <sz val="9"/>
            <color indexed="81"/>
            <rFont val="Tahoma"/>
            <family val="2"/>
          </rPr>
          <t xml:space="preserve">
</t>
        </r>
      </text>
    </comment>
    <comment ref="E36" authorId="1">
      <text>
        <r>
          <rPr>
            <sz val="9"/>
            <color indexed="81"/>
            <rFont val="宋体"/>
            <family val="3"/>
            <charset val="134"/>
          </rPr>
          <t>若表</t>
        </r>
        <r>
          <rPr>
            <sz val="9"/>
            <color indexed="81"/>
            <rFont val="Tahoma"/>
            <family val="2"/>
          </rPr>
          <t>A105080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A105080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t>
        </r>
        <r>
          <rPr>
            <sz val="9"/>
            <color indexed="81"/>
            <rFont val="Tahoma"/>
            <family val="2"/>
          </rPr>
          <t xml:space="preserve">
</t>
        </r>
      </text>
    </comment>
    <comment ref="F36" authorId="1">
      <text>
        <r>
          <rPr>
            <sz val="9"/>
            <color indexed="81"/>
            <rFont val="宋体"/>
            <family val="3"/>
            <charset val="134"/>
          </rPr>
          <t>若表</t>
        </r>
        <r>
          <rPr>
            <sz val="9"/>
            <color indexed="81"/>
            <rFont val="Tahoma"/>
            <family val="2"/>
          </rPr>
          <t>A105080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A105080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列的绝对值。</t>
        </r>
        <r>
          <rPr>
            <sz val="9"/>
            <color indexed="81"/>
            <rFont val="Tahoma"/>
            <family val="2"/>
          </rPr>
          <t xml:space="preserve">
</t>
        </r>
      </text>
    </comment>
    <comment ref="B37" authorId="1">
      <text>
        <r>
          <rPr>
            <sz val="9"/>
            <color indexed="81"/>
            <rFont val="宋体"/>
            <family val="3"/>
            <charset val="134"/>
          </rPr>
          <t>填报坏账准备、存货跌价准备、理赔费用准备金等不允许税前扣除的各类资产减值准备金纳税调整情况。</t>
        </r>
      </text>
    </comment>
    <comment ref="C37" authorId="1">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填报纳税人会计核算计入当期损益的资产减值准备金金额（因价值恢复等原因转回的资产减值准备金应予以冲回）。</t>
        </r>
      </text>
    </comment>
    <comment ref="B38" authorId="1">
      <text>
        <r>
          <rPr>
            <sz val="9"/>
            <color indexed="81"/>
            <rFont val="宋体"/>
            <family val="3"/>
            <charset val="134"/>
          </rPr>
          <t>根据《资产损失税前扣除及纳税调整明细表》</t>
        </r>
        <r>
          <rPr>
            <sz val="9"/>
            <color indexed="81"/>
            <rFont val="Tahoma"/>
            <family val="2"/>
          </rPr>
          <t>(A105090)</t>
        </r>
        <r>
          <rPr>
            <sz val="9"/>
            <color indexed="81"/>
            <rFont val="宋体"/>
            <family val="3"/>
            <charset val="134"/>
          </rPr>
          <t>填报。</t>
        </r>
      </text>
    </comment>
    <comment ref="C38" authorId="1">
      <text>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A105090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D38" authorId="1">
      <text>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A105090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5</t>
        </r>
        <r>
          <rPr>
            <sz val="9"/>
            <color indexed="81"/>
            <rFont val="宋体"/>
            <family val="3"/>
            <charset val="134"/>
          </rPr>
          <t>列。</t>
        </r>
        <r>
          <rPr>
            <sz val="9"/>
            <color indexed="81"/>
            <rFont val="Tahoma"/>
            <family val="2"/>
          </rPr>
          <t xml:space="preserve">
</t>
        </r>
      </text>
    </comment>
    <comment ref="E38" authorId="1">
      <text>
        <r>
          <rPr>
            <sz val="9"/>
            <color indexed="81"/>
            <rFont val="宋体"/>
            <family val="3"/>
            <charset val="134"/>
          </rPr>
          <t>若表</t>
        </r>
        <r>
          <rPr>
            <sz val="9"/>
            <color indexed="81"/>
            <rFont val="Tahoma"/>
            <family val="2"/>
          </rPr>
          <t>A105090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A105090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 xml:space="preserve">
</t>
        </r>
      </text>
    </comment>
    <comment ref="F38" authorId="1">
      <text>
        <r>
          <rPr>
            <sz val="9"/>
            <color indexed="81"/>
            <rFont val="宋体"/>
            <family val="3"/>
            <charset val="134"/>
          </rPr>
          <t>若表</t>
        </r>
        <r>
          <rPr>
            <sz val="9"/>
            <color indexed="81"/>
            <rFont val="Tahoma"/>
            <family val="2"/>
          </rPr>
          <t>A105090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A105090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列的绝对值。</t>
        </r>
        <r>
          <rPr>
            <sz val="9"/>
            <color indexed="81"/>
            <rFont val="Tahoma"/>
            <family val="2"/>
          </rPr>
          <t xml:space="preserve">
</t>
        </r>
      </text>
    </comment>
    <comment ref="B39" authorId="1">
      <text>
        <r>
          <rPr>
            <sz val="9"/>
            <color indexed="81"/>
            <rFont val="宋体"/>
            <family val="3"/>
            <charset val="134"/>
          </rPr>
          <t>填报其他因会计处理与税收规定有差异需纳税调整的资产类项目金额。</t>
        </r>
      </text>
    </comment>
    <comment ref="B40" authorId="0">
      <text>
        <r>
          <rPr>
            <sz val="9"/>
            <color indexed="81"/>
            <rFont val="宋体"/>
            <family val="3"/>
            <charset val="134"/>
          </rPr>
          <t>填报特殊事项调整项目第37行至第42行的合计金额。</t>
        </r>
      </text>
    </comment>
    <comment ref="B41" authorId="1">
      <text>
        <r>
          <rPr>
            <sz val="9"/>
            <color indexed="81"/>
            <rFont val="宋体"/>
            <family val="3"/>
            <charset val="134"/>
          </rPr>
          <t>根据《企业重组及递延纳税事项纳税调整明细表》</t>
        </r>
        <r>
          <rPr>
            <sz val="9"/>
            <color indexed="81"/>
            <rFont val="Tahoma"/>
            <family val="2"/>
          </rPr>
          <t>(A105100)</t>
        </r>
        <r>
          <rPr>
            <sz val="9"/>
            <color indexed="81"/>
            <rFont val="宋体"/>
            <family val="3"/>
            <charset val="134"/>
          </rPr>
          <t>填报。</t>
        </r>
      </text>
    </comment>
    <comment ref="C41" authorId="1">
      <text>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A105100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1+4</t>
        </r>
        <r>
          <rPr>
            <sz val="9"/>
            <color indexed="81"/>
            <rFont val="宋体"/>
            <family val="3"/>
            <charset val="134"/>
          </rPr>
          <t>列。</t>
        </r>
      </text>
    </comment>
    <comment ref="D41" authorId="1">
      <text>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A105100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2+5</t>
        </r>
        <r>
          <rPr>
            <sz val="9"/>
            <color indexed="81"/>
            <rFont val="宋体"/>
            <family val="3"/>
            <charset val="134"/>
          </rPr>
          <t>列。</t>
        </r>
        <r>
          <rPr>
            <sz val="9"/>
            <color indexed="81"/>
            <rFont val="Tahoma"/>
            <family val="2"/>
          </rPr>
          <t xml:space="preserve">
</t>
        </r>
      </text>
    </comment>
    <comment ref="E41" authorId="1">
      <text>
        <r>
          <rPr>
            <sz val="9"/>
            <color indexed="81"/>
            <rFont val="宋体"/>
            <family val="3"/>
            <charset val="134"/>
          </rPr>
          <t>若表</t>
        </r>
        <r>
          <rPr>
            <sz val="9"/>
            <color indexed="81"/>
            <rFont val="Tahoma"/>
            <family val="2"/>
          </rPr>
          <t>A105100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A105100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t>
        </r>
      </text>
    </comment>
    <comment ref="F41" authorId="1">
      <text>
        <r>
          <rPr>
            <sz val="9"/>
            <color indexed="81"/>
            <rFont val="宋体"/>
            <family val="3"/>
            <charset val="134"/>
          </rPr>
          <t>若表</t>
        </r>
        <r>
          <rPr>
            <sz val="9"/>
            <color indexed="81"/>
            <rFont val="Tahoma"/>
            <family val="2"/>
          </rPr>
          <t>A105100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A105100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列的绝对值。</t>
        </r>
      </text>
    </comment>
    <comment ref="B42" authorId="1">
      <text>
        <r>
          <rPr>
            <sz val="9"/>
            <color indexed="81"/>
            <rFont val="宋体"/>
            <family val="3"/>
            <charset val="134"/>
          </rPr>
          <t>根据《政策性搬迁纳税调整明细表》</t>
        </r>
        <r>
          <rPr>
            <sz val="9"/>
            <color indexed="81"/>
            <rFont val="Tahoma"/>
            <family val="2"/>
          </rPr>
          <t>(A105110)</t>
        </r>
        <r>
          <rPr>
            <sz val="9"/>
            <color indexed="81"/>
            <rFont val="宋体"/>
            <family val="3"/>
            <charset val="134"/>
          </rPr>
          <t>填报。</t>
        </r>
      </text>
    </comment>
    <comment ref="E42" authorId="1">
      <text>
        <r>
          <rPr>
            <sz val="9"/>
            <color indexed="81"/>
            <rFont val="宋体"/>
            <family val="3"/>
            <charset val="134"/>
          </rPr>
          <t>若表</t>
        </r>
        <r>
          <rPr>
            <sz val="9"/>
            <color indexed="81"/>
            <rFont val="Tahoma"/>
            <family val="2"/>
          </rPr>
          <t>A105110</t>
        </r>
        <r>
          <rPr>
            <sz val="9"/>
            <color indexed="81"/>
            <rFont val="宋体"/>
            <family val="3"/>
            <charset val="134"/>
          </rPr>
          <t>第</t>
        </r>
        <r>
          <rPr>
            <sz val="9"/>
            <color indexed="81"/>
            <rFont val="Tahoma"/>
            <family val="2"/>
          </rPr>
          <t>24</t>
        </r>
        <r>
          <rPr>
            <sz val="9"/>
            <color indexed="81"/>
            <rFont val="宋体"/>
            <family val="3"/>
            <charset val="134"/>
          </rPr>
          <t>行≥</t>
        </r>
        <r>
          <rPr>
            <sz val="9"/>
            <color indexed="81"/>
            <rFont val="Tahoma"/>
            <family val="2"/>
          </rPr>
          <t>0</t>
        </r>
        <r>
          <rPr>
            <sz val="9"/>
            <color indexed="81"/>
            <rFont val="宋体"/>
            <family val="3"/>
            <charset val="134"/>
          </rPr>
          <t>，第</t>
        </r>
        <r>
          <rPr>
            <sz val="9"/>
            <color indexed="81"/>
            <rFont val="Tahoma"/>
            <family val="2"/>
          </rPr>
          <t>38</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A105110</t>
        </r>
        <r>
          <rPr>
            <sz val="9"/>
            <color indexed="81"/>
            <rFont val="宋体"/>
            <family val="3"/>
            <charset val="134"/>
          </rPr>
          <t>第</t>
        </r>
        <r>
          <rPr>
            <sz val="9"/>
            <color indexed="81"/>
            <rFont val="Tahoma"/>
            <family val="2"/>
          </rPr>
          <t>24</t>
        </r>
        <r>
          <rPr>
            <sz val="9"/>
            <color indexed="81"/>
            <rFont val="宋体"/>
            <family val="3"/>
            <charset val="134"/>
          </rPr>
          <t>行。</t>
        </r>
      </text>
    </comment>
    <comment ref="F42" authorId="1">
      <text>
        <r>
          <rPr>
            <sz val="9"/>
            <color indexed="81"/>
            <rFont val="宋体"/>
            <family val="3"/>
            <charset val="134"/>
          </rPr>
          <t>若表</t>
        </r>
        <r>
          <rPr>
            <sz val="9"/>
            <color indexed="81"/>
            <rFont val="Tahoma"/>
            <family val="2"/>
          </rPr>
          <t>A105110</t>
        </r>
        <r>
          <rPr>
            <sz val="9"/>
            <color indexed="81"/>
            <rFont val="宋体"/>
            <family val="3"/>
            <charset val="134"/>
          </rPr>
          <t>第</t>
        </r>
        <r>
          <rPr>
            <sz val="9"/>
            <color indexed="81"/>
            <rFont val="Tahoma"/>
            <family val="2"/>
          </rPr>
          <t>24</t>
        </r>
        <r>
          <rPr>
            <sz val="9"/>
            <color indexed="81"/>
            <rFont val="宋体"/>
            <family val="3"/>
            <charset val="134"/>
          </rPr>
          <t>行＜</t>
        </r>
        <r>
          <rPr>
            <sz val="9"/>
            <color indexed="81"/>
            <rFont val="Tahoma"/>
            <family val="2"/>
          </rPr>
          <t>0</t>
        </r>
        <r>
          <rPr>
            <sz val="9"/>
            <color indexed="81"/>
            <rFont val="宋体"/>
            <family val="3"/>
            <charset val="134"/>
          </rPr>
          <t>，第</t>
        </r>
        <r>
          <rPr>
            <sz val="9"/>
            <color indexed="81"/>
            <rFont val="Tahoma"/>
            <family val="2"/>
          </rPr>
          <t>38</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A105110</t>
        </r>
        <r>
          <rPr>
            <sz val="9"/>
            <color indexed="81"/>
            <rFont val="宋体"/>
            <family val="3"/>
            <charset val="134"/>
          </rPr>
          <t>第</t>
        </r>
        <r>
          <rPr>
            <sz val="9"/>
            <color indexed="81"/>
            <rFont val="Tahoma"/>
            <family val="2"/>
          </rPr>
          <t>24</t>
        </r>
        <r>
          <rPr>
            <sz val="9"/>
            <color indexed="81"/>
            <rFont val="宋体"/>
            <family val="3"/>
            <charset val="134"/>
          </rPr>
          <t>行的绝对值。</t>
        </r>
        <r>
          <rPr>
            <sz val="9"/>
            <color indexed="81"/>
            <rFont val="Tahoma"/>
            <family val="2"/>
          </rPr>
          <t xml:space="preserve">
</t>
        </r>
      </text>
    </comment>
    <comment ref="B43" authorId="1">
      <text>
        <r>
          <rPr>
            <sz val="9"/>
            <color indexed="81"/>
            <rFont val="宋体"/>
            <family val="3"/>
            <charset val="134"/>
          </rPr>
          <t>根据《特殊行业准备金及纳税调整明细表》</t>
        </r>
        <r>
          <rPr>
            <sz val="9"/>
            <color indexed="81"/>
            <rFont val="Tahoma"/>
            <family val="2"/>
          </rPr>
          <t>(A105120)</t>
        </r>
        <r>
          <rPr>
            <sz val="9"/>
            <color indexed="81"/>
            <rFont val="宋体"/>
            <family val="3"/>
            <charset val="134"/>
          </rPr>
          <t>填报。</t>
        </r>
      </text>
    </comment>
    <comment ref="C43" authorId="1">
      <text>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A105120</t>
        </r>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1</t>
        </r>
        <r>
          <rPr>
            <sz val="9"/>
            <color indexed="81"/>
            <rFont val="宋体"/>
            <family val="3"/>
            <charset val="134"/>
          </rPr>
          <t>列。</t>
        </r>
      </text>
    </comment>
    <comment ref="D43" authorId="1">
      <text>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A105120</t>
        </r>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E43" authorId="1">
      <text>
        <r>
          <rPr>
            <sz val="9"/>
            <color indexed="81"/>
            <rFont val="宋体"/>
            <family val="3"/>
            <charset val="134"/>
          </rPr>
          <t>若表</t>
        </r>
        <r>
          <rPr>
            <sz val="9"/>
            <color indexed="81"/>
            <rFont val="Tahoma"/>
            <family val="2"/>
          </rPr>
          <t>A105120</t>
        </r>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3</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A105120</t>
        </r>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3</t>
        </r>
        <r>
          <rPr>
            <sz val="9"/>
            <color indexed="81"/>
            <rFont val="宋体"/>
            <family val="3"/>
            <charset val="134"/>
          </rPr>
          <t>列。</t>
        </r>
        <r>
          <rPr>
            <sz val="9"/>
            <color indexed="81"/>
            <rFont val="Tahoma"/>
            <family val="2"/>
          </rPr>
          <t xml:space="preserve">
</t>
        </r>
      </text>
    </comment>
    <comment ref="F43" authorId="1">
      <text>
        <r>
          <rPr>
            <sz val="9"/>
            <color indexed="81"/>
            <rFont val="宋体"/>
            <family val="3"/>
            <charset val="134"/>
          </rPr>
          <t>若表</t>
        </r>
        <r>
          <rPr>
            <sz val="9"/>
            <color indexed="81"/>
            <rFont val="Tahoma"/>
            <family val="2"/>
          </rPr>
          <t>A105120</t>
        </r>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3</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A105120</t>
        </r>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3</t>
        </r>
        <r>
          <rPr>
            <sz val="9"/>
            <color indexed="81"/>
            <rFont val="宋体"/>
            <family val="3"/>
            <charset val="134"/>
          </rPr>
          <t>列的绝对值。</t>
        </r>
        <r>
          <rPr>
            <sz val="9"/>
            <color indexed="81"/>
            <rFont val="Tahoma"/>
            <family val="2"/>
          </rPr>
          <t xml:space="preserve">
</t>
        </r>
      </text>
    </comment>
    <comment ref="B44" authorId="1">
      <text>
        <r>
          <rPr>
            <sz val="9"/>
            <color indexed="81"/>
            <rFont val="宋体"/>
            <family val="3"/>
            <charset val="134"/>
          </rPr>
          <t>根据《视同销售和房地产开发企业特定业务纳税调整明细表》</t>
        </r>
        <r>
          <rPr>
            <sz val="9"/>
            <color indexed="81"/>
            <rFont val="Tahoma"/>
            <family val="2"/>
          </rPr>
          <t>(A105010)</t>
        </r>
        <r>
          <rPr>
            <sz val="9"/>
            <color indexed="81"/>
            <rFont val="宋体"/>
            <family val="3"/>
            <charset val="134"/>
          </rPr>
          <t>填报。</t>
        </r>
      </text>
    </comment>
    <comment ref="D44" authorId="1">
      <text>
        <r>
          <rPr>
            <sz val="9"/>
            <color indexed="81"/>
            <rFont val="宋体"/>
            <family val="3"/>
            <charset val="134"/>
          </rPr>
          <t>第</t>
        </r>
        <r>
          <rPr>
            <sz val="9"/>
            <color indexed="81"/>
            <rFont val="Tahoma"/>
            <family val="2"/>
          </rPr>
          <t>40</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A105010</t>
        </r>
        <r>
          <rPr>
            <sz val="9"/>
            <color indexed="81"/>
            <rFont val="宋体"/>
            <family val="3"/>
            <charset val="134"/>
          </rPr>
          <t>第</t>
        </r>
        <r>
          <rPr>
            <sz val="9"/>
            <color indexed="81"/>
            <rFont val="Tahoma"/>
            <family val="2"/>
          </rPr>
          <t>21</t>
        </r>
        <r>
          <rPr>
            <sz val="9"/>
            <color indexed="81"/>
            <rFont val="宋体"/>
            <family val="3"/>
            <charset val="134"/>
          </rPr>
          <t>行第</t>
        </r>
        <r>
          <rPr>
            <sz val="9"/>
            <color indexed="81"/>
            <rFont val="Tahoma"/>
            <family val="2"/>
          </rPr>
          <t>1</t>
        </r>
        <r>
          <rPr>
            <sz val="9"/>
            <color indexed="81"/>
            <rFont val="宋体"/>
            <family val="3"/>
            <charset val="134"/>
          </rPr>
          <t>列。</t>
        </r>
      </text>
    </comment>
    <comment ref="E44" authorId="1">
      <text>
        <r>
          <rPr>
            <sz val="9"/>
            <color indexed="81"/>
            <rFont val="宋体"/>
            <family val="3"/>
            <charset val="134"/>
          </rPr>
          <t>若表</t>
        </r>
        <r>
          <rPr>
            <sz val="9"/>
            <color indexed="81"/>
            <rFont val="Tahoma"/>
            <family val="2"/>
          </rPr>
          <t>A105010</t>
        </r>
        <r>
          <rPr>
            <sz val="9"/>
            <color indexed="81"/>
            <rFont val="宋体"/>
            <family val="3"/>
            <charset val="134"/>
          </rPr>
          <t>第</t>
        </r>
        <r>
          <rPr>
            <sz val="9"/>
            <color indexed="81"/>
            <rFont val="Tahoma"/>
            <family val="2"/>
          </rPr>
          <t>21</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40</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A105010</t>
        </r>
        <r>
          <rPr>
            <sz val="9"/>
            <color indexed="81"/>
            <rFont val="宋体"/>
            <family val="3"/>
            <charset val="134"/>
          </rPr>
          <t>第</t>
        </r>
        <r>
          <rPr>
            <sz val="9"/>
            <color indexed="81"/>
            <rFont val="Tahoma"/>
            <family val="2"/>
          </rPr>
          <t>21</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F44" authorId="1">
      <text>
        <r>
          <rPr>
            <sz val="9"/>
            <color indexed="81"/>
            <rFont val="宋体"/>
            <family val="3"/>
            <charset val="134"/>
          </rPr>
          <t>若表</t>
        </r>
        <r>
          <rPr>
            <sz val="9"/>
            <color indexed="81"/>
            <rFont val="Tahoma"/>
            <family val="2"/>
          </rPr>
          <t>A105010</t>
        </r>
        <r>
          <rPr>
            <sz val="9"/>
            <color indexed="81"/>
            <rFont val="宋体"/>
            <family val="3"/>
            <charset val="134"/>
          </rPr>
          <t>第</t>
        </r>
        <r>
          <rPr>
            <sz val="9"/>
            <color indexed="81"/>
            <rFont val="Tahoma"/>
            <family val="2"/>
          </rPr>
          <t>21</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40</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A105010</t>
        </r>
        <r>
          <rPr>
            <sz val="9"/>
            <color indexed="81"/>
            <rFont val="宋体"/>
            <family val="3"/>
            <charset val="134"/>
          </rPr>
          <t>第</t>
        </r>
        <r>
          <rPr>
            <sz val="9"/>
            <color indexed="81"/>
            <rFont val="Tahoma"/>
            <family val="2"/>
          </rPr>
          <t>21</t>
        </r>
        <r>
          <rPr>
            <sz val="9"/>
            <color indexed="81"/>
            <rFont val="宋体"/>
            <family val="3"/>
            <charset val="134"/>
          </rPr>
          <t>行第</t>
        </r>
        <r>
          <rPr>
            <sz val="9"/>
            <color indexed="81"/>
            <rFont val="Tahoma"/>
            <family val="2"/>
          </rPr>
          <t>1</t>
        </r>
        <r>
          <rPr>
            <sz val="9"/>
            <color indexed="81"/>
            <rFont val="宋体"/>
            <family val="3"/>
            <charset val="134"/>
          </rPr>
          <t>列的绝对值。</t>
        </r>
        <r>
          <rPr>
            <sz val="9"/>
            <color indexed="81"/>
            <rFont val="Tahoma"/>
            <family val="2"/>
          </rPr>
          <t xml:space="preserve">
</t>
        </r>
      </text>
    </comment>
    <comment ref="C45" authorId="1">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填报有限合伙企业法人合伙方本年会计核算上确认的对有限合伙企业的投资所得；</t>
        </r>
      </text>
    </comment>
    <comment ref="D45" authorId="1">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填报纳税人按照</t>
        </r>
        <r>
          <rPr>
            <sz val="9"/>
            <color indexed="81"/>
            <rFont val="Tahoma"/>
            <family val="2"/>
          </rPr>
          <t>“</t>
        </r>
        <r>
          <rPr>
            <sz val="9"/>
            <color indexed="81"/>
            <rFont val="宋体"/>
            <family val="3"/>
            <charset val="134"/>
          </rPr>
          <t>先分后税</t>
        </r>
        <r>
          <rPr>
            <sz val="9"/>
            <color indexed="81"/>
            <rFont val="Tahoma"/>
            <family val="2"/>
          </rPr>
          <t>”</t>
        </r>
        <r>
          <rPr>
            <sz val="9"/>
            <color indexed="81"/>
            <rFont val="宋体"/>
            <family val="3"/>
            <charset val="134"/>
          </rPr>
          <t>原则和《财政部</t>
        </r>
        <r>
          <rPr>
            <sz val="9"/>
            <color indexed="81"/>
            <rFont val="Tahoma"/>
            <family val="2"/>
          </rPr>
          <t xml:space="preserve"> </t>
        </r>
        <r>
          <rPr>
            <sz val="9"/>
            <color indexed="81"/>
            <rFont val="宋体"/>
            <family val="3"/>
            <charset val="134"/>
          </rPr>
          <t>国家税务总局关于合伙企业合伙人所得税问题的通知》（财税〔</t>
        </r>
        <r>
          <rPr>
            <sz val="9"/>
            <color indexed="81"/>
            <rFont val="Tahoma"/>
            <family val="2"/>
          </rPr>
          <t>2008</t>
        </r>
        <r>
          <rPr>
            <sz val="9"/>
            <color indexed="81"/>
            <rFont val="宋体"/>
            <family val="3"/>
            <charset val="134"/>
          </rPr>
          <t>〕</t>
        </r>
        <r>
          <rPr>
            <sz val="9"/>
            <color indexed="81"/>
            <rFont val="Tahoma"/>
            <family val="2"/>
          </rPr>
          <t>159</t>
        </r>
        <r>
          <rPr>
            <sz val="9"/>
            <color indexed="81"/>
            <rFont val="宋体"/>
            <family val="3"/>
            <charset val="134"/>
          </rPr>
          <t>号）文件第四条规定计算的从合伙企业分得的法人合伙方应纳税所得额；</t>
        </r>
      </text>
    </comment>
    <comment ref="B46" authorId="1">
      <text>
        <r>
          <rPr>
            <sz val="9"/>
            <color indexed="81"/>
            <rFont val="宋体"/>
            <family val="3"/>
            <charset val="134"/>
          </rPr>
          <t>填报其他因会计处理与税收规定有差异需纳税调整的特殊事项金额。</t>
        </r>
      </text>
    </comment>
    <comment ref="B47" authorId="0">
      <text>
        <r>
          <rPr>
            <sz val="9"/>
            <color indexed="81"/>
            <rFont val="宋体"/>
            <family val="3"/>
            <charset val="134"/>
          </rPr>
          <t>填报经特别纳税调整后的“调增金额”。</t>
        </r>
      </text>
    </comment>
    <comment ref="E47" authorId="1">
      <text>
        <r>
          <rPr>
            <sz val="9"/>
            <color indexed="81"/>
            <rFont val="宋体"/>
            <family val="3"/>
            <charset val="134"/>
          </rPr>
          <t>第</t>
        </r>
        <r>
          <rPr>
            <sz val="9"/>
            <color indexed="81"/>
            <rFont val="Tahoma"/>
            <family val="2"/>
          </rPr>
          <t>3</t>
        </r>
        <r>
          <rPr>
            <sz val="9"/>
            <color indexed="81"/>
            <rFont val="宋体"/>
            <family val="3"/>
            <charset val="134"/>
          </rPr>
          <t>列</t>
        </r>
        <r>
          <rPr>
            <sz val="9"/>
            <color indexed="81"/>
            <rFont val="Tahoma"/>
            <family val="2"/>
          </rPr>
          <t>“</t>
        </r>
        <r>
          <rPr>
            <sz val="9"/>
            <color indexed="81"/>
            <rFont val="宋体"/>
            <family val="3"/>
            <charset val="134"/>
          </rPr>
          <t>调增金额</t>
        </r>
        <r>
          <rPr>
            <sz val="9"/>
            <color indexed="81"/>
            <rFont val="Tahoma"/>
            <family val="2"/>
          </rPr>
          <t>”</t>
        </r>
        <r>
          <rPr>
            <sz val="9"/>
            <color indexed="81"/>
            <rFont val="宋体"/>
            <family val="3"/>
            <charset val="134"/>
          </rPr>
          <t>填报纳税人按特别纳税调整规定自行调增的当年应税所得。</t>
        </r>
      </text>
    </comment>
    <comment ref="F47" authorId="1">
      <text>
        <r>
          <rPr>
            <sz val="9"/>
            <color indexed="81"/>
            <rFont val="宋体"/>
            <family val="3"/>
            <charset val="134"/>
          </rPr>
          <t>第</t>
        </r>
        <r>
          <rPr>
            <sz val="9"/>
            <color indexed="81"/>
            <rFont val="Tahoma"/>
            <family val="2"/>
          </rPr>
          <t>4</t>
        </r>
        <r>
          <rPr>
            <sz val="9"/>
            <color indexed="81"/>
            <rFont val="宋体"/>
            <family val="3"/>
            <charset val="134"/>
          </rPr>
          <t>列</t>
        </r>
        <r>
          <rPr>
            <sz val="9"/>
            <color indexed="81"/>
            <rFont val="Tahoma"/>
            <family val="2"/>
          </rPr>
          <t>“</t>
        </r>
        <r>
          <rPr>
            <sz val="9"/>
            <color indexed="81"/>
            <rFont val="宋体"/>
            <family val="3"/>
            <charset val="134"/>
          </rPr>
          <t>调减金额</t>
        </r>
        <r>
          <rPr>
            <sz val="9"/>
            <color indexed="81"/>
            <rFont val="Tahoma"/>
            <family val="2"/>
          </rPr>
          <t>”</t>
        </r>
        <r>
          <rPr>
            <sz val="9"/>
            <color indexed="81"/>
            <rFont val="宋体"/>
            <family val="3"/>
            <charset val="134"/>
          </rPr>
          <t>填报纳税人依据双边预约定价安排或者转让定价相应调整磋商结果的通知，需要调减的当年应税所得。</t>
        </r>
      </text>
    </comment>
    <comment ref="B48" authorId="1">
      <text>
        <r>
          <rPr>
            <sz val="9"/>
            <color indexed="81"/>
            <rFont val="宋体"/>
            <family val="3"/>
            <charset val="134"/>
          </rPr>
          <t>其他会计处理与税收规定存在差异需纳税调整的项目金额。</t>
        </r>
      </text>
    </comment>
    <comment ref="E49" authorId="1">
      <text>
        <r>
          <rPr>
            <sz val="9"/>
            <color indexed="81"/>
            <rFont val="宋体"/>
            <family val="3"/>
            <charset val="134"/>
          </rPr>
          <t>第</t>
        </r>
        <r>
          <rPr>
            <sz val="9"/>
            <color indexed="81"/>
            <rFont val="Tahoma"/>
            <family val="2"/>
          </rPr>
          <t>45</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15</t>
        </r>
        <r>
          <rPr>
            <sz val="9"/>
            <color indexed="81"/>
            <rFont val="宋体"/>
            <family val="3"/>
            <charset val="134"/>
          </rPr>
          <t>行。</t>
        </r>
      </text>
    </comment>
    <comment ref="F49" authorId="1">
      <text>
        <r>
          <rPr>
            <sz val="9"/>
            <color indexed="81"/>
            <rFont val="宋体"/>
            <family val="3"/>
            <charset val="134"/>
          </rPr>
          <t>第</t>
        </r>
        <r>
          <rPr>
            <sz val="9"/>
            <color indexed="81"/>
            <rFont val="Tahoma"/>
            <family val="2"/>
          </rPr>
          <t>45</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16</t>
        </r>
        <r>
          <rPr>
            <sz val="9"/>
            <color indexed="81"/>
            <rFont val="宋体"/>
            <family val="3"/>
            <charset val="134"/>
          </rPr>
          <t>行。</t>
        </r>
      </text>
    </comment>
  </commentList>
</comments>
</file>

<file path=xl/comments21.xml><?xml version="1.0" encoding="utf-8"?>
<comments xmlns="http://schemas.openxmlformats.org/spreadsheetml/2006/main">
  <authors>
    <author>Zhang, Dorothy</author>
    <author>Cindy Wang</author>
  </authors>
  <commentList>
    <comment ref="A2" authorId="0">
      <text>
        <r>
          <rPr>
            <sz val="9"/>
            <color indexed="81"/>
            <rFont val="宋体"/>
            <family val="3"/>
            <charset val="134"/>
          </rPr>
          <t>本表适用于发生视同销售、房地产企业特定业务纳税调整项目的纳税人填报。纳税人根据税法、《国家税务总局关于企业处置资产所得税处理问题的通知》（国税函〔</t>
        </r>
        <r>
          <rPr>
            <sz val="9"/>
            <color indexed="81"/>
            <rFont val="Tahoma"/>
            <family val="2"/>
          </rPr>
          <t>2008</t>
        </r>
        <r>
          <rPr>
            <sz val="9"/>
            <color indexed="81"/>
            <rFont val="宋体"/>
            <family val="3"/>
            <charset val="134"/>
          </rPr>
          <t>〕</t>
        </r>
        <r>
          <rPr>
            <sz val="9"/>
            <color indexed="81"/>
            <rFont val="Tahoma"/>
            <family val="2"/>
          </rPr>
          <t>828</t>
        </r>
        <r>
          <rPr>
            <sz val="9"/>
            <color indexed="81"/>
            <rFont val="宋体"/>
            <family val="3"/>
            <charset val="134"/>
          </rPr>
          <t>号）、《国家税务总局关于印发〈房地产开发经营业务企业所得税处理办法〉的通知》（国税发〔</t>
        </r>
        <r>
          <rPr>
            <sz val="9"/>
            <color indexed="81"/>
            <rFont val="Tahoma"/>
            <family val="2"/>
          </rPr>
          <t>2009</t>
        </r>
        <r>
          <rPr>
            <sz val="9"/>
            <color indexed="81"/>
            <rFont val="宋体"/>
            <family val="3"/>
            <charset val="134"/>
          </rPr>
          <t>〕</t>
        </r>
        <r>
          <rPr>
            <sz val="9"/>
            <color indexed="81"/>
            <rFont val="Tahoma"/>
            <family val="2"/>
          </rPr>
          <t>31</t>
        </r>
        <r>
          <rPr>
            <sz val="9"/>
            <color indexed="81"/>
            <rFont val="宋体"/>
            <family val="3"/>
            <charset val="134"/>
          </rPr>
          <t>号）、《国家税务总局关于企业所得税有关问题的公告》（国家税务总局公告</t>
        </r>
        <r>
          <rPr>
            <sz val="9"/>
            <color indexed="81"/>
            <rFont val="Tahoma"/>
            <family val="2"/>
          </rPr>
          <t>2016</t>
        </r>
        <r>
          <rPr>
            <sz val="9"/>
            <color indexed="81"/>
            <rFont val="宋体"/>
            <family val="3"/>
            <charset val="134"/>
          </rPr>
          <t>年第</t>
        </r>
        <r>
          <rPr>
            <sz val="9"/>
            <color indexed="81"/>
            <rFont val="Tahoma"/>
            <family val="2"/>
          </rPr>
          <t>80</t>
        </r>
        <r>
          <rPr>
            <sz val="9"/>
            <color indexed="81"/>
            <rFont val="宋体"/>
            <family val="3"/>
            <charset val="134"/>
          </rPr>
          <t>号）等相关规定，以及国家统一企业会计制度，填报视同销售行为、房地产企业销售未完工产品、未完工产品转完工产品特定业务的税收规定及纳税调整情况。</t>
        </r>
      </text>
    </comment>
    <comment ref="B5" authorId="1">
      <text>
        <r>
          <rPr>
            <sz val="9"/>
            <color indexed="81"/>
            <rFont val="宋体"/>
            <family val="3"/>
            <charset val="134"/>
          </rPr>
          <t>填报会计处理不确认销售收入，而税收规定确认为应税收入的金额，本行为第2行至第10行小计数。</t>
        </r>
      </text>
    </comment>
    <comment ref="C5"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
第</t>
        </r>
        <r>
          <rPr>
            <sz val="9"/>
            <color indexed="81"/>
            <rFont val="Tahoma"/>
            <family val="2"/>
          </rPr>
          <t>1</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2</t>
        </r>
        <r>
          <rPr>
            <sz val="9"/>
            <color indexed="81"/>
            <rFont val="宋体"/>
            <family val="3"/>
            <charset val="134"/>
          </rPr>
          <t>行第</t>
        </r>
        <r>
          <rPr>
            <sz val="9"/>
            <color indexed="81"/>
            <rFont val="Tahoma"/>
            <family val="2"/>
          </rPr>
          <t>2</t>
        </r>
        <r>
          <rPr>
            <sz val="9"/>
            <color indexed="81"/>
            <rFont val="宋体"/>
            <family val="3"/>
            <charset val="134"/>
          </rPr>
          <t>列。</t>
        </r>
      </text>
    </comment>
    <comment ref="D5"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 xml:space="preserve">”
</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2</t>
        </r>
        <r>
          <rPr>
            <sz val="9"/>
            <color indexed="81"/>
            <rFont val="宋体"/>
            <family val="3"/>
            <charset val="134"/>
          </rPr>
          <t>行第</t>
        </r>
        <r>
          <rPr>
            <sz val="9"/>
            <color indexed="81"/>
            <rFont val="Tahoma"/>
            <family val="2"/>
          </rPr>
          <t>3</t>
        </r>
        <r>
          <rPr>
            <sz val="9"/>
            <color indexed="81"/>
            <rFont val="宋体"/>
            <family val="3"/>
            <charset val="134"/>
          </rPr>
          <t>列。</t>
        </r>
      </text>
    </comment>
    <comment ref="B6" authorId="1">
      <text>
        <r>
          <rPr>
            <sz val="9"/>
            <color indexed="81"/>
            <rFont val="宋体"/>
            <family val="3"/>
            <charset val="134"/>
          </rPr>
          <t>填报发生非货币性资产交换业务，会计处理不确认销售收入，而税法规定确认为应税收入的金额。</t>
        </r>
      </text>
    </comment>
    <comment ref="C6"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6"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t>
        </r>
      </text>
    </comment>
    <comment ref="B7" authorId="1">
      <text>
        <r>
          <rPr>
            <sz val="9"/>
            <color indexed="81"/>
            <rFont val="宋体"/>
            <family val="3"/>
            <charset val="134"/>
          </rPr>
          <t>填报发生将货物、财产用于市场推广、广告、样品、集资、销售等，会计处理不确认销售收入，而税收规定确认为应税收入的金额。</t>
        </r>
      </text>
    </comment>
    <comment ref="C7"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7"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text>
    </comment>
    <comment ref="B8" authorId="1">
      <text>
        <r>
          <rPr>
            <sz val="9"/>
            <color indexed="81"/>
            <rFont val="宋体"/>
            <family val="3"/>
            <charset val="134"/>
          </rPr>
          <t>填报发生将货物、财产用于交际应酬，会计处理不确认销售收入，而税收规定确认为应税收入的金额。</t>
        </r>
      </text>
    </comment>
    <comment ref="C8"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8"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 xml:space="preserve">”
</t>
        </r>
      </text>
    </comment>
    <comment ref="B9" authorId="1">
      <text>
        <r>
          <rPr>
            <sz val="9"/>
            <color indexed="81"/>
            <rFont val="宋体"/>
            <family val="3"/>
            <charset val="134"/>
          </rPr>
          <t>填报发生将货物、财产用于职工奖励或福利，会计处理不确认销售收入，而税收规定确认为应税收入的金额。企业外购资产或服务不以销售为目的，用于替代职工福利费用支出，且购置后在一个纳税年度内处置的，以公允价值确定视同销售收入。</t>
        </r>
      </text>
    </comment>
    <comment ref="C9"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9"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text>
    </comment>
    <comment ref="B10" authorId="1">
      <text>
        <r>
          <rPr>
            <sz val="9"/>
            <color indexed="81"/>
            <rFont val="宋体"/>
            <family val="3"/>
            <charset val="134"/>
          </rPr>
          <t>填报发生将货物、财产用于股息分配，会计处理不确认销售收入，而税收规定确认为应税收入的金额。</t>
        </r>
      </text>
    </comment>
    <comment ref="C10"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10"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text>
    </comment>
    <comment ref="B11" authorId="1">
      <text>
        <r>
          <rPr>
            <sz val="9"/>
            <color indexed="81"/>
            <rFont val="宋体"/>
            <family val="3"/>
            <charset val="134"/>
          </rPr>
          <t>填报发生将货物、财产用于对外捐赠或赞助，会计处理不确认销售收入，而税收规定确认为应税收入的金额。</t>
        </r>
      </text>
    </comment>
    <comment ref="C11"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11"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text>
    </comment>
    <comment ref="B12" authorId="1">
      <text>
        <r>
          <rPr>
            <sz val="9"/>
            <color indexed="81"/>
            <rFont val="宋体"/>
            <family val="3"/>
            <charset val="134"/>
          </rPr>
          <t>填报发生将货物、财产用于对外投资，会计处理不确认销售收入，而税收规定确认为应税收入的金额。</t>
        </r>
      </text>
    </comment>
    <comment ref="C12"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12"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 xml:space="preserve">”
</t>
        </r>
      </text>
    </comment>
    <comment ref="B13" authorId="1">
      <text>
        <r>
          <rPr>
            <sz val="9"/>
            <color indexed="81"/>
            <rFont val="宋体"/>
            <family val="3"/>
            <charset val="134"/>
          </rPr>
          <t>填报发生对外提供劳务，会计处理不确认销售收入，而税收规定确认为应税收入的金额。</t>
        </r>
      </text>
    </comment>
    <comment ref="C13"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13"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 xml:space="preserve">”
</t>
        </r>
      </text>
    </comment>
    <comment ref="B14" authorId="1">
      <text>
        <r>
          <rPr>
            <sz val="9"/>
            <color indexed="81"/>
            <rFont val="宋体"/>
            <family val="3"/>
            <charset val="134"/>
          </rPr>
          <t>填报发生除上述列举情形外，会计处理不作为销售收入核算，而税收规定确认为应税收入的金额。</t>
        </r>
      </text>
    </comment>
    <comment ref="C14"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填报税收确认的应税收入金额；</t>
        </r>
      </text>
    </comment>
    <comment ref="D14"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 xml:space="preserve">”
</t>
        </r>
      </text>
    </comment>
    <comment ref="B15" authorId="1">
      <text>
        <r>
          <rPr>
            <sz val="9"/>
            <color indexed="81"/>
            <rFont val="宋体"/>
            <family val="3"/>
            <charset val="134"/>
          </rPr>
          <t>填报会计处理不确认销售收入，税收规定确认为应税收入对应的视同销售成本金额。本行为第12行至第20行小计数。</t>
        </r>
      </text>
    </comment>
    <comment ref="C15" authorId="1">
      <text>
        <r>
          <rPr>
            <sz val="9"/>
            <color indexed="81"/>
            <rFont val="宋体"/>
            <family val="3"/>
            <charset val="134"/>
          </rPr>
          <t>第1列“税收金额”填报予以税前扣除的视同销售成本金额。
第</t>
        </r>
        <r>
          <rPr>
            <sz val="9"/>
            <color indexed="81"/>
            <rFont val="宋体"/>
            <family val="3"/>
            <charset val="134"/>
          </rPr>
          <t>11</t>
        </r>
        <r>
          <rPr>
            <sz val="9"/>
            <color indexed="81"/>
            <rFont val="宋体"/>
            <family val="3"/>
            <charset val="134"/>
          </rPr>
          <t>行第</t>
        </r>
        <r>
          <rPr>
            <sz val="9"/>
            <color indexed="81"/>
            <rFont val="宋体"/>
            <family val="3"/>
            <charset val="134"/>
          </rPr>
          <t>1</t>
        </r>
        <r>
          <rPr>
            <sz val="9"/>
            <color indexed="81"/>
            <rFont val="宋体"/>
            <family val="3"/>
            <charset val="134"/>
          </rPr>
          <t>列＝表</t>
        </r>
        <r>
          <rPr>
            <sz val="9"/>
            <color indexed="81"/>
            <rFont val="宋体"/>
            <family val="3"/>
            <charset val="134"/>
          </rPr>
          <t>A105000</t>
        </r>
        <r>
          <rPr>
            <sz val="9"/>
            <color indexed="81"/>
            <rFont val="宋体"/>
            <family val="3"/>
            <charset val="134"/>
          </rPr>
          <t>第</t>
        </r>
        <r>
          <rPr>
            <sz val="9"/>
            <color indexed="81"/>
            <rFont val="宋体"/>
            <family val="3"/>
            <charset val="134"/>
          </rPr>
          <t>13</t>
        </r>
        <r>
          <rPr>
            <sz val="9"/>
            <color indexed="81"/>
            <rFont val="宋体"/>
            <family val="3"/>
            <charset val="134"/>
          </rPr>
          <t>行第</t>
        </r>
        <r>
          <rPr>
            <sz val="9"/>
            <color indexed="81"/>
            <rFont val="宋体"/>
            <family val="3"/>
            <charset val="134"/>
          </rPr>
          <t>2</t>
        </r>
        <r>
          <rPr>
            <sz val="9"/>
            <color indexed="81"/>
            <rFont val="宋体"/>
            <family val="3"/>
            <charset val="134"/>
          </rPr>
          <t>列。</t>
        </r>
      </text>
    </comment>
    <comment ref="D15" authorId="1">
      <text>
        <r>
          <rPr>
            <sz val="9"/>
            <color indexed="81"/>
            <rFont val="宋体"/>
            <family val="3"/>
            <charset val="134"/>
          </rPr>
          <t>将第1列税收金额以负数形式填报第2列“纳税调整金额”。
第</t>
        </r>
        <r>
          <rPr>
            <sz val="9"/>
            <color indexed="81"/>
            <rFont val="宋体"/>
            <family val="3"/>
            <charset val="134"/>
          </rPr>
          <t>11</t>
        </r>
        <r>
          <rPr>
            <sz val="9"/>
            <color indexed="81"/>
            <rFont val="宋体"/>
            <family val="3"/>
            <charset val="134"/>
          </rPr>
          <t>行第</t>
        </r>
        <r>
          <rPr>
            <sz val="9"/>
            <color indexed="81"/>
            <rFont val="宋体"/>
            <family val="3"/>
            <charset val="134"/>
          </rPr>
          <t>2</t>
        </r>
        <r>
          <rPr>
            <sz val="9"/>
            <color indexed="81"/>
            <rFont val="宋体"/>
            <family val="3"/>
            <charset val="134"/>
          </rPr>
          <t>列的绝对值＝表</t>
        </r>
        <r>
          <rPr>
            <sz val="9"/>
            <color indexed="81"/>
            <rFont val="宋体"/>
            <family val="3"/>
            <charset val="134"/>
          </rPr>
          <t>A105000</t>
        </r>
        <r>
          <rPr>
            <sz val="9"/>
            <color indexed="81"/>
            <rFont val="宋体"/>
            <family val="3"/>
            <charset val="134"/>
          </rPr>
          <t>第</t>
        </r>
        <r>
          <rPr>
            <sz val="9"/>
            <color indexed="81"/>
            <rFont val="宋体"/>
            <family val="3"/>
            <charset val="134"/>
          </rPr>
          <t>13</t>
        </r>
        <r>
          <rPr>
            <sz val="9"/>
            <color indexed="81"/>
            <rFont val="宋体"/>
            <family val="3"/>
            <charset val="134"/>
          </rPr>
          <t>行第</t>
        </r>
        <r>
          <rPr>
            <sz val="9"/>
            <color indexed="81"/>
            <rFont val="宋体"/>
            <family val="3"/>
            <charset val="134"/>
          </rPr>
          <t>4</t>
        </r>
        <r>
          <rPr>
            <sz val="9"/>
            <color indexed="81"/>
            <rFont val="宋体"/>
            <family val="3"/>
            <charset val="134"/>
          </rPr>
          <t>列。</t>
        </r>
      </text>
    </comment>
    <comment ref="B16" authorId="1">
      <text>
        <r>
          <rPr>
            <sz val="9"/>
            <color indexed="81"/>
            <rFont val="宋体"/>
            <family val="3"/>
            <charset val="134"/>
          </rPr>
          <t>填报发生非货币性资产交换业务，会计处理不确认销售收入，税收规定确认为应税收入所对应的应予以税前扣除的视同销售成本金额。</t>
        </r>
      </text>
    </comment>
    <comment ref="C16"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16" authorId="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17" authorId="1">
      <text>
        <r>
          <rPr>
            <sz val="9"/>
            <color indexed="81"/>
            <rFont val="宋体"/>
            <family val="3"/>
            <charset val="134"/>
          </rPr>
          <t>填报发生将货物、财产用于市场推广、广告、样品、集资、销售等，会计处理不确认销售收入，税收规定确认为应税收入时，其对应的应予以税前扣除的视同销售成本金额。</t>
        </r>
      </text>
    </comment>
    <comment ref="C17"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17" authorId="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18" authorId="1">
      <text>
        <r>
          <rPr>
            <sz val="9"/>
            <color indexed="81"/>
            <rFont val="宋体"/>
            <family val="3"/>
            <charset val="134"/>
          </rPr>
          <t>填报发生将货物、财产用于交际应酬，会计处理不确认销售收入，税收规定确认为应税收入时，其对应的应予以税前扣除的视同销售成本金额。</t>
        </r>
      </text>
    </comment>
    <comment ref="C18"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18" authorId="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19" authorId="1">
      <text>
        <r>
          <rPr>
            <sz val="9"/>
            <color indexed="81"/>
            <rFont val="宋体"/>
            <family val="3"/>
            <charset val="134"/>
          </rPr>
          <t>填报发生将货物、财产用于职工奖励或福利，会计处理不确认销售收入，税收规定确认为应税收入时，其对应的应予以税前扣除的视同销售成本金额。</t>
        </r>
      </text>
    </comment>
    <comment ref="C19"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19" authorId="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20" authorId="1">
      <text>
        <r>
          <rPr>
            <sz val="9"/>
            <color indexed="81"/>
            <rFont val="宋体"/>
            <family val="3"/>
            <charset val="134"/>
          </rPr>
          <t>填报发生将货物、财产用于股息分配，会计处理不确认销售收入，税收规定确认为应税收入时，其对应的应予以税前扣除的视同销售成本金额。</t>
        </r>
      </text>
    </comment>
    <comment ref="C20"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20" authorId="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21" authorId="1">
      <text>
        <r>
          <rPr>
            <sz val="9"/>
            <color indexed="81"/>
            <rFont val="宋体"/>
            <family val="3"/>
            <charset val="134"/>
          </rPr>
          <t>填报发生将货物、财产用于对外捐赠或赞助，会计处理不确认销售收入，税收规定确认为应税收入时，其对应的应予以税前扣除的视同销售成本金额。</t>
        </r>
      </text>
    </comment>
    <comment ref="C21"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21" authorId="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22" authorId="1">
      <text>
        <r>
          <rPr>
            <sz val="9"/>
            <color indexed="81"/>
            <rFont val="宋体"/>
            <family val="3"/>
            <charset val="134"/>
          </rPr>
          <t>填报会计处理发生将货物、财产用于对外投资，会计处理不确认销售收入，税收规定确认为应税收入时，其对应的应予以税前扣除的视同销售成本金额。</t>
        </r>
      </text>
    </comment>
    <comment ref="C22"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22" authorId="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23" authorId="1">
      <text>
        <r>
          <rPr>
            <sz val="9"/>
            <color indexed="81"/>
            <rFont val="宋体"/>
            <family val="3"/>
            <charset val="134"/>
          </rPr>
          <t>填报会计处理发生对外提供劳务，会计处理不确认销售收入，税收规定确认为应税收入时，其对应的应予以税前扣除视同销售成本金额。</t>
        </r>
      </text>
    </comment>
    <comment ref="C23"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23" authorId="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24" authorId="1">
      <text>
        <r>
          <rPr>
            <sz val="9"/>
            <color indexed="81"/>
            <rFont val="宋体"/>
            <family val="3"/>
            <charset val="134"/>
          </rPr>
          <t>填报发生除上述列举情形外，会计处理不确认销售收入，税收规定确认为应税收入的同时，予以税前扣除视同销售成本金额。</t>
        </r>
      </text>
    </comment>
    <comment ref="C24" authorId="0">
      <text>
        <r>
          <rPr>
            <sz val="9"/>
            <color indexed="81"/>
            <rFont val="宋体"/>
            <family val="3"/>
            <charset val="134"/>
          </rPr>
          <t>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填报予以扣除的视同销售成本金额。</t>
        </r>
      </text>
    </comment>
    <comment ref="D24" authorId="0">
      <text>
        <r>
          <rPr>
            <sz val="9"/>
            <color indexed="81"/>
            <rFont val="宋体"/>
            <family val="3"/>
            <charset val="134"/>
          </rPr>
          <t>将第</t>
        </r>
        <r>
          <rPr>
            <sz val="9"/>
            <color indexed="81"/>
            <rFont val="Tahoma"/>
            <family val="2"/>
          </rPr>
          <t>1</t>
        </r>
        <r>
          <rPr>
            <sz val="9"/>
            <color indexed="81"/>
            <rFont val="宋体"/>
            <family val="3"/>
            <charset val="134"/>
          </rPr>
          <t>列税收金额以负数形式填报第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t>
        </r>
      </text>
    </comment>
    <comment ref="B25" authorId="1">
      <text>
        <r>
          <rPr>
            <sz val="9"/>
            <color indexed="81"/>
            <rFont val="宋体"/>
            <family val="3"/>
            <charset val="134"/>
          </rPr>
          <t>填报房地产企业发生销售未完工产品、未完工产品结转完工产品业务，按照税收规定计算的特定业务的纳税调整额。</t>
        </r>
      </text>
    </comment>
    <comment ref="C25" authorId="1">
      <text>
        <r>
          <rPr>
            <sz val="9"/>
            <color indexed="81"/>
            <rFont val="宋体"/>
            <family val="3"/>
            <charset val="134"/>
          </rPr>
          <t>第1列“税收金额”填报第22行第1列减去第26行第1列的余额。
第</t>
        </r>
        <r>
          <rPr>
            <sz val="9"/>
            <color indexed="81"/>
            <rFont val="宋体"/>
            <family val="3"/>
            <charset val="134"/>
          </rPr>
          <t>21</t>
        </r>
        <r>
          <rPr>
            <sz val="9"/>
            <color indexed="81"/>
            <rFont val="宋体"/>
            <family val="3"/>
            <charset val="134"/>
          </rPr>
          <t>行第</t>
        </r>
        <r>
          <rPr>
            <sz val="9"/>
            <color indexed="81"/>
            <rFont val="宋体"/>
            <family val="3"/>
            <charset val="134"/>
          </rPr>
          <t>1</t>
        </r>
        <r>
          <rPr>
            <sz val="9"/>
            <color indexed="81"/>
            <rFont val="宋体"/>
            <family val="3"/>
            <charset val="134"/>
          </rPr>
          <t>列＝表</t>
        </r>
        <r>
          <rPr>
            <sz val="9"/>
            <color indexed="81"/>
            <rFont val="宋体"/>
            <family val="3"/>
            <charset val="134"/>
          </rPr>
          <t>A105000</t>
        </r>
        <r>
          <rPr>
            <sz val="9"/>
            <color indexed="81"/>
            <rFont val="宋体"/>
            <family val="3"/>
            <charset val="134"/>
          </rPr>
          <t>第</t>
        </r>
        <r>
          <rPr>
            <sz val="9"/>
            <color indexed="81"/>
            <rFont val="宋体"/>
            <family val="3"/>
            <charset val="134"/>
          </rPr>
          <t>40</t>
        </r>
        <r>
          <rPr>
            <sz val="9"/>
            <color indexed="81"/>
            <rFont val="宋体"/>
            <family val="3"/>
            <charset val="134"/>
          </rPr>
          <t>行第</t>
        </r>
        <r>
          <rPr>
            <sz val="9"/>
            <color indexed="81"/>
            <rFont val="宋体"/>
            <family val="3"/>
            <charset val="134"/>
          </rPr>
          <t>2</t>
        </r>
        <r>
          <rPr>
            <sz val="9"/>
            <color indexed="81"/>
            <rFont val="宋体"/>
            <family val="3"/>
            <charset val="134"/>
          </rPr>
          <t>列。</t>
        </r>
      </text>
    </comment>
    <comment ref="D25" authorId="1">
      <text>
        <r>
          <rPr>
            <sz val="9"/>
            <color indexed="81"/>
            <rFont val="宋体"/>
            <family val="3"/>
            <charset val="134"/>
          </rPr>
          <t>第2列“纳税调整金额”等于第1列“税收金额”
若第</t>
        </r>
        <r>
          <rPr>
            <sz val="9"/>
            <color indexed="81"/>
            <rFont val="宋体"/>
            <family val="3"/>
            <charset val="134"/>
          </rPr>
          <t>21</t>
        </r>
        <r>
          <rPr>
            <sz val="9"/>
            <color indexed="81"/>
            <rFont val="宋体"/>
            <family val="3"/>
            <charset val="134"/>
          </rPr>
          <t>行第</t>
        </r>
        <r>
          <rPr>
            <sz val="9"/>
            <color indexed="81"/>
            <rFont val="宋体"/>
            <family val="3"/>
            <charset val="134"/>
          </rPr>
          <t>2</t>
        </r>
        <r>
          <rPr>
            <sz val="9"/>
            <color indexed="81"/>
            <rFont val="宋体"/>
            <family val="3"/>
            <charset val="134"/>
          </rPr>
          <t>列≥</t>
        </r>
        <r>
          <rPr>
            <sz val="9"/>
            <color indexed="81"/>
            <rFont val="宋体"/>
            <family val="3"/>
            <charset val="134"/>
          </rPr>
          <t>0</t>
        </r>
        <r>
          <rPr>
            <sz val="9"/>
            <color indexed="81"/>
            <rFont val="宋体"/>
            <family val="3"/>
            <charset val="134"/>
          </rPr>
          <t>，第</t>
        </r>
        <r>
          <rPr>
            <sz val="9"/>
            <color indexed="81"/>
            <rFont val="宋体"/>
            <family val="3"/>
            <charset val="134"/>
          </rPr>
          <t>21</t>
        </r>
        <r>
          <rPr>
            <sz val="9"/>
            <color indexed="81"/>
            <rFont val="宋体"/>
            <family val="3"/>
            <charset val="134"/>
          </rPr>
          <t>行第</t>
        </r>
        <r>
          <rPr>
            <sz val="9"/>
            <color indexed="81"/>
            <rFont val="宋体"/>
            <family val="3"/>
            <charset val="134"/>
          </rPr>
          <t>2</t>
        </r>
        <r>
          <rPr>
            <sz val="9"/>
            <color indexed="81"/>
            <rFont val="宋体"/>
            <family val="3"/>
            <charset val="134"/>
          </rPr>
          <t>列</t>
        </r>
        <r>
          <rPr>
            <sz val="9"/>
            <color indexed="81"/>
            <rFont val="宋体"/>
            <family val="3"/>
            <charset val="134"/>
          </rPr>
          <t>=</t>
        </r>
        <r>
          <rPr>
            <sz val="9"/>
            <color indexed="81"/>
            <rFont val="宋体"/>
            <family val="3"/>
            <charset val="134"/>
          </rPr>
          <t>表</t>
        </r>
        <r>
          <rPr>
            <sz val="9"/>
            <color indexed="81"/>
            <rFont val="宋体"/>
            <family val="3"/>
            <charset val="134"/>
          </rPr>
          <t>A105000</t>
        </r>
        <r>
          <rPr>
            <sz val="9"/>
            <color indexed="81"/>
            <rFont val="宋体"/>
            <family val="3"/>
            <charset val="134"/>
          </rPr>
          <t>第</t>
        </r>
        <r>
          <rPr>
            <sz val="9"/>
            <color indexed="81"/>
            <rFont val="宋体"/>
            <family val="3"/>
            <charset val="134"/>
          </rPr>
          <t>40</t>
        </r>
        <r>
          <rPr>
            <sz val="9"/>
            <color indexed="81"/>
            <rFont val="宋体"/>
            <family val="3"/>
            <charset val="134"/>
          </rPr>
          <t>行第</t>
        </r>
        <r>
          <rPr>
            <sz val="9"/>
            <color indexed="81"/>
            <rFont val="宋体"/>
            <family val="3"/>
            <charset val="134"/>
          </rPr>
          <t>3</t>
        </r>
        <r>
          <rPr>
            <sz val="9"/>
            <color indexed="81"/>
            <rFont val="宋体"/>
            <family val="3"/>
            <charset val="134"/>
          </rPr>
          <t>列；若第</t>
        </r>
        <r>
          <rPr>
            <sz val="9"/>
            <color indexed="81"/>
            <rFont val="宋体"/>
            <family val="3"/>
            <charset val="134"/>
          </rPr>
          <t>21</t>
        </r>
        <r>
          <rPr>
            <sz val="9"/>
            <color indexed="81"/>
            <rFont val="宋体"/>
            <family val="3"/>
            <charset val="134"/>
          </rPr>
          <t>行第</t>
        </r>
        <r>
          <rPr>
            <sz val="9"/>
            <color indexed="81"/>
            <rFont val="宋体"/>
            <family val="3"/>
            <charset val="134"/>
          </rPr>
          <t>2</t>
        </r>
        <r>
          <rPr>
            <sz val="9"/>
            <color indexed="81"/>
            <rFont val="宋体"/>
            <family val="3"/>
            <charset val="134"/>
          </rPr>
          <t>列＜</t>
        </r>
        <r>
          <rPr>
            <sz val="9"/>
            <color indexed="81"/>
            <rFont val="宋体"/>
            <family val="3"/>
            <charset val="134"/>
          </rPr>
          <t>0</t>
        </r>
        <r>
          <rPr>
            <sz val="9"/>
            <color indexed="81"/>
            <rFont val="宋体"/>
            <family val="3"/>
            <charset val="134"/>
          </rPr>
          <t>，第</t>
        </r>
        <r>
          <rPr>
            <sz val="9"/>
            <color indexed="81"/>
            <rFont val="宋体"/>
            <family val="3"/>
            <charset val="134"/>
          </rPr>
          <t>21</t>
        </r>
        <r>
          <rPr>
            <sz val="9"/>
            <color indexed="81"/>
            <rFont val="宋体"/>
            <family val="3"/>
            <charset val="134"/>
          </rPr>
          <t>行第</t>
        </r>
        <r>
          <rPr>
            <sz val="9"/>
            <color indexed="81"/>
            <rFont val="宋体"/>
            <family val="3"/>
            <charset val="134"/>
          </rPr>
          <t>2</t>
        </r>
        <r>
          <rPr>
            <sz val="9"/>
            <color indexed="81"/>
            <rFont val="宋体"/>
            <family val="3"/>
            <charset val="134"/>
          </rPr>
          <t>列的绝对值＝表</t>
        </r>
        <r>
          <rPr>
            <sz val="9"/>
            <color indexed="81"/>
            <rFont val="宋体"/>
            <family val="3"/>
            <charset val="134"/>
          </rPr>
          <t>A105000</t>
        </r>
        <r>
          <rPr>
            <sz val="9"/>
            <color indexed="81"/>
            <rFont val="宋体"/>
            <family val="3"/>
            <charset val="134"/>
          </rPr>
          <t>第</t>
        </r>
        <r>
          <rPr>
            <sz val="9"/>
            <color indexed="81"/>
            <rFont val="宋体"/>
            <family val="3"/>
            <charset val="134"/>
          </rPr>
          <t>40</t>
        </r>
        <r>
          <rPr>
            <sz val="9"/>
            <color indexed="81"/>
            <rFont val="宋体"/>
            <family val="3"/>
            <charset val="134"/>
          </rPr>
          <t>行第</t>
        </r>
        <r>
          <rPr>
            <sz val="9"/>
            <color indexed="81"/>
            <rFont val="宋体"/>
            <family val="3"/>
            <charset val="134"/>
          </rPr>
          <t>4</t>
        </r>
        <r>
          <rPr>
            <sz val="9"/>
            <color indexed="81"/>
            <rFont val="宋体"/>
            <family val="3"/>
            <charset val="134"/>
          </rPr>
          <t>列。</t>
        </r>
      </text>
    </comment>
    <comment ref="B26" authorId="1">
      <text>
        <r>
          <rPr>
            <sz val="9"/>
            <color indexed="81"/>
            <rFont val="宋体"/>
            <family val="3"/>
            <charset val="134"/>
          </rPr>
          <t>填报房地产企业销售未完工开发产品取得销售收入，按税收规定计算的纳税调整额。</t>
        </r>
      </text>
    </comment>
    <comment ref="C26" authorId="1">
      <text>
        <r>
          <rPr>
            <sz val="9"/>
            <color indexed="81"/>
            <rFont val="宋体"/>
            <family val="3"/>
            <charset val="134"/>
          </rPr>
          <t>第1列“税收金额”填报第24行第1列减去第25行第1列的余额。</t>
        </r>
      </text>
    </comment>
    <comment ref="D26"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text>
    </comment>
    <comment ref="C28" authorId="1">
      <text>
        <r>
          <rPr>
            <sz val="9"/>
            <color indexed="81"/>
            <rFont val="宋体"/>
            <family val="3"/>
            <charset val="134"/>
          </rPr>
          <t>第1列“税收金额”填报房地产企业销售未完工开发产品，会计核算未进行收入确认的销售收入金额。</t>
        </r>
      </text>
    </comment>
    <comment ref="C29" authorId="1">
      <text>
        <r>
          <rPr>
            <sz val="9"/>
            <color indexed="81"/>
            <rFont val="宋体"/>
            <family val="3"/>
            <charset val="134"/>
          </rPr>
          <t>第1列“税收金额”填报房地产企业销售未完工产品取得的销售收入按税收规定预计计税毛利率计算的金额。</t>
        </r>
      </text>
    </comment>
    <comment ref="D29"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t>
        </r>
      </text>
    </comment>
    <comment ref="C30" authorId="1">
      <text>
        <r>
          <rPr>
            <sz val="9"/>
            <color indexed="81"/>
            <rFont val="宋体"/>
            <family val="3"/>
            <charset val="134"/>
          </rPr>
          <t>第1列“税收金额”填报房地产企业销售未完工产品实际发生的税金及附加、土地增值税，且在会计核算中未计入当期损益的金额；</t>
        </r>
      </text>
    </comment>
    <comment ref="D30"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t>
        </r>
      </text>
    </comment>
    <comment ref="B32" authorId="1">
      <text>
        <r>
          <rPr>
            <sz val="9"/>
            <color indexed="81"/>
            <rFont val="宋体"/>
            <family val="3"/>
            <charset val="134"/>
          </rPr>
          <t>填填报房地产企业销售的未完工产品转完工产品，按税收规定计算的纳税调整额。</t>
        </r>
      </text>
    </comment>
    <comment ref="C32" authorId="1">
      <text>
        <r>
          <rPr>
            <sz val="9"/>
            <color indexed="81"/>
            <rFont val="宋体"/>
            <family val="3"/>
            <charset val="134"/>
          </rPr>
          <t>第1列“税收金额”填报第28行第1列减去第29行第1列的余额。</t>
        </r>
      </text>
    </comment>
    <comment ref="D32"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t>
        </r>
      </text>
    </comment>
    <comment ref="C33" authorId="1">
      <text>
        <r>
          <rPr>
            <sz val="9"/>
            <color indexed="81"/>
            <rFont val="宋体"/>
            <family val="3"/>
            <charset val="134"/>
          </rPr>
          <t>第1列“税收金额”填报房地产企业销售的未完工产品，此前年度已按预计毛利额征收所得税，本年度结转为完工产品，会计上符合收入确认条件，当年会计核算确认的销售收入金额。</t>
        </r>
      </text>
    </comment>
    <comment ref="C34" authorId="1">
      <text>
        <r>
          <rPr>
            <sz val="9"/>
            <color indexed="81"/>
            <rFont val="宋体"/>
            <family val="3"/>
            <charset val="134"/>
          </rPr>
          <t>第1列“税收金额”填报房地产企业销售的未完工产品，此前年度已按预计毛利额征收所得税，本年结转完工产品，会计核算确认为销售收入，转回原按税收规定预计计税毛利率计算的金额；</t>
        </r>
      </text>
    </comment>
    <comment ref="D34" authorId="0">
      <text>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纳税调整金额</t>
        </r>
        <r>
          <rPr>
            <sz val="9"/>
            <color indexed="81"/>
            <rFont val="Tahoma"/>
            <family val="2"/>
          </rPr>
          <t>”</t>
        </r>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税收金额</t>
        </r>
        <r>
          <rPr>
            <sz val="9"/>
            <color indexed="81"/>
            <rFont val="Tahoma"/>
            <family val="2"/>
          </rPr>
          <t>”</t>
        </r>
        <r>
          <rPr>
            <sz val="9"/>
            <color indexed="81"/>
            <rFont val="宋体"/>
            <family val="3"/>
            <charset val="134"/>
          </rPr>
          <t>。</t>
        </r>
      </text>
    </comment>
    <comment ref="B35" authorId="0">
      <text>
        <r>
          <rPr>
            <sz val="9"/>
            <color indexed="81"/>
            <rFont val="宋体"/>
            <family val="3"/>
            <charset val="134"/>
          </rPr>
          <t>填报房地产企业销售的未完工产品结转完工产品后，会计核算确认为销售收入，同时将对应实际发生的税金及附加、土地增值税转入当期损益的金额；</t>
        </r>
      </text>
    </comment>
  </commentList>
</comments>
</file>

<file path=xl/comments22.xml><?xml version="1.0" encoding="utf-8"?>
<comments xmlns="http://schemas.openxmlformats.org/spreadsheetml/2006/main">
  <authors>
    <author>Cindy Wang</author>
    <author>Zhang, Dorothy</author>
  </authors>
  <commentList>
    <comment ref="A2" authorId="0">
      <text>
        <r>
          <rPr>
            <sz val="9"/>
            <color indexed="81"/>
            <rFont val="宋体"/>
            <family val="3"/>
            <charset val="134"/>
          </rPr>
          <t>本表适用于会计处理按权责发生制确认收入、税收规定未按权责发生制确认收入需纳税调整的纳税人填报。纳税人根据税法、《国家税务总局关于贯彻落实企业所得税法若干税收问题的通知》（国税函〔2010〕79号）、《国家税务总局关于确认企业所得税收入若干问题的通知》（国税函〔2008〕875号）等相关规定，以及国家统一企业会计制度，填报会计处理按照权责发生制确认收入、税收规定未按权责发生制确认收入的会计处理、税收规定，以及纳税调整情况。符合税收规定不征税收入条件的政府补助收入，本表不作调整，在《专项用途财政性资金纳税调整明细表》（A105040）中纳税调整。</t>
        </r>
      </text>
    </comment>
    <comment ref="C3" authorId="0">
      <text>
        <r>
          <rPr>
            <sz val="9"/>
            <color indexed="81"/>
            <rFont val="宋体"/>
            <family val="3"/>
            <charset val="134"/>
          </rPr>
          <t>填报会计处理按照权责发生制确认收入、税收规定未按权责发生制确认收入的项目的合同总额或交易总额。</t>
        </r>
      </text>
    </comment>
    <comment ref="H3" authorId="0">
      <text>
        <r>
          <rPr>
            <sz val="9"/>
            <color indexed="81"/>
            <rFont val="宋体"/>
            <family val="3"/>
            <charset val="134"/>
          </rPr>
          <t>填报纳税人会计处理按权责发生制确认收入、税收规定未按权责发生制确认收入的差异需纳税调整金额，为第4-2列的余额。</t>
        </r>
      </text>
    </comment>
    <comment ref="D4" authorId="0">
      <text>
        <r>
          <rPr>
            <sz val="9"/>
            <color indexed="81"/>
            <rFont val="宋体"/>
            <family val="3"/>
            <charset val="134"/>
          </rPr>
          <t>填报纳税人会计处理按权责发生制在本期确认金额。</t>
        </r>
      </text>
    </comment>
    <comment ref="E4" authorId="0">
      <text>
        <r>
          <rPr>
            <sz val="9"/>
            <color indexed="81"/>
            <rFont val="宋体"/>
            <family val="3"/>
            <charset val="134"/>
          </rPr>
          <t>填报纳税人会计处理按权责发生制累计确认金额（含本年）。</t>
        </r>
      </text>
    </comment>
    <comment ref="F4" authorId="0">
      <text>
        <r>
          <rPr>
            <sz val="9"/>
            <color indexed="81"/>
            <rFont val="宋体"/>
            <family val="3"/>
            <charset val="134"/>
          </rPr>
          <t>填报纳税人按税收规定未按权责发生制在本期确认金额。</t>
        </r>
      </text>
    </comment>
    <comment ref="G4" authorId="0">
      <text>
        <r>
          <rPr>
            <sz val="9"/>
            <color indexed="81"/>
            <rFont val="宋体"/>
            <family val="3"/>
            <charset val="134"/>
          </rPr>
          <t>填报纳税人按税收规定未按权责发生制累计确认金额（含本年）。</t>
        </r>
      </text>
    </comment>
    <comment ref="D20" authorId="1">
      <text>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F20" authorId="1">
      <text>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H20" authorId="1">
      <text>
        <r>
          <rPr>
            <sz val="9"/>
            <color indexed="81"/>
            <rFont val="宋体"/>
            <family val="3"/>
            <charset val="134"/>
          </rPr>
          <t>若第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3</t>
        </r>
        <r>
          <rPr>
            <sz val="9"/>
            <color indexed="81"/>
            <rFont val="宋体"/>
            <family val="3"/>
            <charset val="134"/>
          </rPr>
          <t>列；若第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列绝对值＝表</t>
        </r>
        <r>
          <rPr>
            <sz val="9"/>
            <color indexed="81"/>
            <rFont val="Tahoma"/>
            <family val="2"/>
          </rPr>
          <t>A105000</t>
        </r>
        <r>
          <rPr>
            <sz val="9"/>
            <color indexed="81"/>
            <rFont val="宋体"/>
            <family val="3"/>
            <charset val="134"/>
          </rPr>
          <t>第</t>
        </r>
        <r>
          <rPr>
            <sz val="9"/>
            <color indexed="81"/>
            <rFont val="Tahoma"/>
            <family val="2"/>
          </rPr>
          <t>3</t>
        </r>
        <r>
          <rPr>
            <sz val="9"/>
            <color indexed="81"/>
            <rFont val="宋体"/>
            <family val="3"/>
            <charset val="134"/>
          </rPr>
          <t>行第</t>
        </r>
        <r>
          <rPr>
            <sz val="9"/>
            <color indexed="81"/>
            <rFont val="Tahoma"/>
            <family val="2"/>
          </rPr>
          <t>4</t>
        </r>
        <r>
          <rPr>
            <sz val="9"/>
            <color indexed="81"/>
            <rFont val="宋体"/>
            <family val="3"/>
            <charset val="134"/>
          </rPr>
          <t>列。</t>
        </r>
        <r>
          <rPr>
            <b/>
            <sz val="9"/>
            <color indexed="81"/>
            <rFont val="Tahoma"/>
            <family val="2"/>
          </rPr>
          <t xml:space="preserve">  </t>
        </r>
      </text>
    </comment>
  </commentList>
</comments>
</file>

<file path=xl/comments23.xml><?xml version="1.0" encoding="utf-8"?>
<comments xmlns="http://schemas.openxmlformats.org/spreadsheetml/2006/main">
  <authors>
    <author>Cindy Wang</author>
    <author>Zhang, Dorothy</author>
  </authors>
  <commentList>
    <comment ref="A2" authorId="0">
      <text>
        <r>
          <rPr>
            <sz val="9"/>
            <color indexed="81"/>
            <rFont val="宋体"/>
            <family val="3"/>
            <charset val="134"/>
          </rPr>
          <t>本表适用于发生投资收益纳税调整项目的纳税人及从事股权投资业务的纳税人填报。纳税人根据税法、《国家税务总局关于贯彻落实企业所得税法若干税收问题的通知》（国税函〔2010〕79号）等相关规定，以及国家统一企业会计制度，填报投资收益的会计处理、税收规定，以及纳税调整情况。发生持有期间投资收益，并按税收规定为减免税收入的(如国债利息收入等)，本表不作调整。处置投资项目按税收规定确认为损失的，本表不作调整，在《资产损失税前扣除及纳税调整明细表》(A105090)进行纳税调整。处置投资项目符合企业重组且适用特殊性税务处理规定的，本表不作调整，在《企业重组及递延纳税事项纳税调整明细表》（A105100）进行纳税调整。</t>
        </r>
      </text>
    </comment>
    <comment ref="M3" authorId="0">
      <text>
        <r>
          <rPr>
            <sz val="9"/>
            <color indexed="81"/>
            <rFont val="宋体"/>
            <family val="3"/>
            <charset val="134"/>
          </rPr>
          <t>填报第3+10列金额。</t>
        </r>
      </text>
    </comment>
    <comment ref="C4" authorId="0">
      <text>
        <r>
          <rPr>
            <sz val="9"/>
            <color indexed="81"/>
            <rFont val="宋体"/>
            <family val="3"/>
            <charset val="134"/>
          </rPr>
          <t>填报纳税人持有投资项目，会计核算确认的投资收益。</t>
        </r>
      </text>
    </comment>
    <comment ref="D4" authorId="0">
      <text>
        <r>
          <rPr>
            <sz val="9"/>
            <color indexed="81"/>
            <rFont val="宋体"/>
            <family val="3"/>
            <charset val="134"/>
          </rPr>
          <t>填报纳税人持有投资项目，按照税收规定确认的投资收益。</t>
        </r>
      </text>
    </comment>
    <comment ref="E4" authorId="0">
      <text>
        <r>
          <rPr>
            <sz val="9"/>
            <color indexed="81"/>
            <rFont val="宋体"/>
            <family val="3"/>
            <charset val="134"/>
          </rPr>
          <t>填报纳税人持有投资项目，会计核算确认投资收益与税收规定投资收益的差异需纳税调整金额，为第2-1列的余额。</t>
        </r>
      </text>
    </comment>
    <comment ref="F4" authorId="0">
      <text>
        <r>
          <rPr>
            <sz val="9"/>
            <color indexed="81"/>
            <rFont val="宋体"/>
            <family val="3"/>
            <charset val="134"/>
          </rPr>
          <t>填报纳税人收回、转让或清算处置投资项目，会计核算确认的扣除相关税费后的处置收入金额。</t>
        </r>
      </text>
    </comment>
    <comment ref="G4" authorId="0">
      <text>
        <r>
          <rPr>
            <sz val="9"/>
            <color indexed="81"/>
            <rFont val="宋体"/>
            <family val="3"/>
            <charset val="134"/>
          </rPr>
          <t>填报纳税人收回、转让或清算处置投资项目，按照税收规定计算的扣除相关税费后的处置收入金额。</t>
        </r>
      </text>
    </comment>
    <comment ref="H4" authorId="0">
      <text>
        <r>
          <rPr>
            <sz val="9"/>
            <color indexed="81"/>
            <rFont val="宋体"/>
            <family val="3"/>
            <charset val="134"/>
          </rPr>
          <t>填报纳税人收回、转让或清算处置的投资项目，会计核算的处置投资的账面价值。</t>
        </r>
      </text>
    </comment>
    <comment ref="I4" authorId="0">
      <text>
        <r>
          <rPr>
            <sz val="9"/>
            <color indexed="81"/>
            <rFont val="宋体"/>
            <family val="3"/>
            <charset val="134"/>
          </rPr>
          <t>填报纳税人收回、转让或清算处置的投资项目，按税收规定计算的处置投资的计税金额。</t>
        </r>
      </text>
    </comment>
    <comment ref="J4" authorId="0">
      <text>
        <r>
          <rPr>
            <sz val="9"/>
            <color indexed="81"/>
            <rFont val="宋体"/>
            <family val="3"/>
            <charset val="134"/>
          </rPr>
          <t>填报纳税人收回、转让或清算处置投资项目，会计核算确认的处置所得或损失，为第4-6列的余额，损失以“-”号填列。</t>
        </r>
      </text>
    </comment>
    <comment ref="K4" authorId="0">
      <text>
        <r>
          <rPr>
            <sz val="9"/>
            <color indexed="81"/>
            <rFont val="宋体"/>
            <family val="3"/>
            <charset val="134"/>
          </rPr>
          <t>填报纳税人收回、转让或清算处置投资项目，按照税收规定计算的处置所得，为第5-7列的余额。</t>
        </r>
      </text>
    </comment>
    <comment ref="L4" authorId="0">
      <text>
        <r>
          <rPr>
            <sz val="9"/>
            <color indexed="81"/>
            <rFont val="宋体"/>
            <family val="3"/>
            <charset val="134"/>
          </rPr>
          <t>填报纳税人收回、转让或清算处置投资项目，会计处理与税收规定不一致需纳税调整金额，为第9-8列的余额。</t>
        </r>
      </text>
    </comment>
    <comment ref="C18" authorId="1">
      <text>
        <r>
          <rPr>
            <sz val="9"/>
            <color indexed="81"/>
            <rFont val="宋体"/>
            <family val="3"/>
            <charset val="134"/>
          </rPr>
          <t>第</t>
        </r>
        <r>
          <rPr>
            <sz val="9"/>
            <color indexed="81"/>
            <rFont val="Tahoma"/>
            <family val="2"/>
          </rPr>
          <t>10</t>
        </r>
        <r>
          <rPr>
            <sz val="9"/>
            <color indexed="81"/>
            <rFont val="宋体"/>
            <family val="3"/>
            <charset val="134"/>
          </rPr>
          <t>行</t>
        </r>
        <r>
          <rPr>
            <sz val="9"/>
            <color indexed="81"/>
            <rFont val="Tahoma"/>
            <family val="2"/>
          </rPr>
          <t>1+8</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D18" authorId="1">
      <text>
        <r>
          <rPr>
            <sz val="9"/>
            <color indexed="81"/>
            <rFont val="宋体"/>
            <family val="3"/>
            <charset val="134"/>
          </rPr>
          <t>第</t>
        </r>
        <r>
          <rPr>
            <sz val="9"/>
            <color indexed="81"/>
            <rFont val="Tahoma"/>
            <family val="2"/>
          </rPr>
          <t>10</t>
        </r>
        <r>
          <rPr>
            <sz val="9"/>
            <color indexed="81"/>
            <rFont val="宋体"/>
            <family val="3"/>
            <charset val="134"/>
          </rPr>
          <t>行</t>
        </r>
        <r>
          <rPr>
            <sz val="9"/>
            <color indexed="81"/>
            <rFont val="Tahoma"/>
            <family val="2"/>
          </rPr>
          <t>2+9</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J18" authorId="1">
      <text>
        <r>
          <rPr>
            <sz val="9"/>
            <color indexed="81"/>
            <rFont val="宋体"/>
            <family val="3"/>
            <charset val="134"/>
          </rPr>
          <t>第</t>
        </r>
        <r>
          <rPr>
            <sz val="9"/>
            <color indexed="81"/>
            <rFont val="Tahoma"/>
            <family val="2"/>
          </rPr>
          <t>10</t>
        </r>
        <r>
          <rPr>
            <sz val="9"/>
            <color indexed="81"/>
            <rFont val="宋体"/>
            <family val="3"/>
            <charset val="134"/>
          </rPr>
          <t>行</t>
        </r>
        <r>
          <rPr>
            <sz val="9"/>
            <color indexed="81"/>
            <rFont val="Tahoma"/>
            <family val="2"/>
          </rPr>
          <t>1+8</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K18" authorId="1">
      <text>
        <r>
          <rPr>
            <sz val="9"/>
            <color indexed="81"/>
            <rFont val="宋体"/>
            <family val="3"/>
            <charset val="134"/>
          </rPr>
          <t>第</t>
        </r>
        <r>
          <rPr>
            <sz val="9"/>
            <color indexed="81"/>
            <rFont val="Tahoma"/>
            <family val="2"/>
          </rPr>
          <t>10</t>
        </r>
        <r>
          <rPr>
            <sz val="9"/>
            <color indexed="81"/>
            <rFont val="宋体"/>
            <family val="3"/>
            <charset val="134"/>
          </rPr>
          <t>行</t>
        </r>
        <r>
          <rPr>
            <sz val="9"/>
            <color indexed="81"/>
            <rFont val="Tahoma"/>
            <family val="2"/>
          </rPr>
          <t>2+9</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M18" authorId="1">
      <text>
        <r>
          <rPr>
            <sz val="9"/>
            <color indexed="81"/>
            <rFont val="宋体"/>
            <family val="3"/>
            <charset val="134"/>
          </rPr>
          <t>若第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3</t>
        </r>
        <r>
          <rPr>
            <sz val="9"/>
            <color indexed="81"/>
            <rFont val="宋体"/>
            <family val="3"/>
            <charset val="134"/>
          </rPr>
          <t>列；若第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11</t>
        </r>
        <r>
          <rPr>
            <sz val="9"/>
            <color indexed="81"/>
            <rFont val="宋体"/>
            <family val="3"/>
            <charset val="134"/>
          </rPr>
          <t>列绝对值＝表</t>
        </r>
        <r>
          <rPr>
            <sz val="9"/>
            <color indexed="81"/>
            <rFont val="Tahoma"/>
            <family val="2"/>
          </rPr>
          <t>A105000</t>
        </r>
        <r>
          <rPr>
            <sz val="9"/>
            <color indexed="81"/>
            <rFont val="宋体"/>
            <family val="3"/>
            <charset val="134"/>
          </rPr>
          <t>第</t>
        </r>
        <r>
          <rPr>
            <sz val="9"/>
            <color indexed="81"/>
            <rFont val="Tahoma"/>
            <family val="2"/>
          </rPr>
          <t>4</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List>
</comments>
</file>

<file path=xl/comments24.xml><?xml version="1.0" encoding="utf-8"?>
<comments xmlns="http://schemas.openxmlformats.org/spreadsheetml/2006/main">
  <authors>
    <author>Cindy Wang</author>
    <author>Zhang, Dorothy</author>
  </authors>
  <commentList>
    <comment ref="A2" authorId="0">
      <text>
        <r>
          <rPr>
            <sz val="9"/>
            <color indexed="81"/>
            <rFont val="宋体"/>
            <family val="3"/>
            <charset val="134"/>
          </rPr>
          <t xml:space="preserve">本表适用于发生符合不征税收入条件的专项用途财政性资金纳税调整项目的纳税人填报。纳税人根据税法、《财政部 国家税务总局关于专项用途财政性资金企业所得税处理问题的通知》（财税〔2011〕70号）等相关规定，以及国家统一企业会计制度，填报纳税人专项用途财政性资金会计处理、税收规定，以及纳税调整情况。本表对不征税收入用于费用化的支出进行调整，资本化支出通过《资产折旧、摊销及纳税调整明细表》（A105080）进行纳税调整。
</t>
        </r>
      </text>
    </comment>
    <comment ref="C3" authorId="0">
      <text>
        <r>
          <rPr>
            <sz val="9"/>
            <color indexed="81"/>
            <rFont val="宋体"/>
            <family val="3"/>
            <charset val="134"/>
          </rPr>
          <t>填报取得专项用途财政性资金的公历年度。第5行至第1行依次从6行往前倒推，第6行为申报年度。</t>
        </r>
      </text>
    </comment>
    <comment ref="D3" authorId="0">
      <text>
        <r>
          <rPr>
            <sz val="9"/>
            <color indexed="81"/>
            <rFont val="宋体"/>
            <family val="3"/>
            <charset val="134"/>
          </rPr>
          <t>填报纳税人相应年度实际取得的财政性资金金额。</t>
        </r>
      </text>
    </comment>
    <comment ref="E3" authorId="0">
      <text>
        <r>
          <rPr>
            <sz val="9"/>
            <color indexed="81"/>
            <rFont val="宋体"/>
            <family val="3"/>
            <charset val="134"/>
          </rPr>
          <t>填报纳税人相应年度实际取得的符合不征税收入条件且已作不征税收入处理的财政性资金金额。</t>
        </r>
      </text>
    </comment>
    <comment ref="G3" authorId="0">
      <text>
        <r>
          <rPr>
            <sz val="9"/>
            <color indexed="81"/>
            <rFont val="宋体"/>
            <family val="3"/>
            <charset val="134"/>
          </rPr>
          <t>填报纳税人作为不征税收入处理的符合条件的财政性资金，在申报年度的以前的5个纳税年度发生的支出金额。前一年度，填报本年的上一纳税年度，以此类推。</t>
        </r>
      </text>
    </comment>
    <comment ref="L4" authorId="0">
      <text>
        <r>
          <rPr>
            <sz val="9"/>
            <color indexed="81"/>
            <rFont val="宋体"/>
            <family val="3"/>
            <charset val="134"/>
          </rPr>
          <t>填报纳税人历年作为不征税收入处理的符合条件的财政性资金，在本年（申报年度）用于支出的金额。</t>
        </r>
      </text>
    </comment>
    <comment ref="M4" authorId="0">
      <text>
        <r>
          <rPr>
            <sz val="9"/>
            <color indexed="81"/>
            <rFont val="宋体"/>
            <family val="3"/>
            <charset val="134"/>
          </rPr>
          <t>填报纳税人历年作为不征税收入处理的符合条件的财政性资金，在本年（申报年度）用于支出计入本年损益的费用金额，本列第7行金额为《纳税调整项目明细表》（A105000）第25行“其中：专项用途财政性资金用于支出所形成的费用”的第3列“调增金额”。</t>
        </r>
      </text>
    </comment>
    <comment ref="N4" authorId="0">
      <text>
        <r>
          <rPr>
            <sz val="9"/>
            <color indexed="81"/>
            <rFont val="宋体"/>
            <family val="3"/>
            <charset val="134"/>
          </rPr>
          <t>填报纳税人历年作为不征税收入处理的符合条件的财政性资金，减除历年累计支出（包括费用化支出和资本化支出）后尚未使用的不征税收入余额。</t>
        </r>
      </text>
    </comment>
    <comment ref="O4" authorId="0">
      <text>
        <r>
          <rPr>
            <sz val="9"/>
            <color indexed="81"/>
            <rFont val="宋体"/>
            <family val="3"/>
            <charset val="134"/>
          </rPr>
          <t>填报第12列“结余金额”中向财政部门或其他拨付资金的政府部门缴回的金额。</t>
        </r>
      </text>
    </comment>
    <comment ref="P4" authorId="0">
      <text>
        <r>
          <rPr>
            <sz val="9"/>
            <color indexed="81"/>
            <rFont val="宋体"/>
            <family val="3"/>
            <charset val="134"/>
          </rPr>
          <t>填报企业以前年度取得财政性资金且已作为不征税收入处理后，在5年（60个月）内未发生支出且未缴回财政部门或其他拨付资金的政府部门，应计入本年应税收入的金额。本列第7行金额为《纳税调整项目明细表》（A105000）第9行“其中：专项用途财政性资金”的第3列“调增金额”。</t>
        </r>
      </text>
    </comment>
    <comment ref="F5" authorId="0">
      <text>
        <r>
          <rPr>
            <sz val="9"/>
            <color indexed="81"/>
            <rFont val="宋体"/>
            <family val="3"/>
            <charset val="134"/>
          </rPr>
          <t>填报第3列“其中：符合不征税收入条件的财政性资金”中，会计处理时计入本年（申报年度）损益的金额。本列第7行金额为《纳税调整项目明细表》（A105000）第9行“其中：专项用途财政性资金”的第4列“调减金额”。</t>
        </r>
      </text>
    </comment>
    <comment ref="F14" authorId="1">
      <text>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 ref="M14" authorId="1">
      <text>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11</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25</t>
        </r>
        <r>
          <rPr>
            <sz val="9"/>
            <color indexed="81"/>
            <rFont val="宋体"/>
            <family val="3"/>
            <charset val="134"/>
          </rPr>
          <t>行第</t>
        </r>
        <r>
          <rPr>
            <sz val="9"/>
            <color indexed="81"/>
            <rFont val="Tahoma"/>
            <family val="2"/>
          </rPr>
          <t>3</t>
        </r>
        <r>
          <rPr>
            <sz val="9"/>
            <color indexed="81"/>
            <rFont val="宋体"/>
            <family val="3"/>
            <charset val="134"/>
          </rPr>
          <t>列。</t>
        </r>
        <r>
          <rPr>
            <sz val="9"/>
            <color indexed="81"/>
            <rFont val="Tahoma"/>
            <family val="2"/>
          </rPr>
          <t xml:space="preserve">
</t>
        </r>
      </text>
    </comment>
    <comment ref="P14" authorId="1">
      <text>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14</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3</t>
        </r>
        <r>
          <rPr>
            <sz val="9"/>
            <color indexed="81"/>
            <rFont val="宋体"/>
            <family val="3"/>
            <charset val="134"/>
          </rPr>
          <t>列。</t>
        </r>
        <r>
          <rPr>
            <sz val="9"/>
            <color indexed="81"/>
            <rFont val="Tahoma"/>
            <family val="2"/>
          </rPr>
          <t xml:space="preserve"> 
</t>
        </r>
      </text>
    </comment>
  </commentList>
</comments>
</file>

<file path=xl/comments25.xml><?xml version="1.0" encoding="utf-8"?>
<comments xmlns="http://schemas.openxmlformats.org/spreadsheetml/2006/main">
  <authors>
    <author>Zhang, Dorothy</author>
    <author>Cindy Wang</author>
  </authors>
  <commentList>
    <comment ref="A2" authorId="0">
      <text>
        <r>
          <rPr>
            <sz val="9"/>
            <color indexed="81"/>
            <rFont val="宋体"/>
            <family val="3"/>
            <charset val="134"/>
          </rPr>
          <t>纳税人根据税法、《国家税务总局关于企业工资薪金及职工福利费扣除问题的通知》（国税函〔</t>
        </r>
        <r>
          <rPr>
            <sz val="9"/>
            <color indexed="81"/>
            <rFont val="Tahoma"/>
            <family val="2"/>
          </rPr>
          <t>2009</t>
        </r>
        <r>
          <rPr>
            <sz val="9"/>
            <color indexed="81"/>
            <rFont val="宋体"/>
            <family val="3"/>
            <charset val="134"/>
          </rPr>
          <t>〕</t>
        </r>
        <r>
          <rPr>
            <sz val="9"/>
            <color indexed="81"/>
            <rFont val="Tahoma"/>
            <family val="2"/>
          </rPr>
          <t>3</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国家税务总局关于扶持动漫产业发展有关税收政策问题的通知》（财税〔</t>
        </r>
        <r>
          <rPr>
            <sz val="9"/>
            <color indexed="81"/>
            <rFont val="Tahoma"/>
            <family val="2"/>
          </rPr>
          <t>2009</t>
        </r>
        <r>
          <rPr>
            <sz val="9"/>
            <color indexed="81"/>
            <rFont val="宋体"/>
            <family val="3"/>
            <charset val="134"/>
          </rPr>
          <t>〕</t>
        </r>
        <r>
          <rPr>
            <sz val="9"/>
            <color indexed="81"/>
            <rFont val="Tahoma"/>
            <family val="2"/>
          </rPr>
          <t>65</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号）、《国家税务总局关于我国居民企业实行股权激励计划有关企业所得税处理问题的公告》（国家税务总局公告</t>
        </r>
        <r>
          <rPr>
            <sz val="9"/>
            <color indexed="81"/>
            <rFont val="Tahoma"/>
            <family val="2"/>
          </rPr>
          <t>2012</t>
        </r>
        <r>
          <rPr>
            <sz val="9"/>
            <color indexed="81"/>
            <rFont val="宋体"/>
            <family val="3"/>
            <charset val="134"/>
          </rPr>
          <t>年第</t>
        </r>
        <r>
          <rPr>
            <sz val="9"/>
            <color indexed="81"/>
            <rFont val="Tahoma"/>
            <family val="2"/>
          </rPr>
          <t>18</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商务部</t>
        </r>
        <r>
          <rPr>
            <sz val="9"/>
            <color indexed="81"/>
            <rFont val="Tahoma"/>
            <family val="2"/>
          </rPr>
          <t xml:space="preserve"> </t>
        </r>
        <r>
          <rPr>
            <sz val="9"/>
            <color indexed="81"/>
            <rFont val="宋体"/>
            <family val="3"/>
            <charset val="134"/>
          </rPr>
          <t>科技部国家发展改革委关于完善技术先进型服务企业有关企业所得税政策问题的通知》（财税〔</t>
        </r>
        <r>
          <rPr>
            <sz val="9"/>
            <color indexed="81"/>
            <rFont val="Tahoma"/>
            <family val="2"/>
          </rPr>
          <t>2014</t>
        </r>
        <r>
          <rPr>
            <sz val="9"/>
            <color indexed="81"/>
            <rFont val="宋体"/>
            <family val="3"/>
            <charset val="134"/>
          </rPr>
          <t>〕</t>
        </r>
        <r>
          <rPr>
            <sz val="9"/>
            <color indexed="81"/>
            <rFont val="Tahoma"/>
            <family val="2"/>
          </rPr>
          <t>59</t>
        </r>
        <r>
          <rPr>
            <sz val="9"/>
            <color indexed="81"/>
            <rFont val="宋体"/>
            <family val="3"/>
            <charset val="134"/>
          </rPr>
          <t>号）、《国家税务总局关于企业工资薪金和职工福利费等支出税前扣除问题的公告》（国家税务总局公告</t>
        </r>
        <r>
          <rPr>
            <sz val="9"/>
            <color indexed="81"/>
            <rFont val="Tahoma"/>
            <family val="2"/>
          </rPr>
          <t>2015</t>
        </r>
        <r>
          <rPr>
            <sz val="9"/>
            <color indexed="81"/>
            <rFont val="宋体"/>
            <family val="3"/>
            <charset val="134"/>
          </rPr>
          <t>年第</t>
        </r>
        <r>
          <rPr>
            <sz val="9"/>
            <color indexed="81"/>
            <rFont val="Tahoma"/>
            <family val="2"/>
          </rPr>
          <t>34</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国家税务总局关于高新技术企业职工教育经费税前扣除政策的通知》（财税〔</t>
        </r>
        <r>
          <rPr>
            <sz val="9"/>
            <color indexed="81"/>
            <rFont val="Tahoma"/>
            <family val="2"/>
          </rPr>
          <t>2015</t>
        </r>
        <r>
          <rPr>
            <sz val="9"/>
            <color indexed="81"/>
            <rFont val="宋体"/>
            <family val="3"/>
            <charset val="134"/>
          </rPr>
          <t>〕</t>
        </r>
        <r>
          <rPr>
            <sz val="9"/>
            <color indexed="81"/>
            <rFont val="Tahoma"/>
            <family val="2"/>
          </rPr>
          <t>63</t>
        </r>
        <r>
          <rPr>
            <sz val="9"/>
            <color indexed="81"/>
            <rFont val="宋体"/>
            <family val="3"/>
            <charset val="134"/>
          </rPr>
          <t>号）等相关规定，以及国家统一企业会计制度，填报纳税人职工薪酬会计处理、税收规定，以及纳税调整情况。纳税人只要发生相关支出，不论是否纳税调整，均需填报。</t>
        </r>
        <r>
          <rPr>
            <sz val="9"/>
            <color indexed="81"/>
            <rFont val="Tahoma"/>
            <family val="2"/>
          </rPr>
          <t xml:space="preserve">
</t>
        </r>
      </text>
    </comment>
    <comment ref="B6" authorId="0">
      <text>
        <r>
          <rPr>
            <sz val="9"/>
            <color indexed="81"/>
            <rFont val="宋体"/>
            <family val="3"/>
            <charset val="134"/>
          </rPr>
          <t>填报纳税人本年度支付给在本企业任职或者受雇的员工的所有现金形式或非现金形式的劳动报酬及其会计核算、纳税调整等金额。</t>
        </r>
      </text>
    </comment>
    <comment ref="C6" authorId="1">
      <text>
        <r>
          <rPr>
            <sz val="9"/>
            <color indexed="81"/>
            <rFont val="宋体"/>
            <family val="3"/>
            <charset val="134"/>
          </rPr>
          <t>填报纳税人会计核算计入成本费用的职工工资、奖金、津贴和补贴金额。</t>
        </r>
      </text>
    </comment>
    <comment ref="D6" authorId="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会计科目借方发生额（实际发放的工资薪金）。</t>
        </r>
      </text>
    </comment>
    <comment ref="G6" authorId="1">
      <text>
        <r>
          <rPr>
            <sz val="9"/>
            <color indexed="81"/>
            <rFont val="宋体"/>
            <family val="3"/>
            <charset val="134"/>
          </rPr>
          <t>填报纳税人按照税收规定允许税前扣除的金额，按照第1列和第2列分析填报。</t>
        </r>
      </text>
    </comment>
    <comment ref="H6" authorId="1">
      <text>
        <r>
          <rPr>
            <sz val="9"/>
            <color indexed="81"/>
            <rFont val="宋体"/>
            <family val="3"/>
            <charset val="134"/>
          </rPr>
          <t>填报第1-5列的余额。</t>
        </r>
      </text>
    </comment>
    <comment ref="B7" authorId="0">
      <text>
        <r>
          <rPr>
            <sz val="9"/>
            <color indexed="81"/>
            <rFont val="宋体"/>
            <family val="3"/>
            <charset val="134"/>
          </rPr>
          <t>本行由执行《上市公司股权激励管理办法》（中国证券监督管理委员会令第</t>
        </r>
        <r>
          <rPr>
            <sz val="9"/>
            <color indexed="81"/>
            <rFont val="Tahoma"/>
            <family val="2"/>
          </rPr>
          <t>126</t>
        </r>
        <r>
          <rPr>
            <sz val="9"/>
            <color indexed="81"/>
            <rFont val="宋体"/>
            <family val="3"/>
            <charset val="134"/>
          </rPr>
          <t>号）的纳税人填报。</t>
        </r>
      </text>
    </comment>
    <comment ref="C7" authorId="1">
      <text>
        <r>
          <rPr>
            <sz val="9"/>
            <color indexed="81"/>
            <rFont val="宋体"/>
            <family val="3"/>
            <charset val="134"/>
          </rPr>
          <t xml:space="preserve">填报纳税人按照国家有关规定建立职工股权激励计划，会计核算计入成本费用的金额。
</t>
        </r>
      </text>
    </comment>
    <comment ref="D7" authorId="0">
      <text>
        <r>
          <rPr>
            <sz val="9"/>
            <color indexed="81"/>
            <rFont val="宋体"/>
            <family val="3"/>
            <charset val="134"/>
          </rPr>
          <t>填报纳税人根据本年实际行权时股权的公允价格与激励对象实际行权支付价格的差额和数量计算确定的金额。</t>
        </r>
      </text>
    </comment>
    <comment ref="G7" authorId="1">
      <text>
        <r>
          <rPr>
            <sz val="9"/>
            <color indexed="81"/>
            <rFont val="宋体"/>
            <family val="3"/>
            <charset val="134"/>
          </rPr>
          <t>填报行权时按照税收规定允许税前扣除的金额。按照第1列和第2列孰小值填报。</t>
        </r>
      </text>
    </comment>
    <comment ref="H7" authorId="1">
      <text>
        <r>
          <rPr>
            <sz val="9"/>
            <color indexed="81"/>
            <rFont val="宋体"/>
            <family val="3"/>
            <charset val="134"/>
          </rPr>
          <t>填报第1-5列的余额。</t>
        </r>
      </text>
    </comment>
    <comment ref="B8" authorId="0">
      <text>
        <r>
          <rPr>
            <sz val="9"/>
            <color indexed="81"/>
            <rFont val="宋体"/>
            <family val="3"/>
            <charset val="134"/>
          </rPr>
          <t>填报纳税人本年度发生的职工福利费及其会计核算、纳税调整等金额。</t>
        </r>
      </text>
    </comment>
    <comment ref="C8" authorId="1">
      <text>
        <r>
          <rPr>
            <sz val="9"/>
            <color indexed="81"/>
            <rFont val="宋体"/>
            <family val="3"/>
            <charset val="134"/>
          </rPr>
          <t>填报纳税人会计核算计入成本费用的职工福利费的金额。</t>
        </r>
      </text>
    </comment>
    <comment ref="D8" authorId="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会计科目下的职工福利费用实际发生额。</t>
        </r>
      </text>
    </comment>
    <comment ref="E8" authorId="1">
      <text>
        <r>
          <rPr>
            <sz val="9"/>
            <color indexed="81"/>
            <rFont val="宋体"/>
            <family val="3"/>
            <charset val="134"/>
          </rPr>
          <t>填报税收规定的扣除比例（14%）。</t>
        </r>
      </text>
    </comment>
    <comment ref="G8" authorId="1">
      <text>
        <r>
          <rPr>
            <sz val="9"/>
            <color indexed="81"/>
            <rFont val="宋体"/>
            <family val="3"/>
            <charset val="134"/>
          </rPr>
          <t>填报按照税收规定允许税前扣除的金额，按第1行第5列“工资薪金支出/税收金额”×14%、本表第3行第1列、本表第3行第2列三者孰小值填报。</t>
        </r>
      </text>
    </comment>
    <comment ref="H8" authorId="1">
      <text>
        <r>
          <rPr>
            <sz val="9"/>
            <color indexed="81"/>
            <rFont val="宋体"/>
            <family val="3"/>
            <charset val="134"/>
          </rPr>
          <t>填报第1-5列的余额。</t>
        </r>
      </text>
    </comment>
    <comment ref="B9" authorId="1">
      <text>
        <r>
          <rPr>
            <sz val="9"/>
            <color indexed="81"/>
            <rFont val="宋体"/>
            <family val="3"/>
            <charset val="134"/>
          </rPr>
          <t>填报第5行或者第5+6行金额。</t>
        </r>
      </text>
    </comment>
    <comment ref="B10" authorId="1">
      <text>
        <r>
          <rPr>
            <sz val="9"/>
            <color indexed="81"/>
            <rFont val="宋体"/>
            <family val="3"/>
            <charset val="134"/>
          </rPr>
          <t>适用于按照税收规定职工教育经费按比例税前扣除的纳税人填报。</t>
        </r>
      </text>
    </comment>
    <comment ref="C10" authorId="1">
      <text>
        <r>
          <rPr>
            <sz val="9"/>
            <color indexed="81"/>
            <rFont val="宋体"/>
            <family val="3"/>
            <charset val="134"/>
          </rPr>
          <t>填报纳税人会计核算计入成本费用的金额，不包括第6行可全额扣除的职工培训费用金额。</t>
        </r>
      </text>
    </comment>
    <comment ref="D10" authorId="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会计科目下的职工教育经费实际发生额，不包括第</t>
        </r>
        <r>
          <rPr>
            <sz val="9"/>
            <color indexed="81"/>
            <rFont val="Tahoma"/>
            <family val="2"/>
          </rPr>
          <t>6</t>
        </r>
        <r>
          <rPr>
            <sz val="9"/>
            <color indexed="81"/>
            <rFont val="宋体"/>
            <family val="3"/>
            <charset val="134"/>
          </rPr>
          <t>行可全额扣除的职工培训费用金额。</t>
        </r>
      </text>
    </comment>
    <comment ref="E10" authorId="1">
      <text>
        <r>
          <rPr>
            <sz val="9"/>
            <color indexed="81"/>
            <rFont val="宋体"/>
            <family val="3"/>
            <charset val="134"/>
          </rPr>
          <t>填报税收规定的扣除比例。</t>
        </r>
      </text>
    </comment>
    <comment ref="F10" authorId="1">
      <text>
        <r>
          <rPr>
            <sz val="9"/>
            <color indexed="81"/>
            <rFont val="宋体"/>
            <family val="3"/>
            <charset val="134"/>
          </rPr>
          <t>填报纳税人以前年度累计结转准予扣除的职工教育经费支出余额。</t>
        </r>
      </text>
    </comment>
    <comment ref="G10" authorId="1">
      <text>
        <r>
          <rPr>
            <sz val="9"/>
            <color indexed="81"/>
            <rFont val="宋体"/>
            <family val="3"/>
            <charset val="134"/>
          </rPr>
          <t>填报纳税人按照税收规定允许税前扣除的金额（不包括第6行可全额扣除的职工培训费用金额），按第1行第5列“工资薪金支出—税收金额”×扣除比例与本行第1+4列之和的孰小值填报。</t>
        </r>
      </text>
    </comment>
    <comment ref="H10" authorId="1">
      <text>
        <r>
          <rPr>
            <sz val="9"/>
            <color indexed="81"/>
            <rFont val="宋体"/>
            <family val="3"/>
            <charset val="134"/>
          </rPr>
          <t>填报第1-5列的余额。</t>
        </r>
      </text>
    </comment>
    <comment ref="I10" authorId="1">
      <text>
        <r>
          <rPr>
            <sz val="9"/>
            <color indexed="81"/>
            <rFont val="宋体"/>
            <family val="3"/>
            <charset val="134"/>
          </rPr>
          <t xml:space="preserve">填报第1+4-5列的金额。
</t>
        </r>
      </text>
    </comment>
    <comment ref="B11" authorId="1">
      <text>
        <r>
          <rPr>
            <sz val="9"/>
            <color indexed="81"/>
            <rFont val="宋体"/>
            <family val="3"/>
            <charset val="134"/>
          </rPr>
          <t>适用于按照税收规定职工培训费用允许全额税前扣除的纳税人填报。</t>
        </r>
      </text>
    </comment>
    <comment ref="C11" authorId="1">
      <text>
        <r>
          <rPr>
            <sz val="9"/>
            <color indexed="81"/>
            <rFont val="宋体"/>
            <family val="3"/>
            <charset val="134"/>
          </rPr>
          <t>填报纳税人会计核算计入成本费用。</t>
        </r>
      </text>
    </comment>
    <comment ref="D11" authorId="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会计科目下的职工教育经费本年实际发生额（可全额扣除的职工培训费用金额）。</t>
        </r>
        <r>
          <rPr>
            <sz val="9"/>
            <color indexed="81"/>
            <rFont val="Tahoma"/>
            <family val="2"/>
          </rPr>
          <t xml:space="preserve">
</t>
        </r>
      </text>
    </comment>
    <comment ref="E11" authorId="1">
      <text>
        <r>
          <rPr>
            <sz val="9"/>
            <color indexed="81"/>
            <rFont val="宋体"/>
            <family val="3"/>
            <charset val="134"/>
          </rPr>
          <t>填报税收规定的扣除比例（100%）。</t>
        </r>
      </text>
    </comment>
    <comment ref="G11" authorId="1">
      <text>
        <r>
          <rPr>
            <sz val="9"/>
            <color indexed="81"/>
            <rFont val="宋体"/>
            <family val="3"/>
            <charset val="134"/>
          </rPr>
          <t>填报按照税收规定允许税前扣除的金额。</t>
        </r>
      </text>
    </comment>
    <comment ref="H11" authorId="1">
      <text>
        <r>
          <rPr>
            <sz val="9"/>
            <color indexed="81"/>
            <rFont val="宋体"/>
            <family val="3"/>
            <charset val="134"/>
          </rPr>
          <t>填报第1-5列的余额。</t>
        </r>
      </text>
    </comment>
    <comment ref="B12" authorId="0">
      <text>
        <r>
          <rPr>
            <sz val="9"/>
            <color indexed="81"/>
            <rFont val="宋体"/>
            <family val="3"/>
            <charset val="134"/>
          </rPr>
          <t>填报纳税人本年度拨缴工会经费及其会计核算、纳税调整等金额。</t>
        </r>
        <r>
          <rPr>
            <sz val="9"/>
            <color indexed="81"/>
            <rFont val="Tahoma"/>
            <family val="2"/>
          </rPr>
          <t xml:space="preserve">
</t>
        </r>
      </text>
    </comment>
    <comment ref="C12" authorId="1">
      <text>
        <r>
          <rPr>
            <sz val="9"/>
            <color indexed="81"/>
            <rFont val="宋体"/>
            <family val="3"/>
            <charset val="134"/>
          </rPr>
          <t>填报纳税人会计核算计入成本费用的工会经费支出金额。</t>
        </r>
      </text>
    </comment>
    <comment ref="D12" authorId="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会计科目下的工会经费本年实际发生额。</t>
        </r>
      </text>
    </comment>
    <comment ref="E12" authorId="1">
      <text>
        <r>
          <rPr>
            <sz val="9"/>
            <color indexed="81"/>
            <rFont val="宋体"/>
            <family val="3"/>
            <charset val="134"/>
          </rPr>
          <t>填报税收规定的扣除比例（2%）。</t>
        </r>
      </text>
    </comment>
    <comment ref="G12" authorId="1">
      <text>
        <r>
          <rPr>
            <sz val="9"/>
            <color indexed="81"/>
            <rFont val="宋体"/>
            <family val="3"/>
            <charset val="134"/>
          </rPr>
          <t>填报按照税收规定允许税前扣除的金额，按第1行第5列“工资薪金支出/税收金额”×2%与本行第1列、本行第2列三者孰小值填报。</t>
        </r>
      </text>
    </comment>
    <comment ref="H12" authorId="1">
      <text>
        <r>
          <rPr>
            <sz val="9"/>
            <color indexed="81"/>
            <rFont val="宋体"/>
            <family val="3"/>
            <charset val="134"/>
          </rPr>
          <t>填报第1-5列的余额。</t>
        </r>
      </text>
    </comment>
    <comment ref="B13" authorId="0">
      <text>
        <r>
          <rPr>
            <sz val="9"/>
            <color indexed="81"/>
            <rFont val="宋体"/>
            <family val="3"/>
            <charset val="134"/>
          </rPr>
          <t>填报纳税人依照国务院有关主管部门或者省级人民政府规定的范围和标准为职工缴纳的基本社会保险费及其会计核算、纳税调整金额。</t>
        </r>
        <r>
          <rPr>
            <sz val="9"/>
            <color indexed="81"/>
            <rFont val="Tahoma"/>
            <family val="2"/>
          </rPr>
          <t xml:space="preserve">
</t>
        </r>
      </text>
    </comment>
    <comment ref="C13" authorId="1">
      <text>
        <r>
          <rPr>
            <sz val="9"/>
            <color indexed="81"/>
            <rFont val="宋体"/>
            <family val="3"/>
            <charset val="134"/>
          </rPr>
          <t>填报纳税人会计核算的各类基本社会保障性缴款的金额。</t>
        </r>
      </text>
    </comment>
    <comment ref="D13" authorId="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会计科目下的各类基本社会保障性缴款本年实际发生额。</t>
        </r>
      </text>
    </comment>
    <comment ref="G13" authorId="1">
      <text>
        <r>
          <rPr>
            <sz val="9"/>
            <color indexed="81"/>
            <rFont val="宋体"/>
            <family val="3"/>
            <charset val="134"/>
          </rPr>
          <t>填报按照税收规定允许税前扣除的各类基本社会保障性缴款的金额，按本行第1列、第2列以及税收规定允许税前扣除的各类基本社会保障性缴款的金额孰小值填报。</t>
        </r>
      </text>
    </comment>
    <comment ref="H13" authorId="1">
      <text>
        <r>
          <rPr>
            <sz val="9"/>
            <color indexed="81"/>
            <rFont val="宋体"/>
            <family val="3"/>
            <charset val="134"/>
          </rPr>
          <t>填报第1-5列的余额。</t>
        </r>
      </text>
    </comment>
    <comment ref="B14" authorId="0">
      <text>
        <r>
          <rPr>
            <sz val="9"/>
            <color indexed="81"/>
            <rFont val="宋体"/>
            <family val="3"/>
            <charset val="134"/>
          </rPr>
          <t>填报纳税人依照国务院有关主管部门或者省级人民政府规定的范围和标准为职工缴纳的住房公积金及其会计核算、纳税调整金额。</t>
        </r>
      </text>
    </comment>
    <comment ref="C14" authorId="1">
      <text>
        <r>
          <rPr>
            <sz val="9"/>
            <color indexed="81"/>
            <rFont val="宋体"/>
            <family val="3"/>
            <charset val="134"/>
          </rPr>
          <t>填报纳税人会计核算的住房公积金金额。</t>
        </r>
      </text>
    </comment>
    <comment ref="D14" authorId="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会计科目下的住房公积金本年实际发生额。</t>
        </r>
        <r>
          <rPr>
            <sz val="9"/>
            <color indexed="81"/>
            <rFont val="Tahoma"/>
            <family val="2"/>
          </rPr>
          <t xml:space="preserve">
</t>
        </r>
      </text>
    </comment>
    <comment ref="G14" authorId="1">
      <text>
        <r>
          <rPr>
            <sz val="9"/>
            <color indexed="81"/>
            <rFont val="宋体"/>
            <family val="3"/>
            <charset val="134"/>
          </rPr>
          <t>填报按照税收规定允许税前扣除的住房公积金金额，按本行第1列、第2列以及税收规定允许税前扣除的住房公积金的金额孰小值填报。</t>
        </r>
      </text>
    </comment>
    <comment ref="H14" authorId="1">
      <text>
        <r>
          <rPr>
            <sz val="9"/>
            <color indexed="81"/>
            <rFont val="宋体"/>
            <family val="3"/>
            <charset val="134"/>
          </rPr>
          <t>填报第1-5列的余额。</t>
        </r>
      </text>
    </comment>
    <comment ref="B15" authorId="0">
      <text>
        <r>
          <rPr>
            <sz val="9"/>
            <color indexed="81"/>
            <rFont val="宋体"/>
            <family val="3"/>
            <charset val="134"/>
          </rPr>
          <t>填报纳税人为投资者或者职工支付的补充养老保险费的会计核算、纳税调整金额。</t>
        </r>
      </text>
    </comment>
    <comment ref="C15" authorId="1">
      <text>
        <r>
          <rPr>
            <sz val="9"/>
            <color indexed="81"/>
            <rFont val="宋体"/>
            <family val="3"/>
            <charset val="134"/>
          </rPr>
          <t>填报纳税人会计核算的补充养老保险金额。</t>
        </r>
      </text>
    </comment>
    <comment ref="D15" authorId="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会计科目下的补充养老保险本年实际发生额。</t>
        </r>
        <r>
          <rPr>
            <sz val="9"/>
            <color indexed="81"/>
            <rFont val="Tahoma"/>
            <family val="2"/>
          </rPr>
          <t xml:space="preserve">
</t>
        </r>
      </text>
    </comment>
    <comment ref="E15" authorId="0">
      <text>
        <r>
          <rPr>
            <sz val="9"/>
            <color indexed="81"/>
            <rFont val="宋体"/>
            <family val="3"/>
            <charset val="134"/>
          </rPr>
          <t>填报税收规定的扣除比例（</t>
        </r>
        <r>
          <rPr>
            <sz val="9"/>
            <color indexed="81"/>
            <rFont val="Tahoma"/>
            <family val="2"/>
          </rPr>
          <t>5%</t>
        </r>
        <r>
          <rPr>
            <sz val="9"/>
            <color indexed="81"/>
            <rFont val="宋体"/>
            <family val="3"/>
            <charset val="134"/>
          </rPr>
          <t>）。</t>
        </r>
        <r>
          <rPr>
            <sz val="9"/>
            <color indexed="81"/>
            <rFont val="Tahoma"/>
            <family val="2"/>
          </rPr>
          <t xml:space="preserve">
</t>
        </r>
      </text>
    </comment>
    <comment ref="G15" authorId="1">
      <text>
        <r>
          <rPr>
            <sz val="9"/>
            <color indexed="81"/>
            <rFont val="宋体"/>
            <family val="3"/>
            <charset val="134"/>
          </rPr>
          <t>填报按照税收规定允许税前扣除的补充养老保险的金额，按第1行第5列“工资薪金支出/税收金额”×5%、本行第1列、本行第2列的孰小值填报。</t>
        </r>
      </text>
    </comment>
    <comment ref="H15" authorId="1">
      <text>
        <r>
          <rPr>
            <sz val="9"/>
            <color indexed="81"/>
            <rFont val="宋体"/>
            <family val="3"/>
            <charset val="134"/>
          </rPr>
          <t>填报第1-5列的余额。</t>
        </r>
      </text>
    </comment>
    <comment ref="B16" authorId="0">
      <text>
        <r>
          <rPr>
            <sz val="9"/>
            <color indexed="81"/>
            <rFont val="宋体"/>
            <family val="3"/>
            <charset val="134"/>
          </rPr>
          <t>填报纳税人为投资者或者职工支付的补充医疗保险费的会计核算、纳税调整金额。</t>
        </r>
        <r>
          <rPr>
            <sz val="9"/>
            <color indexed="81"/>
            <rFont val="Tahoma"/>
            <family val="2"/>
          </rPr>
          <t xml:space="preserve">
</t>
        </r>
      </text>
    </comment>
    <comment ref="C16" authorId="1">
      <text>
        <r>
          <rPr>
            <sz val="9"/>
            <color indexed="81"/>
            <rFont val="宋体"/>
            <family val="3"/>
            <charset val="134"/>
          </rPr>
          <t>填报纳税人会计核算的补充医疗保险金额。</t>
        </r>
      </text>
    </comment>
    <comment ref="D16" authorId="0">
      <text>
        <r>
          <rPr>
            <sz val="9"/>
            <color indexed="81"/>
            <rFont val="宋体"/>
            <family val="3"/>
            <charset val="134"/>
          </rPr>
          <t>分析填报纳税人</t>
        </r>
        <r>
          <rPr>
            <sz val="9"/>
            <color indexed="81"/>
            <rFont val="Tahoma"/>
            <family val="2"/>
          </rPr>
          <t>“</t>
        </r>
        <r>
          <rPr>
            <sz val="9"/>
            <color indexed="81"/>
            <rFont val="宋体"/>
            <family val="3"/>
            <charset val="134"/>
          </rPr>
          <t>应付职工薪酬</t>
        </r>
        <r>
          <rPr>
            <sz val="9"/>
            <color indexed="81"/>
            <rFont val="Tahoma"/>
            <family val="2"/>
          </rPr>
          <t>”</t>
        </r>
        <r>
          <rPr>
            <sz val="9"/>
            <color indexed="81"/>
            <rFont val="宋体"/>
            <family val="3"/>
            <charset val="134"/>
          </rPr>
          <t>会计科目下的补充医疗保险本年实际发生额。</t>
        </r>
        <r>
          <rPr>
            <sz val="9"/>
            <color indexed="81"/>
            <rFont val="Tahoma"/>
            <family val="2"/>
          </rPr>
          <t xml:space="preserve">
</t>
        </r>
      </text>
    </comment>
    <comment ref="E16" authorId="0">
      <text>
        <r>
          <rPr>
            <sz val="9"/>
            <color indexed="81"/>
            <rFont val="宋体"/>
            <family val="3"/>
            <charset val="134"/>
          </rPr>
          <t>填报税收规定的扣除比例（</t>
        </r>
        <r>
          <rPr>
            <sz val="9"/>
            <color indexed="81"/>
            <rFont val="Tahoma"/>
            <family val="2"/>
          </rPr>
          <t>5%</t>
        </r>
        <r>
          <rPr>
            <sz val="9"/>
            <color indexed="81"/>
            <rFont val="宋体"/>
            <family val="3"/>
            <charset val="134"/>
          </rPr>
          <t>）。</t>
        </r>
        <r>
          <rPr>
            <sz val="9"/>
            <color indexed="81"/>
            <rFont val="Tahoma"/>
            <family val="2"/>
          </rPr>
          <t xml:space="preserve">
</t>
        </r>
      </text>
    </comment>
    <comment ref="G16" authorId="1">
      <text>
        <r>
          <rPr>
            <sz val="9"/>
            <color indexed="81"/>
            <rFont val="宋体"/>
            <family val="3"/>
            <charset val="134"/>
          </rPr>
          <t>填报按照税收规定允许税前扣除的补充医疗保险的金额，按第1行第5列“工资薪金支出/税收金额”×5%、本行第1列、本行第2列的孰小值填报。</t>
        </r>
      </text>
    </comment>
    <comment ref="H16" authorId="1">
      <text>
        <r>
          <rPr>
            <sz val="9"/>
            <color indexed="81"/>
            <rFont val="宋体"/>
            <family val="3"/>
            <charset val="134"/>
          </rPr>
          <t>填报第1-5列的余额。</t>
        </r>
      </text>
    </comment>
    <comment ref="B17" authorId="1">
      <text>
        <r>
          <rPr>
            <sz val="9"/>
            <color indexed="81"/>
            <rFont val="宋体"/>
            <family val="3"/>
            <charset val="134"/>
          </rPr>
          <t>填报其他职工薪酬的金额。</t>
        </r>
      </text>
    </comment>
    <comment ref="C18" authorId="1">
      <text>
        <r>
          <rPr>
            <sz val="9"/>
            <color indexed="81"/>
            <rFont val="宋体"/>
            <family val="3"/>
            <charset val="134"/>
          </rPr>
          <t>第13行第1列＝表A105000第14行第1列。</t>
        </r>
      </text>
    </comment>
    <comment ref="G18" authorId="0">
      <text>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5</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H18" authorId="0">
      <text>
        <r>
          <rPr>
            <sz val="9"/>
            <color indexed="81"/>
            <rFont val="宋体"/>
            <family val="3"/>
            <charset val="134"/>
          </rPr>
          <t>若第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3</t>
        </r>
        <r>
          <rPr>
            <sz val="9"/>
            <color indexed="81"/>
            <rFont val="宋体"/>
            <family val="3"/>
            <charset val="134"/>
          </rPr>
          <t>列；若第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列的绝对值＝表</t>
        </r>
        <r>
          <rPr>
            <sz val="9"/>
            <color indexed="81"/>
            <rFont val="Tahoma"/>
            <family val="2"/>
          </rPr>
          <t>A105000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 ref="I18" authorId="0">
      <text>
        <r>
          <rPr>
            <sz val="9"/>
            <color indexed="81"/>
            <rFont val="宋体"/>
            <family val="3"/>
            <charset val="134"/>
          </rPr>
          <t>若第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3</t>
        </r>
        <r>
          <rPr>
            <sz val="9"/>
            <color indexed="81"/>
            <rFont val="宋体"/>
            <family val="3"/>
            <charset val="134"/>
          </rPr>
          <t>列；若第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6</t>
        </r>
        <r>
          <rPr>
            <sz val="9"/>
            <color indexed="81"/>
            <rFont val="宋体"/>
            <family val="3"/>
            <charset val="134"/>
          </rPr>
          <t>列的绝对值＝表</t>
        </r>
        <r>
          <rPr>
            <sz val="9"/>
            <color indexed="81"/>
            <rFont val="Tahoma"/>
            <family val="2"/>
          </rPr>
          <t>A105000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List>
</comments>
</file>

<file path=xl/comments26.xml><?xml version="1.0" encoding="utf-8"?>
<comments xmlns="http://schemas.openxmlformats.org/spreadsheetml/2006/main">
  <authors>
    <author>Zhang, Dorothy</author>
    <author>Cindy Wang</author>
  </authors>
  <commentList>
    <comment ref="A2" authorId="0">
      <text>
        <r>
          <rPr>
            <sz val="9"/>
            <color indexed="81"/>
            <rFont val="宋体"/>
            <family val="3"/>
            <charset val="134"/>
          </rPr>
          <t>本表适用于发生广告费和业务宣传费纳税调整项目（含广告费和业务宣传费结转）的纳税人填报。纳税人根据税法、《财政部</t>
        </r>
        <r>
          <rPr>
            <sz val="9"/>
            <color indexed="81"/>
            <rFont val="Tahoma"/>
            <family val="2"/>
          </rPr>
          <t xml:space="preserve"> </t>
        </r>
        <r>
          <rPr>
            <sz val="9"/>
            <color indexed="81"/>
            <rFont val="宋体"/>
            <family val="3"/>
            <charset val="134"/>
          </rPr>
          <t>国家税务总局关于广告费和业务宣传费支出税前扣除政策的通知》（财税〔</t>
        </r>
        <r>
          <rPr>
            <sz val="9"/>
            <color indexed="81"/>
            <rFont val="Tahoma"/>
            <family val="2"/>
          </rPr>
          <t>2012</t>
        </r>
        <r>
          <rPr>
            <sz val="9"/>
            <color indexed="81"/>
            <rFont val="宋体"/>
            <family val="3"/>
            <charset val="134"/>
          </rPr>
          <t>〕</t>
        </r>
        <r>
          <rPr>
            <sz val="9"/>
            <color indexed="81"/>
            <rFont val="Tahoma"/>
            <family val="2"/>
          </rPr>
          <t>48</t>
        </r>
        <r>
          <rPr>
            <sz val="9"/>
            <color indexed="81"/>
            <rFont val="宋体"/>
            <family val="3"/>
            <charset val="134"/>
          </rPr>
          <t>号）等相关规定，以及国家统一企业会计制度，填报广告费和业务宣传费会计处理、税收规定，以及跨年度纳税调整情况。</t>
        </r>
      </text>
    </comment>
    <comment ref="B4" authorId="1">
      <text>
        <r>
          <rPr>
            <sz val="9"/>
            <color indexed="81"/>
            <rFont val="宋体"/>
            <family val="3"/>
            <charset val="134"/>
          </rPr>
          <t>填报纳税人会计核算计入本年损益的广告费和业务宣传费用金额。</t>
        </r>
      </text>
    </comment>
    <comment ref="B5" authorId="1">
      <text>
        <r>
          <rPr>
            <sz val="9"/>
            <color indexed="81"/>
            <rFont val="宋体"/>
            <family val="3"/>
            <charset val="134"/>
          </rPr>
          <t>填报税收规定不允许扣除的广告费和业务宣传费支出金额。</t>
        </r>
      </text>
    </comment>
    <comment ref="B6" authorId="1">
      <text>
        <r>
          <rPr>
            <sz val="9"/>
            <color indexed="81"/>
            <rFont val="宋体"/>
            <family val="3"/>
            <charset val="134"/>
          </rPr>
          <t>填报第1-2行的余额。</t>
        </r>
      </text>
    </comment>
    <comment ref="B7" authorId="1">
      <text>
        <r>
          <rPr>
            <sz val="9"/>
            <color indexed="81"/>
            <rFont val="宋体"/>
            <family val="3"/>
            <charset val="134"/>
          </rPr>
          <t>填报按照税收规定计算广告费和业务宣传费扣除限额的当年销售（营业）收入。</t>
        </r>
      </text>
    </comment>
    <comment ref="B8" authorId="1">
      <text>
        <r>
          <rPr>
            <sz val="9"/>
            <color indexed="81"/>
            <rFont val="宋体"/>
            <family val="3"/>
            <charset val="134"/>
          </rPr>
          <t>填报税收规定的扣除比例。</t>
        </r>
      </text>
    </comment>
    <comment ref="B9" authorId="1">
      <text>
        <r>
          <rPr>
            <sz val="9"/>
            <color indexed="81"/>
            <rFont val="宋体"/>
            <family val="3"/>
            <charset val="134"/>
          </rPr>
          <t>填报第4×5行的金额。</t>
        </r>
      </text>
    </comment>
    <comment ref="B10" authorId="1">
      <text>
        <r>
          <rPr>
            <sz val="9"/>
            <color indexed="81"/>
            <rFont val="宋体"/>
            <family val="3"/>
            <charset val="134"/>
          </rPr>
          <t>若第3行＞第6行,填报第3-6行的余额；若第3行≤第6行,填报0。</t>
        </r>
      </text>
    </comment>
    <comment ref="B11" authorId="1">
      <text>
        <r>
          <rPr>
            <sz val="9"/>
            <color indexed="81"/>
            <rFont val="宋体"/>
            <family val="3"/>
            <charset val="134"/>
          </rPr>
          <t>填报以前年度允许税前扣除但超过扣除限额未扣除、结转扣除的广告费和业务宣传费的金额。</t>
        </r>
      </text>
    </comment>
    <comment ref="B12" authorId="1">
      <text>
        <r>
          <rPr>
            <sz val="9"/>
            <color indexed="81"/>
            <rFont val="宋体"/>
            <family val="3"/>
            <charset val="134"/>
          </rPr>
          <t>若第3行＞第6行,填0；若第3行≤第6行,填报第6-3行与第8行的孰小值。</t>
        </r>
      </text>
    </comment>
    <comment ref="B14" authorId="1">
      <text>
        <r>
          <rPr>
            <sz val="9"/>
            <color indexed="81"/>
            <rFont val="宋体"/>
            <family val="3"/>
            <charset val="134"/>
          </rPr>
          <t>填报签订广告费和业务宣传费分摊协议（以下简称分摊协议）的关联企业的一方，按照分摊协议，将其发生的不超过当年销售（营业）收入税前扣除限额比例内的广告费和业务宣传费支出归集至其他关联方扣除的广告费和业务宣传费，本行应≤第3行与第6行的孰小值。</t>
        </r>
      </text>
    </comment>
    <comment ref="B15" authorId="1">
      <text>
        <r>
          <rPr>
            <sz val="9"/>
            <color indexed="81"/>
            <rFont val="宋体"/>
            <family val="3"/>
            <charset val="134"/>
          </rPr>
          <t>填报签订广告费和业务宣传费分摊协议（以下简称分摊协议）的关联企业的一方，按照分摊协议，从其他关联方归集至本企业的广告费和业务宣传费。</t>
        </r>
      </text>
    </comment>
    <comment ref="B16" authorId="1">
      <text>
        <r>
          <rPr>
            <sz val="9"/>
            <color indexed="81"/>
            <rFont val="宋体"/>
            <family val="3"/>
            <charset val="134"/>
          </rPr>
          <t>若第3行＞第6行,填报第2+3-6+10-11行的金额；若第3行≤第6行,填报第2+10-11-9行的金额。</t>
        </r>
      </text>
    </comment>
    <comment ref="C16" authorId="1">
      <text>
        <r>
          <rPr>
            <sz val="9"/>
            <color indexed="81"/>
            <rFont val="宋体"/>
            <family val="3"/>
            <charset val="134"/>
          </rPr>
          <t>第12行，若≥0，填入表A105000第16行第3列，若＜0，将第12行的绝对值填入表A105000第16行第4列。</t>
        </r>
      </text>
    </comment>
    <comment ref="B18" authorId="1">
      <text>
        <r>
          <rPr>
            <sz val="9"/>
            <color indexed="81"/>
            <rFont val="宋体"/>
            <family val="3"/>
            <charset val="134"/>
          </rPr>
          <t>填报第7+8-9行的金额。</t>
        </r>
      </text>
    </comment>
  </commentList>
</comments>
</file>

<file path=xl/comments27.xml><?xml version="1.0" encoding="utf-8"?>
<comments xmlns="http://schemas.openxmlformats.org/spreadsheetml/2006/main">
  <authors>
    <author>Zhang, Dorothy</author>
  </authors>
  <commentList>
    <comment ref="A2" authorId="0">
      <text>
        <r>
          <rPr>
            <sz val="9"/>
            <color indexed="81"/>
            <rFont val="宋体"/>
            <family val="3"/>
            <charset val="134"/>
          </rPr>
          <t>本表适用于发生捐赠支出（含捐赠支出结转）的纳税人填报。纳税人根据税法、《财政部</t>
        </r>
        <r>
          <rPr>
            <sz val="9"/>
            <color indexed="81"/>
            <rFont val="Tahoma"/>
            <family val="2"/>
          </rPr>
          <t xml:space="preserve"> </t>
        </r>
        <r>
          <rPr>
            <sz val="9"/>
            <color indexed="81"/>
            <rFont val="宋体"/>
            <family val="3"/>
            <charset val="134"/>
          </rPr>
          <t>国家税务总局关于公益性捐赠税前扣除有关问题的通知》（财税〔</t>
        </r>
        <r>
          <rPr>
            <sz val="9"/>
            <color indexed="81"/>
            <rFont val="Tahoma"/>
            <family val="2"/>
          </rPr>
          <t>2008</t>
        </r>
        <r>
          <rPr>
            <sz val="9"/>
            <color indexed="81"/>
            <rFont val="宋体"/>
            <family val="3"/>
            <charset val="134"/>
          </rPr>
          <t>〕</t>
        </r>
        <r>
          <rPr>
            <sz val="9"/>
            <color indexed="81"/>
            <rFont val="Tahoma"/>
            <family val="2"/>
          </rPr>
          <t>160</t>
        </r>
        <r>
          <rPr>
            <sz val="9"/>
            <color indexed="81"/>
            <rFont val="宋体"/>
            <family val="3"/>
            <charset val="134"/>
          </rPr>
          <t>号）等相关规定，以及国家统一企业会计制度，填报捐赠支出会计处理、税收规定的税前扣除额、捐赠支出结转额以及纳税调整额。纳税人发生相关支出（含捐赠支出结转），无论是否纳税调整，均应填报本表。</t>
        </r>
      </text>
    </comment>
    <comment ref="B5" authorId="0">
      <text>
        <r>
          <rPr>
            <sz val="9"/>
            <color indexed="81"/>
            <rFont val="宋体"/>
            <family val="3"/>
            <charset val="134"/>
          </rPr>
          <t>填报纳税人本年发生且已计入本年损益的税收规定公益性捐赠以外的其他捐赠支出的会计核算、纳税调整情况。</t>
        </r>
        <r>
          <rPr>
            <sz val="9"/>
            <color indexed="81"/>
            <rFont val="Tahoma"/>
            <family val="2"/>
          </rPr>
          <t xml:space="preserve">
</t>
        </r>
      </text>
    </comment>
    <comment ref="C5" authorId="0">
      <text>
        <r>
          <rPr>
            <sz val="9"/>
            <color indexed="81"/>
            <rFont val="宋体"/>
            <family val="3"/>
            <charset val="134"/>
          </rPr>
          <t>填报纳税人会计核算计入本年损益的税收规定公益性捐赠以外的其他捐赠支出金额。</t>
        </r>
        <r>
          <rPr>
            <sz val="9"/>
            <color indexed="81"/>
            <rFont val="Tahoma"/>
            <family val="2"/>
          </rPr>
          <t xml:space="preserve">
</t>
        </r>
      </text>
    </comment>
    <comment ref="G5" authorId="0">
      <text>
        <r>
          <rPr>
            <sz val="9"/>
            <color indexed="81"/>
            <rFont val="宋体"/>
            <family val="3"/>
            <charset val="134"/>
          </rPr>
          <t>填报非公益性捐赠支出纳税调整增加额，金额等于第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t>
        </r>
        <r>
          <rPr>
            <sz val="9"/>
            <color indexed="81"/>
            <rFont val="Tahoma"/>
            <family val="2"/>
          </rPr>
          <t xml:space="preserve">
</t>
        </r>
      </text>
    </comment>
    <comment ref="B6" authorId="0">
      <text>
        <r>
          <rPr>
            <sz val="9"/>
            <color indexed="81"/>
            <rFont val="宋体"/>
            <family val="3"/>
            <charset val="134"/>
          </rPr>
          <t>填报纳税人发生的可全额税前扣除的公益性捐赠支出。</t>
        </r>
        <r>
          <rPr>
            <sz val="9"/>
            <color indexed="81"/>
            <rFont val="Tahoma"/>
            <family val="2"/>
          </rPr>
          <t xml:space="preserve">
</t>
        </r>
      </text>
    </comment>
    <comment ref="C6" authorId="0">
      <text>
        <r>
          <rPr>
            <sz val="9"/>
            <color indexed="81"/>
            <rFont val="宋体"/>
            <family val="3"/>
            <charset val="134"/>
          </rPr>
          <t>填报纳税人本年发生的会计核算计入本年损益的按税收规定可全额税前扣除的捐赠支出金额。</t>
        </r>
        <r>
          <rPr>
            <sz val="9"/>
            <color indexed="81"/>
            <rFont val="Tahoma"/>
            <family val="2"/>
          </rPr>
          <t xml:space="preserve">
</t>
        </r>
      </text>
    </comment>
    <comment ref="F6" authorId="0">
      <text>
        <r>
          <rPr>
            <sz val="9"/>
            <color indexed="81"/>
            <rFont val="宋体"/>
            <family val="3"/>
            <charset val="134"/>
          </rPr>
          <t>等于第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账载金额</t>
        </r>
        <r>
          <rPr>
            <sz val="9"/>
            <color indexed="81"/>
            <rFont val="Tahoma"/>
            <family val="2"/>
          </rPr>
          <t>”</t>
        </r>
        <r>
          <rPr>
            <sz val="9"/>
            <color indexed="81"/>
            <rFont val="宋体"/>
            <family val="3"/>
            <charset val="134"/>
          </rPr>
          <t>。</t>
        </r>
        <r>
          <rPr>
            <sz val="9"/>
            <color indexed="81"/>
            <rFont val="Tahoma"/>
            <family val="2"/>
          </rPr>
          <t xml:space="preserve">
</t>
        </r>
      </text>
    </comment>
    <comment ref="B7" authorId="0">
      <text>
        <r>
          <rPr>
            <sz val="9"/>
            <color indexed="81"/>
            <rFont val="宋体"/>
            <family val="3"/>
            <charset val="134"/>
          </rPr>
          <t>填报纳税人本年发生的限额扣除的公益性捐赠支出、纳税调整额、以前年度结转扣除捐赠支出等。</t>
        </r>
      </text>
    </comment>
    <comment ref="F7" authorId="0">
      <text>
        <r>
          <rPr>
            <sz val="9"/>
            <color indexed="81"/>
            <rFont val="宋体"/>
            <family val="3"/>
            <charset val="134"/>
          </rPr>
          <t>当本行第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2</t>
        </r>
        <r>
          <rPr>
            <sz val="9"/>
            <color indexed="81"/>
            <rFont val="宋体"/>
            <family val="3"/>
            <charset val="134"/>
          </rPr>
          <t>列大于第</t>
        </r>
        <r>
          <rPr>
            <sz val="9"/>
            <color indexed="81"/>
            <rFont val="Tahoma"/>
            <family val="2"/>
          </rPr>
          <t>3</t>
        </r>
        <r>
          <rPr>
            <sz val="9"/>
            <color indexed="81"/>
            <rFont val="宋体"/>
            <family val="3"/>
            <charset val="134"/>
          </rPr>
          <t>列时，第</t>
        </r>
        <r>
          <rPr>
            <sz val="9"/>
            <color indexed="81"/>
            <rFont val="Tahoma"/>
            <family val="2"/>
          </rPr>
          <t>4</t>
        </r>
        <r>
          <rPr>
            <sz val="9"/>
            <color indexed="81"/>
            <rFont val="宋体"/>
            <family val="3"/>
            <charset val="134"/>
          </rPr>
          <t>列＝第</t>
        </r>
        <r>
          <rPr>
            <sz val="9"/>
            <color indexed="81"/>
            <rFont val="Tahoma"/>
            <family val="2"/>
          </rPr>
          <t>3</t>
        </r>
        <r>
          <rPr>
            <sz val="9"/>
            <color indexed="81"/>
            <rFont val="宋体"/>
            <family val="3"/>
            <charset val="134"/>
          </rPr>
          <t>列；当本行第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2</t>
        </r>
        <r>
          <rPr>
            <sz val="9"/>
            <color indexed="81"/>
            <rFont val="宋体"/>
            <family val="3"/>
            <charset val="134"/>
          </rPr>
          <t>列小于等于第</t>
        </r>
        <r>
          <rPr>
            <sz val="9"/>
            <color indexed="81"/>
            <rFont val="Tahoma"/>
            <family val="2"/>
          </rPr>
          <t>3</t>
        </r>
        <r>
          <rPr>
            <sz val="9"/>
            <color indexed="81"/>
            <rFont val="宋体"/>
            <family val="3"/>
            <charset val="134"/>
          </rPr>
          <t>列时，第</t>
        </r>
        <r>
          <rPr>
            <sz val="9"/>
            <color indexed="81"/>
            <rFont val="Tahoma"/>
            <family val="2"/>
          </rPr>
          <t>4</t>
        </r>
        <r>
          <rPr>
            <sz val="9"/>
            <color indexed="81"/>
            <rFont val="宋体"/>
            <family val="3"/>
            <charset val="134"/>
          </rPr>
          <t>列＝第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2</t>
        </r>
        <r>
          <rPr>
            <sz val="9"/>
            <color indexed="81"/>
            <rFont val="宋体"/>
            <family val="3"/>
            <charset val="134"/>
          </rPr>
          <t>列。</t>
        </r>
        <r>
          <rPr>
            <sz val="9"/>
            <color indexed="81"/>
            <rFont val="Tahoma"/>
            <family val="2"/>
          </rPr>
          <t xml:space="preserve">
</t>
        </r>
      </text>
    </comment>
    <comment ref="B8" authorId="0">
      <text>
        <r>
          <rPr>
            <sz val="9"/>
            <color indexed="81"/>
            <rFont val="宋体"/>
            <family val="3"/>
            <charset val="134"/>
          </rPr>
          <t>填报纳税人前三年度发生的未税前扣除的公益性捐赠支出在本年度扣除的金额。</t>
        </r>
        <r>
          <rPr>
            <sz val="9"/>
            <color indexed="81"/>
            <rFont val="Tahoma"/>
            <family val="2"/>
          </rPr>
          <t xml:space="preserve">
</t>
        </r>
      </text>
    </comment>
    <comment ref="D8" authorId="0">
      <text>
        <r>
          <rPr>
            <sz val="9"/>
            <color indexed="81"/>
            <rFont val="宋体"/>
            <family val="3"/>
            <charset val="134"/>
          </rPr>
          <t>填报前三年度发生的尚未税前扣除的公益性捐赠支出金额。</t>
        </r>
        <r>
          <rPr>
            <sz val="9"/>
            <color indexed="81"/>
            <rFont val="Tahoma"/>
            <family val="2"/>
          </rPr>
          <t xml:space="preserve">
</t>
        </r>
      </text>
    </comment>
    <comment ref="H8" authorId="0">
      <text>
        <r>
          <rPr>
            <sz val="9"/>
            <color indexed="81"/>
            <rFont val="宋体"/>
            <family val="3"/>
            <charset val="134"/>
          </rPr>
          <t>根据本年扣除限额以及前三年度未扣除的公益性捐赠支出分析填报。</t>
        </r>
        <r>
          <rPr>
            <sz val="9"/>
            <color indexed="81"/>
            <rFont val="Tahoma"/>
            <family val="2"/>
          </rPr>
          <t xml:space="preserve">
</t>
        </r>
      </text>
    </comment>
    <comment ref="B9" authorId="0">
      <text>
        <r>
          <rPr>
            <sz val="9"/>
            <color indexed="81"/>
            <rFont val="宋体"/>
            <family val="3"/>
            <charset val="134"/>
          </rPr>
          <t>填报纳税人前二年度发生的未税前扣除的公益性捐赠支出在本年度扣除的捐赠额以及结转以后年度扣除的捐赠额。</t>
        </r>
        <r>
          <rPr>
            <sz val="9"/>
            <color indexed="81"/>
            <rFont val="Tahoma"/>
            <family val="2"/>
          </rPr>
          <t xml:space="preserve">
</t>
        </r>
      </text>
    </comment>
    <comment ref="D9" authorId="0">
      <text>
        <r>
          <rPr>
            <sz val="9"/>
            <color indexed="81"/>
            <rFont val="宋体"/>
            <family val="3"/>
            <charset val="134"/>
          </rPr>
          <t>填报前二年度发生的尚未税前扣除的公益性捐赠支出金额。</t>
        </r>
        <r>
          <rPr>
            <sz val="9"/>
            <color indexed="81"/>
            <rFont val="Tahoma"/>
            <family val="2"/>
          </rPr>
          <t xml:space="preserve">
</t>
        </r>
      </text>
    </comment>
    <comment ref="H9" authorId="0">
      <text>
        <r>
          <rPr>
            <sz val="9"/>
            <color indexed="81"/>
            <rFont val="宋体"/>
            <family val="3"/>
            <charset val="134"/>
          </rPr>
          <t>根据本年剩余扣除限额、本年扣除前三年度捐赠支出、前二年度未扣除的公益性捐赠支出分析填报。</t>
        </r>
        <r>
          <rPr>
            <sz val="9"/>
            <color indexed="81"/>
            <rFont val="Tahoma"/>
            <family val="2"/>
          </rPr>
          <t xml:space="preserve">
</t>
        </r>
      </text>
    </comment>
    <comment ref="I9" authorId="0">
      <text>
        <r>
          <rPr>
            <sz val="9"/>
            <color indexed="81"/>
            <rFont val="宋体"/>
            <family val="3"/>
            <charset val="134"/>
          </rPr>
          <t>填报前二年度未扣除、结转以后年度扣除的公益性捐赠支出金额。</t>
        </r>
        <r>
          <rPr>
            <sz val="9"/>
            <color indexed="81"/>
            <rFont val="Tahoma"/>
            <family val="2"/>
          </rPr>
          <t xml:space="preserve">
</t>
        </r>
      </text>
    </comment>
    <comment ref="B10" authorId="0">
      <text>
        <r>
          <rPr>
            <sz val="9"/>
            <color indexed="81"/>
            <rFont val="宋体"/>
            <family val="3"/>
            <charset val="134"/>
          </rPr>
          <t>填报纳税人前一年度发生的未税前扣除的公益性捐赠支出在本年度扣除的捐赠额以及结转以后年度扣除的捐赠额。</t>
        </r>
        <r>
          <rPr>
            <sz val="9"/>
            <color indexed="81"/>
            <rFont val="Tahoma"/>
            <family val="2"/>
          </rPr>
          <t xml:space="preserve">
</t>
        </r>
      </text>
    </comment>
    <comment ref="D10" authorId="0">
      <text>
        <r>
          <rPr>
            <sz val="9"/>
            <color indexed="81"/>
            <rFont val="宋体"/>
            <family val="3"/>
            <charset val="134"/>
          </rPr>
          <t>填报前一年度发生的尚未税前扣除的公益性捐赠支出金额。</t>
        </r>
        <r>
          <rPr>
            <sz val="9"/>
            <color indexed="81"/>
            <rFont val="Tahoma"/>
            <family val="2"/>
          </rPr>
          <t xml:space="preserve">
</t>
        </r>
      </text>
    </comment>
    <comment ref="H10" authorId="0">
      <text>
        <r>
          <rPr>
            <sz val="9"/>
            <color indexed="81"/>
            <rFont val="宋体"/>
            <family val="3"/>
            <charset val="134"/>
          </rPr>
          <t>根据本年剩余扣除限额、本年扣除前三年度捐赠支出、本年扣除前二年度捐赠支出、前一年度未扣除的公益性捐赠支出分析填报。</t>
        </r>
        <r>
          <rPr>
            <sz val="9"/>
            <color indexed="81"/>
            <rFont val="Tahoma"/>
            <family val="2"/>
          </rPr>
          <t xml:space="preserve">
</t>
        </r>
      </text>
    </comment>
    <comment ref="I10" authorId="0">
      <text>
        <r>
          <rPr>
            <sz val="9"/>
            <color indexed="81"/>
            <rFont val="宋体"/>
            <family val="3"/>
            <charset val="134"/>
          </rPr>
          <t>填报前一年度未扣除、结转以后年度扣除的公益性捐赠支出金额。</t>
        </r>
        <r>
          <rPr>
            <sz val="9"/>
            <color indexed="81"/>
            <rFont val="Tahoma"/>
            <family val="2"/>
          </rPr>
          <t xml:space="preserve">
</t>
        </r>
      </text>
    </comment>
    <comment ref="B11" authorId="0">
      <text>
        <r>
          <rPr>
            <sz val="9"/>
            <color indexed="81"/>
            <rFont val="宋体"/>
            <family val="3"/>
            <charset val="134"/>
          </rPr>
          <t>填报纳税人本年度发生、本年税前扣除、本年纳税调增以及结转以后年度扣除的公益性捐赠支出。</t>
        </r>
        <r>
          <rPr>
            <sz val="9"/>
            <color indexed="81"/>
            <rFont val="Tahoma"/>
            <family val="2"/>
          </rPr>
          <t xml:space="preserve">
</t>
        </r>
      </text>
    </comment>
    <comment ref="C11" authorId="0">
      <text>
        <r>
          <rPr>
            <sz val="9"/>
            <color indexed="81"/>
            <rFont val="宋体"/>
            <family val="3"/>
            <charset val="134"/>
          </rPr>
          <t>填报本年会计核算计入本年损益的公益性捐赠支出金额。</t>
        </r>
        <r>
          <rPr>
            <sz val="9"/>
            <color indexed="81"/>
            <rFont val="Tahoma"/>
            <family val="2"/>
          </rPr>
          <t xml:space="preserve">
</t>
        </r>
      </text>
    </comment>
    <comment ref="E11" authorId="0">
      <text>
        <r>
          <rPr>
            <sz val="9"/>
            <color indexed="81"/>
            <rFont val="宋体"/>
            <family val="3"/>
            <charset val="134"/>
          </rPr>
          <t>填报按照本年利润总额乘以</t>
        </r>
        <r>
          <rPr>
            <sz val="9"/>
            <color indexed="81"/>
            <rFont val="Tahoma"/>
            <family val="2"/>
          </rPr>
          <t>12%</t>
        </r>
        <r>
          <rPr>
            <sz val="9"/>
            <color indexed="81"/>
            <rFont val="宋体"/>
            <family val="3"/>
            <charset val="134"/>
          </rPr>
          <t>的金额，若利润总额为负数，则以</t>
        </r>
        <r>
          <rPr>
            <sz val="9"/>
            <color indexed="81"/>
            <rFont val="Tahoma"/>
            <family val="2"/>
          </rPr>
          <t>0</t>
        </r>
        <r>
          <rPr>
            <sz val="9"/>
            <color indexed="81"/>
            <rFont val="宋体"/>
            <family val="3"/>
            <charset val="134"/>
          </rPr>
          <t>填报。</t>
        </r>
        <r>
          <rPr>
            <sz val="9"/>
            <color indexed="81"/>
            <rFont val="Tahoma"/>
            <family val="2"/>
          </rPr>
          <t xml:space="preserve">
</t>
        </r>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13</t>
        </r>
        <r>
          <rPr>
            <sz val="9"/>
            <color indexed="81"/>
            <rFont val="宋体"/>
            <family val="3"/>
            <charset val="134"/>
          </rPr>
          <t>行</t>
        </r>
        <r>
          <rPr>
            <sz val="9"/>
            <color indexed="81"/>
            <rFont val="Tahoma"/>
            <family val="2"/>
          </rPr>
          <t>×12%</t>
        </r>
        <r>
          <rPr>
            <sz val="9"/>
            <color indexed="81"/>
            <rFont val="宋体"/>
            <family val="3"/>
            <charset val="134"/>
          </rPr>
          <t>（当表</t>
        </r>
        <r>
          <rPr>
            <sz val="9"/>
            <color indexed="81"/>
            <rFont val="Tahoma"/>
            <family val="2"/>
          </rPr>
          <t>A100000</t>
        </r>
        <r>
          <rPr>
            <sz val="9"/>
            <color indexed="81"/>
            <rFont val="宋体"/>
            <family val="3"/>
            <charset val="134"/>
          </rPr>
          <t>第</t>
        </r>
        <r>
          <rPr>
            <sz val="9"/>
            <color indexed="81"/>
            <rFont val="Tahoma"/>
            <family val="2"/>
          </rPr>
          <t>13</t>
        </r>
        <r>
          <rPr>
            <sz val="9"/>
            <color indexed="81"/>
            <rFont val="宋体"/>
            <family val="3"/>
            <charset val="134"/>
          </rPr>
          <t>行≤</t>
        </r>
        <r>
          <rPr>
            <sz val="9"/>
            <color indexed="81"/>
            <rFont val="Tahoma"/>
            <family val="2"/>
          </rPr>
          <t>0</t>
        </r>
        <r>
          <rPr>
            <sz val="9"/>
            <color indexed="81"/>
            <rFont val="宋体"/>
            <family val="3"/>
            <charset val="134"/>
          </rPr>
          <t>，第</t>
        </r>
        <r>
          <rPr>
            <sz val="9"/>
            <color indexed="81"/>
            <rFont val="Tahoma"/>
            <family val="2"/>
          </rPr>
          <t>7</t>
        </r>
        <r>
          <rPr>
            <sz val="9"/>
            <color indexed="81"/>
            <rFont val="宋体"/>
            <family val="3"/>
            <charset val="134"/>
          </rPr>
          <t>行第</t>
        </r>
        <r>
          <rPr>
            <sz val="9"/>
            <color indexed="81"/>
            <rFont val="Tahoma"/>
            <family val="2"/>
          </rPr>
          <t>3</t>
        </r>
        <r>
          <rPr>
            <sz val="9"/>
            <color indexed="81"/>
            <rFont val="宋体"/>
            <family val="3"/>
            <charset val="134"/>
          </rPr>
          <t>列＝</t>
        </r>
        <r>
          <rPr>
            <sz val="9"/>
            <color indexed="81"/>
            <rFont val="Tahoma"/>
            <family val="2"/>
          </rPr>
          <t>0</t>
        </r>
        <r>
          <rPr>
            <sz val="9"/>
            <color indexed="81"/>
            <rFont val="宋体"/>
            <family val="3"/>
            <charset val="134"/>
          </rPr>
          <t>）。</t>
        </r>
      </text>
    </comment>
    <comment ref="F11" authorId="0">
      <text>
        <r>
          <rPr>
            <sz val="9"/>
            <color indexed="81"/>
            <rFont val="宋体"/>
            <family val="3"/>
            <charset val="134"/>
          </rPr>
          <t>填报本年实际发生的公益性捐赠支出以及结转扣除以前年度公益性捐赠支出情况分析填报。</t>
        </r>
        <r>
          <rPr>
            <sz val="9"/>
            <color indexed="81"/>
            <rFont val="Tahoma"/>
            <family val="2"/>
          </rPr>
          <t xml:space="preserve">
</t>
        </r>
      </text>
    </comment>
    <comment ref="G11" authorId="0">
      <text>
        <r>
          <rPr>
            <sz val="9"/>
            <color indexed="81"/>
            <rFont val="宋体"/>
            <family val="3"/>
            <charset val="134"/>
          </rPr>
          <t>填报本年公益性捐赠支出账载金额超过税收规定的税前扣除额的部分。</t>
        </r>
        <r>
          <rPr>
            <sz val="9"/>
            <color indexed="81"/>
            <rFont val="Tahoma"/>
            <family val="2"/>
          </rPr>
          <t xml:space="preserve">
</t>
        </r>
      </text>
    </comment>
    <comment ref="I11" authorId="0">
      <text>
        <r>
          <rPr>
            <sz val="9"/>
            <color indexed="81"/>
            <rFont val="宋体"/>
            <family val="3"/>
            <charset val="134"/>
          </rPr>
          <t>填报本年度未扣除、结转以后年度扣除的公益性捐赠支出金额。</t>
        </r>
        <r>
          <rPr>
            <sz val="9"/>
            <color indexed="81"/>
            <rFont val="Tahoma"/>
            <family val="2"/>
          </rPr>
          <t xml:space="preserve">
</t>
        </r>
      </text>
    </comment>
    <comment ref="B12" authorId="0">
      <text>
        <r>
          <rPr>
            <sz val="9"/>
            <color indexed="81"/>
            <rFont val="宋体"/>
            <family val="3"/>
            <charset val="134"/>
          </rPr>
          <t>填报第</t>
        </r>
        <r>
          <rPr>
            <sz val="9"/>
            <color indexed="81"/>
            <rFont val="Tahoma"/>
            <family val="2"/>
          </rPr>
          <t>1+2+3</t>
        </r>
        <r>
          <rPr>
            <sz val="9"/>
            <color indexed="81"/>
            <rFont val="宋体"/>
            <family val="3"/>
            <charset val="134"/>
          </rPr>
          <t>行的合计金额。</t>
        </r>
      </text>
    </comment>
    <comment ref="C12" authorId="0">
      <text>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F12" authorId="0">
      <text>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G12" authorId="0">
      <text>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5</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3</t>
        </r>
        <r>
          <rPr>
            <sz val="9"/>
            <color indexed="81"/>
            <rFont val="宋体"/>
            <family val="3"/>
            <charset val="134"/>
          </rPr>
          <t>列。</t>
        </r>
        <r>
          <rPr>
            <sz val="9"/>
            <color indexed="81"/>
            <rFont val="Tahoma"/>
            <family val="2"/>
          </rPr>
          <t xml:space="preserve">
</t>
        </r>
      </text>
    </comment>
    <comment ref="H12" authorId="0">
      <text>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6</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17</t>
        </r>
        <r>
          <rPr>
            <sz val="9"/>
            <color indexed="81"/>
            <rFont val="宋体"/>
            <family val="3"/>
            <charset val="134"/>
          </rPr>
          <t>行第</t>
        </r>
        <r>
          <rPr>
            <sz val="9"/>
            <color indexed="81"/>
            <rFont val="Tahoma"/>
            <family val="2"/>
          </rPr>
          <t>4</t>
        </r>
        <r>
          <rPr>
            <sz val="9"/>
            <color indexed="81"/>
            <rFont val="宋体"/>
            <family val="3"/>
            <charset val="134"/>
          </rPr>
          <t xml:space="preserve">列。
</t>
        </r>
        <r>
          <rPr>
            <sz val="9"/>
            <color indexed="81"/>
            <rFont val="Tahoma"/>
            <family val="2"/>
          </rPr>
          <t xml:space="preserve">
</t>
        </r>
      </text>
    </comment>
  </commentList>
</comments>
</file>

<file path=xl/comments28.xml><?xml version="1.0" encoding="utf-8"?>
<comments xmlns="http://schemas.openxmlformats.org/spreadsheetml/2006/main">
  <authors>
    <author>Zhang, Dorothy</author>
    <author>Cindy Wang</author>
  </authors>
  <commentList>
    <comment ref="A2" authorId="0">
      <text>
        <r>
          <rPr>
            <sz val="9"/>
            <color indexed="81"/>
            <rFont val="宋体"/>
            <family val="3"/>
            <charset val="134"/>
          </rPr>
          <t>本表适用于发生资产折旧、摊销的纳税人，无论是否纳税调整，均须填报。纳税人根据税法、《国家税务总局关于企业固定资产加速折旧所得税处理有关问题的通知》（国税发〔</t>
        </r>
        <r>
          <rPr>
            <sz val="9"/>
            <color indexed="81"/>
            <rFont val="Tahoma"/>
            <family val="2"/>
          </rPr>
          <t>2009</t>
        </r>
        <r>
          <rPr>
            <sz val="9"/>
            <color indexed="81"/>
            <rFont val="宋体"/>
            <family val="3"/>
            <charset val="134"/>
          </rPr>
          <t>〕</t>
        </r>
        <r>
          <rPr>
            <sz val="9"/>
            <color indexed="81"/>
            <rFont val="Tahoma"/>
            <family val="2"/>
          </rPr>
          <t>81</t>
        </r>
        <r>
          <rPr>
            <sz val="9"/>
            <color indexed="81"/>
            <rFont val="宋体"/>
            <family val="3"/>
            <charset val="134"/>
          </rPr>
          <t>号）、《国家税务总局关于融资性售后回租业务中承租方出售资产行为有关税收问题的公告》（国家税务总局公告</t>
        </r>
        <r>
          <rPr>
            <sz val="9"/>
            <color indexed="81"/>
            <rFont val="Tahoma"/>
            <family val="2"/>
          </rPr>
          <t>2010</t>
        </r>
        <r>
          <rPr>
            <sz val="9"/>
            <color indexed="81"/>
            <rFont val="宋体"/>
            <family val="3"/>
            <charset val="134"/>
          </rPr>
          <t>年第</t>
        </r>
        <r>
          <rPr>
            <sz val="9"/>
            <color indexed="81"/>
            <rFont val="Tahoma"/>
            <family val="2"/>
          </rPr>
          <t>13</t>
        </r>
        <r>
          <rPr>
            <sz val="9"/>
            <color indexed="81"/>
            <rFont val="宋体"/>
            <family val="3"/>
            <charset val="134"/>
          </rPr>
          <t>号）、《国家税务总局关于企业所得税若干问题的公告》（国家税务总局公告</t>
        </r>
        <r>
          <rPr>
            <sz val="9"/>
            <color indexed="81"/>
            <rFont val="Tahoma"/>
            <family val="2"/>
          </rPr>
          <t>2011</t>
        </r>
        <r>
          <rPr>
            <sz val="9"/>
            <color indexed="81"/>
            <rFont val="宋体"/>
            <family val="3"/>
            <charset val="134"/>
          </rPr>
          <t>年第</t>
        </r>
        <r>
          <rPr>
            <sz val="9"/>
            <color indexed="81"/>
            <rFont val="Tahoma"/>
            <family val="2"/>
          </rPr>
          <t>34</t>
        </r>
        <r>
          <rPr>
            <sz val="9"/>
            <color indexed="81"/>
            <rFont val="宋体"/>
            <family val="3"/>
            <charset val="134"/>
          </rPr>
          <t>号）、《国家税务总局关于发布〈企业所得税政策性搬迁所得税管理办法〉的公告》（国家税务总局公告</t>
        </r>
        <r>
          <rPr>
            <sz val="9"/>
            <color indexed="81"/>
            <rFont val="Tahoma"/>
            <family val="2"/>
          </rPr>
          <t>2012</t>
        </r>
        <r>
          <rPr>
            <sz val="9"/>
            <color indexed="81"/>
            <rFont val="宋体"/>
            <family val="3"/>
            <charset val="134"/>
          </rPr>
          <t>年第</t>
        </r>
        <r>
          <rPr>
            <sz val="9"/>
            <color indexed="81"/>
            <rFont val="Tahoma"/>
            <family val="2"/>
          </rPr>
          <t>40</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号）、《国家税务总局关于企业所得税应纳税所得额若干问题的公告》（国家税务总局公告</t>
        </r>
        <r>
          <rPr>
            <sz val="9"/>
            <color indexed="81"/>
            <rFont val="Tahoma"/>
            <family val="2"/>
          </rPr>
          <t>2014</t>
        </r>
        <r>
          <rPr>
            <sz val="9"/>
            <color indexed="81"/>
            <rFont val="宋体"/>
            <family val="3"/>
            <charset val="134"/>
          </rPr>
          <t>年第</t>
        </r>
        <r>
          <rPr>
            <sz val="9"/>
            <color indexed="81"/>
            <rFont val="Tahoma"/>
            <family val="2"/>
          </rPr>
          <t>29</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国家税务总局关于完善固定资产加速折旧税收政策有关问题的通知》（财税〔</t>
        </r>
        <r>
          <rPr>
            <sz val="9"/>
            <color indexed="81"/>
            <rFont val="Tahoma"/>
            <family val="2"/>
          </rPr>
          <t>2014</t>
        </r>
        <r>
          <rPr>
            <sz val="9"/>
            <color indexed="81"/>
            <rFont val="宋体"/>
            <family val="3"/>
            <charset val="134"/>
          </rPr>
          <t>〕</t>
        </r>
        <r>
          <rPr>
            <sz val="9"/>
            <color indexed="81"/>
            <rFont val="Tahoma"/>
            <family val="2"/>
          </rPr>
          <t>75</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国家税务总局关于进一步完善固定资产加速折旧企业所得税政策的通知》（财税〔</t>
        </r>
        <r>
          <rPr>
            <sz val="9"/>
            <color indexed="81"/>
            <rFont val="Tahoma"/>
            <family val="2"/>
          </rPr>
          <t>2015</t>
        </r>
        <r>
          <rPr>
            <sz val="9"/>
            <color indexed="81"/>
            <rFont val="宋体"/>
            <family val="3"/>
            <charset val="134"/>
          </rPr>
          <t>〕</t>
        </r>
        <r>
          <rPr>
            <sz val="9"/>
            <color indexed="81"/>
            <rFont val="Tahoma"/>
            <family val="2"/>
          </rPr>
          <t>106</t>
        </r>
        <r>
          <rPr>
            <sz val="9"/>
            <color indexed="81"/>
            <rFont val="宋体"/>
            <family val="3"/>
            <charset val="134"/>
          </rPr>
          <t>号）、《国家税务总局关于全民所有制企业公司制改制企业所得税处理问题的公告》（国家税务总局公告</t>
        </r>
        <r>
          <rPr>
            <sz val="9"/>
            <color indexed="81"/>
            <rFont val="Tahoma"/>
            <family val="2"/>
          </rPr>
          <t>2017</t>
        </r>
        <r>
          <rPr>
            <sz val="9"/>
            <color indexed="81"/>
            <rFont val="宋体"/>
            <family val="3"/>
            <charset val="134"/>
          </rPr>
          <t>年第</t>
        </r>
        <r>
          <rPr>
            <sz val="9"/>
            <color indexed="81"/>
            <rFont val="Tahoma"/>
            <family val="2"/>
          </rPr>
          <t>34</t>
        </r>
        <r>
          <rPr>
            <sz val="9"/>
            <color indexed="81"/>
            <rFont val="宋体"/>
            <family val="3"/>
            <charset val="134"/>
          </rPr>
          <t>号）等相关规定，以及国家统一企业会计制度，填报资产折旧、摊销的会计处理、税收规定，以及纳税调整情况。</t>
        </r>
        <r>
          <rPr>
            <sz val="9"/>
            <color indexed="81"/>
            <rFont val="Tahoma"/>
            <family val="2"/>
          </rPr>
          <t xml:space="preserve">
</t>
        </r>
      </text>
    </comment>
    <comment ref="A3" authorId="0">
      <text>
        <r>
          <rPr>
            <sz val="9"/>
            <color indexed="81"/>
            <rFont val="Tahoma"/>
            <family val="2"/>
          </rPr>
          <t>1</t>
        </r>
        <r>
          <rPr>
            <sz val="9"/>
            <color indexed="81"/>
            <rFont val="宋体"/>
            <family val="3"/>
            <charset val="134"/>
          </rPr>
          <t>、第</t>
        </r>
        <r>
          <rPr>
            <sz val="9"/>
            <color indexed="81"/>
            <rFont val="Tahoma"/>
            <family val="2"/>
          </rPr>
          <t>2</t>
        </r>
        <r>
          <rPr>
            <sz val="9"/>
            <color indexed="81"/>
            <rFont val="宋体"/>
            <family val="3"/>
            <charset val="134"/>
          </rPr>
          <t>行至第</t>
        </r>
        <r>
          <rPr>
            <sz val="9"/>
            <color indexed="81"/>
            <rFont val="Tahoma"/>
            <family val="2"/>
          </rPr>
          <t>7</t>
        </r>
        <r>
          <rPr>
            <sz val="9"/>
            <color indexed="81"/>
            <rFont val="宋体"/>
            <family val="3"/>
            <charset val="134"/>
          </rPr>
          <t>行、第</t>
        </r>
        <r>
          <rPr>
            <sz val="9"/>
            <color indexed="81"/>
            <rFont val="Tahoma"/>
            <family val="2"/>
          </rPr>
          <t>19</t>
        </r>
        <r>
          <rPr>
            <sz val="9"/>
            <color indexed="81"/>
            <rFont val="宋体"/>
            <family val="3"/>
            <charset val="134"/>
          </rPr>
          <t>行至第</t>
        </r>
        <r>
          <rPr>
            <sz val="9"/>
            <color indexed="81"/>
            <rFont val="Tahoma"/>
            <family val="2"/>
          </rPr>
          <t>20</t>
        </r>
        <r>
          <rPr>
            <sz val="9"/>
            <color indexed="81"/>
            <rFont val="宋体"/>
            <family val="3"/>
            <charset val="134"/>
          </rPr>
          <t>行、第</t>
        </r>
        <r>
          <rPr>
            <sz val="9"/>
            <color indexed="81"/>
            <rFont val="Tahoma"/>
            <family val="2"/>
          </rPr>
          <t>22</t>
        </r>
        <r>
          <rPr>
            <sz val="9"/>
            <color indexed="81"/>
            <rFont val="宋体"/>
            <family val="3"/>
            <charset val="134"/>
          </rPr>
          <t>行至第</t>
        </r>
        <r>
          <rPr>
            <sz val="9"/>
            <color indexed="81"/>
            <rFont val="Tahoma"/>
            <family val="2"/>
          </rPr>
          <t>28</t>
        </r>
        <r>
          <rPr>
            <sz val="9"/>
            <color indexed="81"/>
            <rFont val="宋体"/>
            <family val="3"/>
            <charset val="134"/>
          </rPr>
          <t>行、第</t>
        </r>
        <r>
          <rPr>
            <sz val="9"/>
            <color indexed="81"/>
            <rFont val="Tahoma"/>
            <family val="2"/>
          </rPr>
          <t>30</t>
        </r>
        <r>
          <rPr>
            <sz val="9"/>
            <color indexed="81"/>
            <rFont val="宋体"/>
            <family val="3"/>
            <charset val="134"/>
          </rPr>
          <t>行、第</t>
        </r>
        <r>
          <rPr>
            <sz val="9"/>
            <color indexed="81"/>
            <rFont val="Tahoma"/>
            <family val="2"/>
          </rPr>
          <t>32</t>
        </r>
        <r>
          <rPr>
            <sz val="9"/>
            <color indexed="81"/>
            <rFont val="宋体"/>
            <family val="3"/>
            <charset val="134"/>
          </rPr>
          <t>行至第</t>
        </r>
        <r>
          <rPr>
            <sz val="9"/>
            <color indexed="81"/>
            <rFont val="Tahoma"/>
            <family val="2"/>
          </rPr>
          <t>38</t>
        </r>
        <r>
          <rPr>
            <sz val="9"/>
            <color indexed="81"/>
            <rFont val="宋体"/>
            <family val="3"/>
            <charset val="134"/>
          </rPr>
          <t xml:space="preserve">行，根据资产类别填报对应的行次。
</t>
        </r>
        <r>
          <rPr>
            <sz val="9"/>
            <color indexed="81"/>
            <rFont val="Tahoma"/>
            <family val="2"/>
          </rPr>
          <t>2</t>
        </r>
        <r>
          <rPr>
            <sz val="9"/>
            <color indexed="81"/>
            <rFont val="宋体"/>
            <family val="3"/>
            <charset val="134"/>
          </rPr>
          <t>、第</t>
        </r>
        <r>
          <rPr>
            <sz val="9"/>
            <color indexed="81"/>
            <rFont val="Tahoma"/>
            <family val="2"/>
          </rPr>
          <t>8</t>
        </r>
        <r>
          <rPr>
            <sz val="9"/>
            <color indexed="81"/>
            <rFont val="宋体"/>
            <family val="3"/>
            <charset val="134"/>
          </rPr>
          <t>行至第</t>
        </r>
        <r>
          <rPr>
            <sz val="9"/>
            <color indexed="81"/>
            <rFont val="Tahoma"/>
            <family val="2"/>
          </rPr>
          <t>17</t>
        </r>
        <r>
          <rPr>
            <sz val="9"/>
            <color indexed="81"/>
            <rFont val="宋体"/>
            <family val="3"/>
            <charset val="134"/>
          </rPr>
          <t>行、第</t>
        </r>
        <r>
          <rPr>
            <sz val="9"/>
            <color indexed="81"/>
            <rFont val="Tahoma"/>
            <family val="2"/>
          </rPr>
          <t>29</t>
        </r>
        <r>
          <rPr>
            <sz val="9"/>
            <color indexed="81"/>
            <rFont val="宋体"/>
            <family val="3"/>
            <charset val="134"/>
          </rPr>
          <t>行：用于填报享受各类固定资产加速折旧政策的资产加速折旧情况，分类填报各项固定资产加速折旧政策优惠情况。</t>
        </r>
      </text>
    </comment>
    <comment ref="L3" authorId="0">
      <text>
        <r>
          <rPr>
            <sz val="9"/>
            <color indexed="81"/>
            <rFont val="宋体"/>
            <family val="3"/>
            <charset val="134"/>
          </rPr>
          <t>填报第</t>
        </r>
        <r>
          <rPr>
            <sz val="9"/>
            <color indexed="81"/>
            <rFont val="Tahoma"/>
            <family val="2"/>
          </rPr>
          <t>2-5</t>
        </r>
        <r>
          <rPr>
            <sz val="9"/>
            <color indexed="81"/>
            <rFont val="宋体"/>
            <family val="3"/>
            <charset val="134"/>
          </rPr>
          <t>列的余额。</t>
        </r>
        <r>
          <rPr>
            <sz val="9"/>
            <color indexed="81"/>
            <rFont val="Tahoma"/>
            <family val="2"/>
          </rPr>
          <t xml:space="preserve">
</t>
        </r>
      </text>
    </comment>
    <comment ref="D4" authorId="1">
      <text>
        <r>
          <rPr>
            <sz val="9"/>
            <color indexed="81"/>
            <rFont val="宋体"/>
            <family val="3"/>
            <charset val="134"/>
          </rPr>
          <t>填报纳税人会计处理计提折旧、摊销的资产原值（或历史成本）的金额。</t>
        </r>
      </text>
    </comment>
    <comment ref="E4" authorId="1">
      <text>
        <r>
          <rPr>
            <sz val="9"/>
            <color indexed="81"/>
            <rFont val="宋体"/>
            <family val="3"/>
            <charset val="134"/>
          </rPr>
          <t>填报纳税人会计核算的本年资产折旧、摊销额。</t>
        </r>
      </text>
    </comment>
    <comment ref="F4" authorId="1">
      <text>
        <r>
          <rPr>
            <sz val="9"/>
            <color indexed="81"/>
            <rFont val="宋体"/>
            <family val="3"/>
            <charset val="134"/>
          </rPr>
          <t>填报纳税人会计核算的累计（含本年）资产折旧、摊销额。</t>
        </r>
      </text>
    </comment>
    <comment ref="G4" authorId="1">
      <text>
        <r>
          <rPr>
            <sz val="9"/>
            <color indexed="81"/>
            <rFont val="宋体"/>
            <family val="3"/>
            <charset val="134"/>
          </rPr>
          <t>填报纳税人按照税收规定据以计算折旧、摊销的资产原值（或历史成本）的金额。</t>
        </r>
      </text>
    </comment>
    <comment ref="H4" authorId="1">
      <text>
        <r>
          <rPr>
            <sz val="9"/>
            <color indexed="81"/>
            <rFont val="宋体"/>
            <family val="3"/>
            <charset val="134"/>
          </rPr>
          <t xml:space="preserve">填报纳税人按照税收规定计算的允许税前扣除的本年资产折旧、摊销额。
对于不征税收入形成的资产，其折旧、摊销额不得税前扣除。第4列至第8列税收金额不包含不征税收入所形成资产的折旧、摊销额。
对于第8行至第17行、第29行对应的“税收折旧额”，填报享受各种加速折旧政策的资产，当年享受加速折旧后的税法折旧额合计。本列仅填报加速后的税法折旧额大于一般折旧额月份的金额合计。即对于本年度某些月份，享受加速折旧政策的固定资产，其加速后的税法折旧额大于一般折旧额、某些月份税法折旧额小于一般折旧额的，仅填报税法折旧额大于一般折旧额月份的税法折旧额合计。
</t>
        </r>
      </text>
    </comment>
    <comment ref="I4" authorId="1">
      <text>
        <r>
          <rPr>
            <sz val="9"/>
            <color indexed="81"/>
            <rFont val="宋体"/>
            <family val="3"/>
            <charset val="134"/>
          </rPr>
          <t>仅适用于第8行至第17行、第29行，填报纳税人享受加速折旧政策的资产按照税法一般规定计算的允许税前扣除的本年资产折旧、摊销额。按照税法一般规定计算的折旧额，是指该资产在不享受加速折旧情况下，按照税收规定的最低折旧年限以直线法计算的折旧额。本列仅填报加速后的税法折旧额大于按照税法一般规定计算折旧额对应月份的金额。</t>
        </r>
      </text>
    </comment>
    <comment ref="J4" authorId="1">
      <text>
        <r>
          <rPr>
            <sz val="9"/>
            <color indexed="81"/>
            <rFont val="宋体"/>
            <family val="3"/>
            <charset val="134"/>
          </rPr>
          <t>用于统计纳税人享受各类固定资产加速折旧政策的优惠金额。</t>
        </r>
      </text>
    </comment>
    <comment ref="K4" authorId="1">
      <text>
        <r>
          <rPr>
            <sz val="9"/>
            <color indexed="81"/>
            <rFont val="宋体"/>
            <family val="3"/>
            <charset val="134"/>
          </rPr>
          <t>填报纳税人按照税收规定计算的累计（含本年）资产折旧、摊销额。</t>
        </r>
      </text>
    </comment>
    <comment ref="C19" authorId="0">
      <text>
        <r>
          <rPr>
            <sz val="9"/>
            <color indexed="81"/>
            <rFont val="宋体"/>
            <family val="3"/>
            <charset val="134"/>
          </rPr>
          <t>填报按照财税〔</t>
        </r>
        <r>
          <rPr>
            <sz val="9"/>
            <color indexed="81"/>
            <rFont val="Tahoma"/>
            <family val="2"/>
          </rPr>
          <t>2014</t>
        </r>
        <r>
          <rPr>
            <sz val="9"/>
            <color indexed="81"/>
            <rFont val="宋体"/>
            <family val="3"/>
            <charset val="134"/>
          </rPr>
          <t>〕</t>
        </r>
        <r>
          <rPr>
            <sz val="9"/>
            <color indexed="81"/>
            <rFont val="Tahoma"/>
            <family val="2"/>
          </rPr>
          <t>75</t>
        </r>
        <r>
          <rPr>
            <sz val="9"/>
            <color indexed="81"/>
            <rFont val="宋体"/>
            <family val="3"/>
            <charset val="134"/>
          </rPr>
          <t>号和财税〔</t>
        </r>
        <r>
          <rPr>
            <sz val="9"/>
            <color indexed="81"/>
            <rFont val="Tahoma"/>
            <family val="2"/>
          </rPr>
          <t>2015</t>
        </r>
        <r>
          <rPr>
            <sz val="9"/>
            <color indexed="81"/>
            <rFont val="宋体"/>
            <family val="3"/>
            <charset val="134"/>
          </rPr>
          <t>〕</t>
        </r>
        <r>
          <rPr>
            <sz val="9"/>
            <color indexed="81"/>
            <rFont val="Tahoma"/>
            <family val="2"/>
          </rPr>
          <t>106</t>
        </r>
        <r>
          <rPr>
            <sz val="9"/>
            <color indexed="81"/>
            <rFont val="宋体"/>
            <family val="3"/>
            <charset val="134"/>
          </rPr>
          <t>号文件规定，生物药品制造业，专用设备制造业，铁路、船舶、航空航天和其他运输设备制造业，计算机、通信和其他电子设备制造业，仪器仪表制造业，信息传输、软件和信息技术服务业</t>
        </r>
        <r>
          <rPr>
            <sz val="9"/>
            <color indexed="81"/>
            <rFont val="Tahoma"/>
            <family val="2"/>
          </rPr>
          <t>6</t>
        </r>
        <r>
          <rPr>
            <sz val="9"/>
            <color indexed="81"/>
            <rFont val="宋体"/>
            <family val="3"/>
            <charset val="134"/>
          </rPr>
          <t>个行业，以及轻工、纺织、机械、汽车四大领域</t>
        </r>
        <r>
          <rPr>
            <sz val="9"/>
            <color indexed="81"/>
            <rFont val="Tahoma"/>
            <family val="2"/>
          </rPr>
          <t>18</t>
        </r>
        <r>
          <rPr>
            <sz val="9"/>
            <color indexed="81"/>
            <rFont val="宋体"/>
            <family val="3"/>
            <charset val="134"/>
          </rPr>
          <t>个行业的纳税人（简称</t>
        </r>
        <r>
          <rPr>
            <sz val="9"/>
            <color indexed="81"/>
            <rFont val="Tahoma"/>
            <family val="2"/>
          </rPr>
          <t>“</t>
        </r>
        <r>
          <rPr>
            <sz val="9"/>
            <color indexed="81"/>
            <rFont val="宋体"/>
            <family val="3"/>
            <charset val="134"/>
          </rPr>
          <t>重要行业</t>
        </r>
        <r>
          <rPr>
            <sz val="9"/>
            <color indexed="81"/>
            <rFont val="Tahoma"/>
            <family val="2"/>
          </rPr>
          <t>”</t>
        </r>
        <r>
          <rPr>
            <sz val="9"/>
            <color indexed="81"/>
            <rFont val="宋体"/>
            <family val="3"/>
            <charset val="134"/>
          </rPr>
          <t>），对于新购进固定资产在税收上采取加速折旧的情况。该行次不填报重要行业纳税人按照以上两个文件规定，享受一次性扣除政策的资产。</t>
        </r>
        <r>
          <rPr>
            <sz val="9"/>
            <color indexed="81"/>
            <rFont val="Tahoma"/>
            <family val="2"/>
          </rPr>
          <t xml:space="preserve">
</t>
        </r>
      </text>
    </comment>
    <comment ref="C20" authorId="0">
      <text>
        <r>
          <rPr>
            <sz val="9"/>
            <color indexed="81"/>
            <rFont val="宋体"/>
            <family val="3"/>
            <charset val="134"/>
          </rPr>
          <t>由重要行业以外的其他企业填报。填写单位价值超过</t>
        </r>
        <r>
          <rPr>
            <sz val="9"/>
            <color indexed="81"/>
            <rFont val="Tahoma"/>
            <family val="2"/>
          </rPr>
          <t>100</t>
        </r>
        <r>
          <rPr>
            <sz val="9"/>
            <color indexed="81"/>
            <rFont val="宋体"/>
            <family val="3"/>
            <charset val="134"/>
          </rPr>
          <t>万元以上专用研发设备采取缩短折旧年限或加速折旧方法的纳税调减或者加速折旧优惠统计情况。</t>
        </r>
        <r>
          <rPr>
            <sz val="9"/>
            <color indexed="81"/>
            <rFont val="Tahoma"/>
            <family val="2"/>
          </rPr>
          <t xml:space="preserve">
</t>
        </r>
      </text>
    </comment>
    <comment ref="C21" authorId="0">
      <text>
        <r>
          <rPr>
            <sz val="9"/>
            <color indexed="81"/>
            <rFont val="宋体"/>
            <family val="3"/>
            <charset val="134"/>
          </rPr>
          <t>填报新购进单位价值不超过</t>
        </r>
        <r>
          <rPr>
            <sz val="9"/>
            <color indexed="81"/>
            <rFont val="Tahoma"/>
            <family val="2"/>
          </rPr>
          <t>100</t>
        </r>
        <r>
          <rPr>
            <sz val="9"/>
            <color indexed="81"/>
            <rFont val="宋体"/>
            <family val="3"/>
            <charset val="134"/>
          </rPr>
          <t>万元研发设备和单位价值不超过</t>
        </r>
        <r>
          <rPr>
            <sz val="9"/>
            <color indexed="81"/>
            <rFont val="Tahoma"/>
            <family val="2"/>
          </rPr>
          <t>5000</t>
        </r>
        <r>
          <rPr>
            <sz val="9"/>
            <color indexed="81"/>
            <rFont val="宋体"/>
            <family val="3"/>
            <charset val="134"/>
          </rPr>
          <t>元固定资产，按照税收规定一次性在当期扣除金额。本行＝第</t>
        </r>
        <r>
          <rPr>
            <sz val="9"/>
            <color indexed="81"/>
            <rFont val="Tahoma"/>
            <family val="2"/>
          </rPr>
          <t>11+12+13</t>
        </r>
        <r>
          <rPr>
            <sz val="9"/>
            <color indexed="81"/>
            <rFont val="宋体"/>
            <family val="3"/>
            <charset val="134"/>
          </rPr>
          <t>行。</t>
        </r>
        <r>
          <rPr>
            <sz val="9"/>
            <color indexed="81"/>
            <rFont val="Tahoma"/>
            <family val="2"/>
          </rPr>
          <t xml:space="preserve">
</t>
        </r>
      </text>
    </comment>
    <comment ref="C22" authorId="0">
      <text>
        <r>
          <rPr>
            <sz val="9"/>
            <color indexed="81"/>
            <rFont val="宋体"/>
            <family val="3"/>
            <charset val="134"/>
          </rPr>
          <t>填报</t>
        </r>
        <r>
          <rPr>
            <sz val="9"/>
            <color indexed="81"/>
            <rFont val="Tahoma"/>
            <family val="2"/>
          </rPr>
          <t>“</t>
        </r>
        <r>
          <rPr>
            <sz val="9"/>
            <color indexed="81"/>
            <rFont val="宋体"/>
            <family val="3"/>
            <charset val="134"/>
          </rPr>
          <t>重要行业</t>
        </r>
        <r>
          <rPr>
            <sz val="9"/>
            <color indexed="81"/>
            <rFont val="Tahoma"/>
            <family val="2"/>
          </rPr>
          <t>”</t>
        </r>
        <r>
          <rPr>
            <sz val="9"/>
            <color indexed="81"/>
            <rFont val="宋体"/>
            <family val="3"/>
            <charset val="134"/>
          </rPr>
          <t>中的非小型微利企业和</t>
        </r>
        <r>
          <rPr>
            <sz val="9"/>
            <color indexed="81"/>
            <rFont val="Tahoma"/>
            <family val="2"/>
          </rPr>
          <t>“</t>
        </r>
        <r>
          <rPr>
            <sz val="9"/>
            <color indexed="81"/>
            <rFont val="宋体"/>
            <family val="3"/>
            <charset val="134"/>
          </rPr>
          <t>重要行业</t>
        </r>
        <r>
          <rPr>
            <sz val="9"/>
            <color indexed="81"/>
            <rFont val="Tahoma"/>
            <family val="2"/>
          </rPr>
          <t>”</t>
        </r>
        <r>
          <rPr>
            <sz val="9"/>
            <color indexed="81"/>
            <rFont val="宋体"/>
            <family val="3"/>
            <charset val="134"/>
          </rPr>
          <t>以外的企业，对新购进专门用于研发活动的仪器、设备，单位价值不超过</t>
        </r>
        <r>
          <rPr>
            <sz val="9"/>
            <color indexed="81"/>
            <rFont val="Tahoma"/>
            <family val="2"/>
          </rPr>
          <t>100</t>
        </r>
        <r>
          <rPr>
            <sz val="9"/>
            <color indexed="81"/>
            <rFont val="宋体"/>
            <family val="3"/>
            <charset val="134"/>
          </rPr>
          <t>万元的，享受一次性扣除政策的有关情况。</t>
        </r>
        <r>
          <rPr>
            <sz val="9"/>
            <color indexed="81"/>
            <rFont val="Tahoma"/>
            <family val="2"/>
          </rPr>
          <t xml:space="preserve">
</t>
        </r>
      </text>
    </comment>
    <comment ref="C23" authorId="0">
      <text>
        <r>
          <rPr>
            <sz val="9"/>
            <color indexed="81"/>
            <rFont val="宋体"/>
            <family val="3"/>
            <charset val="134"/>
          </rPr>
          <t>填报</t>
        </r>
        <r>
          <rPr>
            <sz val="9"/>
            <color indexed="81"/>
            <rFont val="Tahoma"/>
            <family val="2"/>
          </rPr>
          <t>“</t>
        </r>
        <r>
          <rPr>
            <sz val="9"/>
            <color indexed="81"/>
            <rFont val="宋体"/>
            <family val="3"/>
            <charset val="134"/>
          </rPr>
          <t>重要行业</t>
        </r>
        <r>
          <rPr>
            <sz val="9"/>
            <color indexed="81"/>
            <rFont val="Tahoma"/>
            <family val="2"/>
          </rPr>
          <t>”</t>
        </r>
        <r>
          <rPr>
            <sz val="9"/>
            <color indexed="81"/>
            <rFont val="宋体"/>
            <family val="3"/>
            <charset val="134"/>
          </rPr>
          <t>中的小型微利企业，对其新购进研发和生产经营共用的仪器、设备，单位价值不超过</t>
        </r>
        <r>
          <rPr>
            <sz val="9"/>
            <color indexed="81"/>
            <rFont val="Tahoma"/>
            <family val="2"/>
          </rPr>
          <t>100</t>
        </r>
        <r>
          <rPr>
            <sz val="9"/>
            <color indexed="81"/>
            <rFont val="宋体"/>
            <family val="3"/>
            <charset val="134"/>
          </rPr>
          <t>万元的，享受一次性扣除政策的有关情况。</t>
        </r>
        <r>
          <rPr>
            <sz val="9"/>
            <color indexed="81"/>
            <rFont val="Tahoma"/>
            <family val="2"/>
          </rPr>
          <t xml:space="preserve">
</t>
        </r>
      </text>
    </comment>
    <comment ref="C24" authorId="0">
      <text>
        <r>
          <rPr>
            <sz val="9"/>
            <color indexed="81"/>
            <rFont val="宋体"/>
            <family val="3"/>
            <charset val="134"/>
          </rPr>
          <t>填写纳税人单位价值不超过</t>
        </r>
        <r>
          <rPr>
            <sz val="9"/>
            <color indexed="81"/>
            <rFont val="Tahoma"/>
            <family val="2"/>
          </rPr>
          <t>5000</t>
        </r>
        <r>
          <rPr>
            <sz val="9"/>
            <color indexed="81"/>
            <rFont val="宋体"/>
            <family val="3"/>
            <charset val="134"/>
          </rPr>
          <t>元的固定资产，按照政策规定一次性在当期税前扣除的有关情况。</t>
        </r>
        <r>
          <rPr>
            <sz val="9"/>
            <color indexed="81"/>
            <rFont val="Tahoma"/>
            <family val="2"/>
          </rPr>
          <t xml:space="preserve">
</t>
        </r>
      </text>
    </comment>
    <comment ref="C25" authorId="0">
      <text>
        <r>
          <rPr>
            <sz val="9"/>
            <color indexed="81"/>
            <rFont val="宋体"/>
            <family val="3"/>
            <charset val="134"/>
          </rPr>
          <t>填写企业固定资产因技术进步，产品更新换代较快，按税收规定享受固定资产加速折旧的有关情况。</t>
        </r>
        <r>
          <rPr>
            <sz val="9"/>
            <color indexed="81"/>
            <rFont val="Tahoma"/>
            <family val="2"/>
          </rPr>
          <t xml:space="preserve">
</t>
        </r>
      </text>
    </comment>
    <comment ref="C26" authorId="0">
      <text>
        <r>
          <rPr>
            <sz val="9"/>
            <color indexed="81"/>
            <rFont val="宋体"/>
            <family val="3"/>
            <charset val="134"/>
          </rPr>
          <t>填写常年处于强震动、高腐蚀状态的固定资产，按税收规定享受固定资产加速折旧有关情况。</t>
        </r>
        <r>
          <rPr>
            <sz val="9"/>
            <color indexed="81"/>
            <rFont val="Tahoma"/>
            <family val="2"/>
          </rPr>
          <t xml:space="preserve">
</t>
        </r>
      </text>
    </comment>
    <comment ref="C27" authorId="0">
      <text>
        <r>
          <rPr>
            <sz val="9"/>
            <color indexed="81"/>
            <rFont val="宋体"/>
            <family val="3"/>
            <charset val="134"/>
          </rPr>
          <t>填写企业外购软件作为固定资产处理，按财税〔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号文件规定享受加速折旧的有关情况。</t>
        </r>
        <r>
          <rPr>
            <sz val="9"/>
            <color indexed="81"/>
            <rFont val="Tahoma"/>
            <family val="2"/>
          </rPr>
          <t xml:space="preserve">
</t>
        </r>
      </text>
    </comment>
    <comment ref="C28" authorId="0">
      <text>
        <r>
          <rPr>
            <sz val="9"/>
            <color indexed="81"/>
            <rFont val="宋体"/>
            <family val="3"/>
            <charset val="134"/>
          </rPr>
          <t>填报集成电路生产企业的生产设备，按照财税〔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号文件规定享受加速折旧政策的有关情况。</t>
        </r>
        <r>
          <rPr>
            <sz val="9"/>
            <color indexed="81"/>
            <rFont val="Tahoma"/>
            <family val="2"/>
          </rPr>
          <t xml:space="preserve">
</t>
        </r>
      </text>
    </comment>
    <comment ref="B40" authorId="0">
      <text>
        <r>
          <rPr>
            <sz val="9"/>
            <color indexed="81"/>
            <rFont val="宋体"/>
            <family val="3"/>
            <charset val="134"/>
          </rPr>
          <t>填写企业外购软件作无形资产处理，按财税〔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号文件规定享受加速摊销的有关情况。</t>
        </r>
        <r>
          <rPr>
            <sz val="9"/>
            <color indexed="81"/>
            <rFont val="Tahoma"/>
            <family val="2"/>
          </rPr>
          <t xml:space="preserve">
</t>
        </r>
      </text>
    </comment>
    <comment ref="E50" authorId="0">
      <text>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H50" authorId="0">
      <text>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5</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L50" authorId="0">
      <text>
        <r>
          <rPr>
            <sz val="9"/>
            <color indexed="81"/>
            <rFont val="宋体"/>
            <family val="3"/>
            <charset val="134"/>
          </rPr>
          <t>若第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3</t>
        </r>
        <r>
          <rPr>
            <sz val="9"/>
            <color indexed="81"/>
            <rFont val="宋体"/>
            <family val="3"/>
            <charset val="134"/>
          </rPr>
          <t>列；若第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9</t>
        </r>
        <r>
          <rPr>
            <sz val="9"/>
            <color indexed="81"/>
            <rFont val="宋体"/>
            <family val="3"/>
            <charset val="134"/>
          </rPr>
          <t>列的绝对值＝表</t>
        </r>
        <r>
          <rPr>
            <sz val="9"/>
            <color indexed="81"/>
            <rFont val="Tahoma"/>
            <family val="2"/>
          </rPr>
          <t>A105000</t>
        </r>
        <r>
          <rPr>
            <sz val="9"/>
            <color indexed="81"/>
            <rFont val="宋体"/>
            <family val="3"/>
            <charset val="134"/>
          </rPr>
          <t>第</t>
        </r>
        <r>
          <rPr>
            <sz val="9"/>
            <color indexed="81"/>
            <rFont val="Tahoma"/>
            <family val="2"/>
          </rPr>
          <t>32</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 ref="C51" authorId="0">
      <text>
        <r>
          <rPr>
            <sz val="9"/>
            <color indexed="81"/>
            <rFont val="宋体"/>
            <family val="3"/>
            <charset val="134"/>
          </rPr>
          <t>填写企业按照国家税务总局公告</t>
        </r>
        <r>
          <rPr>
            <sz val="9"/>
            <color indexed="81"/>
            <rFont val="Tahoma"/>
            <family val="2"/>
          </rPr>
          <t>2017</t>
        </r>
        <r>
          <rPr>
            <sz val="9"/>
            <color indexed="81"/>
            <rFont val="宋体"/>
            <family val="3"/>
            <charset val="134"/>
          </rPr>
          <t>年第</t>
        </r>
        <r>
          <rPr>
            <sz val="9"/>
            <color indexed="81"/>
            <rFont val="Tahoma"/>
            <family val="2"/>
          </rPr>
          <t>34</t>
        </r>
        <r>
          <rPr>
            <sz val="9"/>
            <color indexed="81"/>
            <rFont val="宋体"/>
            <family val="3"/>
            <charset val="134"/>
          </rPr>
          <t>号文件规定，执行</t>
        </r>
        <r>
          <rPr>
            <sz val="9"/>
            <color indexed="81"/>
            <rFont val="Tahoma"/>
            <family val="2"/>
          </rPr>
          <t>“</t>
        </r>
        <r>
          <rPr>
            <sz val="9"/>
            <color indexed="81"/>
            <rFont val="宋体"/>
            <family val="3"/>
            <charset val="134"/>
          </rPr>
          <t>改制中资产评估增值不计入应纳税所得额；资产的计税基础按其原有计税基础确定；资产增值部分的折旧或者摊销不得在税前扣除</t>
        </r>
        <r>
          <rPr>
            <sz val="9"/>
            <color indexed="81"/>
            <rFont val="Tahoma"/>
            <family val="2"/>
          </rPr>
          <t>”</t>
        </r>
        <r>
          <rPr>
            <sz val="9"/>
            <color indexed="81"/>
            <rFont val="宋体"/>
            <family val="3"/>
            <charset val="134"/>
          </rPr>
          <t>政策的情况。本行不参与计算，仅用于列示享受全民所有制改制资产评估增值政策资产的有关情况，相关资产折旧（摊销）及调整情况在本表第</t>
        </r>
        <r>
          <rPr>
            <sz val="9"/>
            <color indexed="81"/>
            <rFont val="Tahoma"/>
            <family val="2"/>
          </rPr>
          <t>1</t>
        </r>
        <r>
          <rPr>
            <sz val="9"/>
            <color indexed="81"/>
            <rFont val="宋体"/>
            <family val="3"/>
            <charset val="134"/>
          </rPr>
          <t>行至第</t>
        </r>
        <r>
          <rPr>
            <sz val="9"/>
            <color indexed="81"/>
            <rFont val="Tahoma"/>
            <family val="2"/>
          </rPr>
          <t>39</t>
        </r>
        <r>
          <rPr>
            <sz val="9"/>
            <color indexed="81"/>
            <rFont val="宋体"/>
            <family val="3"/>
            <charset val="134"/>
          </rPr>
          <t>行按规定填报。</t>
        </r>
        <r>
          <rPr>
            <sz val="9"/>
            <color indexed="81"/>
            <rFont val="Tahoma"/>
            <family val="2"/>
          </rPr>
          <t xml:space="preserve">
</t>
        </r>
      </text>
    </comment>
  </commentList>
</comments>
</file>

<file path=xl/comments29.xml><?xml version="1.0" encoding="utf-8"?>
<comments xmlns="http://schemas.openxmlformats.org/spreadsheetml/2006/main">
  <authors>
    <author>Zhang, Dorothy</author>
    <author>Cindy Wang</author>
  </authors>
  <commentList>
    <comment ref="A2" authorId="0">
      <text>
        <r>
          <rPr>
            <sz val="9"/>
            <color indexed="81"/>
            <rFont val="宋体"/>
            <family val="3"/>
            <charset val="134"/>
          </rPr>
          <t>本表适用于发生资产损失税前扣除项目及纳税调整项目的纳税人填报。纳税人根据税法、《财政部</t>
        </r>
        <r>
          <rPr>
            <sz val="9"/>
            <color indexed="81"/>
            <rFont val="Tahoma"/>
            <family val="2"/>
          </rPr>
          <t xml:space="preserve"> </t>
        </r>
        <r>
          <rPr>
            <sz val="9"/>
            <color indexed="81"/>
            <rFont val="宋体"/>
            <family val="3"/>
            <charset val="134"/>
          </rPr>
          <t>国家税务总局关于企业资产损失税前扣除政策的通知》（财税〔</t>
        </r>
        <r>
          <rPr>
            <sz val="9"/>
            <color indexed="81"/>
            <rFont val="Tahoma"/>
            <family val="2"/>
          </rPr>
          <t>2009</t>
        </r>
        <r>
          <rPr>
            <sz val="9"/>
            <color indexed="81"/>
            <rFont val="宋体"/>
            <family val="3"/>
            <charset val="134"/>
          </rPr>
          <t>〕</t>
        </r>
        <r>
          <rPr>
            <sz val="9"/>
            <color indexed="81"/>
            <rFont val="Tahoma"/>
            <family val="2"/>
          </rPr>
          <t>57</t>
        </r>
        <r>
          <rPr>
            <sz val="9"/>
            <color indexed="81"/>
            <rFont val="宋体"/>
            <family val="3"/>
            <charset val="134"/>
          </rPr>
          <t>号）、《国家税务总局关于发布〈企业资产损失所得税税前扣除管理办法〉的公告》（国家税务总局公告</t>
        </r>
        <r>
          <rPr>
            <sz val="9"/>
            <color indexed="81"/>
            <rFont val="Tahoma"/>
            <family val="2"/>
          </rPr>
          <t>2011</t>
        </r>
        <r>
          <rPr>
            <sz val="9"/>
            <color indexed="81"/>
            <rFont val="宋体"/>
            <family val="3"/>
            <charset val="134"/>
          </rPr>
          <t>年第</t>
        </r>
        <r>
          <rPr>
            <sz val="9"/>
            <color indexed="81"/>
            <rFont val="Tahoma"/>
            <family val="2"/>
          </rPr>
          <t>25</t>
        </r>
        <r>
          <rPr>
            <sz val="9"/>
            <color indexed="81"/>
            <rFont val="宋体"/>
            <family val="3"/>
            <charset val="134"/>
          </rPr>
          <t>号）、《国家税务总局关于商业零售企业存货损失税前扣除问题的公告》（国家税务总局公告</t>
        </r>
        <r>
          <rPr>
            <sz val="9"/>
            <color indexed="81"/>
            <rFont val="Tahoma"/>
            <family val="2"/>
          </rPr>
          <t>2014</t>
        </r>
        <r>
          <rPr>
            <sz val="9"/>
            <color indexed="81"/>
            <rFont val="宋体"/>
            <family val="3"/>
            <charset val="134"/>
          </rPr>
          <t>年第</t>
        </r>
        <r>
          <rPr>
            <sz val="9"/>
            <color indexed="81"/>
            <rFont val="Tahoma"/>
            <family val="2"/>
          </rPr>
          <t>3</t>
        </r>
        <r>
          <rPr>
            <sz val="9"/>
            <color indexed="81"/>
            <rFont val="宋体"/>
            <family val="3"/>
            <charset val="134"/>
          </rPr>
          <t>号）、《国家税务总局关于企业因国务院决定事项形成的资产损失税前扣除问题的公告》（国家税务总局公告</t>
        </r>
        <r>
          <rPr>
            <sz val="9"/>
            <color indexed="81"/>
            <rFont val="Tahoma"/>
            <family val="2"/>
          </rPr>
          <t>2014</t>
        </r>
        <r>
          <rPr>
            <sz val="9"/>
            <color indexed="81"/>
            <rFont val="宋体"/>
            <family val="3"/>
            <charset val="134"/>
          </rPr>
          <t>年第</t>
        </r>
        <r>
          <rPr>
            <sz val="9"/>
            <color indexed="81"/>
            <rFont val="Tahoma"/>
            <family val="2"/>
          </rPr>
          <t>18</t>
        </r>
        <r>
          <rPr>
            <sz val="9"/>
            <color indexed="81"/>
            <rFont val="宋体"/>
            <family val="3"/>
            <charset val="134"/>
          </rPr>
          <t>号）等相关规定，及国家统一企业会计制度，填报资产损失的会计处理、税收规定，以及纳税调整情况。</t>
        </r>
        <r>
          <rPr>
            <sz val="9"/>
            <color indexed="81"/>
            <rFont val="Tahoma"/>
            <family val="2"/>
          </rPr>
          <t xml:space="preserve">
</t>
        </r>
      </text>
    </comment>
    <comment ref="A3" authorId="0">
      <text>
        <r>
          <rPr>
            <sz val="9"/>
            <color indexed="81"/>
            <rFont val="宋体"/>
            <family val="3"/>
            <charset val="134"/>
          </rPr>
          <t>跨地区经营汇总纳税企业第</t>
        </r>
        <r>
          <rPr>
            <sz val="9"/>
            <color indexed="81"/>
            <rFont val="Tahoma"/>
            <family val="2"/>
          </rPr>
          <t>1</t>
        </r>
        <r>
          <rPr>
            <sz val="9"/>
            <color indexed="81"/>
            <rFont val="宋体"/>
            <family val="3"/>
            <charset val="134"/>
          </rPr>
          <t>行至第</t>
        </r>
        <r>
          <rPr>
            <sz val="9"/>
            <color indexed="81"/>
            <rFont val="Tahoma"/>
            <family val="2"/>
          </rPr>
          <t>6</t>
        </r>
        <r>
          <rPr>
            <sz val="9"/>
            <color indexed="81"/>
            <rFont val="宋体"/>
            <family val="3"/>
            <charset val="134"/>
          </rPr>
          <t>行、第</t>
        </r>
        <r>
          <rPr>
            <sz val="9"/>
            <color indexed="81"/>
            <rFont val="Tahoma"/>
            <family val="2"/>
          </rPr>
          <t>8</t>
        </r>
        <r>
          <rPr>
            <sz val="9"/>
            <color indexed="81"/>
            <rFont val="宋体"/>
            <family val="3"/>
            <charset val="134"/>
          </rPr>
          <t>行填报总机构情况，第</t>
        </r>
        <r>
          <rPr>
            <sz val="9"/>
            <color indexed="81"/>
            <rFont val="Tahoma"/>
            <family val="2"/>
          </rPr>
          <t>7</t>
        </r>
        <r>
          <rPr>
            <sz val="9"/>
            <color indexed="81"/>
            <rFont val="宋体"/>
            <family val="3"/>
            <charset val="134"/>
          </rPr>
          <t>行填报各分支机构汇总后情况。</t>
        </r>
        <r>
          <rPr>
            <sz val="9"/>
            <color indexed="81"/>
            <rFont val="Tahoma"/>
            <family val="2"/>
          </rPr>
          <t xml:space="preserve">
</t>
        </r>
      </text>
    </comment>
    <comment ref="C3" authorId="0">
      <text>
        <r>
          <rPr>
            <sz val="9"/>
            <color indexed="81"/>
            <rFont val="宋体"/>
            <family val="3"/>
            <charset val="134"/>
          </rPr>
          <t>填报纳税人会计核算计入当期损益的资产损失金额。</t>
        </r>
        <r>
          <rPr>
            <sz val="9"/>
            <color indexed="81"/>
            <rFont val="Tahoma"/>
            <family val="2"/>
          </rPr>
          <t xml:space="preserve">
</t>
        </r>
      </text>
    </comment>
    <comment ref="D3" authorId="0">
      <text>
        <r>
          <rPr>
            <sz val="9"/>
            <color indexed="81"/>
            <rFont val="宋体"/>
            <family val="3"/>
            <charset val="134"/>
          </rPr>
          <t>填报纳税人处置发生损失的资产可收回的残值或处置收益。</t>
        </r>
        <r>
          <rPr>
            <sz val="9"/>
            <color indexed="81"/>
            <rFont val="Tahoma"/>
            <family val="2"/>
          </rPr>
          <t xml:space="preserve">
</t>
        </r>
      </text>
    </comment>
    <comment ref="E3" authorId="0">
      <text>
        <r>
          <rPr>
            <sz val="9"/>
            <color indexed="81"/>
            <rFont val="宋体"/>
            <family val="3"/>
            <charset val="134"/>
          </rPr>
          <t>填报纳税人发生的资产损失，取得的相关责任人、保险公司赔偿的金额。</t>
        </r>
        <r>
          <rPr>
            <sz val="9"/>
            <color indexed="81"/>
            <rFont val="Tahoma"/>
            <family val="2"/>
          </rPr>
          <t xml:space="preserve">
</t>
        </r>
      </text>
    </comment>
    <comment ref="F3" authorId="0">
      <text>
        <r>
          <rPr>
            <sz val="9"/>
            <color indexed="81"/>
            <rFont val="宋体"/>
            <family val="3"/>
            <charset val="134"/>
          </rPr>
          <t>填报按税收规定计算的发生损失时资产的计税基础，含损失资产涉及的不得抵扣增值税进项税额。</t>
        </r>
        <r>
          <rPr>
            <sz val="9"/>
            <color indexed="81"/>
            <rFont val="Tahoma"/>
            <family val="2"/>
          </rPr>
          <t xml:space="preserve">
</t>
        </r>
      </text>
    </comment>
    <comment ref="G3" authorId="0">
      <text>
        <r>
          <rPr>
            <sz val="9"/>
            <color indexed="81"/>
            <rFont val="宋体"/>
            <family val="3"/>
            <charset val="134"/>
          </rPr>
          <t>填报按税收规定允许当期税前扣除的资产损失金额，为第</t>
        </r>
        <r>
          <rPr>
            <sz val="9"/>
            <color indexed="81"/>
            <rFont val="Tahoma"/>
            <family val="2"/>
          </rPr>
          <t>4-2-3</t>
        </r>
        <r>
          <rPr>
            <sz val="9"/>
            <color indexed="81"/>
            <rFont val="宋体"/>
            <family val="3"/>
            <charset val="134"/>
          </rPr>
          <t>列的余额。</t>
        </r>
        <r>
          <rPr>
            <sz val="9"/>
            <color indexed="81"/>
            <rFont val="Tahoma"/>
            <family val="2"/>
          </rPr>
          <t xml:space="preserve">
</t>
        </r>
      </text>
    </comment>
    <comment ref="H3" authorId="0">
      <text>
        <r>
          <rPr>
            <sz val="9"/>
            <color indexed="81"/>
            <rFont val="宋体"/>
            <family val="3"/>
            <charset val="134"/>
          </rPr>
          <t>填报第</t>
        </r>
        <r>
          <rPr>
            <sz val="9"/>
            <color indexed="81"/>
            <rFont val="Tahoma"/>
            <family val="2"/>
          </rPr>
          <t>1-5</t>
        </r>
        <r>
          <rPr>
            <sz val="9"/>
            <color indexed="81"/>
            <rFont val="宋体"/>
            <family val="3"/>
            <charset val="134"/>
          </rPr>
          <t>列的余额。</t>
        </r>
        <r>
          <rPr>
            <sz val="9"/>
            <color indexed="81"/>
            <rFont val="Tahoma"/>
            <family val="2"/>
          </rPr>
          <t xml:space="preserve">
</t>
        </r>
      </text>
    </comment>
    <comment ref="B5" authorId="1">
      <text>
        <r>
          <rPr>
            <sz val="9"/>
            <color indexed="81"/>
            <rFont val="宋体"/>
            <family val="3"/>
            <charset val="134"/>
          </rPr>
          <t>1、填报以清单申报的方式向税务机关申报扣除的资产损失的账载金额、资产处置收入、赔偿收入、资产计税基础、资产损失的税收金额以及纳税调整金额。本行金额等于第2行至第8行的合计金额。
2、第2行至第8行，分别填报相应清单申报资产损失类型的会计处理、税收规定及纳税调整情况。</t>
        </r>
      </text>
    </comment>
    <comment ref="B13" authorId="1">
      <text>
        <r>
          <rPr>
            <sz val="9"/>
            <color indexed="81"/>
            <rFont val="宋体"/>
            <family val="3"/>
            <charset val="134"/>
          </rPr>
          <t>填报以专项申报的方式向税务机关申报扣除的资产损失的账载金额、资产处置收入、赔偿收入、资产计税基础、资产损失的税收金额以及纳税调整金额。本行金额等于第10行至第13行的合计金额。</t>
        </r>
      </text>
    </comment>
    <comment ref="B14" authorId="1">
      <text>
        <r>
          <rPr>
            <sz val="9"/>
            <color indexed="81"/>
            <rFont val="宋体"/>
            <family val="3"/>
            <charset val="134"/>
          </rPr>
          <t>填报企业当年发生的货币资产损失（包括现金损失、银行存款损失和应收及预付款项损失等）的账载金额、资产处置收入、赔偿收入、资产计税基础、货币资产损失的税收金额以及纳税调整金额。</t>
        </r>
      </text>
    </comment>
    <comment ref="B15" authorId="1">
      <text>
        <r>
          <rPr>
            <sz val="9"/>
            <color indexed="81"/>
            <rFont val="宋体"/>
            <family val="3"/>
            <charset val="134"/>
          </rPr>
          <t>填报应进行专项申报扣除的非货币资产损失的账载金额、资产处置收入、赔偿收入、资产计税基础、非货币资产损失的税收金额以及纳税调整金额。</t>
        </r>
      </text>
    </comment>
    <comment ref="B16" authorId="1">
      <text>
        <r>
          <rPr>
            <sz val="9"/>
            <color indexed="81"/>
            <rFont val="宋体"/>
            <family val="3"/>
            <charset val="134"/>
          </rPr>
          <t>填报应进行专项申报扣除的投资损失的账载金额、资产处置收入、赔偿收入、资产计税基础、投资损失的税收金额以及纳税调整金额。</t>
        </r>
      </text>
    </comment>
    <comment ref="B17" authorId="1">
      <text>
        <r>
          <rPr>
            <sz val="9"/>
            <color indexed="81"/>
            <rFont val="宋体"/>
            <family val="3"/>
            <charset val="134"/>
          </rPr>
          <t>填报应进行专项申报扣除的其他资产损失的账载金额、资产处置收入、赔偿收入、资产计税基础、其他资产损失的税收金额以及纳税调整金额。</t>
        </r>
      </text>
    </comment>
    <comment ref="B18" authorId="0">
      <text>
        <r>
          <rPr>
            <sz val="9"/>
            <color indexed="81"/>
            <rFont val="宋体"/>
            <family val="3"/>
            <charset val="134"/>
          </rPr>
          <t>填报第</t>
        </r>
        <r>
          <rPr>
            <sz val="9"/>
            <color indexed="81"/>
            <rFont val="Tahoma"/>
            <family val="2"/>
          </rPr>
          <t>1+9</t>
        </r>
        <r>
          <rPr>
            <sz val="9"/>
            <color indexed="81"/>
            <rFont val="宋体"/>
            <family val="3"/>
            <charset val="134"/>
          </rPr>
          <t>行的合计金额。</t>
        </r>
        <r>
          <rPr>
            <sz val="9"/>
            <color indexed="81"/>
            <rFont val="Tahoma"/>
            <family val="2"/>
          </rPr>
          <t xml:space="preserve">
</t>
        </r>
      </text>
    </comment>
    <comment ref="C18" authorId="0">
      <text>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G18" authorId="0">
      <text>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5</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H18" authorId="0">
      <text>
        <r>
          <rPr>
            <sz val="9"/>
            <color indexed="81"/>
            <rFont val="宋体"/>
            <family val="3"/>
            <charset val="134"/>
          </rPr>
          <t>若第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3</t>
        </r>
        <r>
          <rPr>
            <sz val="9"/>
            <color indexed="81"/>
            <rFont val="宋体"/>
            <family val="3"/>
            <charset val="134"/>
          </rPr>
          <t>列；若第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14</t>
        </r>
        <r>
          <rPr>
            <sz val="9"/>
            <color indexed="81"/>
            <rFont val="宋体"/>
            <family val="3"/>
            <charset val="134"/>
          </rPr>
          <t>行第</t>
        </r>
        <r>
          <rPr>
            <sz val="9"/>
            <color indexed="81"/>
            <rFont val="Tahoma"/>
            <family val="2"/>
          </rPr>
          <t>6</t>
        </r>
        <r>
          <rPr>
            <sz val="9"/>
            <color indexed="81"/>
            <rFont val="宋体"/>
            <family val="3"/>
            <charset val="134"/>
          </rPr>
          <t>列的绝对值＝表</t>
        </r>
        <r>
          <rPr>
            <sz val="9"/>
            <color indexed="81"/>
            <rFont val="Tahoma"/>
            <family val="2"/>
          </rPr>
          <t>A105000</t>
        </r>
        <r>
          <rPr>
            <sz val="9"/>
            <color indexed="81"/>
            <rFont val="宋体"/>
            <family val="3"/>
            <charset val="134"/>
          </rPr>
          <t>第</t>
        </r>
        <r>
          <rPr>
            <sz val="9"/>
            <color indexed="81"/>
            <rFont val="Tahoma"/>
            <family val="2"/>
          </rPr>
          <t>34</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List>
</comments>
</file>

<file path=xl/comments30.xml><?xml version="1.0" encoding="utf-8"?>
<comments xmlns="http://schemas.openxmlformats.org/spreadsheetml/2006/main">
  <authors>
    <author>Cindy Wang</author>
    <author>Zhang, Dorothy</author>
  </authors>
  <commentList>
    <comment ref="A2" authorId="0">
      <text>
        <r>
          <rPr>
            <sz val="9"/>
            <color indexed="81"/>
            <rFont val="宋体"/>
            <family val="3"/>
            <charset val="134"/>
          </rPr>
          <t>1、本表适用于发生企业重组、非货币性资产对外投资、技术入股等业务的纳税人填报。纳税人发生企业重组事项的，在企业重组日所属纳税年度分析填报。纳税人根据税法、《财政部 国家税务总局关于企业重组业务企业所得税处理若干问题的通知》（财税〔2009〕59号）、《国家税务总局关于发布〈企业重组业务企业所得税管理办法〉的公告》（国家税务总局公告2010年第4号）、《财政部 国家税务总局关于中国（上海）自由贸易试验区内企业以非货币性资产对外投资等资产重组行为有关企业所得税政策问题的通知》（财税〔2013〕91号）、《财政部 国家税务总局关于非货币性资产投资企业所得税政策问题的通知》（财税〔2014〕116号）、《财政部 国家税务总局关于促进企业重组有关企业所得税处理问题的通知》（财税〔2014〕109号）、《国家税务总局关于非货币性资产投资企业所得税有关征管问题的公告》（国家税务总局公告2015年第33号）、《国家税务总局关于资产（股权）划转企业所得税征管问题的公告》（国家税务总局公告2015年第40号）、《国家税务总局关于企业重组业务企业所得税征收管理若干问题的公告》（国家税务总局公告2015年第48号）、《财政部 国家税务总局关于完善股权激励和技术入股有关所得税政策的通知》（财税〔2016〕101号）、《国家税务总局关于股权激励和技术入股所得税征管问题的公告》（国家税务总局公告2016年第62号）等相关规定，以及国家统一企业会计制度，填报企业重组、非货币资产对外投资、技术入股等业务的会计核算及税收规定，以及纳税调整情况。对于发生债务重组业务且选择特殊性税务处理（即债务重组所得可以在5个纳税年度均匀计入应纳税所得额）的纳税人，重组日所属纳税年度的以后纳税年度，也在本表进行债务重组的纳税调整。除上述债务重组所得可以分期确认应纳税所得额的企业重组外，其他涉及资产计税基础与会计核算成本差异调整的企业重组，本表不作调整，在《资产折旧、摊销及纳税调整明细表》（A105080）进行纳税调整。
2、本表数据栏设置“一般性税务处理”“特殊性税务处理（递延纳税）”两大栏次，纳税人应根据企业重组所适用的税务处理办法，分别按照企业重组类型进行累计填报，损失以“-”号填列。</t>
        </r>
      </text>
    </comment>
    <comment ref="I3" authorId="1">
      <text>
        <r>
          <rPr>
            <sz val="9"/>
            <color indexed="81"/>
            <rFont val="宋体"/>
            <family val="3"/>
            <charset val="134"/>
          </rPr>
          <t>填报第</t>
        </r>
        <r>
          <rPr>
            <sz val="9"/>
            <color indexed="81"/>
            <rFont val="Tahoma"/>
            <family val="2"/>
          </rPr>
          <t>3+6</t>
        </r>
        <r>
          <rPr>
            <sz val="9"/>
            <color indexed="81"/>
            <rFont val="宋体"/>
            <family val="3"/>
            <charset val="134"/>
          </rPr>
          <t>列的合计金额。</t>
        </r>
        <r>
          <rPr>
            <sz val="9"/>
            <color indexed="81"/>
            <rFont val="Tahoma"/>
            <family val="2"/>
          </rPr>
          <t xml:space="preserve">
</t>
        </r>
      </text>
    </comment>
    <comment ref="C4" authorId="1">
      <text>
        <r>
          <rPr>
            <sz val="9"/>
            <color indexed="81"/>
            <rFont val="宋体"/>
            <family val="3"/>
            <charset val="134"/>
          </rPr>
          <t>填报企业重组适用一般性税务处理或企业未发生递延纳税业务，会计核算确认的企业损益金额。</t>
        </r>
        <r>
          <rPr>
            <sz val="9"/>
            <color indexed="81"/>
            <rFont val="Tahoma"/>
            <family val="2"/>
          </rPr>
          <t xml:space="preserve">
</t>
        </r>
      </text>
    </comment>
    <comment ref="D4" authorId="1">
      <text>
        <r>
          <rPr>
            <sz val="9"/>
            <color indexed="81"/>
            <rFont val="宋体"/>
            <family val="3"/>
            <charset val="134"/>
          </rPr>
          <t>填报企业重组适用一般性税务处理或企业未发生递延纳税业务，按税收规定确认的所得（或损失）。</t>
        </r>
        <r>
          <rPr>
            <sz val="9"/>
            <color indexed="81"/>
            <rFont val="Tahoma"/>
            <family val="2"/>
          </rPr>
          <t xml:space="preserve">
</t>
        </r>
      </text>
    </comment>
    <comment ref="E4" authorId="1">
      <text>
        <r>
          <rPr>
            <sz val="9"/>
            <color indexed="81"/>
            <rFont val="宋体"/>
            <family val="3"/>
            <charset val="134"/>
          </rPr>
          <t>填报企业重组适用一般性税务处理或企业未发生递延纳税业务，按税收规定确认的所得（或损失）与会计核算确认的损益金额的差。为第</t>
        </r>
        <r>
          <rPr>
            <sz val="9"/>
            <color indexed="81"/>
            <rFont val="Tahoma"/>
            <family val="2"/>
          </rPr>
          <t>2-1</t>
        </r>
        <r>
          <rPr>
            <sz val="9"/>
            <color indexed="81"/>
            <rFont val="宋体"/>
            <family val="3"/>
            <charset val="134"/>
          </rPr>
          <t>列的余额。</t>
        </r>
        <r>
          <rPr>
            <sz val="9"/>
            <color indexed="81"/>
            <rFont val="Tahoma"/>
            <family val="2"/>
          </rPr>
          <t xml:space="preserve">
</t>
        </r>
      </text>
    </comment>
    <comment ref="F4" authorId="1">
      <text>
        <r>
          <rPr>
            <sz val="9"/>
            <color indexed="81"/>
            <rFont val="宋体"/>
            <family val="3"/>
            <charset val="134"/>
          </rPr>
          <t>填报企业重组适用特殊性税务处理或企业发生递延纳税业务，会计核算确认的损益金额。</t>
        </r>
        <r>
          <rPr>
            <sz val="9"/>
            <color indexed="81"/>
            <rFont val="Tahoma"/>
            <family val="2"/>
          </rPr>
          <t xml:space="preserve">
</t>
        </r>
      </text>
    </comment>
    <comment ref="G4" authorId="1">
      <text>
        <r>
          <rPr>
            <sz val="9"/>
            <color indexed="81"/>
            <rFont val="宋体"/>
            <family val="3"/>
            <charset val="134"/>
          </rPr>
          <t>填报企业重组适用特殊性税务处理或企业发生递延纳税业务，按税收规定确认的所得（或损失）。</t>
        </r>
        <r>
          <rPr>
            <sz val="9"/>
            <color indexed="81"/>
            <rFont val="Tahoma"/>
            <family val="2"/>
          </rPr>
          <t xml:space="preserve">
</t>
        </r>
      </text>
    </comment>
    <comment ref="H4" authorId="1">
      <text>
        <r>
          <rPr>
            <sz val="9"/>
            <color indexed="81"/>
            <rFont val="宋体"/>
            <family val="3"/>
            <charset val="134"/>
          </rPr>
          <t>填报企业重组适用特殊性税务处理或企业发生递延纳税业务，按税收规定确认的所得（或损失）与会计核算确认的损益金额的差额。为第</t>
        </r>
        <r>
          <rPr>
            <sz val="9"/>
            <color indexed="81"/>
            <rFont val="Tahoma"/>
            <family val="2"/>
          </rPr>
          <t>5-4</t>
        </r>
        <r>
          <rPr>
            <sz val="9"/>
            <color indexed="81"/>
            <rFont val="宋体"/>
            <family val="3"/>
            <charset val="134"/>
          </rPr>
          <t>列的余额。</t>
        </r>
        <r>
          <rPr>
            <sz val="9"/>
            <color indexed="81"/>
            <rFont val="Tahoma"/>
            <family val="2"/>
          </rPr>
          <t xml:space="preserve">
</t>
        </r>
      </text>
    </comment>
    <comment ref="B6" authorId="1">
      <text>
        <r>
          <rPr>
            <sz val="9"/>
            <color indexed="81"/>
            <rFont val="宋体"/>
            <family val="3"/>
            <charset val="134"/>
          </rPr>
          <t>填报企业发生债务重组业务的相关金额。</t>
        </r>
      </text>
    </comment>
    <comment ref="B7" authorId="1">
      <text>
        <r>
          <rPr>
            <sz val="9"/>
            <color indexed="81"/>
            <rFont val="宋体"/>
            <family val="3"/>
            <charset val="134"/>
          </rPr>
          <t>填报企业发生以非货币性资产清偿债务的债务重组业务的相关金额。</t>
        </r>
        <r>
          <rPr>
            <sz val="9"/>
            <color indexed="81"/>
            <rFont val="Tahoma"/>
            <family val="2"/>
          </rPr>
          <t xml:space="preserve">
</t>
        </r>
      </text>
    </comment>
    <comment ref="B8" authorId="1">
      <text>
        <r>
          <rPr>
            <sz val="9"/>
            <color indexed="81"/>
            <rFont val="宋体"/>
            <family val="3"/>
            <charset val="134"/>
          </rPr>
          <t>填报企业发生债权转股权的债务重组业务的相关金额。</t>
        </r>
        <r>
          <rPr>
            <sz val="9"/>
            <color indexed="81"/>
            <rFont val="Tahoma"/>
            <family val="2"/>
          </rPr>
          <t xml:space="preserve">
</t>
        </r>
      </text>
    </comment>
    <comment ref="B9" authorId="1">
      <text>
        <r>
          <rPr>
            <sz val="9"/>
            <color indexed="81"/>
            <rFont val="宋体"/>
            <family val="3"/>
            <charset val="134"/>
          </rPr>
          <t>填报企业发生股权收购重组业务的相关金额。</t>
        </r>
        <r>
          <rPr>
            <sz val="9"/>
            <color indexed="81"/>
            <rFont val="Tahoma"/>
            <family val="2"/>
          </rPr>
          <t xml:space="preserve">
</t>
        </r>
      </text>
    </comment>
    <comment ref="B10" authorId="1">
      <text>
        <r>
          <rPr>
            <sz val="9"/>
            <color indexed="81"/>
            <rFont val="宋体"/>
            <family val="3"/>
            <charset val="134"/>
          </rPr>
          <t>填报企业发生涉及中国境内与境外之间、内地与港澳之间、大陆与台湾地区之间的股权收购交易重组业务的相关金额。</t>
        </r>
        <r>
          <rPr>
            <sz val="9"/>
            <color indexed="81"/>
            <rFont val="Tahoma"/>
            <family val="2"/>
          </rPr>
          <t xml:space="preserve">
</t>
        </r>
      </text>
    </comment>
    <comment ref="B11" authorId="1">
      <text>
        <r>
          <rPr>
            <sz val="9"/>
            <color indexed="81"/>
            <rFont val="宋体"/>
            <family val="3"/>
            <charset val="134"/>
          </rPr>
          <t>填报企业发生资产收购重组业务的相关金额。</t>
        </r>
        <r>
          <rPr>
            <sz val="9"/>
            <color indexed="81"/>
            <rFont val="Tahoma"/>
            <family val="2"/>
          </rPr>
          <t xml:space="preserve">
</t>
        </r>
      </text>
    </comment>
    <comment ref="B12" authorId="1">
      <text>
        <r>
          <rPr>
            <sz val="9"/>
            <color indexed="81"/>
            <rFont val="宋体"/>
            <family val="3"/>
            <charset val="134"/>
          </rPr>
          <t>填报企业发生涉及中国境内与境外之间、内地与港澳之间、大陆与台湾地区之间的资产收购交易重组业务的相关金额。</t>
        </r>
        <r>
          <rPr>
            <sz val="9"/>
            <color indexed="81"/>
            <rFont val="Tahoma"/>
            <family val="2"/>
          </rPr>
          <t xml:space="preserve">
</t>
        </r>
      </text>
    </comment>
    <comment ref="B13" authorId="1">
      <text>
        <r>
          <rPr>
            <sz val="9"/>
            <color indexed="81"/>
            <rFont val="宋体"/>
            <family val="3"/>
            <charset val="134"/>
          </rPr>
          <t>填报第</t>
        </r>
        <r>
          <rPr>
            <sz val="9"/>
            <color indexed="81"/>
            <rFont val="Tahoma"/>
            <family val="2"/>
          </rPr>
          <t>9</t>
        </r>
        <r>
          <rPr>
            <sz val="9"/>
            <color indexed="81"/>
            <rFont val="宋体"/>
            <family val="3"/>
            <charset val="134"/>
          </rPr>
          <t>行和第</t>
        </r>
        <r>
          <rPr>
            <sz val="9"/>
            <color indexed="81"/>
            <rFont val="Tahoma"/>
            <family val="2"/>
          </rPr>
          <t>10</t>
        </r>
        <r>
          <rPr>
            <sz val="9"/>
            <color indexed="81"/>
            <rFont val="宋体"/>
            <family val="3"/>
            <charset val="134"/>
          </rPr>
          <t>行的合计金额。</t>
        </r>
        <r>
          <rPr>
            <sz val="9"/>
            <color indexed="81"/>
            <rFont val="Tahoma"/>
            <family val="2"/>
          </rPr>
          <t xml:space="preserve">
</t>
        </r>
      </text>
    </comment>
    <comment ref="B14" authorId="1">
      <text>
        <r>
          <rPr>
            <sz val="9"/>
            <color indexed="81"/>
            <rFont val="宋体"/>
            <family val="3"/>
            <charset val="134"/>
          </rPr>
          <t>填报企业发生同一控制下企业合并重组业务的相关金额。</t>
        </r>
        <r>
          <rPr>
            <sz val="9"/>
            <color indexed="81"/>
            <rFont val="Tahoma"/>
            <family val="2"/>
          </rPr>
          <t xml:space="preserve">
</t>
        </r>
      </text>
    </comment>
    <comment ref="B15" authorId="1">
      <text>
        <r>
          <rPr>
            <sz val="9"/>
            <color indexed="81"/>
            <rFont val="宋体"/>
            <family val="3"/>
            <charset val="134"/>
          </rPr>
          <t>填报企业发生非同一控制下企业合并重组业务的相关金额。</t>
        </r>
        <r>
          <rPr>
            <sz val="9"/>
            <color indexed="81"/>
            <rFont val="Tahoma"/>
            <family val="2"/>
          </rPr>
          <t xml:space="preserve">
</t>
        </r>
      </text>
    </comment>
    <comment ref="B16" authorId="1">
      <text>
        <r>
          <rPr>
            <sz val="9"/>
            <color indexed="81"/>
            <rFont val="宋体"/>
            <family val="3"/>
            <charset val="134"/>
          </rPr>
          <t>填报企业发生非同一控制下企业分立重组业务的相关金额。</t>
        </r>
        <r>
          <rPr>
            <sz val="9"/>
            <color indexed="81"/>
            <rFont val="Tahoma"/>
            <family val="2"/>
          </rPr>
          <t xml:space="preserve">
</t>
        </r>
      </text>
    </comment>
    <comment ref="B17" authorId="1">
      <text>
        <r>
          <rPr>
            <sz val="9"/>
            <color indexed="81"/>
            <rFont val="宋体"/>
            <family val="3"/>
            <charset val="134"/>
          </rPr>
          <t>填报企业发生非货币性资产对外投资的相关金额，符合《财政部</t>
        </r>
        <r>
          <rPr>
            <sz val="9"/>
            <color indexed="81"/>
            <rFont val="Tahoma"/>
            <family val="2"/>
          </rPr>
          <t xml:space="preserve"> </t>
        </r>
        <r>
          <rPr>
            <sz val="9"/>
            <color indexed="81"/>
            <rFont val="宋体"/>
            <family val="3"/>
            <charset val="134"/>
          </rPr>
          <t>国家税务总局关于非货币性资产投资企业所得税政策问题的通知》（财税〔</t>
        </r>
        <r>
          <rPr>
            <sz val="9"/>
            <color indexed="81"/>
            <rFont val="Tahoma"/>
            <family val="2"/>
          </rPr>
          <t>2014</t>
        </r>
        <r>
          <rPr>
            <sz val="9"/>
            <color indexed="81"/>
            <rFont val="宋体"/>
            <family val="3"/>
            <charset val="134"/>
          </rPr>
          <t>〕</t>
        </r>
        <r>
          <rPr>
            <sz val="9"/>
            <color indexed="81"/>
            <rFont val="Tahoma"/>
            <family val="2"/>
          </rPr>
          <t>116</t>
        </r>
        <r>
          <rPr>
            <sz val="9"/>
            <color indexed="81"/>
            <rFont val="宋体"/>
            <family val="3"/>
            <charset val="134"/>
          </rPr>
          <t>号）和《国家税务总局关于非货币性资产投资企业所得税有关征管问题的公告》（国家税务总局公告</t>
        </r>
        <r>
          <rPr>
            <sz val="9"/>
            <color indexed="81"/>
            <rFont val="Tahoma"/>
            <family val="2"/>
          </rPr>
          <t>2015</t>
        </r>
        <r>
          <rPr>
            <sz val="9"/>
            <color indexed="81"/>
            <rFont val="宋体"/>
            <family val="3"/>
            <charset val="134"/>
          </rPr>
          <t>年第</t>
        </r>
        <r>
          <rPr>
            <sz val="9"/>
            <color indexed="81"/>
            <rFont val="Tahoma"/>
            <family val="2"/>
          </rPr>
          <t>33</t>
        </r>
        <r>
          <rPr>
            <sz val="9"/>
            <color indexed="81"/>
            <rFont val="宋体"/>
            <family val="3"/>
            <charset val="134"/>
          </rPr>
          <t>号）规定执行递延纳税政策的填写</t>
        </r>
        <r>
          <rPr>
            <sz val="9"/>
            <color indexed="81"/>
            <rFont val="Tahoma"/>
            <family val="2"/>
          </rPr>
          <t>“</t>
        </r>
        <r>
          <rPr>
            <sz val="9"/>
            <color indexed="81"/>
            <rFont val="宋体"/>
            <family val="3"/>
            <charset val="134"/>
          </rPr>
          <t>特殊性税务处理（递延纳税）</t>
        </r>
        <r>
          <rPr>
            <sz val="9"/>
            <color indexed="81"/>
            <rFont val="Tahoma"/>
            <family val="2"/>
          </rPr>
          <t>”</t>
        </r>
        <r>
          <rPr>
            <sz val="9"/>
            <color indexed="81"/>
            <rFont val="宋体"/>
            <family val="3"/>
            <charset val="134"/>
          </rPr>
          <t>相关列次。</t>
        </r>
        <r>
          <rPr>
            <sz val="9"/>
            <color indexed="81"/>
            <rFont val="Tahoma"/>
            <family val="2"/>
          </rPr>
          <t xml:space="preserve">
</t>
        </r>
      </text>
    </comment>
    <comment ref="B18" authorId="1">
      <text>
        <r>
          <rPr>
            <sz val="9"/>
            <color indexed="81"/>
            <rFont val="宋体"/>
            <family val="3"/>
            <charset val="134"/>
          </rPr>
          <t>填报企业以技术成果投资入股到境内居民企业，被投资企业支付对价全部为股票（权）的技术入股业务的相关金额，符合《财政部</t>
        </r>
        <r>
          <rPr>
            <sz val="9"/>
            <color indexed="81"/>
            <rFont val="Tahoma"/>
            <family val="2"/>
          </rPr>
          <t xml:space="preserve"> </t>
        </r>
        <r>
          <rPr>
            <sz val="9"/>
            <color indexed="81"/>
            <rFont val="宋体"/>
            <family val="3"/>
            <charset val="134"/>
          </rPr>
          <t>国家税务总局关于完善股权激励和技术入股有关所得税政策的通知》（财税〔</t>
        </r>
        <r>
          <rPr>
            <sz val="9"/>
            <color indexed="81"/>
            <rFont val="Tahoma"/>
            <family val="2"/>
          </rPr>
          <t>2016</t>
        </r>
        <r>
          <rPr>
            <sz val="9"/>
            <color indexed="81"/>
            <rFont val="宋体"/>
            <family val="3"/>
            <charset val="134"/>
          </rPr>
          <t>〕</t>
        </r>
        <r>
          <rPr>
            <sz val="9"/>
            <color indexed="81"/>
            <rFont val="Tahoma"/>
            <family val="2"/>
          </rPr>
          <t>101</t>
        </r>
        <r>
          <rPr>
            <sz val="9"/>
            <color indexed="81"/>
            <rFont val="宋体"/>
            <family val="3"/>
            <charset val="134"/>
          </rPr>
          <t>号）、《国家税务总局关于股权激励和技术入股所得税征管问题的公告》（国家税务总局公告</t>
        </r>
        <r>
          <rPr>
            <sz val="9"/>
            <color indexed="81"/>
            <rFont val="Tahoma"/>
            <family val="2"/>
          </rPr>
          <t>2016</t>
        </r>
        <r>
          <rPr>
            <sz val="9"/>
            <color indexed="81"/>
            <rFont val="宋体"/>
            <family val="3"/>
            <charset val="134"/>
          </rPr>
          <t>年第</t>
        </r>
        <r>
          <rPr>
            <sz val="9"/>
            <color indexed="81"/>
            <rFont val="Tahoma"/>
            <family val="2"/>
          </rPr>
          <t>62</t>
        </r>
        <r>
          <rPr>
            <sz val="9"/>
            <color indexed="81"/>
            <rFont val="宋体"/>
            <family val="3"/>
            <charset val="134"/>
          </rPr>
          <t>号）规定适用递延纳税政策的填写</t>
        </r>
        <r>
          <rPr>
            <sz val="9"/>
            <color indexed="81"/>
            <rFont val="Tahoma"/>
            <family val="2"/>
          </rPr>
          <t>“</t>
        </r>
        <r>
          <rPr>
            <sz val="9"/>
            <color indexed="81"/>
            <rFont val="宋体"/>
            <family val="3"/>
            <charset val="134"/>
          </rPr>
          <t>特殊性税务处理（递延纳税）</t>
        </r>
        <r>
          <rPr>
            <sz val="9"/>
            <color indexed="81"/>
            <rFont val="Tahoma"/>
            <family val="2"/>
          </rPr>
          <t>”</t>
        </r>
        <r>
          <rPr>
            <sz val="9"/>
            <color indexed="81"/>
            <rFont val="宋体"/>
            <family val="3"/>
            <charset val="134"/>
          </rPr>
          <t>相关列次。</t>
        </r>
        <r>
          <rPr>
            <sz val="9"/>
            <color indexed="81"/>
            <rFont val="Tahoma"/>
            <family val="2"/>
          </rPr>
          <t xml:space="preserve">
</t>
        </r>
      </text>
    </comment>
    <comment ref="B19" authorId="1">
      <text>
        <r>
          <rPr>
            <sz val="9"/>
            <color indexed="81"/>
            <rFont val="宋体"/>
            <family val="3"/>
            <charset val="134"/>
          </rPr>
          <t>填报企业发生资产（股权）划转业务的相关金额。</t>
        </r>
      </text>
    </comment>
    <comment ref="C21" authorId="1">
      <text>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1+4</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D21" authorId="1">
      <text>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2+5</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F21" authorId="1">
      <text>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1+4</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G21" authorId="1">
      <text>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2+5</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I21" authorId="1">
      <text>
        <r>
          <rPr>
            <sz val="9"/>
            <color indexed="81"/>
            <rFont val="宋体"/>
            <family val="3"/>
            <charset val="134"/>
          </rPr>
          <t>若第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3</t>
        </r>
        <r>
          <rPr>
            <sz val="9"/>
            <color indexed="81"/>
            <rFont val="宋体"/>
            <family val="3"/>
            <charset val="134"/>
          </rPr>
          <t>列；若第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16</t>
        </r>
        <r>
          <rPr>
            <sz val="9"/>
            <color indexed="81"/>
            <rFont val="宋体"/>
            <family val="3"/>
            <charset val="134"/>
          </rPr>
          <t>行第</t>
        </r>
        <r>
          <rPr>
            <sz val="9"/>
            <color indexed="81"/>
            <rFont val="Tahoma"/>
            <family val="2"/>
          </rPr>
          <t>7</t>
        </r>
        <r>
          <rPr>
            <sz val="9"/>
            <color indexed="81"/>
            <rFont val="宋体"/>
            <family val="3"/>
            <charset val="134"/>
          </rPr>
          <t>列的绝对值＝表</t>
        </r>
        <r>
          <rPr>
            <sz val="9"/>
            <color indexed="81"/>
            <rFont val="Tahoma"/>
            <family val="2"/>
          </rPr>
          <t>A105000</t>
        </r>
        <r>
          <rPr>
            <sz val="9"/>
            <color indexed="81"/>
            <rFont val="宋体"/>
            <family val="3"/>
            <charset val="134"/>
          </rPr>
          <t>第</t>
        </r>
        <r>
          <rPr>
            <sz val="9"/>
            <color indexed="81"/>
            <rFont val="Tahoma"/>
            <family val="2"/>
          </rPr>
          <t>37</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List>
</comments>
</file>

<file path=xl/comments31.xml><?xml version="1.0" encoding="utf-8"?>
<comments xmlns="http://schemas.openxmlformats.org/spreadsheetml/2006/main">
  <authors>
    <author>Cindy Wang</author>
    <author>Zhang, Dorothy</author>
  </authors>
  <commentList>
    <comment ref="A2" authorId="0">
      <text>
        <r>
          <rPr>
            <sz val="9"/>
            <color indexed="81"/>
            <rFont val="宋体"/>
            <family val="3"/>
            <charset val="134"/>
          </rPr>
          <t>本表适用于发生政策性搬迁纳税调整项目的纳税人在完成搬迁年度及以后进行损失分期扣除的年度填报。纳税人根据税法、《国家税务总局关于发布〈企业政策性搬迁所得税管理办法〉的公告》（国家税务总局公告2012年第40号）、《国家税务总局关于企业政策性搬迁所得税有关问题的公告》（国家税务总局公告2013年第11号）等相关规定，以及国家统一企业会计制度，填报企业政策性搬迁项目的相关会计处理、税收规定及纳税调整情况。</t>
        </r>
      </text>
    </comment>
    <comment ref="A3" authorId="1">
      <text>
        <r>
          <rPr>
            <sz val="9"/>
            <color indexed="81"/>
            <rFont val="宋体"/>
            <family val="3"/>
            <charset val="134"/>
          </rPr>
          <t>本表第</t>
        </r>
        <r>
          <rPr>
            <sz val="9"/>
            <color indexed="81"/>
            <rFont val="Tahoma"/>
            <family val="2"/>
          </rPr>
          <t>1</t>
        </r>
        <r>
          <rPr>
            <sz val="9"/>
            <color indexed="81"/>
            <rFont val="宋体"/>
            <family val="3"/>
            <charset val="134"/>
          </rPr>
          <t>行</t>
        </r>
        <r>
          <rPr>
            <sz val="9"/>
            <color indexed="81"/>
            <rFont val="Tahoma"/>
            <family val="2"/>
          </rPr>
          <t>“</t>
        </r>
        <r>
          <rPr>
            <sz val="9"/>
            <color indexed="81"/>
            <rFont val="宋体"/>
            <family val="3"/>
            <charset val="134"/>
          </rPr>
          <t>一、搬迁收入</t>
        </r>
        <r>
          <rPr>
            <sz val="9"/>
            <color indexed="81"/>
            <rFont val="Tahoma"/>
            <family val="2"/>
          </rPr>
          <t>”</t>
        </r>
        <r>
          <rPr>
            <sz val="9"/>
            <color indexed="81"/>
            <rFont val="宋体"/>
            <family val="3"/>
            <charset val="134"/>
          </rPr>
          <t>至第</t>
        </r>
        <r>
          <rPr>
            <sz val="9"/>
            <color indexed="81"/>
            <rFont val="Tahoma"/>
            <family val="2"/>
          </rPr>
          <t>21</t>
        </r>
        <r>
          <rPr>
            <sz val="9"/>
            <color indexed="81"/>
            <rFont val="宋体"/>
            <family val="3"/>
            <charset val="134"/>
          </rPr>
          <t>行</t>
        </r>
        <r>
          <rPr>
            <sz val="9"/>
            <color indexed="81"/>
            <rFont val="Tahoma"/>
            <family val="2"/>
          </rPr>
          <t>“</t>
        </r>
        <r>
          <rPr>
            <sz val="9"/>
            <color indexed="81"/>
            <rFont val="宋体"/>
            <family val="3"/>
            <charset val="134"/>
          </rPr>
          <t>搬迁损失分期扣除</t>
        </r>
        <r>
          <rPr>
            <sz val="9"/>
            <color indexed="81"/>
            <rFont val="Tahoma"/>
            <family val="2"/>
          </rPr>
          <t>”</t>
        </r>
        <r>
          <rPr>
            <sz val="9"/>
            <color indexed="81"/>
            <rFont val="宋体"/>
            <family val="3"/>
            <charset val="134"/>
          </rPr>
          <t>的金额，按照税收规定确认的政策性搬迁清算累计数填报。</t>
        </r>
        <r>
          <rPr>
            <sz val="9"/>
            <color indexed="81"/>
            <rFont val="Tahoma"/>
            <family val="2"/>
          </rPr>
          <t xml:space="preserve">
</t>
        </r>
      </text>
    </comment>
    <comment ref="B4" authorId="1">
      <text>
        <r>
          <rPr>
            <sz val="9"/>
            <color indexed="81"/>
            <rFont val="宋体"/>
            <family val="3"/>
            <charset val="134"/>
          </rPr>
          <t>填报第</t>
        </r>
        <r>
          <rPr>
            <sz val="9"/>
            <color indexed="81"/>
            <rFont val="Tahoma"/>
            <family val="2"/>
          </rPr>
          <t>2+8</t>
        </r>
        <r>
          <rPr>
            <sz val="9"/>
            <color indexed="81"/>
            <rFont val="宋体"/>
            <family val="3"/>
            <charset val="134"/>
          </rPr>
          <t>行的合计金额。</t>
        </r>
        <r>
          <rPr>
            <sz val="9"/>
            <color indexed="81"/>
            <rFont val="Tahoma"/>
            <family val="2"/>
          </rPr>
          <t xml:space="preserve">
</t>
        </r>
      </text>
    </comment>
    <comment ref="B5" authorId="0">
      <text>
        <r>
          <rPr>
            <sz val="9"/>
            <color indexed="81"/>
            <rFont val="宋体"/>
            <family val="3"/>
            <charset val="134"/>
          </rPr>
          <t>填报按税收规定确认的，纳税人从本企业以外取得的搬迁补偿收入金额，此行为第3行至第7行的合计金额。</t>
        </r>
      </text>
    </comment>
    <comment ref="B6" authorId="0">
      <text>
        <r>
          <rPr>
            <sz val="9"/>
            <color indexed="81"/>
            <rFont val="宋体"/>
            <family val="3"/>
            <charset val="134"/>
          </rPr>
          <t>填报按税收规定确认的，纳税人被征用资产价值补偿收入累计金额。</t>
        </r>
      </text>
    </comment>
    <comment ref="B7" authorId="0">
      <text>
        <r>
          <rPr>
            <sz val="9"/>
            <color indexed="81"/>
            <rFont val="宋体"/>
            <family val="3"/>
            <charset val="134"/>
          </rPr>
          <t>填报按税收规定确认的，纳税人因搬迁、安置而取得的补偿收入累计金额。</t>
        </r>
      </text>
    </comment>
    <comment ref="B8" authorId="0">
      <text>
        <r>
          <rPr>
            <sz val="9"/>
            <color indexed="81"/>
            <rFont val="宋体"/>
            <family val="3"/>
            <charset val="134"/>
          </rPr>
          <t>填报按税收规定确认的，纳税人停产停业形成损失而取得的补偿收入累计金额。</t>
        </r>
      </text>
    </comment>
    <comment ref="B9" authorId="0">
      <text>
        <r>
          <rPr>
            <sz val="9"/>
            <color indexed="81"/>
            <rFont val="宋体"/>
            <family val="3"/>
            <charset val="134"/>
          </rPr>
          <t>填报按税收规定确认，纳税人资产搬迁过程中遭到毁损而取得的保险赔款收入累计金额。</t>
        </r>
      </text>
    </comment>
    <comment ref="B10" authorId="0">
      <text>
        <r>
          <rPr>
            <sz val="9"/>
            <color indexed="81"/>
            <rFont val="宋体"/>
            <family val="3"/>
            <charset val="134"/>
          </rPr>
          <t>填报按税收规定确认，纳税人其他补偿收入累计金额。</t>
        </r>
      </text>
    </comment>
    <comment ref="B11" authorId="0">
      <text>
        <r>
          <rPr>
            <sz val="9"/>
            <color indexed="81"/>
            <rFont val="宋体"/>
            <family val="3"/>
            <charset val="134"/>
          </rPr>
          <t>填报按税收规定确认，纳税人由于搬迁而处置各类资产所取得的收入累计金额。</t>
        </r>
      </text>
    </comment>
    <comment ref="B12" authorId="1">
      <text>
        <r>
          <rPr>
            <sz val="9"/>
            <color indexed="81"/>
            <rFont val="宋体"/>
            <family val="3"/>
            <charset val="134"/>
          </rPr>
          <t>填报第</t>
        </r>
        <r>
          <rPr>
            <sz val="9"/>
            <color indexed="81"/>
            <rFont val="Tahoma"/>
            <family val="2"/>
          </rPr>
          <t>10+16</t>
        </r>
        <r>
          <rPr>
            <sz val="9"/>
            <color indexed="81"/>
            <rFont val="宋体"/>
            <family val="3"/>
            <charset val="134"/>
          </rPr>
          <t>行的合计金额。</t>
        </r>
        <r>
          <rPr>
            <sz val="9"/>
            <color indexed="81"/>
            <rFont val="Tahoma"/>
            <family val="2"/>
          </rPr>
          <t xml:space="preserve">
</t>
        </r>
      </text>
    </comment>
    <comment ref="B13" authorId="0">
      <text>
        <r>
          <rPr>
            <sz val="9"/>
            <color indexed="81"/>
            <rFont val="宋体"/>
            <family val="3"/>
            <charset val="134"/>
          </rPr>
          <t>填报按税收规定确认，纳税人搬迁过程中发生的费用支出累计金额，为第11行至第15行的合计金额。</t>
        </r>
      </text>
    </comment>
    <comment ref="B14" authorId="0">
      <text>
        <r>
          <rPr>
            <sz val="9"/>
            <color indexed="81"/>
            <rFont val="宋体"/>
            <family val="3"/>
            <charset val="134"/>
          </rPr>
          <t>填报按税收规定确认，纳税人安置职工实际发生费用支出的累计金额。</t>
        </r>
      </text>
    </comment>
    <comment ref="B15" authorId="0">
      <text>
        <r>
          <rPr>
            <sz val="9"/>
            <color indexed="81"/>
            <rFont val="宋体"/>
            <family val="3"/>
            <charset val="134"/>
          </rPr>
          <t>填报按税收规定确认，纳税人因停工支付给职工的工资及福利费支出累计金额。</t>
        </r>
      </text>
    </comment>
    <comment ref="B16" authorId="0">
      <text>
        <r>
          <rPr>
            <sz val="9"/>
            <color indexed="81"/>
            <rFont val="宋体"/>
            <family val="3"/>
            <charset val="134"/>
          </rPr>
          <t>填报按税收规定确认，纳税人临时存放搬迁资产发生的费用支出累计金额。</t>
        </r>
      </text>
    </comment>
    <comment ref="B17" authorId="0">
      <text>
        <r>
          <rPr>
            <sz val="9"/>
            <color indexed="81"/>
            <rFont val="宋体"/>
            <family val="3"/>
            <charset val="134"/>
          </rPr>
          <t>填报按税收规定确认，纳税人各类资产搬迁安装费用支出累计金额。</t>
        </r>
      </text>
    </comment>
    <comment ref="B18" authorId="0">
      <text>
        <r>
          <rPr>
            <sz val="9"/>
            <color indexed="81"/>
            <rFont val="宋体"/>
            <family val="3"/>
            <charset val="134"/>
          </rPr>
          <t>填报按税收规定确认，纳税人其他与搬迁相关的费用支出累计金额。</t>
        </r>
      </text>
    </comment>
    <comment ref="B19" authorId="0">
      <text>
        <r>
          <rPr>
            <sz val="9"/>
            <color indexed="81"/>
            <rFont val="宋体"/>
            <family val="3"/>
            <charset val="134"/>
          </rPr>
          <t>填报按税收规定确认的，纳税人搬迁资产处置支出累计金额。符合《国家税务总局关于企业政策性搬迁所得税有关问题的公告》（国家税务总局公告2013年第11号）规定的资产购置支出，填报在本行。</t>
        </r>
      </text>
    </comment>
    <comment ref="B20" authorId="0">
      <text>
        <r>
          <rPr>
            <sz val="9"/>
            <color indexed="81"/>
            <rFont val="宋体"/>
            <family val="3"/>
            <charset val="134"/>
          </rPr>
          <t>填报政策性搬迁所得或损失，填报第1-9行的余额，损失以“-”号填列。</t>
        </r>
      </text>
    </comment>
    <comment ref="B21" authorId="0">
      <text>
        <r>
          <rPr>
            <sz val="9"/>
            <color indexed="81"/>
            <rFont val="宋体"/>
            <family val="3"/>
            <charset val="134"/>
          </rPr>
          <t>填报政策性搬迁所得或损失按照税收规定计入本年应纳税所得额的金额，填报第19行至第21行的合计金额，损失以“-”号填列。</t>
        </r>
      </text>
    </comment>
    <comment ref="B22" authorId="0">
      <text>
        <r>
          <rPr>
            <sz val="9"/>
            <color indexed="81"/>
            <rFont val="宋体"/>
            <family val="3"/>
            <charset val="134"/>
          </rPr>
          <t>填报按税法相关规定，搬迁完成年度政策性搬迁所得的金额。</t>
        </r>
      </text>
    </comment>
    <comment ref="B23" authorId="0">
      <text>
        <r>
          <rPr>
            <sz val="9"/>
            <color indexed="81"/>
            <rFont val="宋体"/>
            <family val="3"/>
            <charset val="134"/>
          </rPr>
          <t>由选择一次性扣除搬迁损失的纳税人填报，填报搬迁完成年度按照税收规定计算的搬迁损失金额，损失以“-”号填列。</t>
        </r>
      </text>
    </comment>
    <comment ref="B24" authorId="0">
      <text>
        <r>
          <rPr>
            <sz val="9"/>
            <color indexed="81"/>
            <rFont val="宋体"/>
            <family val="3"/>
            <charset val="134"/>
          </rPr>
          <t>由选择分期扣除搬迁损失的纳税人填报，填报搬迁完成年度按照税收规定计算的搬迁损失在本年扣除的金额，损失以“-”号填列。</t>
        </r>
      </text>
    </comment>
    <comment ref="B25" authorId="0">
      <text>
        <r>
          <rPr>
            <sz val="9"/>
            <color indexed="81"/>
            <rFont val="宋体"/>
            <family val="3"/>
            <charset val="134"/>
          </rPr>
          <t>填报政策性搬迁项目会计核算计入当期损益的金额，损失以“-”号填列。</t>
        </r>
      </text>
    </comment>
    <comment ref="B26" authorId="0">
      <text>
        <r>
          <rPr>
            <sz val="9"/>
            <color indexed="81"/>
            <rFont val="宋体"/>
            <family val="3"/>
            <charset val="134"/>
          </rPr>
          <t>以前年度完成搬迁形成的损失，按照税收规定在当期扣除的金额。</t>
        </r>
      </text>
    </comment>
    <comment ref="B27" authorId="0">
      <text>
        <r>
          <rPr>
            <sz val="9"/>
            <color indexed="81"/>
            <rFont val="宋体"/>
            <family val="3"/>
            <charset val="134"/>
          </rPr>
          <t>填报第18-22-23行的余额。</t>
        </r>
      </text>
    </comment>
    <comment ref="C27" authorId="0">
      <text>
        <r>
          <rPr>
            <sz val="9"/>
            <color indexed="81"/>
            <rFont val="宋体"/>
            <family val="3"/>
            <charset val="134"/>
          </rPr>
          <t>第24行，若≥0，填入表A105000第37行第3列；若＜0，将绝对值填入表A105000第37行第4列。</t>
        </r>
      </text>
    </comment>
  </commentList>
</comments>
</file>

<file path=xl/comments32.xml><?xml version="1.0" encoding="utf-8"?>
<comments xmlns="http://schemas.openxmlformats.org/spreadsheetml/2006/main">
  <authors>
    <author>Cindy Wang</author>
    <author>Zhang, Dorothy</author>
  </authors>
  <commentList>
    <comment ref="A2" authorId="0">
      <text>
        <r>
          <rPr>
            <sz val="9"/>
            <color indexed="81"/>
            <rFont val="宋体"/>
            <family val="3"/>
            <charset val="134"/>
          </rPr>
          <t>本表适用于发生特殊行业准备金的纳税人填报。纳税人根据税法相关规定，以及国家统一企业会计制度，填报特殊行业准备金会计处理、税收规定及纳税调整情况。只要会计上发生准备金，不论是否纳税调整，均需填报。</t>
        </r>
      </text>
    </comment>
    <comment ref="E3" authorId="0">
      <text>
        <r>
          <rPr>
            <sz val="9"/>
            <color indexed="81"/>
            <rFont val="宋体"/>
            <family val="3"/>
            <charset val="134"/>
          </rPr>
          <t>第1列“账载金额”填报按会计核算计入当期损益的金额。</t>
        </r>
      </text>
    </comment>
    <comment ref="F3" authorId="0">
      <text>
        <r>
          <rPr>
            <sz val="9"/>
            <color indexed="81"/>
            <rFont val="宋体"/>
            <family val="3"/>
            <charset val="134"/>
          </rPr>
          <t>第2列“税收金额”填报按税收规定允许税前扣除的金额。</t>
        </r>
      </text>
    </comment>
    <comment ref="G3" authorId="0">
      <text>
        <r>
          <rPr>
            <sz val="9"/>
            <color indexed="81"/>
            <rFont val="宋体"/>
            <family val="3"/>
            <charset val="134"/>
          </rPr>
          <t>第3列为第1-2列的余额。</t>
        </r>
      </text>
    </comment>
    <comment ref="B5" authorId="1">
      <text>
        <r>
          <rPr>
            <sz val="9"/>
            <color indexed="81"/>
            <rFont val="宋体"/>
            <family val="3"/>
            <charset val="134"/>
          </rPr>
          <t>填报第</t>
        </r>
        <r>
          <rPr>
            <sz val="9"/>
            <color indexed="81"/>
            <rFont val="Tahoma"/>
            <family val="2"/>
          </rPr>
          <t>2+13+14+15+16+19+20</t>
        </r>
        <r>
          <rPr>
            <sz val="9"/>
            <color indexed="81"/>
            <rFont val="宋体"/>
            <family val="3"/>
            <charset val="134"/>
          </rPr>
          <t>行的合计金额。</t>
        </r>
      </text>
    </comment>
    <comment ref="B6" authorId="1">
      <text>
        <r>
          <rPr>
            <sz val="9"/>
            <color indexed="81"/>
            <rFont val="宋体"/>
            <family val="3"/>
            <charset val="134"/>
          </rPr>
          <t>填报第</t>
        </r>
        <r>
          <rPr>
            <sz val="9"/>
            <color indexed="81"/>
            <rFont val="Tahoma"/>
            <family val="2"/>
          </rPr>
          <t>3+4+5+6+7+8+9+10+11+12</t>
        </r>
        <r>
          <rPr>
            <sz val="9"/>
            <color indexed="81"/>
            <rFont val="宋体"/>
            <family val="3"/>
            <charset val="134"/>
          </rPr>
          <t>行的合计金额。</t>
        </r>
      </text>
    </comment>
    <comment ref="C7" authorId="1">
      <text>
        <r>
          <rPr>
            <sz val="9"/>
            <color indexed="81"/>
            <rFont val="宋体"/>
            <family val="3"/>
            <charset val="134"/>
          </rPr>
          <t>填报保险公司非投资型财产保险业务的保险保障基金相关情况。</t>
        </r>
        <r>
          <rPr>
            <sz val="9"/>
            <color indexed="81"/>
            <rFont val="Tahoma"/>
            <family val="2"/>
          </rPr>
          <t xml:space="preserve">
</t>
        </r>
      </text>
    </comment>
    <comment ref="D8" authorId="1">
      <text>
        <r>
          <rPr>
            <sz val="9"/>
            <color indexed="81"/>
            <rFont val="宋体"/>
            <family val="3"/>
            <charset val="134"/>
          </rPr>
          <t>填报有保证收益的投资型财产保险业务的保险保障基金的纳税调整情况。</t>
        </r>
        <r>
          <rPr>
            <sz val="9"/>
            <color indexed="81"/>
            <rFont val="Tahoma"/>
            <family val="2"/>
          </rPr>
          <t xml:space="preserve">
</t>
        </r>
      </text>
    </comment>
    <comment ref="D9" authorId="1">
      <text>
        <r>
          <rPr>
            <sz val="9"/>
            <color indexed="81"/>
            <rFont val="宋体"/>
            <family val="3"/>
            <charset val="134"/>
          </rPr>
          <t>填报无保证收益的投资型财产保险业务的保险保障基金的纳税调整情况。</t>
        </r>
        <r>
          <rPr>
            <sz val="9"/>
            <color indexed="81"/>
            <rFont val="Tahoma"/>
            <family val="2"/>
          </rPr>
          <t xml:space="preserve">
</t>
        </r>
      </text>
    </comment>
    <comment ref="C10" authorId="1">
      <text>
        <r>
          <rPr>
            <sz val="9"/>
            <color indexed="81"/>
            <rFont val="宋体"/>
            <family val="3"/>
            <charset val="134"/>
          </rPr>
          <t>填报有保证收益的人寿保险业务的保险保障基金的纳税调整情况。</t>
        </r>
        <r>
          <rPr>
            <sz val="9"/>
            <color indexed="81"/>
            <rFont val="Tahoma"/>
            <family val="2"/>
          </rPr>
          <t xml:space="preserve">
</t>
        </r>
      </text>
    </comment>
    <comment ref="C11" authorId="1">
      <text>
        <r>
          <rPr>
            <sz val="9"/>
            <color indexed="81"/>
            <rFont val="宋体"/>
            <family val="3"/>
            <charset val="134"/>
          </rPr>
          <t>填报无保证收益的人寿保险业务的保险保障基金的纳税调整情况。</t>
        </r>
        <r>
          <rPr>
            <sz val="9"/>
            <color indexed="81"/>
            <rFont val="Tahoma"/>
            <family val="2"/>
          </rPr>
          <t xml:space="preserve">
</t>
        </r>
      </text>
    </comment>
    <comment ref="C12" authorId="1">
      <text>
        <r>
          <rPr>
            <sz val="9"/>
            <color indexed="81"/>
            <rFont val="宋体"/>
            <family val="3"/>
            <charset val="134"/>
          </rPr>
          <t>填报短期健康保险业务的保险保障基金的纳税调整情况。</t>
        </r>
        <r>
          <rPr>
            <sz val="9"/>
            <color indexed="81"/>
            <rFont val="Tahoma"/>
            <family val="2"/>
          </rPr>
          <t xml:space="preserve">
</t>
        </r>
      </text>
    </comment>
    <comment ref="C13" authorId="1">
      <text>
        <r>
          <rPr>
            <sz val="9"/>
            <color indexed="81"/>
            <rFont val="宋体"/>
            <family val="3"/>
            <charset val="134"/>
          </rPr>
          <t>填报长期健康保险业务的保险保障基金的纳税调整情况。</t>
        </r>
      </text>
    </comment>
    <comment ref="C14" authorId="1">
      <text>
        <r>
          <rPr>
            <sz val="9"/>
            <color indexed="81"/>
            <rFont val="宋体"/>
            <family val="3"/>
            <charset val="134"/>
          </rPr>
          <t>填报非投资型意外伤害保险业务的保险保障基金的纳税调整情况。</t>
        </r>
        <r>
          <rPr>
            <sz val="9"/>
            <color indexed="81"/>
            <rFont val="Tahoma"/>
            <family val="2"/>
          </rPr>
          <t xml:space="preserve">
</t>
        </r>
      </text>
    </comment>
    <comment ref="D15" authorId="1">
      <text>
        <r>
          <rPr>
            <sz val="9"/>
            <color indexed="81"/>
            <rFont val="宋体"/>
            <family val="3"/>
            <charset val="134"/>
          </rPr>
          <t>填报有保证收益的投资型意外伤害保险业务的保险保障基金的纳税调整情况。</t>
        </r>
        <r>
          <rPr>
            <sz val="9"/>
            <color indexed="81"/>
            <rFont val="Tahoma"/>
            <family val="2"/>
          </rPr>
          <t xml:space="preserve">
</t>
        </r>
      </text>
    </comment>
    <comment ref="D16" authorId="1">
      <text>
        <r>
          <rPr>
            <sz val="9"/>
            <color indexed="81"/>
            <rFont val="宋体"/>
            <family val="3"/>
            <charset val="134"/>
          </rPr>
          <t>填报无保证收益的投资型意外伤害保险业务的保险保障基金的纳税调整情况。</t>
        </r>
        <r>
          <rPr>
            <sz val="9"/>
            <color indexed="81"/>
            <rFont val="Tahoma"/>
            <family val="2"/>
          </rPr>
          <t xml:space="preserve">
</t>
        </r>
      </text>
    </comment>
    <comment ref="B17" authorId="1">
      <text>
        <r>
          <rPr>
            <sz val="9"/>
            <color indexed="81"/>
            <rFont val="宋体"/>
            <family val="3"/>
            <charset val="134"/>
          </rPr>
          <t>填报未到期责任准备金的纳税调整情况。</t>
        </r>
        <r>
          <rPr>
            <sz val="9"/>
            <color indexed="81"/>
            <rFont val="Tahoma"/>
            <family val="2"/>
          </rPr>
          <t xml:space="preserve">
</t>
        </r>
      </text>
    </comment>
    <comment ref="B18" authorId="1">
      <text>
        <r>
          <rPr>
            <sz val="9"/>
            <color indexed="81"/>
            <rFont val="宋体"/>
            <family val="3"/>
            <charset val="134"/>
          </rPr>
          <t>填报寿险责任准备金的纳税调整情况。</t>
        </r>
        <r>
          <rPr>
            <sz val="9"/>
            <color indexed="81"/>
            <rFont val="Tahoma"/>
            <family val="2"/>
          </rPr>
          <t xml:space="preserve">
</t>
        </r>
      </text>
    </comment>
    <comment ref="B19" authorId="1">
      <text>
        <r>
          <rPr>
            <sz val="9"/>
            <color indexed="81"/>
            <rFont val="宋体"/>
            <family val="3"/>
            <charset val="134"/>
          </rPr>
          <t>填报长期健康险责任准备金的纳税调整情况。</t>
        </r>
      </text>
    </comment>
    <comment ref="B20" authorId="1">
      <text>
        <r>
          <rPr>
            <sz val="9"/>
            <color indexed="81"/>
            <rFont val="宋体"/>
            <family val="3"/>
            <charset val="134"/>
          </rPr>
          <t>填报第</t>
        </r>
        <r>
          <rPr>
            <sz val="9"/>
            <color indexed="81"/>
            <rFont val="Tahoma"/>
            <family val="2"/>
          </rPr>
          <t>17+18</t>
        </r>
        <r>
          <rPr>
            <sz val="9"/>
            <color indexed="81"/>
            <rFont val="宋体"/>
            <family val="3"/>
            <charset val="134"/>
          </rPr>
          <t>行的合计金额。本表调整的未决赔款准备金为已发生已报案未决赔款准备金、已发生未报案未决赔款准备金，不包括理赔费用准备金。</t>
        </r>
        <r>
          <rPr>
            <sz val="9"/>
            <color indexed="81"/>
            <rFont val="Tahoma"/>
            <family val="2"/>
          </rPr>
          <t xml:space="preserve">
</t>
        </r>
      </text>
    </comment>
    <comment ref="B21" authorId="1">
      <text>
        <r>
          <rPr>
            <sz val="9"/>
            <color indexed="81"/>
            <rFont val="宋体"/>
            <family val="3"/>
            <charset val="134"/>
          </rPr>
          <t>填报未决赔款准备金中已发生已报案准备金的纳税调整情况。</t>
        </r>
        <r>
          <rPr>
            <sz val="9"/>
            <color indexed="81"/>
            <rFont val="Tahoma"/>
            <family val="2"/>
          </rPr>
          <t xml:space="preserve">
</t>
        </r>
      </text>
    </comment>
    <comment ref="B22" authorId="1">
      <text>
        <r>
          <rPr>
            <sz val="9"/>
            <color indexed="81"/>
            <rFont val="宋体"/>
            <family val="3"/>
            <charset val="134"/>
          </rPr>
          <t>填报未决赔款准备金中已发生未报案准备金的纳税调整情况。</t>
        </r>
        <r>
          <rPr>
            <sz val="9"/>
            <color indexed="81"/>
            <rFont val="Tahoma"/>
            <family val="2"/>
          </rPr>
          <t xml:space="preserve">
</t>
        </r>
      </text>
    </comment>
    <comment ref="B23" authorId="1">
      <text>
        <r>
          <rPr>
            <sz val="9"/>
            <color indexed="81"/>
            <rFont val="宋体"/>
            <family val="3"/>
            <charset val="134"/>
          </rPr>
          <t>填报大灾风险准备金的纳税调整情况。</t>
        </r>
        <r>
          <rPr>
            <sz val="9"/>
            <color indexed="81"/>
            <rFont val="Tahoma"/>
            <family val="2"/>
          </rPr>
          <t xml:space="preserve">
</t>
        </r>
      </text>
    </comment>
    <comment ref="B24" authorId="1">
      <text>
        <r>
          <rPr>
            <sz val="9"/>
            <color indexed="81"/>
            <rFont val="宋体"/>
            <family val="3"/>
            <charset val="134"/>
          </rPr>
          <t>填报除第</t>
        </r>
        <r>
          <rPr>
            <sz val="9"/>
            <color indexed="81"/>
            <rFont val="Tahoma"/>
            <family val="2"/>
          </rPr>
          <t>2</t>
        </r>
        <r>
          <rPr>
            <sz val="9"/>
            <color indexed="81"/>
            <rFont val="宋体"/>
            <family val="3"/>
            <charset val="134"/>
          </rPr>
          <t>行至第</t>
        </r>
        <r>
          <rPr>
            <sz val="9"/>
            <color indexed="81"/>
            <rFont val="Tahoma"/>
            <family val="2"/>
          </rPr>
          <t>19</t>
        </r>
        <r>
          <rPr>
            <sz val="9"/>
            <color indexed="81"/>
            <rFont val="宋体"/>
            <family val="3"/>
            <charset val="134"/>
          </rPr>
          <t>行以外的允许税前扣除的保险公司准备金的纳税调整情况。</t>
        </r>
        <r>
          <rPr>
            <sz val="9"/>
            <color indexed="81"/>
            <rFont val="Tahoma"/>
            <family val="2"/>
          </rPr>
          <t xml:space="preserve">
</t>
        </r>
      </text>
    </comment>
    <comment ref="B25" authorId="1">
      <text>
        <r>
          <rPr>
            <sz val="9"/>
            <color indexed="81"/>
            <rFont val="宋体"/>
            <family val="3"/>
            <charset val="134"/>
          </rPr>
          <t>填报第</t>
        </r>
        <r>
          <rPr>
            <sz val="9"/>
            <color indexed="81"/>
            <rFont val="Tahoma"/>
            <family val="2"/>
          </rPr>
          <t>22+23+24+25</t>
        </r>
        <r>
          <rPr>
            <sz val="9"/>
            <color indexed="81"/>
            <rFont val="宋体"/>
            <family val="3"/>
            <charset val="134"/>
          </rPr>
          <t>行的合计金额。</t>
        </r>
        <r>
          <rPr>
            <sz val="9"/>
            <color indexed="81"/>
            <rFont val="Tahoma"/>
            <family val="2"/>
          </rPr>
          <t xml:space="preserve">
</t>
        </r>
      </text>
    </comment>
    <comment ref="B26" authorId="1">
      <text>
        <r>
          <rPr>
            <sz val="9"/>
            <color indexed="81"/>
            <rFont val="宋体"/>
            <family val="3"/>
            <charset val="134"/>
          </rPr>
          <t>填报证券交易所风险基金的纳税调整情况。</t>
        </r>
      </text>
    </comment>
    <comment ref="B27" authorId="1">
      <text>
        <r>
          <rPr>
            <sz val="9"/>
            <color indexed="81"/>
            <rFont val="宋体"/>
            <family val="3"/>
            <charset val="134"/>
          </rPr>
          <t>填报证券结算风险基金的纳税调整情况。</t>
        </r>
        <r>
          <rPr>
            <sz val="9"/>
            <color indexed="81"/>
            <rFont val="Tahoma"/>
            <family val="2"/>
          </rPr>
          <t xml:space="preserve">
</t>
        </r>
      </text>
    </comment>
    <comment ref="B28" authorId="1">
      <text>
        <r>
          <rPr>
            <sz val="9"/>
            <color indexed="81"/>
            <rFont val="宋体"/>
            <family val="3"/>
            <charset val="134"/>
          </rPr>
          <t>填报证券投资者保护基金的纳税调整情况。</t>
        </r>
        <r>
          <rPr>
            <sz val="9"/>
            <color indexed="81"/>
            <rFont val="Tahoma"/>
            <family val="2"/>
          </rPr>
          <t xml:space="preserve">
</t>
        </r>
      </text>
    </comment>
    <comment ref="B29" authorId="1">
      <text>
        <r>
          <rPr>
            <sz val="9"/>
            <color indexed="81"/>
            <rFont val="宋体"/>
            <family val="3"/>
            <charset val="134"/>
          </rPr>
          <t>填报除第</t>
        </r>
        <r>
          <rPr>
            <sz val="9"/>
            <color indexed="81"/>
            <rFont val="Tahoma"/>
            <family val="2"/>
          </rPr>
          <t>22</t>
        </r>
        <r>
          <rPr>
            <sz val="9"/>
            <color indexed="81"/>
            <rFont val="宋体"/>
            <family val="3"/>
            <charset val="134"/>
          </rPr>
          <t>行至第</t>
        </r>
        <r>
          <rPr>
            <sz val="9"/>
            <color indexed="81"/>
            <rFont val="Tahoma"/>
            <family val="2"/>
          </rPr>
          <t>24</t>
        </r>
        <r>
          <rPr>
            <sz val="9"/>
            <color indexed="81"/>
            <rFont val="宋体"/>
            <family val="3"/>
            <charset val="134"/>
          </rPr>
          <t>行以外的允许税前扣除的证券行业准备金的纳税调整情况。</t>
        </r>
        <r>
          <rPr>
            <sz val="9"/>
            <color indexed="81"/>
            <rFont val="Tahoma"/>
            <family val="2"/>
          </rPr>
          <t xml:space="preserve">
</t>
        </r>
      </text>
    </comment>
    <comment ref="B30" authorId="1">
      <text>
        <r>
          <rPr>
            <sz val="9"/>
            <color indexed="81"/>
            <rFont val="宋体"/>
            <family val="3"/>
            <charset val="134"/>
          </rPr>
          <t>填报第</t>
        </r>
        <r>
          <rPr>
            <sz val="9"/>
            <color indexed="81"/>
            <rFont val="Tahoma"/>
            <family val="2"/>
          </rPr>
          <t>27+28+29+30</t>
        </r>
        <r>
          <rPr>
            <sz val="9"/>
            <color indexed="81"/>
            <rFont val="宋体"/>
            <family val="3"/>
            <charset val="134"/>
          </rPr>
          <t>行的合计金额。</t>
        </r>
        <r>
          <rPr>
            <sz val="9"/>
            <color indexed="81"/>
            <rFont val="Tahoma"/>
            <family val="2"/>
          </rPr>
          <t xml:space="preserve">
</t>
        </r>
      </text>
    </comment>
    <comment ref="B31" authorId="1">
      <text>
        <r>
          <rPr>
            <sz val="9"/>
            <color indexed="81"/>
            <rFont val="宋体"/>
            <family val="3"/>
            <charset val="134"/>
          </rPr>
          <t>填报期货交易所风险准备金的纳税调整情况。</t>
        </r>
        <r>
          <rPr>
            <sz val="9"/>
            <color indexed="81"/>
            <rFont val="Tahoma"/>
            <family val="2"/>
          </rPr>
          <t xml:space="preserve">
</t>
        </r>
      </text>
    </comment>
    <comment ref="B32" authorId="1">
      <text>
        <r>
          <rPr>
            <sz val="9"/>
            <color indexed="81"/>
            <rFont val="宋体"/>
            <family val="3"/>
            <charset val="134"/>
          </rPr>
          <t>填报期货公司风险准备金的纳税调整情况。</t>
        </r>
        <r>
          <rPr>
            <sz val="9"/>
            <color indexed="81"/>
            <rFont val="Tahoma"/>
            <family val="2"/>
          </rPr>
          <t xml:space="preserve">
</t>
        </r>
      </text>
    </comment>
    <comment ref="B33" authorId="1">
      <text>
        <r>
          <rPr>
            <sz val="9"/>
            <color indexed="81"/>
            <rFont val="宋体"/>
            <family val="3"/>
            <charset val="134"/>
          </rPr>
          <t>填报期货投资者保障基金的纳税调整情况。</t>
        </r>
        <r>
          <rPr>
            <sz val="9"/>
            <color indexed="81"/>
            <rFont val="Tahoma"/>
            <family val="2"/>
          </rPr>
          <t xml:space="preserve">
</t>
        </r>
      </text>
    </comment>
    <comment ref="B34" authorId="1">
      <text>
        <r>
          <rPr>
            <sz val="9"/>
            <color indexed="81"/>
            <rFont val="宋体"/>
            <family val="3"/>
            <charset val="134"/>
          </rPr>
          <t>填报除第</t>
        </r>
        <r>
          <rPr>
            <sz val="9"/>
            <color indexed="81"/>
            <rFont val="Tahoma"/>
            <family val="2"/>
          </rPr>
          <t>27</t>
        </r>
        <r>
          <rPr>
            <sz val="9"/>
            <color indexed="81"/>
            <rFont val="宋体"/>
            <family val="3"/>
            <charset val="134"/>
          </rPr>
          <t>行至第</t>
        </r>
        <r>
          <rPr>
            <sz val="9"/>
            <color indexed="81"/>
            <rFont val="Tahoma"/>
            <family val="2"/>
          </rPr>
          <t>29</t>
        </r>
        <r>
          <rPr>
            <sz val="9"/>
            <color indexed="81"/>
            <rFont val="宋体"/>
            <family val="3"/>
            <charset val="134"/>
          </rPr>
          <t>行以外的允许税前扣除的期货行业准备金的纳税调整情况。</t>
        </r>
        <r>
          <rPr>
            <sz val="9"/>
            <color indexed="81"/>
            <rFont val="Tahoma"/>
            <family val="2"/>
          </rPr>
          <t xml:space="preserve">
</t>
        </r>
      </text>
    </comment>
    <comment ref="B35" authorId="1">
      <text>
        <r>
          <rPr>
            <sz val="9"/>
            <color indexed="81"/>
            <rFont val="宋体"/>
            <family val="3"/>
            <charset val="134"/>
          </rPr>
          <t>填报第</t>
        </r>
        <r>
          <rPr>
            <sz val="9"/>
            <color indexed="81"/>
            <rFont val="Tahoma"/>
            <family val="2"/>
          </rPr>
          <t>32+33+34</t>
        </r>
        <r>
          <rPr>
            <sz val="9"/>
            <color indexed="81"/>
            <rFont val="宋体"/>
            <family val="3"/>
            <charset val="134"/>
          </rPr>
          <t>行的合计金额。</t>
        </r>
        <r>
          <rPr>
            <sz val="9"/>
            <color indexed="81"/>
            <rFont val="Tahoma"/>
            <family val="2"/>
          </rPr>
          <t xml:space="preserve">
</t>
        </r>
      </text>
    </comment>
    <comment ref="B36" authorId="1">
      <text>
        <r>
          <rPr>
            <sz val="9"/>
            <color indexed="81"/>
            <rFont val="宋体"/>
            <family val="3"/>
            <charset val="134"/>
          </rPr>
          <t>填报涉农和中小企业贷款损失准备金的纳税调整情况。</t>
        </r>
        <r>
          <rPr>
            <sz val="9"/>
            <color indexed="81"/>
            <rFont val="Tahoma"/>
            <family val="2"/>
          </rPr>
          <t xml:space="preserve">
</t>
        </r>
      </text>
    </comment>
    <comment ref="B37" authorId="1">
      <text>
        <r>
          <rPr>
            <sz val="9"/>
            <color indexed="81"/>
            <rFont val="宋体"/>
            <family val="3"/>
            <charset val="134"/>
          </rPr>
          <t>填报贷款损失准备金的纳税调整情况。</t>
        </r>
        <r>
          <rPr>
            <sz val="9"/>
            <color indexed="81"/>
            <rFont val="Tahoma"/>
            <family val="2"/>
          </rPr>
          <t xml:space="preserve">
</t>
        </r>
      </text>
    </comment>
    <comment ref="B38" authorId="1">
      <text>
        <r>
          <rPr>
            <sz val="9"/>
            <color indexed="81"/>
            <rFont val="宋体"/>
            <family val="3"/>
            <charset val="134"/>
          </rPr>
          <t>填报除第</t>
        </r>
        <r>
          <rPr>
            <sz val="9"/>
            <color indexed="81"/>
            <rFont val="Tahoma"/>
            <family val="2"/>
          </rPr>
          <t>32</t>
        </r>
        <r>
          <rPr>
            <sz val="9"/>
            <color indexed="81"/>
            <rFont val="宋体"/>
            <family val="3"/>
            <charset val="134"/>
          </rPr>
          <t>行至第</t>
        </r>
        <r>
          <rPr>
            <sz val="9"/>
            <color indexed="81"/>
            <rFont val="Tahoma"/>
            <family val="2"/>
          </rPr>
          <t>33</t>
        </r>
        <r>
          <rPr>
            <sz val="9"/>
            <color indexed="81"/>
            <rFont val="宋体"/>
            <family val="3"/>
            <charset val="134"/>
          </rPr>
          <t>行以外的允许税前扣除的金融企业准备金的纳税调整情况。</t>
        </r>
        <r>
          <rPr>
            <sz val="9"/>
            <color indexed="81"/>
            <rFont val="Tahoma"/>
            <family val="2"/>
          </rPr>
          <t xml:space="preserve">
</t>
        </r>
      </text>
    </comment>
    <comment ref="B39" authorId="1">
      <text>
        <r>
          <rPr>
            <sz val="9"/>
            <color indexed="81"/>
            <rFont val="宋体"/>
            <family val="3"/>
            <charset val="134"/>
          </rPr>
          <t>填报第</t>
        </r>
        <r>
          <rPr>
            <sz val="9"/>
            <color indexed="81"/>
            <rFont val="Tahoma"/>
            <family val="2"/>
          </rPr>
          <t>36+37+38</t>
        </r>
        <r>
          <rPr>
            <sz val="9"/>
            <color indexed="81"/>
            <rFont val="宋体"/>
            <family val="3"/>
            <charset val="134"/>
          </rPr>
          <t>行的合计金额。</t>
        </r>
      </text>
    </comment>
    <comment ref="B40" authorId="1">
      <text>
        <r>
          <rPr>
            <sz val="9"/>
            <color indexed="81"/>
            <rFont val="宋体"/>
            <family val="3"/>
            <charset val="134"/>
          </rPr>
          <t>填报担保赔偿准备的纳税调整情况。</t>
        </r>
        <r>
          <rPr>
            <sz val="9"/>
            <color indexed="81"/>
            <rFont val="Tahoma"/>
            <family val="2"/>
          </rPr>
          <t xml:space="preserve">
</t>
        </r>
      </text>
    </comment>
    <comment ref="B41" authorId="1">
      <text>
        <r>
          <rPr>
            <sz val="9"/>
            <color indexed="81"/>
            <rFont val="宋体"/>
            <family val="3"/>
            <charset val="134"/>
          </rPr>
          <t>填报未到期责任准备的纳税调整情况。</t>
        </r>
        <r>
          <rPr>
            <sz val="9"/>
            <color indexed="81"/>
            <rFont val="Tahoma"/>
            <family val="2"/>
          </rPr>
          <t xml:space="preserve">
</t>
        </r>
      </text>
    </comment>
    <comment ref="B42" authorId="1">
      <text>
        <r>
          <rPr>
            <sz val="9"/>
            <color indexed="81"/>
            <rFont val="宋体"/>
            <family val="3"/>
            <charset val="134"/>
          </rPr>
          <t>填报除第</t>
        </r>
        <r>
          <rPr>
            <sz val="9"/>
            <color indexed="81"/>
            <rFont val="Tahoma"/>
            <family val="2"/>
          </rPr>
          <t>36</t>
        </r>
        <r>
          <rPr>
            <sz val="9"/>
            <color indexed="81"/>
            <rFont val="宋体"/>
            <family val="3"/>
            <charset val="134"/>
          </rPr>
          <t>、</t>
        </r>
        <r>
          <rPr>
            <sz val="9"/>
            <color indexed="81"/>
            <rFont val="Tahoma"/>
            <family val="2"/>
          </rPr>
          <t>37</t>
        </r>
        <r>
          <rPr>
            <sz val="9"/>
            <color indexed="81"/>
            <rFont val="宋体"/>
            <family val="3"/>
            <charset val="134"/>
          </rPr>
          <t>行以外的允许税前扣除的中小企业信用担保机构准备的纳税调整情况。</t>
        </r>
        <r>
          <rPr>
            <sz val="9"/>
            <color indexed="81"/>
            <rFont val="Tahoma"/>
            <family val="2"/>
          </rPr>
          <t xml:space="preserve">
</t>
        </r>
      </text>
    </comment>
    <comment ref="B43" authorId="1">
      <text>
        <r>
          <rPr>
            <sz val="9"/>
            <color indexed="81"/>
            <rFont val="宋体"/>
            <family val="3"/>
            <charset val="134"/>
          </rPr>
          <t>填报第</t>
        </r>
        <r>
          <rPr>
            <sz val="9"/>
            <color indexed="81"/>
            <rFont val="Tahoma"/>
            <family val="2"/>
          </rPr>
          <t>40+41</t>
        </r>
        <r>
          <rPr>
            <sz val="9"/>
            <color indexed="81"/>
            <rFont val="宋体"/>
            <family val="3"/>
            <charset val="134"/>
          </rPr>
          <t>行的合计金额。</t>
        </r>
      </text>
    </comment>
    <comment ref="B44" authorId="1">
      <text>
        <r>
          <rPr>
            <sz val="9"/>
            <color indexed="81"/>
            <rFont val="宋体"/>
            <family val="3"/>
            <charset val="134"/>
          </rPr>
          <t>填报经省级金融管理部门批准成立的小额贷款公司贷款损失准备金的纳税调整情况。</t>
        </r>
        <r>
          <rPr>
            <sz val="9"/>
            <color indexed="81"/>
            <rFont val="Tahoma"/>
            <family val="2"/>
          </rPr>
          <t xml:space="preserve">
</t>
        </r>
      </text>
    </comment>
    <comment ref="B45" authorId="1">
      <text>
        <r>
          <rPr>
            <sz val="9"/>
            <color indexed="81"/>
            <rFont val="宋体"/>
            <family val="3"/>
            <charset val="134"/>
          </rPr>
          <t>填报除第</t>
        </r>
        <r>
          <rPr>
            <sz val="9"/>
            <color indexed="81"/>
            <rFont val="Tahoma"/>
            <family val="2"/>
          </rPr>
          <t>40</t>
        </r>
        <r>
          <rPr>
            <sz val="9"/>
            <color indexed="81"/>
            <rFont val="宋体"/>
            <family val="3"/>
            <charset val="134"/>
          </rPr>
          <t>行以外的允许税前扣除的小额贷款公司贷款损失准备金的纳税调整情况。</t>
        </r>
        <r>
          <rPr>
            <sz val="9"/>
            <color indexed="81"/>
            <rFont val="Tahoma"/>
            <family val="2"/>
          </rPr>
          <t xml:space="preserve">
</t>
        </r>
      </text>
    </comment>
    <comment ref="B46" authorId="1">
      <text>
        <r>
          <rPr>
            <sz val="9"/>
            <color indexed="81"/>
            <rFont val="宋体"/>
            <family val="3"/>
            <charset val="134"/>
          </rPr>
          <t>填报除保险公司、证券行业、期货行业、金融企业、中小企业信用担保机构、小额贷款公司以外的允许税前扣除的特殊行业准备金的纳税调整情况。</t>
        </r>
      </text>
    </comment>
    <comment ref="B47" authorId="1">
      <text>
        <r>
          <rPr>
            <sz val="9"/>
            <color indexed="81"/>
            <rFont val="宋体"/>
            <family val="3"/>
            <charset val="134"/>
          </rPr>
          <t>填报第</t>
        </r>
        <r>
          <rPr>
            <sz val="9"/>
            <color indexed="81"/>
            <rFont val="Tahoma"/>
            <family val="2"/>
          </rPr>
          <t>1+21+26+31+35+39+42</t>
        </r>
        <r>
          <rPr>
            <sz val="9"/>
            <color indexed="81"/>
            <rFont val="宋体"/>
            <family val="3"/>
            <charset val="134"/>
          </rPr>
          <t>行的合计金额。</t>
        </r>
        <r>
          <rPr>
            <sz val="9"/>
            <color indexed="81"/>
            <rFont val="Tahoma"/>
            <family val="2"/>
          </rPr>
          <t xml:space="preserve">
</t>
        </r>
      </text>
    </comment>
    <comment ref="E47" authorId="1">
      <text>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 xml:space="preserve">
</t>
        </r>
      </text>
    </comment>
    <comment ref="F47" authorId="1">
      <text>
        <r>
          <rPr>
            <sz val="9"/>
            <color indexed="81"/>
            <rFont val="宋体"/>
            <family val="3"/>
            <charset val="134"/>
          </rPr>
          <t>第</t>
        </r>
        <r>
          <rPr>
            <sz val="9"/>
            <color indexed="81"/>
            <rFont val="Tahoma"/>
            <family val="2"/>
          </rPr>
          <t>43</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A105000</t>
        </r>
        <r>
          <rPr>
            <sz val="9"/>
            <color indexed="81"/>
            <rFont val="宋体"/>
            <family val="3"/>
            <charset val="134"/>
          </rPr>
          <t>第</t>
        </r>
        <r>
          <rPr>
            <sz val="9"/>
            <color indexed="81"/>
            <rFont val="Tahoma"/>
            <family val="2"/>
          </rPr>
          <t>39</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G47" authorId="0">
      <text>
        <r>
          <rPr>
            <sz val="9"/>
            <color indexed="81"/>
            <rFont val="宋体"/>
            <family val="3"/>
            <charset val="134"/>
          </rPr>
          <t>若第43行第3列≥0，第43行第3列＝表A105000第39行第3列；若第43行第3列＜0，第43行第3列的绝对值＝表A105000第39行第4列。</t>
        </r>
      </text>
    </comment>
  </commentList>
</comments>
</file>

<file path=xl/comments33.xml><?xml version="1.0" encoding="utf-8"?>
<comments xmlns="http://schemas.openxmlformats.org/spreadsheetml/2006/main">
  <authors>
    <author>Cindy Wang</author>
    <author>Zhang, Dorothy</author>
  </authors>
  <commentList>
    <comment ref="A2" authorId="0">
      <text>
        <r>
          <rPr>
            <sz val="9"/>
            <color indexed="81"/>
            <rFont val="宋体"/>
            <family val="3"/>
            <charset val="134"/>
          </rPr>
          <t>本表填报纳税人根据税法，在本纳税年度及本纳税年度前5个可弥补亏损年度的可弥补亏损所得、合并、分立转入（转出）可弥补的亏损额、当年可弥补的亏损额、以前年度亏损已弥补额、本年度实际弥补的以前年度亏损额、可结转以后年度弥补的亏损额。</t>
        </r>
      </text>
    </comment>
    <comment ref="C3" authorId="0">
      <text>
        <r>
          <rPr>
            <sz val="9"/>
            <color indexed="81"/>
            <rFont val="宋体"/>
            <family val="3"/>
            <charset val="134"/>
          </rPr>
          <t>填报公历年度。纳税人应首先填报第6行本年度，再依次从第5行往第1行倒推填报以前年度。纳税人发生政策性搬迁事项，如停止生产经营活动年度可以从法定亏损结转弥补年限中减除，则按可弥补亏损年度进行填报。</t>
        </r>
      </text>
    </comment>
    <comment ref="D3" authorId="1">
      <text>
        <r>
          <rPr>
            <sz val="9"/>
            <color indexed="81"/>
            <rFont val="Tahoma"/>
            <family val="2"/>
          </rPr>
          <t>1</t>
        </r>
        <r>
          <rPr>
            <sz val="9"/>
            <color indexed="81"/>
            <rFont val="宋体"/>
            <family val="3"/>
            <charset val="134"/>
          </rPr>
          <t>、第</t>
        </r>
        <r>
          <rPr>
            <sz val="9"/>
            <color indexed="81"/>
            <rFont val="Tahoma"/>
            <family val="2"/>
          </rPr>
          <t>6</t>
        </r>
        <r>
          <rPr>
            <sz val="9"/>
            <color indexed="81"/>
            <rFont val="宋体"/>
            <family val="3"/>
            <charset val="134"/>
          </rPr>
          <t>行填报表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t>
        </r>
        <r>
          <rPr>
            <sz val="9"/>
            <color indexed="81"/>
            <rFont val="Tahoma"/>
            <family val="2"/>
          </rPr>
          <t>“</t>
        </r>
        <r>
          <rPr>
            <sz val="9"/>
            <color indexed="81"/>
            <rFont val="宋体"/>
            <family val="3"/>
            <charset val="134"/>
          </rPr>
          <t>纳税调整后所得</t>
        </r>
        <r>
          <rPr>
            <sz val="9"/>
            <color indexed="81"/>
            <rFont val="Tahoma"/>
            <family val="2"/>
          </rPr>
          <t>”</t>
        </r>
        <r>
          <rPr>
            <sz val="9"/>
            <color indexed="81"/>
            <rFont val="宋体"/>
            <family val="3"/>
            <charset val="134"/>
          </rPr>
          <t>减去第</t>
        </r>
        <r>
          <rPr>
            <sz val="9"/>
            <color indexed="81"/>
            <rFont val="Tahoma"/>
            <family val="2"/>
          </rPr>
          <t>20</t>
        </r>
        <r>
          <rPr>
            <sz val="9"/>
            <color indexed="81"/>
            <rFont val="宋体"/>
            <family val="3"/>
            <charset val="134"/>
          </rPr>
          <t>行</t>
        </r>
        <r>
          <rPr>
            <sz val="9"/>
            <color indexed="81"/>
            <rFont val="Tahoma"/>
            <family val="2"/>
          </rPr>
          <t>“</t>
        </r>
        <r>
          <rPr>
            <sz val="9"/>
            <color indexed="81"/>
            <rFont val="宋体"/>
            <family val="3"/>
            <charset val="134"/>
          </rPr>
          <t>所得减免</t>
        </r>
        <r>
          <rPr>
            <sz val="9"/>
            <color indexed="81"/>
            <rFont val="Tahoma"/>
            <family val="2"/>
          </rPr>
          <t>”</t>
        </r>
        <r>
          <rPr>
            <sz val="9"/>
            <color indexed="81"/>
            <rFont val="宋体"/>
            <family val="3"/>
            <charset val="134"/>
          </rPr>
          <t xml:space="preserve">后的值。
</t>
        </r>
        <r>
          <rPr>
            <sz val="9"/>
            <color indexed="81"/>
            <rFont val="Tahoma"/>
            <family val="2"/>
          </rPr>
          <t>2</t>
        </r>
        <r>
          <rPr>
            <sz val="9"/>
            <color indexed="81"/>
            <rFont val="宋体"/>
            <family val="3"/>
            <charset val="134"/>
          </rPr>
          <t>、第</t>
        </r>
        <r>
          <rPr>
            <sz val="9"/>
            <color indexed="81"/>
            <rFont val="Tahoma"/>
            <family val="2"/>
          </rPr>
          <t>1</t>
        </r>
        <r>
          <rPr>
            <sz val="9"/>
            <color indexed="81"/>
            <rFont val="宋体"/>
            <family val="3"/>
            <charset val="134"/>
          </rPr>
          <t>行至第</t>
        </r>
        <r>
          <rPr>
            <sz val="9"/>
            <color indexed="81"/>
            <rFont val="Tahoma"/>
            <family val="2"/>
          </rPr>
          <t>5</t>
        </r>
        <r>
          <rPr>
            <sz val="9"/>
            <color indexed="81"/>
            <rFont val="宋体"/>
            <family val="3"/>
            <charset val="134"/>
          </rPr>
          <t>行填报以前年度主表第</t>
        </r>
        <r>
          <rPr>
            <sz val="9"/>
            <color indexed="81"/>
            <rFont val="Tahoma"/>
            <family val="2"/>
          </rPr>
          <t>23</t>
        </r>
        <r>
          <rPr>
            <sz val="9"/>
            <color indexed="81"/>
            <rFont val="宋体"/>
            <family val="3"/>
            <charset val="134"/>
          </rPr>
          <t>行（</t>
        </r>
        <r>
          <rPr>
            <sz val="9"/>
            <color indexed="81"/>
            <rFont val="Tahoma"/>
            <family val="2"/>
          </rPr>
          <t>2013</t>
        </r>
        <r>
          <rPr>
            <sz val="9"/>
            <color indexed="81"/>
            <rFont val="宋体"/>
            <family val="3"/>
            <charset val="134"/>
          </rPr>
          <t>纳税年度前）或以前年度表</t>
        </r>
        <r>
          <rPr>
            <sz val="9"/>
            <color indexed="81"/>
            <rFont val="Tahoma"/>
            <family val="2"/>
          </rPr>
          <t>A106000</t>
        </r>
        <r>
          <rPr>
            <sz val="9"/>
            <color indexed="81"/>
            <rFont val="宋体"/>
            <family val="3"/>
            <charset val="134"/>
          </rPr>
          <t>第</t>
        </r>
        <r>
          <rPr>
            <sz val="9"/>
            <color indexed="81"/>
            <rFont val="Tahoma"/>
            <family val="2"/>
          </rPr>
          <t>2</t>
        </r>
        <r>
          <rPr>
            <sz val="9"/>
            <color indexed="81"/>
            <rFont val="宋体"/>
            <family val="3"/>
            <charset val="134"/>
          </rPr>
          <t>列第</t>
        </r>
        <r>
          <rPr>
            <sz val="9"/>
            <color indexed="81"/>
            <rFont val="Tahoma"/>
            <family val="2"/>
          </rPr>
          <t>6</t>
        </r>
        <r>
          <rPr>
            <sz val="9"/>
            <color indexed="81"/>
            <rFont val="宋体"/>
            <family val="3"/>
            <charset val="134"/>
          </rPr>
          <t>行的金额（亏损额以“</t>
        </r>
        <r>
          <rPr>
            <sz val="9"/>
            <color indexed="81"/>
            <rFont val="Tahoma"/>
            <family val="2"/>
          </rPr>
          <t>-</t>
        </r>
        <r>
          <rPr>
            <sz val="9"/>
            <color indexed="81"/>
            <rFont val="宋体"/>
            <family val="3"/>
            <charset val="134"/>
          </rPr>
          <t xml:space="preserve">”号表示）。发生查补以前年度应纳税所得额、追补以前年度未能税前扣除的实际资产损失等情况的，该行需按修改后的“纳税调整后所得”金额进行填报。
</t>
        </r>
        <r>
          <rPr>
            <sz val="9"/>
            <color indexed="81"/>
            <rFont val="Tahoma"/>
            <family val="2"/>
          </rPr>
          <t>3</t>
        </r>
        <r>
          <rPr>
            <sz val="9"/>
            <color indexed="81"/>
            <rFont val="宋体"/>
            <family val="3"/>
            <charset val="134"/>
          </rPr>
          <t>、</t>
        </r>
        <r>
          <rPr>
            <sz val="9"/>
            <color indexed="81"/>
            <rFont val="宋体"/>
            <family val="3"/>
            <charset val="134"/>
          </rPr>
          <t>若第</t>
        </r>
        <r>
          <rPr>
            <sz val="9"/>
            <color indexed="81"/>
            <rFont val="Tahoma"/>
            <family val="2"/>
          </rPr>
          <t>3</t>
        </r>
        <r>
          <rPr>
            <sz val="9"/>
            <color indexed="81"/>
            <rFont val="宋体"/>
            <family val="3"/>
            <charset val="134"/>
          </rPr>
          <t>列＞</t>
        </r>
        <r>
          <rPr>
            <sz val="9"/>
            <color indexed="81"/>
            <rFont val="Tahoma"/>
            <family val="2"/>
          </rPr>
          <t>0</t>
        </r>
        <r>
          <rPr>
            <sz val="9"/>
            <color indexed="81"/>
            <rFont val="宋体"/>
            <family val="3"/>
            <charset val="134"/>
          </rPr>
          <t>且第</t>
        </r>
        <r>
          <rPr>
            <sz val="9"/>
            <color indexed="81"/>
            <rFont val="Tahoma"/>
            <family val="2"/>
          </rPr>
          <t>2</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3</t>
        </r>
        <r>
          <rPr>
            <sz val="9"/>
            <color indexed="81"/>
            <rFont val="宋体"/>
            <family val="3"/>
            <charset val="134"/>
          </rPr>
          <t>列＜第</t>
        </r>
        <r>
          <rPr>
            <sz val="9"/>
            <color indexed="81"/>
            <rFont val="Tahoma"/>
            <family val="2"/>
          </rPr>
          <t>2</t>
        </r>
        <r>
          <rPr>
            <sz val="9"/>
            <color indexed="81"/>
            <rFont val="宋体"/>
            <family val="3"/>
            <charset val="134"/>
          </rPr>
          <t>列的绝对值。</t>
        </r>
      </text>
    </comment>
    <comment ref="E3" authorId="0">
      <text>
        <r>
          <rPr>
            <sz val="9"/>
            <color indexed="81"/>
            <rFont val="宋体"/>
            <family val="3"/>
            <charset val="134"/>
          </rPr>
          <t>1、填报按照企业重组特殊性税务处理规定因企业被合并、分立而允许转入可弥补亏损额，以及因企业分立转出的可弥补亏损额（转入亏损以“-”号表示，转出亏损以正数表示）。合并、分立转入（转出）可弥补亏损额按亏损所属年度填报。
2、若第3列＞0且第2列＜0，第3列＜第2列的绝对值。</t>
        </r>
      </text>
    </comment>
    <comment ref="F3" authorId="0">
      <text>
        <r>
          <rPr>
            <sz val="9"/>
            <color indexed="81"/>
            <rFont val="宋体"/>
            <family val="3"/>
            <charset val="134"/>
          </rPr>
          <t>当第2列小于零时，本项等于第2+3列；否则，本项等于第3列（亏损以“-”号表示）。</t>
        </r>
      </text>
    </comment>
    <comment ref="G3" authorId="0">
      <text>
        <r>
          <rPr>
            <sz val="9"/>
            <color indexed="81"/>
            <rFont val="宋体"/>
            <family val="3"/>
            <charset val="134"/>
          </rPr>
          <t>填报以前年度盈利已弥补金额，其中：前四年度、前三年度、前二年度、前一年度与“项目”列中的前四年度、前三年度、前二年度、前一年度相对应。</t>
        </r>
      </text>
    </comment>
    <comment ref="L3" authorId="1">
      <text>
        <r>
          <rPr>
            <sz val="9"/>
            <color indexed="81"/>
            <rFont val="Tahoma"/>
            <family val="2"/>
          </rPr>
          <t>1</t>
        </r>
        <r>
          <rPr>
            <sz val="9"/>
            <color indexed="81"/>
            <rFont val="宋体"/>
            <family val="3"/>
            <charset val="134"/>
          </rPr>
          <t>、第</t>
        </r>
        <r>
          <rPr>
            <sz val="9"/>
            <color indexed="81"/>
            <rFont val="Tahoma"/>
            <family val="2"/>
          </rPr>
          <t>1</t>
        </r>
        <r>
          <rPr>
            <sz val="9"/>
            <color indexed="81"/>
            <rFont val="宋体"/>
            <family val="3"/>
            <charset val="134"/>
          </rPr>
          <t>行至第</t>
        </r>
        <r>
          <rPr>
            <sz val="9"/>
            <color indexed="81"/>
            <rFont val="Tahoma"/>
            <family val="2"/>
          </rPr>
          <t>5</t>
        </r>
        <r>
          <rPr>
            <sz val="9"/>
            <color indexed="81"/>
            <rFont val="宋体"/>
            <family val="3"/>
            <charset val="134"/>
          </rPr>
          <t>行：填报本年度盈利时，用第</t>
        </r>
        <r>
          <rPr>
            <sz val="9"/>
            <color indexed="81"/>
            <rFont val="Tahoma"/>
            <family val="2"/>
          </rPr>
          <t>6</t>
        </r>
        <r>
          <rPr>
            <sz val="9"/>
            <color indexed="81"/>
            <rFont val="宋体"/>
            <family val="3"/>
            <charset val="134"/>
          </rPr>
          <t>行第</t>
        </r>
        <r>
          <rPr>
            <sz val="9"/>
            <color indexed="81"/>
            <rFont val="Tahoma"/>
            <family val="2"/>
          </rPr>
          <t>2</t>
        </r>
        <r>
          <rPr>
            <sz val="9"/>
            <color indexed="81"/>
            <rFont val="宋体"/>
            <family val="3"/>
            <charset val="134"/>
          </rPr>
          <t>列本年度</t>
        </r>
        <r>
          <rPr>
            <sz val="9"/>
            <color indexed="81"/>
            <rFont val="Tahoma"/>
            <family val="2"/>
          </rPr>
          <t>“</t>
        </r>
        <r>
          <rPr>
            <sz val="9"/>
            <color indexed="81"/>
            <rFont val="宋体"/>
            <family val="3"/>
            <charset val="134"/>
          </rPr>
          <t>可弥补亏损所得</t>
        </r>
        <r>
          <rPr>
            <sz val="9"/>
            <color indexed="81"/>
            <rFont val="Tahoma"/>
            <family val="2"/>
          </rPr>
          <t>”</t>
        </r>
        <r>
          <rPr>
            <sz val="9"/>
            <color indexed="81"/>
            <rFont val="宋体"/>
            <family val="3"/>
            <charset val="134"/>
          </rPr>
          <t>依次弥补前</t>
        </r>
        <r>
          <rPr>
            <sz val="9"/>
            <color indexed="81"/>
            <rFont val="Tahoma"/>
            <family val="2"/>
          </rPr>
          <t>5</t>
        </r>
        <r>
          <rPr>
            <sz val="9"/>
            <color indexed="81"/>
            <rFont val="宋体"/>
            <family val="3"/>
            <charset val="134"/>
          </rPr>
          <t xml:space="preserve">个年度尚未弥补完的亏损额。
</t>
        </r>
        <r>
          <rPr>
            <sz val="9"/>
            <color indexed="81"/>
            <rFont val="Tahoma"/>
            <family val="2"/>
          </rPr>
          <t>2</t>
        </r>
        <r>
          <rPr>
            <sz val="9"/>
            <color indexed="81"/>
            <rFont val="宋体"/>
            <family val="3"/>
            <charset val="134"/>
          </rPr>
          <t>、第</t>
        </r>
        <r>
          <rPr>
            <sz val="9"/>
            <color indexed="81"/>
            <rFont val="Tahoma"/>
            <family val="2"/>
          </rPr>
          <t>6</t>
        </r>
        <r>
          <rPr>
            <sz val="9"/>
            <color indexed="81"/>
            <rFont val="宋体"/>
            <family val="3"/>
            <charset val="134"/>
          </rPr>
          <t>行：金额等于第</t>
        </r>
        <r>
          <rPr>
            <sz val="9"/>
            <color indexed="81"/>
            <rFont val="Tahoma"/>
            <family val="2"/>
          </rPr>
          <t>10</t>
        </r>
        <r>
          <rPr>
            <sz val="9"/>
            <color indexed="81"/>
            <rFont val="宋体"/>
            <family val="3"/>
            <charset val="134"/>
          </rPr>
          <t>列第</t>
        </r>
        <r>
          <rPr>
            <sz val="9"/>
            <color indexed="81"/>
            <rFont val="Tahoma"/>
            <family val="2"/>
          </rPr>
          <t>1</t>
        </r>
        <r>
          <rPr>
            <sz val="9"/>
            <color indexed="81"/>
            <rFont val="宋体"/>
            <family val="3"/>
            <charset val="134"/>
          </rPr>
          <t>行至第</t>
        </r>
        <r>
          <rPr>
            <sz val="9"/>
            <color indexed="81"/>
            <rFont val="Tahoma"/>
            <family val="2"/>
          </rPr>
          <t>5</t>
        </r>
        <r>
          <rPr>
            <sz val="9"/>
            <color indexed="81"/>
            <rFont val="宋体"/>
            <family val="3"/>
            <charset val="134"/>
          </rPr>
          <t>行的合计金额，该数据填入本年度表</t>
        </r>
        <r>
          <rPr>
            <sz val="9"/>
            <color indexed="81"/>
            <rFont val="Tahoma"/>
            <family val="2"/>
          </rPr>
          <t>A100000</t>
        </r>
        <r>
          <rPr>
            <sz val="9"/>
            <color indexed="81"/>
            <rFont val="宋体"/>
            <family val="3"/>
            <charset val="134"/>
          </rPr>
          <t>第</t>
        </r>
        <r>
          <rPr>
            <sz val="9"/>
            <color indexed="81"/>
            <rFont val="Tahoma"/>
            <family val="2"/>
          </rPr>
          <t>21</t>
        </r>
        <r>
          <rPr>
            <sz val="9"/>
            <color indexed="81"/>
            <rFont val="宋体"/>
            <family val="3"/>
            <charset val="134"/>
          </rPr>
          <t>行。</t>
        </r>
      </text>
    </comment>
    <comment ref="M3" authorId="1">
      <text>
        <r>
          <rPr>
            <sz val="9"/>
            <color indexed="81"/>
            <rFont val="Tahoma"/>
            <family val="2"/>
          </rPr>
          <t>1</t>
        </r>
        <r>
          <rPr>
            <sz val="9"/>
            <color indexed="81"/>
            <rFont val="宋体"/>
            <family val="3"/>
            <charset val="134"/>
          </rPr>
          <t>、第</t>
        </r>
        <r>
          <rPr>
            <sz val="9"/>
            <color indexed="81"/>
            <rFont val="Tahoma"/>
            <family val="2"/>
          </rPr>
          <t>2</t>
        </r>
        <r>
          <rPr>
            <sz val="9"/>
            <color indexed="81"/>
            <rFont val="宋体"/>
            <family val="3"/>
            <charset val="134"/>
          </rPr>
          <t>行至第</t>
        </r>
        <r>
          <rPr>
            <sz val="9"/>
            <color indexed="81"/>
            <rFont val="Tahoma"/>
            <family val="2"/>
          </rPr>
          <t>6</t>
        </r>
        <r>
          <rPr>
            <sz val="9"/>
            <color indexed="81"/>
            <rFont val="宋体"/>
            <family val="3"/>
            <charset val="134"/>
          </rPr>
          <t>行：填报本年度前</t>
        </r>
        <r>
          <rPr>
            <sz val="9"/>
            <color indexed="81"/>
            <rFont val="Tahoma"/>
            <family val="2"/>
          </rPr>
          <t>4</t>
        </r>
        <r>
          <rPr>
            <sz val="9"/>
            <color indexed="81"/>
            <rFont val="宋体"/>
            <family val="3"/>
            <charset val="134"/>
          </rPr>
          <t>个年度尚未弥补完的亏损额，以及本年度的亏损额。若纳税人有境外所得且选择用境外所得弥补以前年度境内亏损，填报用境外所得弥补本年度前</t>
        </r>
        <r>
          <rPr>
            <sz val="9"/>
            <color indexed="81"/>
            <rFont val="Tahoma"/>
            <family val="2"/>
          </rPr>
          <t>4</t>
        </r>
        <r>
          <rPr>
            <sz val="9"/>
            <color indexed="81"/>
            <rFont val="宋体"/>
            <family val="3"/>
            <charset val="134"/>
          </rPr>
          <t xml:space="preserve">个年度境内亏损后尚未弥补完的亏损额。
</t>
        </r>
        <r>
          <rPr>
            <sz val="9"/>
            <color indexed="81"/>
            <rFont val="Tahoma"/>
            <family val="2"/>
          </rPr>
          <t>2</t>
        </r>
        <r>
          <rPr>
            <sz val="9"/>
            <color indexed="81"/>
            <rFont val="宋体"/>
            <family val="3"/>
            <charset val="134"/>
          </rPr>
          <t>、第</t>
        </r>
        <r>
          <rPr>
            <sz val="9"/>
            <color indexed="81"/>
            <rFont val="Tahoma"/>
            <family val="2"/>
          </rPr>
          <t>7</t>
        </r>
        <r>
          <rPr>
            <sz val="9"/>
            <color indexed="81"/>
            <rFont val="宋体"/>
            <family val="3"/>
            <charset val="134"/>
          </rPr>
          <t>行：填报第</t>
        </r>
        <r>
          <rPr>
            <sz val="9"/>
            <color indexed="81"/>
            <rFont val="Tahoma"/>
            <family val="2"/>
          </rPr>
          <t>11</t>
        </r>
        <r>
          <rPr>
            <sz val="9"/>
            <color indexed="81"/>
            <rFont val="宋体"/>
            <family val="3"/>
            <charset val="134"/>
          </rPr>
          <t>列第</t>
        </r>
        <r>
          <rPr>
            <sz val="9"/>
            <color indexed="81"/>
            <rFont val="Tahoma"/>
            <family val="2"/>
          </rPr>
          <t>2</t>
        </r>
        <r>
          <rPr>
            <sz val="9"/>
            <color indexed="81"/>
            <rFont val="宋体"/>
            <family val="3"/>
            <charset val="134"/>
          </rPr>
          <t>行至第</t>
        </r>
        <r>
          <rPr>
            <sz val="9"/>
            <color indexed="81"/>
            <rFont val="Tahoma"/>
            <family val="2"/>
          </rPr>
          <t>6</t>
        </r>
        <r>
          <rPr>
            <sz val="9"/>
            <color indexed="81"/>
            <rFont val="宋体"/>
            <family val="3"/>
            <charset val="134"/>
          </rPr>
          <t xml:space="preserve">行的合计金额。
</t>
        </r>
        <r>
          <rPr>
            <sz val="9"/>
            <color indexed="81"/>
            <rFont val="Tahoma"/>
            <family val="2"/>
          </rPr>
          <t xml:space="preserve">
</t>
        </r>
      </text>
    </comment>
    <comment ref="D13" authorId="1">
      <text>
        <r>
          <rPr>
            <sz val="9"/>
            <color indexed="81"/>
            <rFont val="宋体"/>
            <family val="3"/>
            <charset val="134"/>
          </rPr>
          <t>第</t>
        </r>
        <r>
          <rPr>
            <sz val="9"/>
            <color indexed="81"/>
            <rFont val="Tahoma"/>
            <family val="2"/>
          </rPr>
          <t>6</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19-20</t>
        </r>
        <r>
          <rPr>
            <sz val="9"/>
            <color indexed="81"/>
            <rFont val="宋体"/>
            <family val="3"/>
            <charset val="134"/>
          </rPr>
          <t>行。</t>
        </r>
        <r>
          <rPr>
            <sz val="9"/>
            <color indexed="81"/>
            <rFont val="Tahoma"/>
            <family val="2"/>
          </rPr>
          <t xml:space="preserve">
</t>
        </r>
      </text>
    </comment>
    <comment ref="L13" authorId="1">
      <text>
        <r>
          <rPr>
            <sz val="9"/>
            <color indexed="81"/>
            <rFont val="宋体"/>
            <family val="3"/>
            <charset val="134"/>
          </rPr>
          <t>第</t>
        </r>
        <r>
          <rPr>
            <sz val="9"/>
            <color indexed="81"/>
            <rFont val="Tahoma"/>
            <family val="2"/>
          </rPr>
          <t>6</t>
        </r>
        <r>
          <rPr>
            <sz val="9"/>
            <color indexed="81"/>
            <rFont val="宋体"/>
            <family val="3"/>
            <charset val="134"/>
          </rPr>
          <t>行第</t>
        </r>
        <r>
          <rPr>
            <sz val="9"/>
            <color indexed="81"/>
            <rFont val="Tahoma"/>
            <family val="2"/>
          </rPr>
          <t>10</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21</t>
        </r>
        <r>
          <rPr>
            <sz val="9"/>
            <color indexed="81"/>
            <rFont val="宋体"/>
            <family val="3"/>
            <charset val="134"/>
          </rPr>
          <t>行。</t>
        </r>
        <r>
          <rPr>
            <sz val="9"/>
            <color indexed="81"/>
            <rFont val="Tahoma"/>
            <family val="2"/>
          </rPr>
          <t xml:space="preserve"> 
</t>
        </r>
      </text>
    </comment>
  </commentList>
</comments>
</file>

<file path=xl/comments34.xml><?xml version="1.0" encoding="utf-8"?>
<comments xmlns="http://schemas.openxmlformats.org/spreadsheetml/2006/main">
  <authors>
    <author>Zhang, Dorothy</author>
  </authors>
  <commentList>
    <comment ref="A2" authorId="0">
      <text>
        <r>
          <rPr>
            <sz val="9"/>
            <color indexed="81"/>
            <rFont val="宋体"/>
            <family val="3"/>
            <charset val="134"/>
          </rPr>
          <t>本表适用于享受免税收入、减计收入和加计扣除优惠的纳税人填报。纳税人根据税法及相关税收政策规定，填报本年发生的免税收入、减计收入和加计扣除优惠情况。</t>
        </r>
        <r>
          <rPr>
            <sz val="9"/>
            <color indexed="81"/>
            <rFont val="Tahoma"/>
            <family val="2"/>
          </rPr>
          <t xml:space="preserve">
</t>
        </r>
      </text>
    </comment>
    <comment ref="B4" authorId="0">
      <text>
        <r>
          <rPr>
            <sz val="9"/>
            <color indexed="81"/>
            <rFont val="宋体"/>
            <family val="3"/>
            <charset val="134"/>
          </rPr>
          <t>填报第</t>
        </r>
        <r>
          <rPr>
            <sz val="9"/>
            <color indexed="81"/>
            <rFont val="Tahoma"/>
            <family val="2"/>
          </rPr>
          <t>2+3+6+7…+16</t>
        </r>
        <r>
          <rPr>
            <sz val="9"/>
            <color indexed="81"/>
            <rFont val="宋体"/>
            <family val="3"/>
            <charset val="134"/>
          </rPr>
          <t>行的合计金额。</t>
        </r>
        <r>
          <rPr>
            <sz val="9"/>
            <color indexed="81"/>
            <rFont val="Tahoma"/>
            <family val="2"/>
          </rPr>
          <t xml:space="preserve">
</t>
        </r>
      </text>
    </comment>
    <comment ref="B5" authorId="0">
      <text>
        <r>
          <rPr>
            <sz val="9"/>
            <color indexed="81"/>
            <rFont val="宋体"/>
            <family val="3"/>
            <charset val="134"/>
          </rPr>
          <t>填报纳税人根据《国家税务总局关于企业国债投资业务企业所得税处理问题的公告》（国家税务总局公告</t>
        </r>
        <r>
          <rPr>
            <sz val="9"/>
            <color indexed="81"/>
            <rFont val="Tahoma"/>
            <family val="2"/>
          </rPr>
          <t>2011</t>
        </r>
        <r>
          <rPr>
            <sz val="9"/>
            <color indexed="81"/>
            <rFont val="宋体"/>
            <family val="3"/>
            <charset val="134"/>
          </rPr>
          <t>年第</t>
        </r>
        <r>
          <rPr>
            <sz val="9"/>
            <color indexed="81"/>
            <rFont val="Tahoma"/>
            <family val="2"/>
          </rPr>
          <t>36</t>
        </r>
        <r>
          <rPr>
            <sz val="9"/>
            <color indexed="81"/>
            <rFont val="宋体"/>
            <family val="3"/>
            <charset val="134"/>
          </rPr>
          <t>号）等相关税收政策规定的，持有国务院财政部门发行的国债取得的利息收入。</t>
        </r>
        <r>
          <rPr>
            <sz val="9"/>
            <color indexed="81"/>
            <rFont val="Tahoma"/>
            <family val="2"/>
          </rPr>
          <t xml:space="preserve">
</t>
        </r>
      </text>
    </comment>
    <comment ref="B6" authorId="0">
      <text>
        <r>
          <rPr>
            <sz val="9"/>
            <color indexed="81"/>
            <rFont val="宋体"/>
            <family val="3"/>
            <charset val="134"/>
          </rPr>
          <t>填报《符合条件的居民企业之间的股息、红利等权益性投资收益明细表》（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列金额。</t>
        </r>
        <r>
          <rPr>
            <sz val="9"/>
            <color indexed="81"/>
            <rFont val="Tahoma"/>
            <family val="2"/>
          </rPr>
          <t xml:space="preserve">
</t>
        </r>
      </text>
    </comment>
    <comment ref="C6" authorId="0">
      <text>
        <r>
          <rPr>
            <sz val="9"/>
            <color indexed="81"/>
            <rFont val="宋体"/>
            <family val="3"/>
            <charset val="134"/>
          </rPr>
          <t>第</t>
        </r>
        <r>
          <rPr>
            <sz val="9"/>
            <color indexed="81"/>
            <rFont val="Tahoma"/>
            <family val="2"/>
          </rPr>
          <t>3</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7"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证监会关于沪港股票市场交易互联互通机制试点有关税收政策的通知》（财税〔</t>
        </r>
        <r>
          <rPr>
            <sz val="9"/>
            <color indexed="81"/>
            <rFont val="Tahoma"/>
            <family val="2"/>
          </rPr>
          <t>2014</t>
        </r>
        <r>
          <rPr>
            <sz val="9"/>
            <color indexed="81"/>
            <rFont val="宋体"/>
            <family val="3"/>
            <charset val="134"/>
          </rPr>
          <t>〕</t>
        </r>
        <r>
          <rPr>
            <sz val="9"/>
            <color indexed="81"/>
            <rFont val="Tahoma"/>
            <family val="2"/>
          </rPr>
          <t>81</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7" authorId="0">
      <text>
        <r>
          <rPr>
            <sz val="9"/>
            <color indexed="81"/>
            <rFont val="宋体"/>
            <family val="3"/>
            <charset val="134"/>
          </rPr>
          <t>第</t>
        </r>
        <r>
          <rPr>
            <sz val="9"/>
            <color indexed="81"/>
            <rFont val="Tahoma"/>
            <family val="2"/>
          </rPr>
          <t>4</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8"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证监会关于深港股票市场交易互联互通机制试点有关税收政策的通知》（财税〔</t>
        </r>
        <r>
          <rPr>
            <sz val="9"/>
            <color indexed="81"/>
            <rFont val="Tahoma"/>
            <family val="2"/>
          </rPr>
          <t>2016</t>
        </r>
        <r>
          <rPr>
            <sz val="9"/>
            <color indexed="81"/>
            <rFont val="宋体"/>
            <family val="3"/>
            <charset val="134"/>
          </rPr>
          <t>〕</t>
        </r>
        <r>
          <rPr>
            <sz val="9"/>
            <color indexed="81"/>
            <rFont val="Tahoma"/>
            <family val="2"/>
          </rPr>
          <t>127</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8" authorId="0">
      <text>
        <r>
          <rPr>
            <sz val="9"/>
            <color indexed="81"/>
            <rFont val="宋体"/>
            <family val="3"/>
            <charset val="134"/>
          </rPr>
          <t>第</t>
        </r>
        <r>
          <rPr>
            <sz val="9"/>
            <color indexed="81"/>
            <rFont val="Tahoma"/>
            <family val="2"/>
          </rPr>
          <t>5</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9"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号）等相关税收政策规定的，同时符合条件并依法履行登记手续的非营利组织</t>
        </r>
        <r>
          <rPr>
            <sz val="9"/>
            <color indexed="81"/>
            <rFont val="Tahoma"/>
            <family val="2"/>
          </rPr>
          <t>,</t>
        </r>
        <r>
          <rPr>
            <sz val="9"/>
            <color indexed="81"/>
            <rFont val="宋体"/>
            <family val="3"/>
            <charset val="134"/>
          </rPr>
          <t>取得的捐赠收入等免税收入，不包括从事营利性活动所取得的收入。</t>
        </r>
        <r>
          <rPr>
            <sz val="9"/>
            <color indexed="81"/>
            <rFont val="Tahoma"/>
            <family val="2"/>
          </rPr>
          <t xml:space="preserve">
</t>
        </r>
      </text>
    </comment>
    <comment ref="B10"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国家税务总局关于科技企业孵化器税收政策的通知》（财税〔</t>
        </r>
        <r>
          <rPr>
            <sz val="9"/>
            <color indexed="81"/>
            <rFont val="Tahoma"/>
            <family val="2"/>
          </rPr>
          <t>2016</t>
        </r>
        <r>
          <rPr>
            <sz val="9"/>
            <color indexed="81"/>
            <rFont val="宋体"/>
            <family val="3"/>
            <charset val="134"/>
          </rPr>
          <t>〕</t>
        </r>
        <r>
          <rPr>
            <sz val="9"/>
            <color indexed="81"/>
            <rFont val="Tahoma"/>
            <family val="2"/>
          </rPr>
          <t>89</t>
        </r>
        <r>
          <rPr>
            <sz val="9"/>
            <color indexed="81"/>
            <rFont val="宋体"/>
            <family val="3"/>
            <charset val="134"/>
          </rPr>
          <t>号）等相关税收政策规定的，符合非营利组织条件的科技企业孵化器的收入。</t>
        </r>
        <r>
          <rPr>
            <sz val="9"/>
            <color indexed="81"/>
            <rFont val="Tahoma"/>
            <family val="2"/>
          </rPr>
          <t xml:space="preserve">
</t>
        </r>
      </text>
    </comment>
    <comment ref="B11"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国家税务总局关于国家大学科技园税收政策的通知》（财税〔</t>
        </r>
        <r>
          <rPr>
            <sz val="9"/>
            <color indexed="81"/>
            <rFont val="Tahoma"/>
            <family val="2"/>
          </rPr>
          <t>2016</t>
        </r>
        <r>
          <rPr>
            <sz val="9"/>
            <color indexed="81"/>
            <rFont val="宋体"/>
            <family val="3"/>
            <charset val="134"/>
          </rPr>
          <t>〕</t>
        </r>
        <r>
          <rPr>
            <sz val="9"/>
            <color indexed="81"/>
            <rFont val="Tahoma"/>
            <family val="2"/>
          </rPr>
          <t>98</t>
        </r>
        <r>
          <rPr>
            <sz val="9"/>
            <color indexed="81"/>
            <rFont val="宋体"/>
            <family val="3"/>
            <charset val="134"/>
          </rPr>
          <t>号）等相关税收政策规定的，符合非营利组织条件的科技园的收入。</t>
        </r>
        <r>
          <rPr>
            <sz val="9"/>
            <color indexed="81"/>
            <rFont val="Tahoma"/>
            <family val="2"/>
          </rPr>
          <t xml:space="preserve">
</t>
        </r>
      </text>
    </comment>
    <comment ref="B1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国家税务总局关于中国清洁发展机制基金及清洁发展机制项目实施企业有关企业所得税政策问题的通知》（财税〔</t>
        </r>
        <r>
          <rPr>
            <sz val="9"/>
            <color indexed="81"/>
            <rFont val="Tahoma"/>
            <family val="2"/>
          </rPr>
          <t>2009</t>
        </r>
        <r>
          <rPr>
            <sz val="9"/>
            <color indexed="81"/>
            <rFont val="宋体"/>
            <family val="3"/>
            <charset val="134"/>
          </rPr>
          <t>〕</t>
        </r>
        <r>
          <rPr>
            <sz val="9"/>
            <color indexed="81"/>
            <rFont val="Tahoma"/>
            <family val="2"/>
          </rPr>
          <t>30</t>
        </r>
        <r>
          <rPr>
            <sz val="9"/>
            <color indexed="81"/>
            <rFont val="宋体"/>
            <family val="3"/>
            <charset val="134"/>
          </rPr>
          <t>号）等相关税收政策规定的，中国清洁发展机制基金取得的</t>
        </r>
        <r>
          <rPr>
            <sz val="9"/>
            <color indexed="81"/>
            <rFont val="Tahoma"/>
            <family val="2"/>
          </rPr>
          <t>CDM</t>
        </r>
        <r>
          <rPr>
            <sz val="9"/>
            <color indexed="81"/>
            <rFont val="宋体"/>
            <family val="3"/>
            <charset val="134"/>
          </rPr>
          <t>项目温室气体减排量转让收入上缴国家的部分，国际金融组织赠款收入，基金资金的存款利息收入、购买国债的利息收入，国内外机构、组织和个人的捐赠收入。</t>
        </r>
        <r>
          <rPr>
            <sz val="9"/>
            <color indexed="81"/>
            <rFont val="Tahoma"/>
            <family val="2"/>
          </rPr>
          <t xml:space="preserve">
</t>
        </r>
      </text>
    </comment>
    <comment ref="B13"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国家税务总局关于企业所得税若干优惠政策的通知》（财税〔</t>
        </r>
        <r>
          <rPr>
            <sz val="9"/>
            <color indexed="81"/>
            <rFont val="Tahoma"/>
            <family val="2"/>
          </rPr>
          <t>2008</t>
        </r>
        <r>
          <rPr>
            <sz val="9"/>
            <color indexed="81"/>
            <rFont val="宋体"/>
            <family val="3"/>
            <charset val="134"/>
          </rPr>
          <t>〕</t>
        </r>
        <r>
          <rPr>
            <sz val="9"/>
            <color indexed="81"/>
            <rFont val="Tahoma"/>
            <family val="2"/>
          </rPr>
          <t>1</t>
        </r>
        <r>
          <rPr>
            <sz val="9"/>
            <color indexed="81"/>
            <rFont val="宋体"/>
            <family val="3"/>
            <charset val="134"/>
          </rPr>
          <t>号）第二条第（二）项等相关税收政策规定的，投资者从证券投资基金分配中取得的收入。</t>
        </r>
        <r>
          <rPr>
            <sz val="9"/>
            <color indexed="81"/>
            <rFont val="Tahoma"/>
            <family val="2"/>
          </rPr>
          <t xml:space="preserve">
</t>
        </r>
      </text>
    </comment>
    <comment ref="B14"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国家税务总局关于地方政府债券利息所得免征所得税问题的通知》（财税〔</t>
        </r>
        <r>
          <rPr>
            <sz val="9"/>
            <color indexed="81"/>
            <rFont val="Tahoma"/>
            <family val="2"/>
          </rPr>
          <t>2011</t>
        </r>
        <r>
          <rPr>
            <sz val="9"/>
            <color indexed="81"/>
            <rFont val="宋体"/>
            <family val="3"/>
            <charset val="134"/>
          </rPr>
          <t>〕</t>
        </r>
        <r>
          <rPr>
            <sz val="9"/>
            <color indexed="81"/>
            <rFont val="Tahoma"/>
            <family val="2"/>
          </rPr>
          <t>76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国家税务总局关于地方政府债券利息免征所得税问题的通知》（财税〔</t>
        </r>
        <r>
          <rPr>
            <sz val="9"/>
            <color indexed="81"/>
            <rFont val="Tahoma"/>
            <family val="2"/>
          </rPr>
          <t>2013</t>
        </r>
        <r>
          <rPr>
            <sz val="9"/>
            <color indexed="81"/>
            <rFont val="宋体"/>
            <family val="3"/>
            <charset val="134"/>
          </rPr>
          <t>〕</t>
        </r>
        <r>
          <rPr>
            <sz val="9"/>
            <color indexed="81"/>
            <rFont val="Tahoma"/>
            <family val="2"/>
          </rPr>
          <t>5</t>
        </r>
        <r>
          <rPr>
            <sz val="9"/>
            <color indexed="81"/>
            <rFont val="宋体"/>
            <family val="3"/>
            <charset val="134"/>
          </rPr>
          <t>号）等相关税收政策规定的，取得的</t>
        </r>
        <r>
          <rPr>
            <sz val="9"/>
            <color indexed="81"/>
            <rFont val="Tahoma"/>
            <family val="2"/>
          </rPr>
          <t>2009</t>
        </r>
        <r>
          <rPr>
            <sz val="9"/>
            <color indexed="81"/>
            <rFont val="宋体"/>
            <family val="3"/>
            <charset val="134"/>
          </rPr>
          <t>年、</t>
        </r>
        <r>
          <rPr>
            <sz val="9"/>
            <color indexed="81"/>
            <rFont val="Tahoma"/>
            <family val="2"/>
          </rPr>
          <t>2010</t>
        </r>
        <r>
          <rPr>
            <sz val="9"/>
            <color indexed="81"/>
            <rFont val="宋体"/>
            <family val="3"/>
            <charset val="134"/>
          </rPr>
          <t>年和</t>
        </r>
        <r>
          <rPr>
            <sz val="9"/>
            <color indexed="81"/>
            <rFont val="Tahoma"/>
            <family val="2"/>
          </rPr>
          <t>2011</t>
        </r>
        <r>
          <rPr>
            <sz val="9"/>
            <color indexed="81"/>
            <rFont val="宋体"/>
            <family val="3"/>
            <charset val="134"/>
          </rPr>
          <t>年发行的地方政府债券利息所得，</t>
        </r>
        <r>
          <rPr>
            <sz val="9"/>
            <color indexed="81"/>
            <rFont val="Tahoma"/>
            <family val="2"/>
          </rPr>
          <t>2012</t>
        </r>
        <r>
          <rPr>
            <sz val="9"/>
            <color indexed="81"/>
            <rFont val="宋体"/>
            <family val="3"/>
            <charset val="134"/>
          </rPr>
          <t>年及以后年度发行的地方政府债券利息收入。</t>
        </r>
        <r>
          <rPr>
            <sz val="9"/>
            <color indexed="81"/>
            <rFont val="Tahoma"/>
            <family val="2"/>
          </rPr>
          <t xml:space="preserve">
</t>
        </r>
      </text>
    </comment>
    <comment ref="B15" authorId="0">
      <text>
        <r>
          <rPr>
            <sz val="9"/>
            <color indexed="81"/>
            <rFont val="宋体"/>
            <family val="3"/>
            <charset val="134"/>
          </rPr>
          <t>填报中国保险保障基金有限责任公司根据《财政部</t>
        </r>
        <r>
          <rPr>
            <sz val="9"/>
            <color indexed="81"/>
            <rFont val="Tahoma"/>
            <family val="2"/>
          </rPr>
          <t xml:space="preserve"> </t>
        </r>
        <r>
          <rPr>
            <sz val="9"/>
            <color indexed="81"/>
            <rFont val="宋体"/>
            <family val="3"/>
            <charset val="134"/>
          </rPr>
          <t>国家税务总局关于保险保障基金有关税收政策问题的通知》（财税〔</t>
        </r>
        <r>
          <rPr>
            <sz val="9"/>
            <color indexed="81"/>
            <rFont val="Tahoma"/>
            <family val="2"/>
          </rPr>
          <t>2016</t>
        </r>
        <r>
          <rPr>
            <sz val="9"/>
            <color indexed="81"/>
            <rFont val="宋体"/>
            <family val="3"/>
            <charset val="134"/>
          </rPr>
          <t>〕</t>
        </r>
        <r>
          <rPr>
            <sz val="9"/>
            <color indexed="81"/>
            <rFont val="Tahoma"/>
            <family val="2"/>
          </rPr>
          <t>10</t>
        </r>
        <r>
          <rPr>
            <sz val="9"/>
            <color indexed="81"/>
            <rFont val="宋体"/>
            <family val="3"/>
            <charset val="134"/>
          </rPr>
          <t>号）等相关税收政策规定的，根据《保险保障基金管理办法》取得的境内保险公司依法缴纳的保险保障基金；依法从撤销或破产保险公司清算财产中获得的受偿收入和向有关责任方追偿所得，以及依法从保险公司风险处置中获得的财产转让所得；捐赠所得；银行存款利息收入；购买政府债券、中央银行、中央企业和中央级金融机构发行债券的利息收入；国务院批准的其他资金运用取得的收入。</t>
        </r>
        <r>
          <rPr>
            <sz val="9"/>
            <color indexed="81"/>
            <rFont val="Tahoma"/>
            <family val="2"/>
          </rPr>
          <t xml:space="preserve">
</t>
        </r>
      </text>
    </comment>
    <comment ref="B16"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国家税务总局关于中央电视台广告费和有线电视费收入企业所得税政策问题的通知》（财税〔</t>
        </r>
        <r>
          <rPr>
            <sz val="9"/>
            <color indexed="81"/>
            <rFont val="Tahoma"/>
            <family val="2"/>
          </rPr>
          <t>2016</t>
        </r>
        <r>
          <rPr>
            <sz val="9"/>
            <color indexed="81"/>
            <rFont val="宋体"/>
            <family val="3"/>
            <charset val="134"/>
          </rPr>
          <t>〕</t>
        </r>
        <r>
          <rPr>
            <sz val="9"/>
            <color indexed="81"/>
            <rFont val="Tahoma"/>
            <family val="2"/>
          </rPr>
          <t>80</t>
        </r>
        <r>
          <rPr>
            <sz val="9"/>
            <color indexed="81"/>
            <rFont val="宋体"/>
            <family val="3"/>
            <charset val="134"/>
          </rPr>
          <t>号）等相关税收政策规定的，中央电视台的广告费和有线电视费收入。</t>
        </r>
        <r>
          <rPr>
            <sz val="9"/>
            <color indexed="81"/>
            <rFont val="Tahoma"/>
            <family val="2"/>
          </rPr>
          <t xml:space="preserve">
</t>
        </r>
      </text>
    </comment>
    <comment ref="B17"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对按中国奥委会、主办城市签订的《联合市场开发计划协议》和中国奥委会、主办城市、国际奥委会签订的《主办城市合同》规定，中国奥委会取得的由北京冬奥组委分期支付的收入、按比例支付的盈余分成收入。</t>
        </r>
        <r>
          <rPr>
            <sz val="9"/>
            <color indexed="81"/>
            <rFont val="Tahoma"/>
            <family val="2"/>
          </rPr>
          <t xml:space="preserve">
</t>
        </r>
      </text>
    </comment>
    <comment ref="B18"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号）等相关税收政策规定的，中国残奥委会根据《联合市场开发计划协议》取得的由北京冬奥组委分期支付的收入。</t>
        </r>
        <r>
          <rPr>
            <sz val="9"/>
            <color indexed="81"/>
            <rFont val="Tahoma"/>
            <family val="2"/>
          </rPr>
          <t xml:space="preserve">
</t>
        </r>
      </text>
    </comment>
    <comment ref="B19" authorId="0">
      <text>
        <r>
          <rPr>
            <sz val="9"/>
            <color indexed="81"/>
            <rFont val="宋体"/>
            <family val="3"/>
            <charset val="134"/>
          </rPr>
          <t>填报纳税人享受的其他减免税项目名称、减免税代码及免税收入金额。</t>
        </r>
        <r>
          <rPr>
            <sz val="9"/>
            <color indexed="81"/>
            <rFont val="Tahoma"/>
            <family val="2"/>
          </rPr>
          <t xml:space="preserve">
</t>
        </r>
      </text>
    </comment>
    <comment ref="B20" authorId="0">
      <text>
        <r>
          <rPr>
            <sz val="9"/>
            <color indexed="81"/>
            <rFont val="宋体"/>
            <family val="3"/>
            <charset val="134"/>
          </rPr>
          <t>填报第</t>
        </r>
        <r>
          <rPr>
            <sz val="9"/>
            <color indexed="81"/>
            <rFont val="Tahoma"/>
            <family val="2"/>
          </rPr>
          <t>18+19+23+24</t>
        </r>
        <r>
          <rPr>
            <sz val="9"/>
            <color indexed="81"/>
            <rFont val="宋体"/>
            <family val="3"/>
            <charset val="134"/>
          </rPr>
          <t>行的合计金额。</t>
        </r>
        <r>
          <rPr>
            <sz val="9"/>
            <color indexed="81"/>
            <rFont val="Tahoma"/>
            <family val="2"/>
          </rPr>
          <t xml:space="preserve">
</t>
        </r>
      </text>
    </comment>
    <comment ref="B21" authorId="0">
      <text>
        <r>
          <rPr>
            <sz val="9"/>
            <color indexed="81"/>
            <rFont val="宋体"/>
            <family val="3"/>
            <charset val="134"/>
          </rPr>
          <t>填报纳税人综合利用资源生产产品取得的收入总额乘以</t>
        </r>
        <r>
          <rPr>
            <sz val="9"/>
            <color indexed="81"/>
            <rFont val="Tahoma"/>
            <family val="2"/>
          </rPr>
          <t>10%</t>
        </r>
        <r>
          <rPr>
            <sz val="9"/>
            <color indexed="81"/>
            <rFont val="宋体"/>
            <family val="3"/>
            <charset val="134"/>
          </rPr>
          <t>的金额。</t>
        </r>
      </text>
    </comment>
    <comment ref="B22" authorId="0">
      <text>
        <r>
          <rPr>
            <sz val="9"/>
            <color indexed="81"/>
            <rFont val="宋体"/>
            <family val="3"/>
            <charset val="134"/>
          </rPr>
          <t>填报金融、保险等机构取得的涉农利息、保费收入减计收入的金额。本行填报第</t>
        </r>
        <r>
          <rPr>
            <sz val="9"/>
            <color indexed="81"/>
            <rFont val="Tahoma"/>
            <family val="2"/>
          </rPr>
          <t>20+21+22</t>
        </r>
        <r>
          <rPr>
            <sz val="9"/>
            <color indexed="81"/>
            <rFont val="宋体"/>
            <family val="3"/>
            <charset val="134"/>
          </rPr>
          <t>行的合计金额。</t>
        </r>
      </text>
    </comment>
    <comment ref="B23" authorId="0">
      <text>
        <r>
          <rPr>
            <sz val="9"/>
            <color indexed="81"/>
            <rFont val="宋体"/>
            <family val="3"/>
            <charset val="134"/>
          </rPr>
          <t>填报纳税人取得农户小额贷款利息收入总额乘以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4" authorId="0">
      <text>
        <r>
          <rPr>
            <sz val="9"/>
            <color indexed="81"/>
            <rFont val="宋体"/>
            <family val="3"/>
            <charset val="134"/>
          </rPr>
          <t>填报保险公司为种植业、养殖业提供保险业务取得的保费收入总额乘以</t>
        </r>
        <r>
          <rPr>
            <sz val="9"/>
            <color indexed="81"/>
            <rFont val="Tahoma"/>
            <family val="2"/>
          </rPr>
          <t>10%</t>
        </r>
        <r>
          <rPr>
            <sz val="9"/>
            <color indexed="81"/>
            <rFont val="宋体"/>
            <family val="3"/>
            <charset val="134"/>
          </rPr>
          <t>的金额。其中保费收入总额＝原保费收入</t>
        </r>
        <r>
          <rPr>
            <sz val="9"/>
            <color indexed="81"/>
            <rFont val="Tahoma"/>
            <family val="2"/>
          </rPr>
          <t>+</t>
        </r>
        <r>
          <rPr>
            <sz val="9"/>
            <color indexed="81"/>
            <rFont val="宋体"/>
            <family val="3"/>
            <charset val="134"/>
          </rPr>
          <t>分包费收入</t>
        </r>
        <r>
          <rPr>
            <sz val="9"/>
            <color indexed="81"/>
            <rFont val="Tahoma"/>
            <family val="2"/>
          </rPr>
          <t>-</t>
        </r>
        <r>
          <rPr>
            <sz val="9"/>
            <color indexed="81"/>
            <rFont val="宋体"/>
            <family val="3"/>
            <charset val="134"/>
          </rPr>
          <t>分出保费收入。</t>
        </r>
        <r>
          <rPr>
            <sz val="9"/>
            <color indexed="81"/>
            <rFont val="Tahoma"/>
            <family val="2"/>
          </rPr>
          <t xml:space="preserve">
</t>
        </r>
      </text>
    </comment>
    <comment ref="B25"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国家税务总局关于小额贷款公司有关税收政策的通知》（财税〔</t>
        </r>
        <r>
          <rPr>
            <sz val="9"/>
            <color indexed="81"/>
            <rFont val="Tahoma"/>
            <family val="2"/>
          </rPr>
          <t>2017</t>
        </r>
        <r>
          <rPr>
            <sz val="9"/>
            <color indexed="81"/>
            <rFont val="宋体"/>
            <family val="3"/>
            <charset val="134"/>
          </rPr>
          <t>〕</t>
        </r>
        <r>
          <rPr>
            <sz val="9"/>
            <color indexed="81"/>
            <rFont val="Tahoma"/>
            <family val="2"/>
          </rPr>
          <t>48</t>
        </r>
        <r>
          <rPr>
            <sz val="9"/>
            <color indexed="81"/>
            <rFont val="宋体"/>
            <family val="3"/>
            <charset val="134"/>
          </rPr>
          <t>号）等相关税收政策规定的，对经省级金融管理部门</t>
        </r>
        <r>
          <rPr>
            <sz val="9"/>
            <color indexed="81"/>
            <rFont val="Tahoma"/>
            <family val="2"/>
          </rPr>
          <t>(</t>
        </r>
        <r>
          <rPr>
            <sz val="9"/>
            <color indexed="81"/>
            <rFont val="宋体"/>
            <family val="3"/>
            <charset val="134"/>
          </rPr>
          <t>金融办、局等</t>
        </r>
        <r>
          <rPr>
            <sz val="9"/>
            <color indexed="81"/>
            <rFont val="Tahoma"/>
            <family val="2"/>
          </rPr>
          <t>)</t>
        </r>
        <r>
          <rPr>
            <sz val="9"/>
            <color indexed="81"/>
            <rFont val="宋体"/>
            <family val="3"/>
            <charset val="134"/>
          </rPr>
          <t>批准成立的小额贷款公司取得的农户小额贷款利息收入乘以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6"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国家税务总局关于铁路建设债券利息收入企业所得税政策的通知》（财税〔</t>
        </r>
        <r>
          <rPr>
            <sz val="9"/>
            <color indexed="81"/>
            <rFont val="Tahoma"/>
            <family val="2"/>
          </rPr>
          <t>2011</t>
        </r>
        <r>
          <rPr>
            <sz val="9"/>
            <color indexed="81"/>
            <rFont val="宋体"/>
            <family val="3"/>
            <charset val="134"/>
          </rPr>
          <t>〕</t>
        </r>
        <r>
          <rPr>
            <sz val="9"/>
            <color indexed="81"/>
            <rFont val="Tahoma"/>
            <family val="2"/>
          </rPr>
          <t>99</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t>
        </r>
        <r>
          <rPr>
            <sz val="9"/>
            <color indexed="81"/>
            <rFont val="Tahoma"/>
            <family val="2"/>
          </rPr>
          <t>2014 2015</t>
        </r>
        <r>
          <rPr>
            <sz val="9"/>
            <color indexed="81"/>
            <rFont val="宋体"/>
            <family val="3"/>
            <charset val="134"/>
          </rPr>
          <t>年铁路建设债券利息收入企业所得税政策的通知》（财税〔</t>
        </r>
        <r>
          <rPr>
            <sz val="9"/>
            <color indexed="81"/>
            <rFont val="Tahoma"/>
            <family val="2"/>
          </rPr>
          <t>2014</t>
        </r>
        <r>
          <rPr>
            <sz val="9"/>
            <color indexed="81"/>
            <rFont val="宋体"/>
            <family val="3"/>
            <charset val="134"/>
          </rPr>
          <t>〕</t>
        </r>
        <r>
          <rPr>
            <sz val="9"/>
            <color indexed="81"/>
            <rFont val="Tahoma"/>
            <family val="2"/>
          </rPr>
          <t>2</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国家税务总局关于铁路债券利息收入所得税政策问题的通知》</t>
        </r>
        <r>
          <rPr>
            <sz val="9"/>
            <color indexed="81"/>
            <rFont val="Tahoma"/>
            <family val="2"/>
          </rPr>
          <t>(</t>
        </r>
        <r>
          <rPr>
            <sz val="9"/>
            <color indexed="81"/>
            <rFont val="宋体"/>
            <family val="3"/>
            <charset val="134"/>
          </rPr>
          <t>财税〔</t>
        </r>
        <r>
          <rPr>
            <sz val="9"/>
            <color indexed="81"/>
            <rFont val="Tahoma"/>
            <family val="2"/>
          </rPr>
          <t>2016</t>
        </r>
        <r>
          <rPr>
            <sz val="9"/>
            <color indexed="81"/>
            <rFont val="宋体"/>
            <family val="3"/>
            <charset val="134"/>
          </rPr>
          <t>〕</t>
        </r>
        <r>
          <rPr>
            <sz val="9"/>
            <color indexed="81"/>
            <rFont val="Tahoma"/>
            <family val="2"/>
          </rPr>
          <t>30</t>
        </r>
        <r>
          <rPr>
            <sz val="9"/>
            <color indexed="81"/>
            <rFont val="宋体"/>
            <family val="3"/>
            <charset val="134"/>
          </rPr>
          <t>号</t>
        </r>
        <r>
          <rPr>
            <sz val="9"/>
            <color indexed="81"/>
            <rFont val="Tahoma"/>
            <family val="2"/>
          </rPr>
          <t>)</t>
        </r>
        <r>
          <rPr>
            <sz val="9"/>
            <color indexed="81"/>
            <rFont val="宋体"/>
            <family val="3"/>
            <charset val="134"/>
          </rPr>
          <t>等相关税收政策规定的，对企业持有中国铁路建设铁路债券等企业债券取得的利息收入，减半征收企业所得税。本行填报政策规定减计</t>
        </r>
        <r>
          <rPr>
            <sz val="9"/>
            <color indexed="81"/>
            <rFont val="Tahoma"/>
            <family val="2"/>
          </rPr>
          <t>50%</t>
        </r>
        <r>
          <rPr>
            <sz val="9"/>
            <color indexed="81"/>
            <rFont val="宋体"/>
            <family val="3"/>
            <charset val="134"/>
          </rPr>
          <t>收入的金额。</t>
        </r>
        <r>
          <rPr>
            <sz val="9"/>
            <color indexed="81"/>
            <rFont val="Tahoma"/>
            <family val="2"/>
          </rPr>
          <t xml:space="preserve">
</t>
        </r>
      </text>
    </comment>
    <comment ref="B27" authorId="0">
      <text>
        <r>
          <rPr>
            <sz val="9"/>
            <color indexed="81"/>
            <rFont val="宋体"/>
            <family val="3"/>
            <charset val="134"/>
          </rPr>
          <t>填报纳税人享受的其他减免税项目名称、减免税代码及减计收入金额。</t>
        </r>
        <r>
          <rPr>
            <sz val="9"/>
            <color indexed="81"/>
            <rFont val="Tahoma"/>
            <family val="2"/>
          </rPr>
          <t xml:space="preserve">
</t>
        </r>
      </text>
    </comment>
    <comment ref="B28" authorId="0">
      <text>
        <r>
          <rPr>
            <sz val="9"/>
            <color indexed="81"/>
            <rFont val="宋体"/>
            <family val="3"/>
            <charset val="134"/>
          </rPr>
          <t>填报第</t>
        </r>
        <r>
          <rPr>
            <sz val="9"/>
            <color indexed="81"/>
            <rFont val="Tahoma"/>
            <family val="2"/>
          </rPr>
          <t>26+27+28+29+30</t>
        </r>
        <r>
          <rPr>
            <sz val="9"/>
            <color indexed="81"/>
            <rFont val="宋体"/>
            <family val="3"/>
            <charset val="134"/>
          </rPr>
          <t>行的合计金额。</t>
        </r>
        <r>
          <rPr>
            <sz val="9"/>
            <color indexed="81"/>
            <rFont val="Tahoma"/>
            <family val="2"/>
          </rPr>
          <t xml:space="preserve">
</t>
        </r>
      </text>
    </comment>
    <comment ref="B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r>
          <rPr>
            <sz val="9"/>
            <color indexed="81"/>
            <rFont val="Tahoma"/>
            <family val="2"/>
          </rPr>
          <t xml:space="preserve">
</t>
        </r>
      </text>
    </comment>
    <comment ref="C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时，第</t>
        </r>
        <r>
          <rPr>
            <sz val="9"/>
            <color indexed="81"/>
            <rFont val="Tahoma"/>
            <family val="2"/>
          </rPr>
          <t>26</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27</t>
        </r>
        <r>
          <rPr>
            <sz val="9"/>
            <color indexed="81"/>
            <rFont val="宋体"/>
            <family val="3"/>
            <charset val="134"/>
          </rPr>
          <t>行不得填报。</t>
        </r>
        <r>
          <rPr>
            <sz val="9"/>
            <color indexed="81"/>
            <rFont val="Tahoma"/>
            <family val="2"/>
          </rPr>
          <t xml:space="preserve">
</t>
        </r>
      </text>
    </comment>
    <comment ref="B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text>
    </comment>
    <comment ref="C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时，第</t>
        </r>
        <r>
          <rPr>
            <sz val="9"/>
            <color indexed="81"/>
            <rFont val="Tahoma"/>
            <family val="2"/>
          </rPr>
          <t>27</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26</t>
        </r>
        <r>
          <rPr>
            <sz val="9"/>
            <color indexed="81"/>
            <rFont val="宋体"/>
            <family val="3"/>
            <charset val="134"/>
          </rPr>
          <t>行不得填报。</t>
        </r>
        <r>
          <rPr>
            <sz val="9"/>
            <color indexed="81"/>
            <rFont val="Tahoma"/>
            <family val="2"/>
          </rPr>
          <t xml:space="preserve"> 
</t>
        </r>
      </text>
    </comment>
    <comment ref="B31"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科技部关于完善研究开发费用税前加计扣除政策的通知》（财税〔</t>
        </r>
        <r>
          <rPr>
            <sz val="9"/>
            <color indexed="81"/>
            <rFont val="Tahoma"/>
            <family val="2"/>
          </rPr>
          <t>2015</t>
        </r>
        <r>
          <rPr>
            <sz val="9"/>
            <color indexed="81"/>
            <rFont val="宋体"/>
            <family val="3"/>
            <charset val="134"/>
          </rPr>
          <t>〕</t>
        </r>
        <r>
          <rPr>
            <sz val="9"/>
            <color indexed="81"/>
            <rFont val="Tahoma"/>
            <family val="2"/>
          </rPr>
          <t>119</t>
        </r>
        <r>
          <rPr>
            <sz val="9"/>
            <color indexed="81"/>
            <rFont val="宋体"/>
            <family val="3"/>
            <charset val="134"/>
          </rPr>
          <t>号）第二条第四项规定，为获得创新性、创意性、突破性的产品进行创意设计活动而发生的相关费用按照规定进行税前加计扣除的金额。</t>
        </r>
        <r>
          <rPr>
            <sz val="9"/>
            <color indexed="81"/>
            <rFont val="Tahoma"/>
            <family val="2"/>
          </rPr>
          <t xml:space="preserve">
</t>
        </r>
      </text>
    </comment>
    <comment ref="B3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国家税务总局关于安置残疾人员就业有关企业所得税优惠政策问题的通知》（财税〔</t>
        </r>
        <r>
          <rPr>
            <sz val="9"/>
            <color indexed="81"/>
            <rFont val="Tahoma"/>
            <family val="2"/>
          </rPr>
          <t>2009</t>
        </r>
        <r>
          <rPr>
            <sz val="9"/>
            <color indexed="81"/>
            <rFont val="宋体"/>
            <family val="3"/>
            <charset val="134"/>
          </rPr>
          <t>〕</t>
        </r>
        <r>
          <rPr>
            <sz val="9"/>
            <color indexed="81"/>
            <rFont val="Tahoma"/>
            <family val="2"/>
          </rPr>
          <t>70</t>
        </r>
        <r>
          <rPr>
            <sz val="9"/>
            <color indexed="81"/>
            <rFont val="宋体"/>
            <family val="3"/>
            <charset val="134"/>
          </rPr>
          <t>号）等相关税收政策规定的，安置残疾人员的，在支付给残疾职工工资据实扣除的基础上，按照支付给残疾职工工资的</t>
        </r>
        <r>
          <rPr>
            <sz val="9"/>
            <color indexed="81"/>
            <rFont val="Tahoma"/>
            <family val="2"/>
          </rPr>
          <t>100%</t>
        </r>
        <r>
          <rPr>
            <sz val="9"/>
            <color indexed="81"/>
            <rFont val="宋体"/>
            <family val="3"/>
            <charset val="134"/>
          </rPr>
          <t>加计扣除的金额。</t>
        </r>
        <r>
          <rPr>
            <sz val="9"/>
            <color indexed="81"/>
            <rFont val="Tahoma"/>
            <family val="2"/>
          </rPr>
          <t xml:space="preserve">
</t>
        </r>
      </text>
    </comment>
    <comment ref="B33" authorId="0">
      <text>
        <r>
          <rPr>
            <sz val="9"/>
            <color indexed="81"/>
            <rFont val="宋体"/>
            <family val="3"/>
            <charset val="134"/>
          </rPr>
          <t>填报纳税人享受的其他加计扣除项目名称、减免税代码及加计扣除的金额。</t>
        </r>
        <r>
          <rPr>
            <sz val="9"/>
            <color indexed="81"/>
            <rFont val="Tahoma"/>
            <family val="2"/>
          </rPr>
          <t xml:space="preserve">
</t>
        </r>
      </text>
    </comment>
    <comment ref="B34" authorId="0">
      <text>
        <r>
          <rPr>
            <sz val="9"/>
            <color indexed="81"/>
            <rFont val="宋体"/>
            <family val="3"/>
            <charset val="134"/>
          </rPr>
          <t>填报第</t>
        </r>
        <r>
          <rPr>
            <sz val="9"/>
            <color indexed="81"/>
            <rFont val="Tahoma"/>
            <family val="2"/>
          </rPr>
          <t>1+17+25</t>
        </r>
        <r>
          <rPr>
            <sz val="9"/>
            <color indexed="81"/>
            <rFont val="宋体"/>
            <family val="3"/>
            <charset val="134"/>
          </rPr>
          <t>行的合计金额。</t>
        </r>
        <r>
          <rPr>
            <sz val="9"/>
            <color indexed="81"/>
            <rFont val="Tahoma"/>
            <family val="2"/>
          </rPr>
          <t xml:space="preserve">
</t>
        </r>
      </text>
    </comment>
    <comment ref="C34" authorId="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17</t>
        </r>
        <r>
          <rPr>
            <sz val="9"/>
            <color indexed="81"/>
            <rFont val="宋体"/>
            <family val="3"/>
            <charset val="134"/>
          </rPr>
          <t>行。</t>
        </r>
        <r>
          <rPr>
            <sz val="9"/>
            <color indexed="81"/>
            <rFont val="Tahoma"/>
            <family val="2"/>
          </rPr>
          <t xml:space="preserve">
</t>
        </r>
      </text>
    </comment>
  </commentList>
</comments>
</file>

<file path=xl/comments35.xml><?xml version="1.0" encoding="utf-8"?>
<comments xmlns="http://schemas.openxmlformats.org/spreadsheetml/2006/main">
  <authors>
    <author>Cindy Wang</author>
    <author>Zhang, Dorothy</author>
  </authors>
  <commentList>
    <comment ref="A2" authorId="0">
      <text>
        <r>
          <rPr>
            <sz val="9"/>
            <color indexed="81"/>
            <rFont val="宋体"/>
            <family val="3"/>
            <charset val="134"/>
          </rPr>
          <t>本表适用于享受符合条件的居民企业之间的股息、红利等权益性投资收益优惠的纳税人填报。纳税人根据税法、《财政部　国家税务总局关于企业清算业务企业所得税处理若干问题的通知》（财税〔2009〕60号）、《财政部　国家税务总局关于执行企业所得税优惠政策若干问题的通知》（财税〔2009〕69号）、《国家税务总局关于贯彻落实企业所得税法若干税收问题的通知》（国税函〔2010〕79号）、《国家税务总局关于企业所得税若干问题的公告》（国家税务总局公告2011年第34号）、《财政部 国家税务总局 证监会关于沪港股票市场交易互联互通机制试点有关税收政策的通知》（财税〔2014〕81号）、《财政部 国家税务总局 证监会关于深港股票市场交易互联互通机制试点有关税收政策的通知》（财税〔2016〕127号）等相关税收政策规定，填报本年发生的符合条件的居民企业之间的股息、红利（包括H股）等权益性投资收益优惠情况，不包括连续持有居民企业公开发行并上市流通的股票不足12个月取得的投资收益。</t>
        </r>
      </text>
    </comment>
    <comment ref="A3" authorId="1">
      <text>
        <r>
          <rPr>
            <sz val="9"/>
            <color indexed="81"/>
            <rFont val="宋体"/>
            <family val="3"/>
            <charset val="134"/>
          </rPr>
          <t>行次根据投资企业名称和投资性质填报，可以根据情况增加。</t>
        </r>
        <r>
          <rPr>
            <sz val="9"/>
            <color indexed="81"/>
            <rFont val="Tahoma"/>
            <family val="2"/>
          </rPr>
          <t xml:space="preserve">
</t>
        </r>
      </text>
    </comment>
    <comment ref="B3" authorId="0">
      <text>
        <r>
          <rPr>
            <sz val="9"/>
            <color indexed="81"/>
            <rFont val="宋体"/>
            <family val="3"/>
            <charset val="134"/>
          </rPr>
          <t>填报被投资企业名称。</t>
        </r>
      </text>
    </comment>
    <comment ref="C3" authorId="1">
      <text>
        <r>
          <rPr>
            <sz val="9"/>
            <color indexed="81"/>
            <rFont val="宋体"/>
            <family val="3"/>
            <charset val="134"/>
          </rPr>
          <t>填报被投资企业工商等部门核发的纳税人统一社会信用代码。未取得统一社会信用代码的，填报税务机关核发的纳税人识别号。</t>
        </r>
        <r>
          <rPr>
            <sz val="9"/>
            <color indexed="81"/>
            <rFont val="Tahoma"/>
            <family val="2"/>
          </rPr>
          <t xml:space="preserve">
</t>
        </r>
      </text>
    </comment>
    <comment ref="D3" authorId="0">
      <text>
        <r>
          <rPr>
            <sz val="9"/>
            <color indexed="81"/>
            <rFont val="宋体"/>
            <family val="3"/>
            <charset val="134"/>
          </rPr>
          <t xml:space="preserve">按选项填报：（1）直接投资、（2）股票投资（不含H股）、（3）股票投资（沪港通H股投资）、（4）股票投资（深港通H股投资）。
符合《财政部 国家税务总局 证监会关于沪港股票市场交易互联互通机制试点有关税收政策的通知》（财税〔2014〕81号）文件第一条第（四）项第1目规定，享受沪港通H股股息红利免税政策的企业，选择“（3）股票投资（沪港通H股投资）”。
符合《财政部 国家税务总局 证监会关于深港股票市场交易互联互通机制试点有关税收政策的通知》（财税〔2016〕127号）文件第一条第(四)项第1目规定，享受深港通H股股息红利免税政策的企业，选择“（4）股票投资（深港通H股投资）”。
</t>
        </r>
      </text>
    </comment>
    <comment ref="E3" authorId="0">
      <text>
        <r>
          <rPr>
            <sz val="9"/>
            <color indexed="81"/>
            <rFont val="宋体"/>
            <family val="3"/>
            <charset val="134"/>
          </rPr>
          <t>填报纳税人投资于被投资企业的计税成本。</t>
        </r>
      </text>
    </comment>
    <comment ref="F3" authorId="0">
      <text>
        <r>
          <rPr>
            <sz val="9"/>
            <color indexed="81"/>
            <rFont val="宋体"/>
            <family val="3"/>
            <charset val="134"/>
          </rPr>
          <t>填报纳税人投资于被投资企业的股权比例。若购买公开发行股票的，此列可不填报。</t>
        </r>
      </text>
    </comment>
    <comment ref="R3" authorId="0">
      <text>
        <r>
          <rPr>
            <sz val="9"/>
            <color indexed="81"/>
            <rFont val="宋体"/>
            <family val="3"/>
            <charset val="134"/>
          </rPr>
          <t>填报第7+10+16列的合计金额。</t>
        </r>
      </text>
    </comment>
    <comment ref="G5" authorId="0">
      <text>
        <r>
          <rPr>
            <sz val="9"/>
            <color indexed="81"/>
            <rFont val="宋体"/>
            <family val="3"/>
            <charset val="134"/>
          </rPr>
          <t>填报被投资企业做出利润分配或转股决定的时间。</t>
        </r>
      </text>
    </comment>
    <comment ref="H5" authorId="0">
      <text>
        <r>
          <rPr>
            <sz val="9"/>
            <color indexed="81"/>
            <rFont val="宋体"/>
            <family val="3"/>
            <charset val="134"/>
          </rPr>
          <t>填报纳税人按照投资比例或者其他方法计算的，实际归属于本公司的股息、红利等权益性投资收益金额。若被投资企业将股权（票）溢价所形成的资本公积转为股本的，不作为投资方企业的股息、红利收入，投资方企业也不得增加该项长期投资的计税基础。</t>
        </r>
      </text>
    </comment>
    <comment ref="I5" authorId="0">
      <text>
        <r>
          <rPr>
            <sz val="9"/>
            <color indexed="81"/>
            <rFont val="宋体"/>
            <family val="3"/>
            <charset val="134"/>
          </rPr>
          <t>填报纳税人分得的被投资企业清算后的剩余资产。</t>
        </r>
      </text>
    </comment>
    <comment ref="J5" authorId="0">
      <text>
        <r>
          <rPr>
            <sz val="9"/>
            <color indexed="81"/>
            <rFont val="宋体"/>
            <family val="3"/>
            <charset val="134"/>
          </rPr>
          <t>填报被清算企业累计未分配利润和累计盈余公积中本企业应享有的金额。</t>
        </r>
      </text>
    </comment>
    <comment ref="K5" authorId="0">
      <text>
        <r>
          <rPr>
            <sz val="9"/>
            <color indexed="81"/>
            <rFont val="宋体"/>
            <family val="3"/>
            <charset val="134"/>
          </rPr>
          <t>填报第8列与第9列孰小值。</t>
        </r>
      </text>
    </comment>
    <comment ref="L5" authorId="0">
      <text>
        <r>
          <rPr>
            <sz val="9"/>
            <color indexed="81"/>
            <rFont val="宋体"/>
            <family val="3"/>
            <charset val="134"/>
          </rPr>
          <t>填报纳税人从被投资企业撤回或减少投资时取得的资产。</t>
        </r>
      </text>
    </comment>
    <comment ref="M5" authorId="0">
      <text>
        <r>
          <rPr>
            <sz val="9"/>
            <color indexed="81"/>
            <rFont val="宋体"/>
            <family val="3"/>
            <charset val="134"/>
          </rPr>
          <t>填报纳税人撤回或减少的投资额占投资方在被投资企业持有总投资比例。</t>
        </r>
      </text>
    </comment>
    <comment ref="N5" authorId="0">
      <text>
        <r>
          <rPr>
            <sz val="9"/>
            <color indexed="81"/>
            <rFont val="宋体"/>
            <family val="3"/>
            <charset val="134"/>
          </rPr>
          <t>填报第4×12列的金额。</t>
        </r>
      </text>
    </comment>
    <comment ref="O5" authorId="0">
      <text>
        <r>
          <rPr>
            <sz val="9"/>
            <color indexed="81"/>
            <rFont val="宋体"/>
            <family val="3"/>
            <charset val="134"/>
          </rPr>
          <t>填报第11-13列的余额。</t>
        </r>
      </text>
    </comment>
    <comment ref="P5" authorId="0">
      <text>
        <r>
          <rPr>
            <sz val="9"/>
            <color indexed="81"/>
            <rFont val="宋体"/>
            <family val="3"/>
            <charset val="134"/>
          </rPr>
          <t>填报被投资企业累计未分配利润和累计盈余公积按减少实收资本比例计算的部分。</t>
        </r>
      </text>
    </comment>
    <comment ref="Q5" authorId="0">
      <text>
        <r>
          <rPr>
            <sz val="9"/>
            <color indexed="81"/>
            <rFont val="宋体"/>
            <family val="3"/>
            <charset val="134"/>
          </rPr>
          <t>填报第14列与第15列孰小值。</t>
        </r>
      </text>
    </comment>
    <comment ref="A24" authorId="1">
      <text>
        <r>
          <rPr>
            <sz val="9"/>
            <color indexed="81"/>
            <rFont val="宋体"/>
            <family val="3"/>
            <charset val="134"/>
          </rPr>
          <t>填报第</t>
        </r>
        <r>
          <rPr>
            <sz val="9"/>
            <color indexed="81"/>
            <rFont val="Tahoma"/>
            <family val="2"/>
          </rPr>
          <t>1+2+…+7</t>
        </r>
        <r>
          <rPr>
            <sz val="9"/>
            <color indexed="81"/>
            <rFont val="宋体"/>
            <family val="3"/>
            <charset val="134"/>
          </rPr>
          <t>行的第</t>
        </r>
        <r>
          <rPr>
            <sz val="9"/>
            <color indexed="81"/>
            <rFont val="Tahoma"/>
            <family val="2"/>
          </rPr>
          <t>17</t>
        </r>
        <r>
          <rPr>
            <sz val="9"/>
            <color indexed="81"/>
            <rFont val="宋体"/>
            <family val="3"/>
            <charset val="134"/>
          </rPr>
          <t>列合计金额，若增行，根据增行后的情况合计。</t>
        </r>
        <r>
          <rPr>
            <sz val="9"/>
            <color indexed="81"/>
            <rFont val="Tahoma"/>
            <family val="2"/>
          </rPr>
          <t xml:space="preserve">
</t>
        </r>
      </text>
    </comment>
    <comment ref="R24" authorId="1">
      <text>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列＝表</t>
        </r>
        <r>
          <rPr>
            <sz val="9"/>
            <color indexed="81"/>
            <rFont val="Tahoma"/>
            <family val="2"/>
          </rPr>
          <t>A107010</t>
        </r>
        <r>
          <rPr>
            <sz val="9"/>
            <color indexed="81"/>
            <rFont val="宋体"/>
            <family val="3"/>
            <charset val="134"/>
          </rPr>
          <t>第</t>
        </r>
        <r>
          <rPr>
            <sz val="9"/>
            <color indexed="81"/>
            <rFont val="Tahoma"/>
            <family val="2"/>
          </rPr>
          <t>3</t>
        </r>
        <r>
          <rPr>
            <sz val="9"/>
            <color indexed="81"/>
            <rFont val="宋体"/>
            <family val="3"/>
            <charset val="134"/>
          </rPr>
          <t>行。</t>
        </r>
        <r>
          <rPr>
            <sz val="9"/>
            <color indexed="81"/>
            <rFont val="Tahoma"/>
            <family val="2"/>
          </rPr>
          <t xml:space="preserve">
</t>
        </r>
      </text>
    </comment>
    <comment ref="A25" authorId="1">
      <text>
        <r>
          <rPr>
            <sz val="9"/>
            <color indexed="81"/>
            <rFont val="宋体"/>
            <family val="3"/>
            <charset val="134"/>
          </rPr>
          <t>填报第</t>
        </r>
        <r>
          <rPr>
            <sz val="9"/>
            <color indexed="81"/>
            <rFont val="Tahoma"/>
            <family val="2"/>
          </rPr>
          <t>1+2</t>
        </r>
        <r>
          <rPr>
            <sz val="9"/>
            <color indexed="81"/>
            <rFont val="宋体"/>
            <family val="3"/>
            <charset val="134"/>
          </rPr>
          <t>…</t>
        </r>
        <r>
          <rPr>
            <sz val="9"/>
            <color indexed="81"/>
            <rFont val="Tahoma"/>
            <family val="2"/>
          </rPr>
          <t>+7</t>
        </r>
        <r>
          <rPr>
            <sz val="9"/>
            <color indexed="81"/>
            <rFont val="宋体"/>
            <family val="3"/>
            <charset val="134"/>
          </rPr>
          <t>行中，“投资性质”列选择“（</t>
        </r>
        <r>
          <rPr>
            <sz val="9"/>
            <color indexed="81"/>
            <rFont val="Tahoma"/>
            <family val="2"/>
          </rPr>
          <t>3</t>
        </r>
        <r>
          <rPr>
            <sz val="9"/>
            <color indexed="81"/>
            <rFont val="宋体"/>
            <family val="3"/>
            <charset val="134"/>
          </rPr>
          <t>）股票投资（沪港通</t>
        </r>
        <r>
          <rPr>
            <sz val="9"/>
            <color indexed="81"/>
            <rFont val="Tahoma"/>
            <family val="2"/>
          </rPr>
          <t>H</t>
        </r>
        <r>
          <rPr>
            <sz val="9"/>
            <color indexed="81"/>
            <rFont val="宋体"/>
            <family val="3"/>
            <charset val="134"/>
          </rPr>
          <t>股投资）”的行次，第</t>
        </r>
        <r>
          <rPr>
            <sz val="9"/>
            <color indexed="81"/>
            <rFont val="Tahoma"/>
            <family val="2"/>
          </rPr>
          <t>17</t>
        </r>
        <r>
          <rPr>
            <sz val="9"/>
            <color indexed="81"/>
            <rFont val="宋体"/>
            <family val="3"/>
            <charset val="134"/>
          </rPr>
          <t>列合计金额。</t>
        </r>
      </text>
    </comment>
    <comment ref="R25" authorId="1">
      <text>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列＝表</t>
        </r>
        <r>
          <rPr>
            <sz val="9"/>
            <color indexed="81"/>
            <rFont val="Tahoma"/>
            <family val="2"/>
          </rPr>
          <t>A107010</t>
        </r>
        <r>
          <rPr>
            <sz val="9"/>
            <color indexed="81"/>
            <rFont val="宋体"/>
            <family val="3"/>
            <charset val="134"/>
          </rPr>
          <t>第</t>
        </r>
        <r>
          <rPr>
            <sz val="9"/>
            <color indexed="81"/>
            <rFont val="Tahoma"/>
            <family val="2"/>
          </rPr>
          <t>4</t>
        </r>
        <r>
          <rPr>
            <sz val="9"/>
            <color indexed="81"/>
            <rFont val="宋体"/>
            <family val="3"/>
            <charset val="134"/>
          </rPr>
          <t>行。</t>
        </r>
        <r>
          <rPr>
            <sz val="9"/>
            <color indexed="81"/>
            <rFont val="Tahoma"/>
            <family val="2"/>
          </rPr>
          <t xml:space="preserve">
</t>
        </r>
      </text>
    </comment>
    <comment ref="A26" authorId="1">
      <text>
        <r>
          <rPr>
            <sz val="9"/>
            <color indexed="81"/>
            <rFont val="宋体"/>
            <family val="3"/>
            <charset val="134"/>
          </rPr>
          <t>填报第</t>
        </r>
        <r>
          <rPr>
            <sz val="9"/>
            <color indexed="81"/>
            <rFont val="Tahoma"/>
            <family val="2"/>
          </rPr>
          <t>1+2…+7</t>
        </r>
        <r>
          <rPr>
            <sz val="9"/>
            <color indexed="81"/>
            <rFont val="宋体"/>
            <family val="3"/>
            <charset val="134"/>
          </rPr>
          <t>行中，</t>
        </r>
        <r>
          <rPr>
            <sz val="9"/>
            <color indexed="81"/>
            <rFont val="Tahoma"/>
            <family val="2"/>
          </rPr>
          <t>“</t>
        </r>
        <r>
          <rPr>
            <sz val="9"/>
            <color indexed="81"/>
            <rFont val="宋体"/>
            <family val="3"/>
            <charset val="134"/>
          </rPr>
          <t>投资性质</t>
        </r>
        <r>
          <rPr>
            <sz val="9"/>
            <color indexed="81"/>
            <rFont val="Tahoma"/>
            <family val="2"/>
          </rPr>
          <t>”</t>
        </r>
        <r>
          <rPr>
            <sz val="9"/>
            <color indexed="81"/>
            <rFont val="宋体"/>
            <family val="3"/>
            <charset val="134"/>
          </rPr>
          <t>列选择</t>
        </r>
        <r>
          <rPr>
            <sz val="9"/>
            <color indexed="81"/>
            <rFont val="Tahoma"/>
            <family val="2"/>
          </rPr>
          <t>“</t>
        </r>
        <r>
          <rPr>
            <sz val="9"/>
            <color indexed="81"/>
            <rFont val="宋体"/>
            <family val="3"/>
            <charset val="134"/>
          </rPr>
          <t>（</t>
        </r>
        <r>
          <rPr>
            <sz val="9"/>
            <color indexed="81"/>
            <rFont val="Tahoma"/>
            <family val="2"/>
          </rPr>
          <t>4</t>
        </r>
        <r>
          <rPr>
            <sz val="9"/>
            <color indexed="81"/>
            <rFont val="宋体"/>
            <family val="3"/>
            <charset val="134"/>
          </rPr>
          <t>）股票投资（深港通</t>
        </r>
        <r>
          <rPr>
            <sz val="9"/>
            <color indexed="81"/>
            <rFont val="Tahoma"/>
            <family val="2"/>
          </rPr>
          <t>H</t>
        </r>
        <r>
          <rPr>
            <sz val="9"/>
            <color indexed="81"/>
            <rFont val="宋体"/>
            <family val="3"/>
            <charset val="134"/>
          </rPr>
          <t>股投资）</t>
        </r>
        <r>
          <rPr>
            <sz val="9"/>
            <color indexed="81"/>
            <rFont val="Tahoma"/>
            <family val="2"/>
          </rPr>
          <t>”</t>
        </r>
        <r>
          <rPr>
            <sz val="9"/>
            <color indexed="81"/>
            <rFont val="宋体"/>
            <family val="3"/>
            <charset val="134"/>
          </rPr>
          <t>的行次，第</t>
        </r>
        <r>
          <rPr>
            <sz val="9"/>
            <color indexed="81"/>
            <rFont val="Tahoma"/>
            <family val="2"/>
          </rPr>
          <t>17</t>
        </r>
        <r>
          <rPr>
            <sz val="9"/>
            <color indexed="81"/>
            <rFont val="宋体"/>
            <family val="3"/>
            <charset val="134"/>
          </rPr>
          <t>列合计金额。</t>
        </r>
        <r>
          <rPr>
            <sz val="9"/>
            <color indexed="81"/>
            <rFont val="Tahoma"/>
            <family val="2"/>
          </rPr>
          <t xml:space="preserve">
</t>
        </r>
      </text>
    </comment>
    <comment ref="R26" authorId="1">
      <text>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列＝表</t>
        </r>
        <r>
          <rPr>
            <sz val="9"/>
            <color indexed="81"/>
            <rFont val="Tahoma"/>
            <family val="2"/>
          </rPr>
          <t>A107010</t>
        </r>
        <r>
          <rPr>
            <sz val="9"/>
            <color indexed="81"/>
            <rFont val="宋体"/>
            <family val="3"/>
            <charset val="134"/>
          </rPr>
          <t>第</t>
        </r>
        <r>
          <rPr>
            <sz val="9"/>
            <color indexed="81"/>
            <rFont val="Tahoma"/>
            <family val="2"/>
          </rPr>
          <t>5</t>
        </r>
        <r>
          <rPr>
            <sz val="9"/>
            <color indexed="81"/>
            <rFont val="宋体"/>
            <family val="3"/>
            <charset val="134"/>
          </rPr>
          <t>行。</t>
        </r>
        <r>
          <rPr>
            <sz val="9"/>
            <color indexed="81"/>
            <rFont val="Tahoma"/>
            <family val="2"/>
          </rPr>
          <t xml:space="preserve">
</t>
        </r>
      </text>
    </comment>
  </commentList>
</comments>
</file>

<file path=xl/comments36.xml><?xml version="1.0" encoding="utf-8"?>
<comments xmlns="http://schemas.openxmlformats.org/spreadsheetml/2006/main">
  <authors>
    <author>Zhang, Dorothy</author>
  </authors>
  <commentList>
    <comment ref="A2" authorId="0">
      <text>
        <r>
          <rPr>
            <sz val="9"/>
            <color indexed="81"/>
            <rFont val="宋体"/>
            <family val="3"/>
            <charset val="134"/>
          </rPr>
          <t>本表适用于享受研发费用加计扣除优惠（含结转）的纳税人填报。纳税人根据税法、《财政部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科技部关于完善研究开发费用税前加计扣除政策的通知》（财税〔</t>
        </r>
        <r>
          <rPr>
            <sz val="9"/>
            <color indexed="81"/>
            <rFont val="Tahoma"/>
            <family val="2"/>
          </rPr>
          <t>2015</t>
        </r>
        <r>
          <rPr>
            <sz val="9"/>
            <color indexed="81"/>
            <rFont val="宋体"/>
            <family val="3"/>
            <charset val="134"/>
          </rPr>
          <t>〕</t>
        </r>
        <r>
          <rPr>
            <sz val="9"/>
            <color indexed="81"/>
            <rFont val="Tahoma"/>
            <family val="2"/>
          </rPr>
          <t>119</t>
        </r>
        <r>
          <rPr>
            <sz val="9"/>
            <color indexed="81"/>
            <rFont val="宋体"/>
            <family val="3"/>
            <charset val="134"/>
          </rPr>
          <t>号）、《国家税务总局关于企业研究开发费用税前加计扣除政策有关问题的公告》（国家税务总局公告</t>
        </r>
        <r>
          <rPr>
            <sz val="9"/>
            <color indexed="81"/>
            <rFont val="Tahoma"/>
            <family val="2"/>
          </rPr>
          <t>2015</t>
        </r>
        <r>
          <rPr>
            <sz val="9"/>
            <color indexed="81"/>
            <rFont val="宋体"/>
            <family val="3"/>
            <charset val="134"/>
          </rPr>
          <t>年第</t>
        </r>
        <r>
          <rPr>
            <sz val="9"/>
            <color indexed="81"/>
            <rFont val="Tahoma"/>
            <family val="2"/>
          </rPr>
          <t>97</t>
        </r>
        <r>
          <rPr>
            <sz val="9"/>
            <color indexed="81"/>
            <rFont val="宋体"/>
            <family val="3"/>
            <charset val="134"/>
          </rPr>
          <t>号）、《财政部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科技部关于提高科技型中小企业研究开发费用税前加计扣除比例的通知》（财税〔</t>
        </r>
        <r>
          <rPr>
            <sz val="9"/>
            <color indexed="81"/>
            <rFont val="Tahoma"/>
            <family val="2"/>
          </rPr>
          <t>2017</t>
        </r>
        <r>
          <rPr>
            <sz val="9"/>
            <color indexed="81"/>
            <rFont val="宋体"/>
            <family val="3"/>
            <charset val="134"/>
          </rPr>
          <t>〕</t>
        </r>
        <r>
          <rPr>
            <sz val="9"/>
            <color indexed="81"/>
            <rFont val="Tahoma"/>
            <family val="2"/>
          </rPr>
          <t>34</t>
        </r>
        <r>
          <rPr>
            <sz val="9"/>
            <color indexed="81"/>
            <rFont val="宋体"/>
            <family val="3"/>
            <charset val="134"/>
          </rPr>
          <t>号）、《科技部</t>
        </r>
        <r>
          <rPr>
            <sz val="9"/>
            <color indexed="81"/>
            <rFont val="Tahoma"/>
            <family val="2"/>
          </rPr>
          <t xml:space="preserve"> </t>
        </r>
        <r>
          <rPr>
            <sz val="9"/>
            <color indexed="81"/>
            <rFont val="宋体"/>
            <family val="3"/>
            <charset val="134"/>
          </rPr>
          <t>财政部</t>
        </r>
        <r>
          <rPr>
            <sz val="9"/>
            <color indexed="81"/>
            <rFont val="Tahoma"/>
            <family val="2"/>
          </rPr>
          <t xml:space="preserve"> </t>
        </r>
        <r>
          <rPr>
            <sz val="9"/>
            <color indexed="81"/>
            <rFont val="宋体"/>
            <family val="3"/>
            <charset val="134"/>
          </rPr>
          <t>国家税务总局关于印发〈科技型中小企业评价办法〉的通知》（国科发政〔</t>
        </r>
        <r>
          <rPr>
            <sz val="9"/>
            <color indexed="81"/>
            <rFont val="Tahoma"/>
            <family val="2"/>
          </rPr>
          <t>2017</t>
        </r>
        <r>
          <rPr>
            <sz val="9"/>
            <color indexed="81"/>
            <rFont val="宋体"/>
            <family val="3"/>
            <charset val="134"/>
          </rPr>
          <t>〕</t>
        </r>
        <r>
          <rPr>
            <sz val="9"/>
            <color indexed="81"/>
            <rFont val="Tahoma"/>
            <family val="2"/>
          </rPr>
          <t>115</t>
        </r>
        <r>
          <rPr>
            <sz val="9"/>
            <color indexed="81"/>
            <rFont val="宋体"/>
            <family val="3"/>
            <charset val="134"/>
          </rPr>
          <t>号）、《国家税务总局关于提高科技型中小企业研究开发费用税前加计扣除比例有关问题的公告》（国家税务总局公告</t>
        </r>
        <r>
          <rPr>
            <sz val="9"/>
            <color indexed="81"/>
            <rFont val="Tahoma"/>
            <family val="2"/>
          </rPr>
          <t>2017</t>
        </r>
        <r>
          <rPr>
            <sz val="9"/>
            <color indexed="81"/>
            <rFont val="宋体"/>
            <family val="3"/>
            <charset val="134"/>
          </rPr>
          <t>年第</t>
        </r>
        <r>
          <rPr>
            <sz val="9"/>
            <color indexed="81"/>
            <rFont val="Tahoma"/>
            <family val="2"/>
          </rPr>
          <t>18</t>
        </r>
        <r>
          <rPr>
            <sz val="9"/>
            <color indexed="81"/>
            <rFont val="宋体"/>
            <family val="3"/>
            <charset val="134"/>
          </rPr>
          <t>号）、《国家税务总局关于研发费用税前加计扣除归集范围有关问题的公告》（国家税务总局公告</t>
        </r>
        <r>
          <rPr>
            <sz val="9"/>
            <color indexed="81"/>
            <rFont val="Tahoma"/>
            <family val="2"/>
          </rPr>
          <t>2017</t>
        </r>
        <r>
          <rPr>
            <sz val="9"/>
            <color indexed="81"/>
            <rFont val="宋体"/>
            <family val="3"/>
            <charset val="134"/>
          </rPr>
          <t>年第</t>
        </r>
        <r>
          <rPr>
            <sz val="9"/>
            <color indexed="81"/>
            <rFont val="Tahoma"/>
            <family val="2"/>
          </rPr>
          <t>40</t>
        </r>
        <r>
          <rPr>
            <sz val="9"/>
            <color indexed="81"/>
            <rFont val="宋体"/>
            <family val="3"/>
            <charset val="134"/>
          </rPr>
          <t>号）等相关税收政策规定，填报本年发生的研发费用加计扣除优惠情况及以前年度结转情况。</t>
        </r>
        <r>
          <rPr>
            <sz val="9"/>
            <color indexed="81"/>
            <rFont val="Tahoma"/>
            <family val="2"/>
          </rPr>
          <t xml:space="preserve">
</t>
        </r>
      </text>
    </comment>
    <comment ref="B4" authorId="0">
      <text>
        <r>
          <rPr>
            <sz val="9"/>
            <color indexed="81"/>
            <rFont val="宋体"/>
            <family val="3"/>
            <charset val="134"/>
          </rPr>
          <t>纳税人按照《科技部</t>
        </r>
        <r>
          <rPr>
            <sz val="9"/>
            <color indexed="81"/>
            <rFont val="Tahoma"/>
            <family val="2"/>
          </rPr>
          <t xml:space="preserve"> </t>
        </r>
        <r>
          <rPr>
            <sz val="9"/>
            <color indexed="81"/>
            <rFont val="宋体"/>
            <family val="3"/>
            <charset val="134"/>
          </rPr>
          <t>财政部</t>
        </r>
        <r>
          <rPr>
            <sz val="9"/>
            <color indexed="81"/>
            <rFont val="Tahoma"/>
            <family val="2"/>
          </rPr>
          <t xml:space="preserve"> </t>
        </r>
        <r>
          <rPr>
            <sz val="9"/>
            <color indexed="81"/>
            <rFont val="宋体"/>
            <family val="3"/>
            <charset val="134"/>
          </rPr>
          <t>国家税务总局关于印发</t>
        </r>
        <r>
          <rPr>
            <sz val="9"/>
            <color indexed="81"/>
            <rFont val="Tahoma"/>
            <family val="2"/>
          </rPr>
          <t>&lt;</t>
        </r>
        <r>
          <rPr>
            <sz val="9"/>
            <color indexed="81"/>
            <rFont val="宋体"/>
            <family val="3"/>
            <charset val="134"/>
          </rPr>
          <t>科技型中小企业评价办法</t>
        </r>
        <r>
          <rPr>
            <sz val="9"/>
            <color indexed="81"/>
            <rFont val="Tahoma"/>
            <family val="2"/>
          </rPr>
          <t>&gt;</t>
        </r>
        <r>
          <rPr>
            <sz val="9"/>
            <color indexed="81"/>
            <rFont val="宋体"/>
            <family val="3"/>
            <charset val="134"/>
          </rPr>
          <t>的通知》</t>
        </r>
        <r>
          <rPr>
            <sz val="9"/>
            <color indexed="81"/>
            <rFont val="Tahoma"/>
            <family val="2"/>
          </rPr>
          <t>(</t>
        </r>
        <r>
          <rPr>
            <sz val="9"/>
            <color indexed="81"/>
            <rFont val="宋体"/>
            <family val="3"/>
            <charset val="134"/>
          </rPr>
          <t>国科发政〔</t>
        </r>
        <r>
          <rPr>
            <sz val="9"/>
            <color indexed="81"/>
            <rFont val="Tahoma"/>
            <family val="2"/>
          </rPr>
          <t>2017</t>
        </r>
        <r>
          <rPr>
            <sz val="9"/>
            <color indexed="81"/>
            <rFont val="宋体"/>
            <family val="3"/>
            <charset val="134"/>
          </rPr>
          <t>〕</t>
        </r>
        <r>
          <rPr>
            <sz val="9"/>
            <color indexed="81"/>
            <rFont val="Tahoma"/>
            <family val="2"/>
          </rPr>
          <t>115</t>
        </r>
        <r>
          <rPr>
            <sz val="9"/>
            <color indexed="81"/>
            <rFont val="宋体"/>
            <family val="3"/>
            <charset val="134"/>
          </rPr>
          <t>号</t>
        </r>
        <r>
          <rPr>
            <sz val="9"/>
            <color indexed="81"/>
            <rFont val="Tahoma"/>
            <family val="2"/>
          </rPr>
          <t>)</t>
        </r>
        <r>
          <rPr>
            <sz val="9"/>
            <color indexed="81"/>
            <rFont val="宋体"/>
            <family val="3"/>
            <charset val="134"/>
          </rPr>
          <t>的相关规定，取得相应年度科技型中小企业登记编号的，选择</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并填写</t>
        </r>
        <r>
          <rPr>
            <sz val="9"/>
            <color indexed="81"/>
            <rFont val="Tahoma"/>
            <family val="2"/>
          </rPr>
          <t>“</t>
        </r>
        <r>
          <rPr>
            <sz val="9"/>
            <color indexed="81"/>
            <rFont val="宋体"/>
            <family val="3"/>
            <charset val="134"/>
          </rPr>
          <t>科技型中小企业登记编号</t>
        </r>
        <r>
          <rPr>
            <sz val="9"/>
            <color indexed="81"/>
            <rFont val="Tahoma"/>
            <family val="2"/>
          </rPr>
          <t>”</t>
        </r>
        <r>
          <rPr>
            <sz val="9"/>
            <color indexed="81"/>
            <rFont val="宋体"/>
            <family val="3"/>
            <charset val="134"/>
          </rPr>
          <t>，否则选择</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t>
        </r>
        <r>
          <rPr>
            <sz val="9"/>
            <color indexed="81"/>
            <rFont val="Tahoma"/>
            <family val="2"/>
          </rPr>
          <t xml:space="preserve">
</t>
        </r>
      </text>
    </comment>
    <comment ref="B5" authorId="0">
      <text>
        <r>
          <rPr>
            <sz val="9"/>
            <color indexed="81"/>
            <rFont val="宋体"/>
            <family val="3"/>
            <charset val="134"/>
          </rPr>
          <t>填报纳税人本年研发项目中可享受研发费用加计扣除优惠政策的项目数量。</t>
        </r>
        <r>
          <rPr>
            <sz val="9"/>
            <color indexed="81"/>
            <rFont val="Tahoma"/>
            <family val="2"/>
          </rPr>
          <t xml:space="preserve">
</t>
        </r>
      </text>
    </comment>
    <comment ref="B7" authorId="0">
      <text>
        <r>
          <rPr>
            <sz val="9"/>
            <color indexed="81"/>
            <rFont val="宋体"/>
            <family val="3"/>
            <charset val="134"/>
          </rPr>
          <t>填报第</t>
        </r>
        <r>
          <rPr>
            <sz val="9"/>
            <color indexed="81"/>
            <rFont val="Tahoma"/>
            <family val="2"/>
          </rPr>
          <t>4+8+17+20+24+35</t>
        </r>
        <r>
          <rPr>
            <sz val="9"/>
            <color indexed="81"/>
            <rFont val="宋体"/>
            <family val="3"/>
            <charset val="134"/>
          </rPr>
          <t>行的合计金额。</t>
        </r>
        <r>
          <rPr>
            <sz val="9"/>
            <color indexed="81"/>
            <rFont val="Tahoma"/>
            <family val="2"/>
          </rPr>
          <t xml:space="preserve">
</t>
        </r>
      </text>
    </comment>
    <comment ref="B8" authorId="0">
      <text>
        <r>
          <rPr>
            <sz val="9"/>
            <color indexed="81"/>
            <rFont val="宋体"/>
            <family val="3"/>
            <charset val="134"/>
          </rPr>
          <t>填报第</t>
        </r>
        <r>
          <rPr>
            <sz val="9"/>
            <color indexed="81"/>
            <rFont val="Tahoma"/>
            <family val="2"/>
          </rPr>
          <t>5+6+7</t>
        </r>
        <r>
          <rPr>
            <sz val="9"/>
            <color indexed="81"/>
            <rFont val="宋体"/>
            <family val="3"/>
            <charset val="134"/>
          </rPr>
          <t>行的合计金额。
直接从事研发活动的人员、外聘研发人员同时从事非研发活动的，填报按实际工时占比等合理方法分配的用于研发活动的相关费用。</t>
        </r>
        <r>
          <rPr>
            <sz val="9"/>
            <color indexed="81"/>
            <rFont val="Tahoma"/>
            <family val="2"/>
          </rPr>
          <t xml:space="preserve">
</t>
        </r>
      </text>
    </comment>
    <comment ref="B9" authorId="0">
      <text>
        <r>
          <rPr>
            <sz val="9"/>
            <color indexed="81"/>
            <rFont val="宋体"/>
            <family val="3"/>
            <charset val="134"/>
          </rPr>
          <t>填报纳税人直接从事研发活动人员包括研究人员、技术人员、辅助人员发生的工资、薪金、奖金、津贴、补贴以及按规定可以在税前扣除的对研发人员股权激励的支出。</t>
        </r>
        <r>
          <rPr>
            <sz val="9"/>
            <color indexed="81"/>
            <rFont val="Tahoma"/>
            <family val="2"/>
          </rPr>
          <t xml:space="preserve">
</t>
        </r>
      </text>
    </comment>
    <comment ref="B10" authorId="0">
      <text>
        <r>
          <rPr>
            <sz val="9"/>
            <color indexed="81"/>
            <rFont val="宋体"/>
            <family val="3"/>
            <charset val="134"/>
          </rPr>
          <t>填报纳税人直接从事研发活动人员包括研究人员、技术人员、辅助人员发生的基本养老保险费、基本医疗保险费、失业保险费、工伤保险费、生育保险费和住房公积金。</t>
        </r>
        <r>
          <rPr>
            <sz val="9"/>
            <color indexed="81"/>
            <rFont val="Tahoma"/>
            <family val="2"/>
          </rPr>
          <t xml:space="preserve">
</t>
        </r>
      </text>
    </comment>
    <comment ref="B11" authorId="0">
      <text>
        <r>
          <rPr>
            <sz val="9"/>
            <color indexed="81"/>
            <rFont val="宋体"/>
            <family val="3"/>
            <charset val="134"/>
          </rPr>
          <t>填报纳税人外聘研发人员发生的劳务费用或纳税人与劳务派遣企业签订研发人员劳务用工协议（合同）发生的劳务费用，以及临时聘用研发人员发生的劳务费用。</t>
        </r>
        <r>
          <rPr>
            <sz val="9"/>
            <color indexed="81"/>
            <rFont val="Tahoma"/>
            <family val="2"/>
          </rPr>
          <t xml:space="preserve">
</t>
        </r>
      </text>
    </comment>
    <comment ref="B12" authorId="0">
      <text>
        <r>
          <rPr>
            <sz val="9"/>
            <color indexed="81"/>
            <rFont val="宋体"/>
            <family val="3"/>
            <charset val="134"/>
          </rPr>
          <t>填报第</t>
        </r>
        <r>
          <rPr>
            <sz val="9"/>
            <color indexed="81"/>
            <rFont val="Tahoma"/>
            <family val="2"/>
          </rPr>
          <t>9+10+…+16</t>
        </r>
        <r>
          <rPr>
            <sz val="9"/>
            <color indexed="81"/>
            <rFont val="宋体"/>
            <family val="3"/>
            <charset val="134"/>
          </rPr>
          <t>行的合计金额。</t>
        </r>
        <r>
          <rPr>
            <sz val="9"/>
            <color indexed="81"/>
            <rFont val="Tahoma"/>
            <family val="2"/>
          </rPr>
          <t xml:space="preserve">
</t>
        </r>
      </text>
    </comment>
    <comment ref="B13" authorId="0">
      <text>
        <r>
          <rPr>
            <sz val="9"/>
            <color indexed="81"/>
            <rFont val="宋体"/>
            <family val="3"/>
            <charset val="134"/>
          </rPr>
          <t>填报纳税人研发活动直接消耗材料。</t>
        </r>
        <r>
          <rPr>
            <sz val="9"/>
            <color indexed="81"/>
            <rFont val="Tahoma"/>
            <family val="2"/>
          </rPr>
          <t xml:space="preserve">
</t>
        </r>
      </text>
    </comment>
    <comment ref="B14" authorId="0">
      <text>
        <r>
          <rPr>
            <sz val="9"/>
            <color indexed="81"/>
            <rFont val="宋体"/>
            <family val="3"/>
            <charset val="134"/>
          </rPr>
          <t>填报纳税人研发活动直接消耗燃料。</t>
        </r>
        <r>
          <rPr>
            <sz val="9"/>
            <color indexed="81"/>
            <rFont val="Tahoma"/>
            <family val="2"/>
          </rPr>
          <t xml:space="preserve">
</t>
        </r>
      </text>
    </comment>
    <comment ref="B15" authorId="0">
      <text>
        <r>
          <rPr>
            <sz val="9"/>
            <color indexed="81"/>
            <rFont val="宋体"/>
            <family val="3"/>
            <charset val="134"/>
          </rPr>
          <t>填报纳税人研发活动直接消耗的动力费用。</t>
        </r>
        <r>
          <rPr>
            <sz val="9"/>
            <color indexed="81"/>
            <rFont val="Tahoma"/>
            <family val="2"/>
          </rPr>
          <t xml:space="preserve">
</t>
        </r>
      </text>
    </comment>
    <comment ref="B16" authorId="0">
      <text>
        <r>
          <rPr>
            <sz val="9"/>
            <color indexed="81"/>
            <rFont val="宋体"/>
            <family val="3"/>
            <charset val="134"/>
          </rPr>
          <t>填报纳税人研发活动中用于中间试验和产品试制的模具、工艺装备开发及制造费。</t>
        </r>
        <r>
          <rPr>
            <sz val="9"/>
            <color indexed="81"/>
            <rFont val="Tahoma"/>
            <family val="2"/>
          </rPr>
          <t xml:space="preserve">
</t>
        </r>
      </text>
    </comment>
    <comment ref="B17" authorId="0">
      <text>
        <r>
          <rPr>
            <sz val="9"/>
            <color indexed="81"/>
            <rFont val="宋体"/>
            <family val="3"/>
            <charset val="134"/>
          </rPr>
          <t>填报纳税人研发活动中用于不构成固定资产的样品、样机及一般测试手段购置费。</t>
        </r>
        <r>
          <rPr>
            <sz val="9"/>
            <color indexed="81"/>
            <rFont val="Tahoma"/>
            <family val="2"/>
          </rPr>
          <t xml:space="preserve">
</t>
        </r>
      </text>
    </comment>
    <comment ref="B18" authorId="0">
      <text>
        <r>
          <rPr>
            <sz val="9"/>
            <color indexed="81"/>
            <rFont val="宋体"/>
            <family val="3"/>
            <charset val="134"/>
          </rPr>
          <t>填报纳税人研发活动中用于试制产品的检验费。</t>
        </r>
        <r>
          <rPr>
            <sz val="9"/>
            <color indexed="81"/>
            <rFont val="Tahoma"/>
            <family val="2"/>
          </rPr>
          <t xml:space="preserve">
</t>
        </r>
      </text>
    </comment>
    <comment ref="B19" authorId="0">
      <text>
        <r>
          <rPr>
            <sz val="9"/>
            <color indexed="81"/>
            <rFont val="宋体"/>
            <family val="3"/>
            <charset val="134"/>
          </rPr>
          <t>填报纳税人用于研发活动的仪器、设备的运行维护、调整、检验、维修等费用。</t>
        </r>
        <r>
          <rPr>
            <sz val="9"/>
            <color indexed="81"/>
            <rFont val="Tahoma"/>
            <family val="2"/>
          </rPr>
          <t xml:space="preserve">
</t>
        </r>
      </text>
    </comment>
    <comment ref="B20" authorId="0">
      <text>
        <r>
          <rPr>
            <sz val="9"/>
            <color indexed="81"/>
            <rFont val="宋体"/>
            <family val="3"/>
            <charset val="134"/>
          </rPr>
          <t>填报纳税人经营租赁方式租入的用于研发活动的仪器、设备租赁费。以经营租赁方式租入的用于研发活动的仪器、设备，同时用于非研发活动的，填报按实际工时占比等合理方法分配的用于研发活动的相关费用。</t>
        </r>
        <r>
          <rPr>
            <sz val="9"/>
            <color indexed="81"/>
            <rFont val="Tahoma"/>
            <family val="2"/>
          </rPr>
          <t xml:space="preserve">
</t>
        </r>
      </text>
    </comment>
    <comment ref="B21" authorId="0">
      <text>
        <r>
          <rPr>
            <sz val="9"/>
            <color indexed="81"/>
            <rFont val="宋体"/>
            <family val="3"/>
            <charset val="134"/>
          </rPr>
          <t>填报第</t>
        </r>
        <r>
          <rPr>
            <sz val="9"/>
            <color indexed="81"/>
            <rFont val="Tahoma"/>
            <family val="2"/>
          </rPr>
          <t>18+19</t>
        </r>
        <r>
          <rPr>
            <sz val="9"/>
            <color indexed="81"/>
            <rFont val="宋体"/>
            <family val="3"/>
            <charset val="134"/>
          </rPr>
          <t xml:space="preserve">行的合计金额。
用于研发活动的仪器、设备，同时用于非研发活动的，填报按实际工时占比等合理方法分配的用于研发活动的相关费用。
纳税人用于研发活动的仪器、设备，符合税收规定且选择加速折旧优惠政策的，在享受研发费用税前加计扣除政策时，就税前扣除的折旧部分填报。
</t>
        </r>
        <r>
          <rPr>
            <sz val="9"/>
            <color indexed="81"/>
            <rFont val="Tahoma"/>
            <family val="2"/>
          </rPr>
          <t xml:space="preserve">
</t>
        </r>
      </text>
    </comment>
    <comment ref="B22" authorId="0">
      <text>
        <r>
          <rPr>
            <sz val="9"/>
            <color indexed="81"/>
            <rFont val="宋体"/>
            <family val="3"/>
            <charset val="134"/>
          </rPr>
          <t>填报纳税人用于研发活动的仪器的折旧费。</t>
        </r>
        <r>
          <rPr>
            <sz val="9"/>
            <color indexed="81"/>
            <rFont val="Tahoma"/>
            <family val="2"/>
          </rPr>
          <t xml:space="preserve">
</t>
        </r>
      </text>
    </comment>
    <comment ref="B23" authorId="0">
      <text>
        <r>
          <rPr>
            <sz val="9"/>
            <color indexed="81"/>
            <rFont val="宋体"/>
            <family val="3"/>
            <charset val="134"/>
          </rPr>
          <t>填报纳税人用于研发活动的设备的折旧费。</t>
        </r>
        <r>
          <rPr>
            <sz val="9"/>
            <color indexed="81"/>
            <rFont val="Tahoma"/>
            <family val="2"/>
          </rPr>
          <t xml:space="preserve">
</t>
        </r>
      </text>
    </comment>
    <comment ref="B24" authorId="0">
      <text>
        <r>
          <rPr>
            <sz val="9"/>
            <color indexed="81"/>
            <rFont val="宋体"/>
            <family val="3"/>
            <charset val="134"/>
          </rPr>
          <t>填报第</t>
        </r>
        <r>
          <rPr>
            <sz val="9"/>
            <color indexed="81"/>
            <rFont val="Tahoma"/>
            <family val="2"/>
          </rPr>
          <t>21+22+23</t>
        </r>
        <r>
          <rPr>
            <sz val="9"/>
            <color indexed="81"/>
            <rFont val="宋体"/>
            <family val="3"/>
            <charset val="134"/>
          </rPr>
          <t xml:space="preserve">行的合计金额。
用于研发活动的无形资产，同时用于非研发活动的，填报按实际工时占比等合理方法在研发费用和生产经营费用间分配的用于研发活动的相关费用。
纳税人用于研发活动的无形资产，符合税收规定且选择加速摊销优惠政策的，在享受研发费用税前加计扣除政策时，就税前扣除的摊销部分填报。
</t>
        </r>
        <r>
          <rPr>
            <sz val="9"/>
            <color indexed="81"/>
            <rFont val="Tahoma"/>
            <family val="2"/>
          </rPr>
          <t xml:space="preserve">
</t>
        </r>
      </text>
    </comment>
    <comment ref="B25" authorId="0">
      <text>
        <r>
          <rPr>
            <sz val="9"/>
            <color indexed="81"/>
            <rFont val="宋体"/>
            <family val="3"/>
            <charset val="134"/>
          </rPr>
          <t>填报纳税人用于研发活动的软件的摊销费用。</t>
        </r>
        <r>
          <rPr>
            <sz val="9"/>
            <color indexed="81"/>
            <rFont val="Tahoma"/>
            <family val="2"/>
          </rPr>
          <t xml:space="preserve">
</t>
        </r>
      </text>
    </comment>
    <comment ref="B26" authorId="0">
      <text>
        <r>
          <rPr>
            <sz val="9"/>
            <color indexed="81"/>
            <rFont val="宋体"/>
            <family val="3"/>
            <charset val="134"/>
          </rPr>
          <t>填报纳税人用于研发活动的专利权的摊销费用。</t>
        </r>
        <r>
          <rPr>
            <sz val="9"/>
            <color indexed="81"/>
            <rFont val="Tahoma"/>
            <family val="2"/>
          </rPr>
          <t xml:space="preserve">
</t>
        </r>
      </text>
    </comment>
    <comment ref="B27" authorId="0">
      <text>
        <r>
          <rPr>
            <sz val="9"/>
            <color indexed="81"/>
            <rFont val="宋体"/>
            <family val="3"/>
            <charset val="134"/>
          </rPr>
          <t>填报纳税人用于研发活动的非专利技术（包括许可证、专有技术、设计和计算方法等）的摊销费用。</t>
        </r>
        <r>
          <rPr>
            <sz val="9"/>
            <color indexed="81"/>
            <rFont val="Tahoma"/>
            <family val="2"/>
          </rPr>
          <t xml:space="preserve">
</t>
        </r>
      </text>
    </comment>
    <comment ref="B28" authorId="0">
      <text>
        <r>
          <rPr>
            <sz val="9"/>
            <color indexed="81"/>
            <rFont val="宋体"/>
            <family val="3"/>
            <charset val="134"/>
          </rPr>
          <t>填报第</t>
        </r>
        <r>
          <rPr>
            <sz val="9"/>
            <color indexed="81"/>
            <rFont val="Tahoma"/>
            <family val="2"/>
          </rPr>
          <t>25+26+27+28</t>
        </r>
        <r>
          <rPr>
            <sz val="9"/>
            <color indexed="81"/>
            <rFont val="宋体"/>
            <family val="3"/>
            <charset val="134"/>
          </rPr>
          <t>行的合计金额。新产品设计费、新工艺规程制定费、新药研制的临床试验费、勘探开发技术的现场试验费等。由辅助生产部门提供的，期末按照一定的分配标准分配给研发项目的金额填报。</t>
        </r>
        <r>
          <rPr>
            <sz val="9"/>
            <color indexed="81"/>
            <rFont val="Tahoma"/>
            <family val="2"/>
          </rPr>
          <t xml:space="preserve">
</t>
        </r>
      </text>
    </comment>
    <comment ref="B29" authorId="0">
      <text>
        <r>
          <rPr>
            <sz val="9"/>
            <color indexed="81"/>
            <rFont val="宋体"/>
            <family val="3"/>
            <charset val="134"/>
          </rPr>
          <t>填报纳税人研发活动中发生的新产品设计费。</t>
        </r>
        <r>
          <rPr>
            <sz val="9"/>
            <color indexed="81"/>
            <rFont val="Tahoma"/>
            <family val="2"/>
          </rPr>
          <t xml:space="preserve">
</t>
        </r>
      </text>
    </comment>
    <comment ref="B30" authorId="0">
      <text>
        <r>
          <rPr>
            <sz val="9"/>
            <color indexed="81"/>
            <rFont val="宋体"/>
            <family val="3"/>
            <charset val="134"/>
          </rPr>
          <t>填报纳税人研发活动中发生的新工艺规程制定费。</t>
        </r>
        <r>
          <rPr>
            <sz val="9"/>
            <color indexed="81"/>
            <rFont val="Tahoma"/>
            <family val="2"/>
          </rPr>
          <t xml:space="preserve">
</t>
        </r>
      </text>
    </comment>
    <comment ref="B31" authorId="0">
      <text>
        <r>
          <rPr>
            <sz val="9"/>
            <color indexed="81"/>
            <rFont val="宋体"/>
            <family val="3"/>
            <charset val="134"/>
          </rPr>
          <t>填报纳税人研发活动中发生的新药研制的临床试验费。</t>
        </r>
        <r>
          <rPr>
            <sz val="9"/>
            <color indexed="81"/>
            <rFont val="Tahoma"/>
            <family val="2"/>
          </rPr>
          <t xml:space="preserve">
</t>
        </r>
      </text>
    </comment>
    <comment ref="B32" authorId="0">
      <text>
        <r>
          <rPr>
            <sz val="9"/>
            <color indexed="81"/>
            <rFont val="宋体"/>
            <family val="3"/>
            <charset val="134"/>
          </rPr>
          <t>填报纳税人研发活动中发生的勘探开发技术的现场试验费。</t>
        </r>
        <r>
          <rPr>
            <sz val="9"/>
            <color indexed="81"/>
            <rFont val="Tahoma"/>
            <family val="2"/>
          </rPr>
          <t xml:space="preserve">
</t>
        </r>
      </text>
    </comment>
    <comment ref="B33" authorId="0">
      <text>
        <r>
          <rPr>
            <sz val="9"/>
            <color indexed="81"/>
            <rFont val="宋体"/>
            <family val="3"/>
            <charset val="134"/>
          </rPr>
          <t>填报第</t>
        </r>
        <r>
          <rPr>
            <sz val="9"/>
            <color indexed="81"/>
            <rFont val="Tahoma"/>
            <family val="2"/>
          </rPr>
          <t>30+31+32+33+34</t>
        </r>
        <r>
          <rPr>
            <sz val="9"/>
            <color indexed="81"/>
            <rFont val="宋体"/>
            <family val="3"/>
            <charset val="134"/>
          </rPr>
          <t>行的合计金额。</t>
        </r>
        <r>
          <rPr>
            <sz val="9"/>
            <color indexed="81"/>
            <rFont val="Tahoma"/>
            <family val="2"/>
          </rPr>
          <t xml:space="preserve">
</t>
        </r>
      </text>
    </comment>
    <comment ref="B34" authorId="0">
      <text>
        <r>
          <rPr>
            <sz val="9"/>
            <color indexed="81"/>
            <rFont val="宋体"/>
            <family val="3"/>
            <charset val="134"/>
          </rPr>
          <t>填报纳税人研发活动中发生的技术图书资料费、资料翻译费、专家咨询费、高新科技研发保险费。</t>
        </r>
        <r>
          <rPr>
            <sz val="9"/>
            <color indexed="81"/>
            <rFont val="Tahoma"/>
            <family val="2"/>
          </rPr>
          <t xml:space="preserve">
</t>
        </r>
      </text>
    </comment>
    <comment ref="B35" authorId="0">
      <text>
        <r>
          <rPr>
            <sz val="9"/>
            <color indexed="81"/>
            <rFont val="宋体"/>
            <family val="3"/>
            <charset val="134"/>
          </rPr>
          <t>填报纳税人研发活动中发生的对研发成果的检索、分析、评议、论证、鉴定、评审、评估、验收费用。</t>
        </r>
        <r>
          <rPr>
            <sz val="9"/>
            <color indexed="81"/>
            <rFont val="Tahoma"/>
            <family val="2"/>
          </rPr>
          <t xml:space="preserve">
</t>
        </r>
      </text>
    </comment>
    <comment ref="B36" authorId="0">
      <text>
        <r>
          <rPr>
            <sz val="9"/>
            <color indexed="81"/>
            <rFont val="宋体"/>
            <family val="3"/>
            <charset val="134"/>
          </rPr>
          <t>填报纳税人研发活动中发生的知识产权的申请费、注册费、代理费。</t>
        </r>
        <r>
          <rPr>
            <sz val="9"/>
            <color indexed="81"/>
            <rFont val="Tahoma"/>
            <family val="2"/>
          </rPr>
          <t xml:space="preserve">
</t>
        </r>
      </text>
    </comment>
    <comment ref="B37" authorId="0">
      <text>
        <r>
          <rPr>
            <sz val="9"/>
            <color indexed="81"/>
            <rFont val="宋体"/>
            <family val="3"/>
            <charset val="134"/>
          </rPr>
          <t>填报纳税人研发活动人员发生的职工福利费、补充养老保险费、补充医疗保险费。</t>
        </r>
        <r>
          <rPr>
            <sz val="9"/>
            <color indexed="81"/>
            <rFont val="Tahoma"/>
            <family val="2"/>
          </rPr>
          <t xml:space="preserve">
</t>
        </r>
      </text>
    </comment>
    <comment ref="B38" authorId="0">
      <text>
        <r>
          <rPr>
            <sz val="9"/>
            <color indexed="81"/>
            <rFont val="宋体"/>
            <family val="3"/>
            <charset val="134"/>
          </rPr>
          <t>填报纳税人研发活动发生的差旅费、会议费。</t>
        </r>
        <r>
          <rPr>
            <sz val="9"/>
            <color indexed="81"/>
            <rFont val="Tahoma"/>
            <family val="2"/>
          </rPr>
          <t xml:space="preserve">
</t>
        </r>
      </text>
    </comment>
    <comment ref="B39" authorId="0">
      <text>
        <r>
          <rPr>
            <sz val="9"/>
            <color indexed="81"/>
            <rFont val="宋体"/>
            <family val="3"/>
            <charset val="134"/>
          </rPr>
          <t>根据研发活动分析汇总填报。</t>
        </r>
        <r>
          <rPr>
            <sz val="9"/>
            <color indexed="81"/>
            <rFont val="Tahoma"/>
            <family val="2"/>
          </rPr>
          <t xml:space="preserve">
</t>
        </r>
      </text>
    </comment>
    <comment ref="B40" authorId="0">
      <text>
        <r>
          <rPr>
            <sz val="9"/>
            <color indexed="81"/>
            <rFont val="宋体"/>
            <family val="3"/>
            <charset val="134"/>
          </rPr>
          <t>填报</t>
        </r>
        <r>
          <rPr>
            <sz val="9"/>
            <color indexed="81"/>
            <rFont val="Tahoma"/>
            <family val="2"/>
          </rPr>
          <t>(37-38)</t>
        </r>
        <r>
          <rPr>
            <sz val="9"/>
            <color indexed="81"/>
            <rFont val="宋体"/>
            <family val="3"/>
            <charset val="134"/>
          </rPr>
          <t>行</t>
        </r>
        <r>
          <rPr>
            <sz val="9"/>
            <color indexed="81"/>
            <rFont val="Tahoma"/>
            <family val="2"/>
          </rPr>
          <t>×80%</t>
        </r>
        <r>
          <rPr>
            <sz val="9"/>
            <color indexed="81"/>
            <rFont val="宋体"/>
            <family val="3"/>
            <charset val="134"/>
          </rPr>
          <t>的金额。</t>
        </r>
        <r>
          <rPr>
            <sz val="9"/>
            <color indexed="81"/>
            <rFont val="Tahoma"/>
            <family val="2"/>
          </rPr>
          <t xml:space="preserve">
</t>
        </r>
      </text>
    </comment>
    <comment ref="B41" authorId="0">
      <text>
        <r>
          <rPr>
            <sz val="9"/>
            <color indexed="81"/>
            <rFont val="宋体"/>
            <family val="3"/>
            <charset val="134"/>
          </rPr>
          <t>填报纳税人研发项目委托外部机构或个人所发生的费用。</t>
        </r>
        <r>
          <rPr>
            <sz val="9"/>
            <color indexed="81"/>
            <rFont val="Tahoma"/>
            <family val="2"/>
          </rPr>
          <t xml:space="preserve">
</t>
        </r>
      </text>
    </comment>
    <comment ref="B42" authorId="0">
      <text>
        <r>
          <rPr>
            <sz val="9"/>
            <color indexed="81"/>
            <rFont val="宋体"/>
            <family val="3"/>
            <charset val="134"/>
          </rPr>
          <t>填报纳税人研发项目委托境外进行研发活动所发生的费用。</t>
        </r>
        <r>
          <rPr>
            <sz val="9"/>
            <color indexed="81"/>
            <rFont val="Tahoma"/>
            <family val="2"/>
          </rPr>
          <t xml:space="preserve">
</t>
        </r>
      </text>
    </comment>
    <comment ref="B43" authorId="0">
      <text>
        <r>
          <rPr>
            <sz val="9"/>
            <color indexed="81"/>
            <rFont val="宋体"/>
            <family val="3"/>
            <charset val="134"/>
          </rPr>
          <t>填报第</t>
        </r>
        <r>
          <rPr>
            <sz val="9"/>
            <color indexed="81"/>
            <rFont val="Tahoma"/>
            <family val="2"/>
          </rPr>
          <t>3+36</t>
        </r>
        <r>
          <rPr>
            <sz val="9"/>
            <color indexed="81"/>
            <rFont val="宋体"/>
            <family val="3"/>
            <charset val="134"/>
          </rPr>
          <t>行的合计金额。</t>
        </r>
        <r>
          <rPr>
            <sz val="9"/>
            <color indexed="81"/>
            <rFont val="Tahoma"/>
            <family val="2"/>
          </rPr>
          <t xml:space="preserve">
</t>
        </r>
      </text>
    </comment>
    <comment ref="B44" authorId="0">
      <text>
        <r>
          <rPr>
            <sz val="9"/>
            <color indexed="81"/>
            <rFont val="宋体"/>
            <family val="3"/>
            <charset val="134"/>
          </rPr>
          <t>填报按第</t>
        </r>
        <r>
          <rPr>
            <sz val="9"/>
            <color indexed="81"/>
            <rFont val="Tahoma"/>
            <family val="2"/>
          </rPr>
          <t>39</t>
        </r>
        <r>
          <rPr>
            <sz val="9"/>
            <color indexed="81"/>
            <rFont val="宋体"/>
            <family val="3"/>
            <charset val="134"/>
          </rPr>
          <t>行归集的本年费用化部分金额。</t>
        </r>
        <r>
          <rPr>
            <sz val="9"/>
            <color indexed="81"/>
            <rFont val="Tahoma"/>
            <family val="2"/>
          </rPr>
          <t xml:space="preserve">
</t>
        </r>
      </text>
    </comment>
    <comment ref="B45" authorId="0">
      <text>
        <r>
          <rPr>
            <sz val="9"/>
            <color indexed="81"/>
            <rFont val="宋体"/>
            <family val="3"/>
            <charset val="134"/>
          </rPr>
          <t>填报纳税人研发活动本年结转无形资产的金额。</t>
        </r>
        <r>
          <rPr>
            <sz val="9"/>
            <color indexed="81"/>
            <rFont val="Tahoma"/>
            <family val="2"/>
          </rPr>
          <t xml:space="preserve">
</t>
        </r>
      </text>
    </comment>
    <comment ref="B46" authorId="0">
      <text>
        <r>
          <rPr>
            <sz val="9"/>
            <color indexed="81"/>
            <rFont val="宋体"/>
            <family val="3"/>
            <charset val="134"/>
          </rPr>
          <t>填报纳税人研发活动本年形成无形资产的摊销额。</t>
        </r>
        <r>
          <rPr>
            <sz val="9"/>
            <color indexed="81"/>
            <rFont val="Tahoma"/>
            <family val="2"/>
          </rPr>
          <t xml:space="preserve">
</t>
        </r>
      </text>
    </comment>
    <comment ref="B47" authorId="0">
      <text>
        <r>
          <rPr>
            <sz val="9"/>
            <color indexed="81"/>
            <rFont val="宋体"/>
            <family val="3"/>
            <charset val="134"/>
          </rPr>
          <t>填报纳税人研发活动以前年度形成无形资产本年摊销额。</t>
        </r>
        <r>
          <rPr>
            <sz val="9"/>
            <color indexed="81"/>
            <rFont val="Tahoma"/>
            <family val="2"/>
          </rPr>
          <t xml:space="preserve">
</t>
        </r>
      </text>
    </comment>
    <comment ref="B48" authorId="0">
      <text>
        <r>
          <rPr>
            <sz val="9"/>
            <color indexed="81"/>
            <rFont val="宋体"/>
            <family val="3"/>
            <charset val="134"/>
          </rPr>
          <t>填报第</t>
        </r>
        <r>
          <rPr>
            <sz val="9"/>
            <color indexed="81"/>
            <rFont val="Tahoma"/>
            <family val="2"/>
          </rPr>
          <t>40+42+43</t>
        </r>
        <r>
          <rPr>
            <sz val="9"/>
            <color indexed="81"/>
            <rFont val="宋体"/>
            <family val="3"/>
            <charset val="134"/>
          </rPr>
          <t>行的合计金额。</t>
        </r>
        <r>
          <rPr>
            <sz val="9"/>
            <color indexed="81"/>
            <rFont val="Tahoma"/>
            <family val="2"/>
          </rPr>
          <t xml:space="preserve">
</t>
        </r>
      </text>
    </comment>
    <comment ref="B49" authorId="0">
      <text>
        <r>
          <rPr>
            <sz val="9"/>
            <color indexed="81"/>
            <rFont val="宋体"/>
            <family val="3"/>
            <charset val="134"/>
          </rPr>
          <t>填报纳税人已归集计入研发费用，但在当期取得的研发过程中形成的下脚料、残次品、中间试制品等特殊收入。</t>
        </r>
        <r>
          <rPr>
            <sz val="9"/>
            <color indexed="81"/>
            <rFont val="Tahoma"/>
            <family val="2"/>
          </rPr>
          <t xml:space="preserve">
</t>
        </r>
      </text>
    </comment>
    <comment ref="B50" authorId="0">
      <text>
        <r>
          <rPr>
            <sz val="9"/>
            <color indexed="81"/>
            <rFont val="宋体"/>
            <family val="3"/>
            <charset val="134"/>
          </rPr>
          <t>填报第</t>
        </r>
        <r>
          <rPr>
            <sz val="9"/>
            <color indexed="81"/>
            <rFont val="Tahoma"/>
            <family val="2"/>
          </rPr>
          <t>44-45</t>
        </r>
        <r>
          <rPr>
            <sz val="9"/>
            <color indexed="81"/>
            <rFont val="宋体"/>
            <family val="3"/>
            <charset val="134"/>
          </rPr>
          <t>行的余额。</t>
        </r>
        <r>
          <rPr>
            <sz val="9"/>
            <color indexed="81"/>
            <rFont val="Tahoma"/>
            <family val="2"/>
          </rPr>
          <t xml:space="preserve">
</t>
        </r>
      </text>
    </comment>
    <comment ref="B51" authorId="0">
      <text>
        <r>
          <rPr>
            <sz val="9"/>
            <color indexed="81"/>
            <rFont val="宋体"/>
            <family val="3"/>
            <charset val="134"/>
          </rPr>
          <t>填报纳税人当年销售研发活动直接形成产品（包括组成部分）对应的材料部分。</t>
        </r>
        <r>
          <rPr>
            <sz val="9"/>
            <color indexed="81"/>
            <rFont val="Tahoma"/>
            <family val="2"/>
          </rPr>
          <t xml:space="preserve"> 
</t>
        </r>
      </text>
    </comment>
    <comment ref="B52" authorId="0">
      <text>
        <r>
          <rPr>
            <sz val="9"/>
            <color indexed="81"/>
            <rFont val="宋体"/>
            <family val="3"/>
            <charset val="134"/>
          </rPr>
          <t>填报纳税人以前年度销售研发活动直接形成产品（包括组成部分）对应材料部分结转金额。</t>
        </r>
        <r>
          <rPr>
            <sz val="9"/>
            <color indexed="81"/>
            <rFont val="Tahoma"/>
            <family val="2"/>
          </rPr>
          <t xml:space="preserve">
</t>
        </r>
      </text>
    </comment>
    <comment ref="B53" authorId="0">
      <text>
        <r>
          <rPr>
            <sz val="9"/>
            <color indexed="81"/>
            <rFont val="宋体"/>
            <family val="3"/>
            <charset val="134"/>
          </rPr>
          <t>纳税人为科技型中小企业的填报</t>
        </r>
        <r>
          <rPr>
            <sz val="9"/>
            <color indexed="81"/>
            <rFont val="Tahoma"/>
            <family val="2"/>
          </rPr>
          <t>75%</t>
        </r>
        <r>
          <rPr>
            <sz val="9"/>
            <color indexed="81"/>
            <rFont val="宋体"/>
            <family val="3"/>
            <charset val="134"/>
          </rPr>
          <t>，其他企业填报</t>
        </r>
        <r>
          <rPr>
            <sz val="9"/>
            <color indexed="81"/>
            <rFont val="Tahoma"/>
            <family val="2"/>
          </rPr>
          <t>50%</t>
        </r>
        <r>
          <rPr>
            <sz val="9"/>
            <color indexed="81"/>
            <rFont val="宋体"/>
            <family val="3"/>
            <charset val="134"/>
          </rPr>
          <t>。</t>
        </r>
      </text>
    </comment>
    <comment ref="B54" authorId="0">
      <text>
        <r>
          <rPr>
            <sz val="9"/>
            <color indexed="81"/>
            <rFont val="宋体"/>
            <family val="3"/>
            <charset val="134"/>
          </rPr>
          <t>填报第（</t>
        </r>
        <r>
          <rPr>
            <sz val="9"/>
            <color indexed="81"/>
            <rFont val="Tahoma"/>
            <family val="2"/>
          </rPr>
          <t>46-47-48</t>
        </r>
        <r>
          <rPr>
            <sz val="9"/>
            <color indexed="81"/>
            <rFont val="宋体"/>
            <family val="3"/>
            <charset val="134"/>
          </rPr>
          <t>）</t>
        </r>
        <r>
          <rPr>
            <sz val="9"/>
            <color indexed="81"/>
            <rFont val="Tahoma"/>
            <family val="2"/>
          </rPr>
          <t>×49</t>
        </r>
        <r>
          <rPr>
            <sz val="9"/>
            <color indexed="81"/>
            <rFont val="宋体"/>
            <family val="3"/>
            <charset val="134"/>
          </rPr>
          <t>行的金额，当</t>
        </r>
        <r>
          <rPr>
            <sz val="9"/>
            <color indexed="81"/>
            <rFont val="Tahoma"/>
            <family val="2"/>
          </rPr>
          <t>46-47-48</t>
        </r>
        <r>
          <rPr>
            <sz val="9"/>
            <color indexed="81"/>
            <rFont val="宋体"/>
            <family val="3"/>
            <charset val="134"/>
          </rPr>
          <t>＜</t>
        </r>
        <r>
          <rPr>
            <sz val="9"/>
            <color indexed="81"/>
            <rFont val="Tahoma"/>
            <family val="2"/>
          </rPr>
          <t>0</t>
        </r>
        <r>
          <rPr>
            <sz val="9"/>
            <color indexed="81"/>
            <rFont val="宋体"/>
            <family val="3"/>
            <charset val="134"/>
          </rPr>
          <t>时，本行＝</t>
        </r>
        <r>
          <rPr>
            <sz val="9"/>
            <color indexed="81"/>
            <rFont val="Tahoma"/>
            <family val="2"/>
          </rPr>
          <t>0</t>
        </r>
        <r>
          <rPr>
            <sz val="9"/>
            <color indexed="81"/>
            <rFont val="宋体"/>
            <family val="3"/>
            <charset val="134"/>
          </rPr>
          <t>。</t>
        </r>
        <r>
          <rPr>
            <sz val="9"/>
            <color indexed="81"/>
            <rFont val="Tahoma"/>
            <family val="2"/>
          </rPr>
          <t xml:space="preserve">
</t>
        </r>
      </text>
    </comment>
    <comment ref="D54" authorId="0">
      <text>
        <r>
          <rPr>
            <sz val="9"/>
            <color indexed="81"/>
            <rFont val="宋体"/>
            <family val="3"/>
            <charset val="134"/>
          </rPr>
          <t>当</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时，第</t>
        </r>
        <r>
          <rPr>
            <sz val="9"/>
            <color indexed="81"/>
            <rFont val="Tahoma"/>
            <family val="2"/>
          </rPr>
          <t>50</t>
        </r>
        <r>
          <rPr>
            <sz val="9"/>
            <color indexed="81"/>
            <rFont val="宋体"/>
            <family val="3"/>
            <charset val="134"/>
          </rPr>
          <t>行＝表</t>
        </r>
        <r>
          <rPr>
            <sz val="9"/>
            <color indexed="81"/>
            <rFont val="Tahoma"/>
            <family val="2"/>
          </rPr>
          <t>A107010</t>
        </r>
        <r>
          <rPr>
            <sz val="9"/>
            <color indexed="81"/>
            <rFont val="宋体"/>
            <family val="3"/>
            <charset val="134"/>
          </rPr>
          <t>第</t>
        </r>
        <r>
          <rPr>
            <sz val="9"/>
            <color indexed="81"/>
            <rFont val="Tahoma"/>
            <family val="2"/>
          </rPr>
          <t>26</t>
        </r>
        <r>
          <rPr>
            <sz val="9"/>
            <color indexed="81"/>
            <rFont val="宋体"/>
            <family val="3"/>
            <charset val="134"/>
          </rPr>
          <t xml:space="preserve">行。
</t>
        </r>
        <r>
          <rPr>
            <sz val="9"/>
            <color indexed="81"/>
            <rFont val="Tahoma"/>
            <family val="2"/>
          </rPr>
          <t>2.</t>
        </r>
        <r>
          <rPr>
            <sz val="9"/>
            <color indexed="81"/>
            <rFont val="宋体"/>
            <family val="3"/>
            <charset val="134"/>
          </rPr>
          <t>当</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为</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时，第</t>
        </r>
        <r>
          <rPr>
            <sz val="9"/>
            <color indexed="81"/>
            <rFont val="Tahoma"/>
            <family val="2"/>
          </rPr>
          <t>50</t>
        </r>
        <r>
          <rPr>
            <sz val="9"/>
            <color indexed="81"/>
            <rFont val="宋体"/>
            <family val="3"/>
            <charset val="134"/>
          </rPr>
          <t>行＝表</t>
        </r>
        <r>
          <rPr>
            <sz val="9"/>
            <color indexed="81"/>
            <rFont val="Tahoma"/>
            <family val="2"/>
          </rPr>
          <t>A107010</t>
        </r>
        <r>
          <rPr>
            <sz val="9"/>
            <color indexed="81"/>
            <rFont val="宋体"/>
            <family val="3"/>
            <charset val="134"/>
          </rPr>
          <t>第</t>
        </r>
        <r>
          <rPr>
            <sz val="9"/>
            <color indexed="81"/>
            <rFont val="Tahoma"/>
            <family val="2"/>
          </rPr>
          <t>27</t>
        </r>
        <r>
          <rPr>
            <sz val="9"/>
            <color indexed="81"/>
            <rFont val="宋体"/>
            <family val="3"/>
            <charset val="134"/>
          </rPr>
          <t>行。</t>
        </r>
        <r>
          <rPr>
            <sz val="9"/>
            <color indexed="81"/>
            <rFont val="Tahoma"/>
            <family val="2"/>
          </rPr>
          <t xml:space="preserve">
</t>
        </r>
      </text>
    </comment>
    <comment ref="B55" authorId="0">
      <text>
        <r>
          <rPr>
            <sz val="9"/>
            <color indexed="81"/>
            <rFont val="宋体"/>
            <family val="3"/>
            <charset val="134"/>
          </rPr>
          <t>若第</t>
        </r>
        <r>
          <rPr>
            <sz val="9"/>
            <color indexed="81"/>
            <rFont val="Tahoma"/>
            <family val="2"/>
          </rPr>
          <t>46-47-48</t>
        </r>
        <r>
          <rPr>
            <sz val="9"/>
            <color indexed="81"/>
            <rFont val="宋体"/>
            <family val="3"/>
            <charset val="134"/>
          </rPr>
          <t>行≥</t>
        </r>
        <r>
          <rPr>
            <sz val="9"/>
            <color indexed="81"/>
            <rFont val="Tahoma"/>
            <family val="2"/>
          </rPr>
          <t>0</t>
        </r>
        <r>
          <rPr>
            <sz val="9"/>
            <color indexed="81"/>
            <rFont val="宋体"/>
            <family val="3"/>
            <charset val="134"/>
          </rPr>
          <t>，本行＝</t>
        </r>
        <r>
          <rPr>
            <sz val="9"/>
            <color indexed="81"/>
            <rFont val="Tahoma"/>
            <family val="2"/>
          </rPr>
          <t>0</t>
        </r>
        <r>
          <rPr>
            <sz val="9"/>
            <color indexed="81"/>
            <rFont val="宋体"/>
            <family val="3"/>
            <charset val="134"/>
          </rPr>
          <t>；若第</t>
        </r>
        <r>
          <rPr>
            <sz val="9"/>
            <color indexed="81"/>
            <rFont val="Tahoma"/>
            <family val="2"/>
          </rPr>
          <t>46-47-48</t>
        </r>
        <r>
          <rPr>
            <sz val="9"/>
            <color indexed="81"/>
            <rFont val="宋体"/>
            <family val="3"/>
            <charset val="134"/>
          </rPr>
          <t>行＜</t>
        </r>
        <r>
          <rPr>
            <sz val="9"/>
            <color indexed="81"/>
            <rFont val="Tahoma"/>
            <family val="2"/>
          </rPr>
          <t>0</t>
        </r>
        <r>
          <rPr>
            <sz val="9"/>
            <color indexed="81"/>
            <rFont val="宋体"/>
            <family val="3"/>
            <charset val="134"/>
          </rPr>
          <t>，本行＝第</t>
        </r>
        <r>
          <rPr>
            <sz val="9"/>
            <color indexed="81"/>
            <rFont val="Tahoma"/>
            <family val="2"/>
          </rPr>
          <t>46-47-48</t>
        </r>
        <r>
          <rPr>
            <sz val="9"/>
            <color indexed="81"/>
            <rFont val="宋体"/>
            <family val="3"/>
            <charset val="134"/>
          </rPr>
          <t>行的绝对值。</t>
        </r>
      </text>
    </comment>
  </commentList>
</comments>
</file>

<file path=xl/comments37.xml><?xml version="1.0" encoding="utf-8"?>
<comments xmlns="http://schemas.openxmlformats.org/spreadsheetml/2006/main">
  <authors>
    <author>Zhang, Dorothy</author>
  </authors>
  <commentList>
    <comment ref="A2" authorId="0">
      <text>
        <r>
          <rPr>
            <sz val="9"/>
            <color indexed="81"/>
            <rFont val="宋体"/>
            <family val="3"/>
            <charset val="134"/>
          </rPr>
          <t>本表适用于享受所得减免优惠的纳税人填报。纳税人根据税法及相关税收政策规定，填报本年发生的所得减免优惠情况，本期纳税调整后所得（表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行）为负数的不需填报本表。</t>
        </r>
        <r>
          <rPr>
            <sz val="9"/>
            <color indexed="81"/>
            <rFont val="Tahoma"/>
            <family val="2"/>
          </rPr>
          <t xml:space="preserve">
</t>
        </r>
      </text>
    </comment>
    <comment ref="C3" authorId="0">
      <text>
        <r>
          <rPr>
            <sz val="9"/>
            <color indexed="81"/>
            <rFont val="宋体"/>
            <family val="3"/>
            <charset val="134"/>
          </rPr>
          <t>填报纳税人享受减免所得优惠的项目在会计核算上的名称。项目名称以纳税人内部规范称谓为准。</t>
        </r>
        <r>
          <rPr>
            <sz val="9"/>
            <color indexed="81"/>
            <rFont val="Tahoma"/>
            <family val="2"/>
          </rPr>
          <t xml:space="preserve">
</t>
        </r>
      </text>
    </comment>
    <comment ref="D3" authorId="0">
      <text>
        <r>
          <rPr>
            <sz val="9"/>
            <color indexed="81"/>
            <rFont val="宋体"/>
            <family val="3"/>
            <charset val="134"/>
          </rPr>
          <t>按照该项目享受所得减免企业所得税优惠事项的具体政策内容选择填报。</t>
        </r>
      </text>
    </comment>
    <comment ref="E3" authorId="0">
      <text>
        <r>
          <rPr>
            <sz val="9"/>
            <color indexed="81"/>
            <rFont val="宋体"/>
            <family val="3"/>
            <charset val="134"/>
          </rPr>
          <t>填报该项目享受所得减免企业所得税优惠的具体方式。该项目享受免征企业所得税优惠的，选择填报</t>
        </r>
        <r>
          <rPr>
            <sz val="9"/>
            <color indexed="81"/>
            <rFont val="Tahoma"/>
            <family val="2"/>
          </rPr>
          <t>“</t>
        </r>
        <r>
          <rPr>
            <sz val="9"/>
            <color indexed="81"/>
            <rFont val="宋体"/>
            <family val="3"/>
            <charset val="134"/>
          </rPr>
          <t>免税</t>
        </r>
        <r>
          <rPr>
            <sz val="9"/>
            <color indexed="81"/>
            <rFont val="Tahoma"/>
            <family val="2"/>
          </rPr>
          <t>”</t>
        </r>
        <r>
          <rPr>
            <sz val="9"/>
            <color indexed="81"/>
            <rFont val="宋体"/>
            <family val="3"/>
            <charset val="134"/>
          </rPr>
          <t>；项目享受减半征税企业所得税优惠的，选择填报</t>
        </r>
        <r>
          <rPr>
            <sz val="9"/>
            <color indexed="81"/>
            <rFont val="Tahoma"/>
            <family val="2"/>
          </rPr>
          <t>“</t>
        </r>
        <r>
          <rPr>
            <sz val="9"/>
            <color indexed="81"/>
            <rFont val="宋体"/>
            <family val="3"/>
            <charset val="134"/>
          </rPr>
          <t>减半征收</t>
        </r>
        <r>
          <rPr>
            <sz val="9"/>
            <color indexed="81"/>
            <rFont val="Tahoma"/>
            <family val="2"/>
          </rPr>
          <t>”</t>
        </r>
        <r>
          <rPr>
            <sz val="9"/>
            <color indexed="81"/>
            <rFont val="宋体"/>
            <family val="3"/>
            <charset val="134"/>
          </rPr>
          <t>。</t>
        </r>
        <r>
          <rPr>
            <sz val="9"/>
            <color indexed="81"/>
            <rFont val="Tahoma"/>
            <family val="2"/>
          </rPr>
          <t xml:space="preserve">
</t>
        </r>
      </text>
    </comment>
    <comment ref="F3" authorId="0">
      <text>
        <r>
          <rPr>
            <sz val="9"/>
            <color indexed="81"/>
            <rFont val="宋体"/>
            <family val="3"/>
            <charset val="134"/>
          </rPr>
          <t>填报享受所得减免企业所得税优惠项目取得的收入总额。</t>
        </r>
        <r>
          <rPr>
            <sz val="9"/>
            <color indexed="81"/>
            <rFont val="Tahoma"/>
            <family val="2"/>
          </rPr>
          <t xml:space="preserve">
</t>
        </r>
      </text>
    </comment>
    <comment ref="G3" authorId="0">
      <text>
        <r>
          <rPr>
            <sz val="9"/>
            <color indexed="81"/>
            <rFont val="宋体"/>
            <family val="3"/>
            <charset val="134"/>
          </rPr>
          <t>填报享受所得减免企业所得税优惠项目发生的成本总额。</t>
        </r>
        <r>
          <rPr>
            <sz val="9"/>
            <color indexed="81"/>
            <rFont val="Tahoma"/>
            <family val="2"/>
          </rPr>
          <t xml:space="preserve">
</t>
        </r>
      </text>
    </comment>
    <comment ref="H3" authorId="0">
      <text>
        <r>
          <rPr>
            <sz val="9"/>
            <color indexed="81"/>
            <rFont val="宋体"/>
            <family val="3"/>
            <charset val="134"/>
          </rPr>
          <t>填报享受所得减免企业所得税优惠项目实际发生的有关税费，包括除企业所得税和允许抵扣的增值税以外的各项税金及其附加、合同签订费用、律师费等相关费用及其他支出。</t>
        </r>
        <r>
          <rPr>
            <sz val="9"/>
            <color indexed="81"/>
            <rFont val="Tahoma"/>
            <family val="2"/>
          </rPr>
          <t xml:space="preserve">
</t>
        </r>
      </text>
    </comment>
    <comment ref="I3" authorId="0">
      <text>
        <r>
          <rPr>
            <sz val="9"/>
            <color indexed="81"/>
            <rFont val="宋体"/>
            <family val="3"/>
            <charset val="134"/>
          </rPr>
          <t>填报享受所得减免企业所得税优惠项目合理分摊的期间费用。合理分摊比例可以按照投资额、销售收入、资产额、人员工资等参数确定。上述比例一经确定，不得随意变更。</t>
        </r>
        <r>
          <rPr>
            <sz val="9"/>
            <color indexed="81"/>
            <rFont val="Tahoma"/>
            <family val="2"/>
          </rPr>
          <t xml:space="preserve">
</t>
        </r>
      </text>
    </comment>
    <comment ref="J3" authorId="0">
      <text>
        <r>
          <rPr>
            <sz val="9"/>
            <color indexed="81"/>
            <rFont val="宋体"/>
            <family val="3"/>
            <charset val="134"/>
          </rPr>
          <t>填报纳税人按照税收规定需要调整减免税项目收入、成本、费用的金额，调整减少的金额以负数填报。</t>
        </r>
        <r>
          <rPr>
            <sz val="9"/>
            <color indexed="81"/>
            <rFont val="Tahoma"/>
            <family val="2"/>
          </rPr>
          <t xml:space="preserve">
</t>
        </r>
      </text>
    </comment>
    <comment ref="M3" authorId="0">
      <text>
        <r>
          <rPr>
            <sz val="9"/>
            <color indexed="81"/>
            <rFont val="宋体"/>
            <family val="3"/>
            <charset val="134"/>
          </rPr>
          <t>填报享受所得减免企业所得税优惠的企业，该项目按照税收规定实际可以享受免征、减征的所得额。本列等于第</t>
        </r>
        <r>
          <rPr>
            <sz val="9"/>
            <color indexed="81"/>
            <rFont val="Tahoma"/>
            <family val="2"/>
          </rPr>
          <t>9</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10</t>
        </r>
        <r>
          <rPr>
            <sz val="9"/>
            <color indexed="81"/>
            <rFont val="宋体"/>
            <family val="3"/>
            <charset val="134"/>
          </rPr>
          <t>列</t>
        </r>
        <r>
          <rPr>
            <sz val="9"/>
            <color indexed="81"/>
            <rFont val="Tahoma"/>
            <family val="2"/>
          </rPr>
          <t>×50%</t>
        </r>
        <r>
          <rPr>
            <sz val="9"/>
            <color indexed="81"/>
            <rFont val="宋体"/>
            <family val="3"/>
            <charset val="134"/>
          </rPr>
          <t>。</t>
        </r>
        <r>
          <rPr>
            <sz val="9"/>
            <color indexed="81"/>
            <rFont val="Tahoma"/>
            <family val="2"/>
          </rPr>
          <t xml:space="preserve">
</t>
        </r>
      </text>
    </comment>
    <comment ref="K4" authorId="0">
      <text>
        <r>
          <rPr>
            <sz val="9"/>
            <color indexed="81"/>
            <rFont val="宋体"/>
            <family val="3"/>
            <charset val="134"/>
          </rPr>
          <t>填报享受所得减免企业所得税优惠的纳税人计算确认的本期免税项目所得额。本列根据第</t>
        </r>
        <r>
          <rPr>
            <sz val="9"/>
            <color indexed="81"/>
            <rFont val="Tahoma"/>
            <family val="2"/>
          </rPr>
          <t>3</t>
        </r>
        <r>
          <rPr>
            <sz val="9"/>
            <color indexed="81"/>
            <rFont val="宋体"/>
            <family val="3"/>
            <charset val="134"/>
          </rPr>
          <t>列分析填报，第</t>
        </r>
        <r>
          <rPr>
            <sz val="9"/>
            <color indexed="81"/>
            <rFont val="Tahoma"/>
            <family val="2"/>
          </rPr>
          <t>3</t>
        </r>
        <r>
          <rPr>
            <sz val="9"/>
            <color indexed="81"/>
            <rFont val="宋体"/>
            <family val="3"/>
            <charset val="134"/>
          </rPr>
          <t>列填报内容为</t>
        </r>
        <r>
          <rPr>
            <sz val="9"/>
            <color indexed="81"/>
            <rFont val="Tahoma"/>
            <family val="2"/>
          </rPr>
          <t>“</t>
        </r>
        <r>
          <rPr>
            <sz val="9"/>
            <color indexed="81"/>
            <rFont val="宋体"/>
            <family val="3"/>
            <charset val="134"/>
          </rPr>
          <t>免税</t>
        </r>
        <r>
          <rPr>
            <sz val="9"/>
            <color indexed="81"/>
            <rFont val="Tahoma"/>
            <family val="2"/>
          </rPr>
          <t>”</t>
        </r>
        <r>
          <rPr>
            <sz val="9"/>
            <color indexed="81"/>
            <rFont val="宋体"/>
            <family val="3"/>
            <charset val="134"/>
          </rPr>
          <t>的，第</t>
        </r>
        <r>
          <rPr>
            <sz val="9"/>
            <color indexed="81"/>
            <rFont val="Tahoma"/>
            <family val="2"/>
          </rPr>
          <t>4-5-6-7+8</t>
        </r>
        <r>
          <rPr>
            <sz val="9"/>
            <color indexed="81"/>
            <rFont val="宋体"/>
            <family val="3"/>
            <charset val="134"/>
          </rPr>
          <t>列的值填入本列；若第</t>
        </r>
        <r>
          <rPr>
            <sz val="9"/>
            <color indexed="81"/>
            <rFont val="Tahoma"/>
            <family val="2"/>
          </rPr>
          <t>4-5-6-7+8</t>
        </r>
        <r>
          <rPr>
            <sz val="9"/>
            <color indexed="81"/>
            <rFont val="宋体"/>
            <family val="3"/>
            <charset val="134"/>
          </rPr>
          <t>列的值小于零的，本列按零填报。</t>
        </r>
        <r>
          <rPr>
            <sz val="9"/>
            <color indexed="81"/>
            <rFont val="Tahoma"/>
            <family val="2"/>
          </rPr>
          <t xml:space="preserve">
</t>
        </r>
      </text>
    </comment>
    <comment ref="L4" authorId="0">
      <text>
        <r>
          <rPr>
            <sz val="9"/>
            <color indexed="81"/>
            <rFont val="宋体"/>
            <family val="3"/>
            <charset val="134"/>
          </rPr>
          <t>填报享受所得减免企业所得税优惠的纳税人本期经计算确认的减半征收项目所得额。本列根据第</t>
        </r>
        <r>
          <rPr>
            <sz val="9"/>
            <color indexed="81"/>
            <rFont val="Tahoma"/>
            <family val="2"/>
          </rPr>
          <t>3</t>
        </r>
        <r>
          <rPr>
            <sz val="9"/>
            <color indexed="81"/>
            <rFont val="宋体"/>
            <family val="3"/>
            <charset val="134"/>
          </rPr>
          <t>列分析填报，第</t>
        </r>
        <r>
          <rPr>
            <sz val="9"/>
            <color indexed="81"/>
            <rFont val="Tahoma"/>
            <family val="2"/>
          </rPr>
          <t>3</t>
        </r>
        <r>
          <rPr>
            <sz val="9"/>
            <color indexed="81"/>
            <rFont val="宋体"/>
            <family val="3"/>
            <charset val="134"/>
          </rPr>
          <t>列填报内容为</t>
        </r>
        <r>
          <rPr>
            <sz val="9"/>
            <color indexed="81"/>
            <rFont val="Tahoma"/>
            <family val="2"/>
          </rPr>
          <t>“</t>
        </r>
        <r>
          <rPr>
            <sz val="9"/>
            <color indexed="81"/>
            <rFont val="宋体"/>
            <family val="3"/>
            <charset val="134"/>
          </rPr>
          <t>减半征税</t>
        </r>
        <r>
          <rPr>
            <sz val="9"/>
            <color indexed="81"/>
            <rFont val="Tahoma"/>
            <family val="2"/>
          </rPr>
          <t>”</t>
        </r>
        <r>
          <rPr>
            <sz val="9"/>
            <color indexed="81"/>
            <rFont val="宋体"/>
            <family val="3"/>
            <charset val="134"/>
          </rPr>
          <t>的，第</t>
        </r>
        <r>
          <rPr>
            <sz val="9"/>
            <color indexed="81"/>
            <rFont val="Tahoma"/>
            <family val="2"/>
          </rPr>
          <t>4-5-6-7+8</t>
        </r>
        <r>
          <rPr>
            <sz val="9"/>
            <color indexed="81"/>
            <rFont val="宋体"/>
            <family val="3"/>
            <charset val="134"/>
          </rPr>
          <t>列的金额填入本列；若第</t>
        </r>
        <r>
          <rPr>
            <sz val="9"/>
            <color indexed="81"/>
            <rFont val="Tahoma"/>
            <family val="2"/>
          </rPr>
          <t>4-5-6-7+8</t>
        </r>
        <r>
          <rPr>
            <sz val="9"/>
            <color indexed="81"/>
            <rFont val="宋体"/>
            <family val="3"/>
            <charset val="134"/>
          </rPr>
          <t>列的值小于零的，本列按零填报。</t>
        </r>
        <r>
          <rPr>
            <sz val="9"/>
            <color indexed="81"/>
            <rFont val="Tahoma"/>
            <family val="2"/>
          </rPr>
          <t xml:space="preserve">
</t>
        </r>
      </text>
    </comment>
    <comment ref="B6" authorId="0">
      <text>
        <r>
          <rPr>
            <sz val="9"/>
            <color indexed="81"/>
            <rFont val="宋体"/>
            <family val="3"/>
            <charset val="134"/>
          </rPr>
          <t>按农、林、牧、渔业项目的优惠政策具体内容分别填报，一个项目填报一行，纳税人有多个项目的，可自行增加行次填报。各行相应列次填报金额的合计金额填入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国家税务总局关于发布享受企业所得税优惠政策的农产品初加工范围（试行）的通知》（财税〔</t>
        </r>
        <r>
          <rPr>
            <sz val="9"/>
            <color indexed="81"/>
            <rFont val="Tahoma"/>
            <family val="2"/>
          </rPr>
          <t>2008</t>
        </r>
        <r>
          <rPr>
            <sz val="9"/>
            <color indexed="81"/>
            <rFont val="宋体"/>
            <family val="3"/>
            <charset val="134"/>
          </rPr>
          <t>〕</t>
        </r>
        <r>
          <rPr>
            <sz val="9"/>
            <color indexed="81"/>
            <rFont val="Tahoma"/>
            <family val="2"/>
          </rPr>
          <t>149</t>
        </r>
        <r>
          <rPr>
            <sz val="9"/>
            <color indexed="81"/>
            <rFont val="宋体"/>
            <family val="3"/>
            <charset val="134"/>
          </rPr>
          <t>号）、《国家税务总局关于黑龙江垦区国有农场土地承包费缴纳企业所得税问题的批复》（国税函〔</t>
        </r>
        <r>
          <rPr>
            <sz val="9"/>
            <color indexed="81"/>
            <rFont val="Tahoma"/>
            <family val="2"/>
          </rPr>
          <t>2009</t>
        </r>
        <r>
          <rPr>
            <sz val="9"/>
            <color indexed="81"/>
            <rFont val="宋体"/>
            <family val="3"/>
            <charset val="134"/>
          </rPr>
          <t>〕</t>
        </r>
        <r>
          <rPr>
            <sz val="9"/>
            <color indexed="81"/>
            <rFont val="Tahoma"/>
            <family val="2"/>
          </rPr>
          <t>779</t>
        </r>
        <r>
          <rPr>
            <sz val="9"/>
            <color indexed="81"/>
            <rFont val="宋体"/>
            <family val="3"/>
            <charset val="134"/>
          </rPr>
          <t>号）、《国家税务总局关于</t>
        </r>
        <r>
          <rPr>
            <sz val="9"/>
            <color indexed="81"/>
            <rFont val="Tahoma"/>
            <family val="2"/>
          </rPr>
          <t>“</t>
        </r>
        <r>
          <rPr>
            <sz val="9"/>
            <color indexed="81"/>
            <rFont val="宋体"/>
            <family val="3"/>
            <charset val="134"/>
          </rPr>
          <t>公司＋农户</t>
        </r>
        <r>
          <rPr>
            <sz val="9"/>
            <color indexed="81"/>
            <rFont val="Tahoma"/>
            <family val="2"/>
          </rPr>
          <t>”</t>
        </r>
        <r>
          <rPr>
            <sz val="9"/>
            <color indexed="81"/>
            <rFont val="宋体"/>
            <family val="3"/>
            <charset val="134"/>
          </rPr>
          <t>经营模式企业所得税优惠问题的公告》（国家税务总局公告</t>
        </r>
        <r>
          <rPr>
            <sz val="9"/>
            <color indexed="81"/>
            <rFont val="Tahoma"/>
            <family val="2"/>
          </rPr>
          <t>2010</t>
        </r>
        <r>
          <rPr>
            <sz val="9"/>
            <color indexed="81"/>
            <rFont val="宋体"/>
            <family val="3"/>
            <charset val="134"/>
          </rPr>
          <t>年第</t>
        </r>
        <r>
          <rPr>
            <sz val="9"/>
            <color indexed="81"/>
            <rFont val="Tahoma"/>
            <family val="2"/>
          </rPr>
          <t>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国家税务总局关于享受企业所得税优惠的农产品初加工有关范围的补充通知》（财税〔</t>
        </r>
        <r>
          <rPr>
            <sz val="9"/>
            <color indexed="81"/>
            <rFont val="Tahoma"/>
            <family val="2"/>
          </rPr>
          <t>2011</t>
        </r>
        <r>
          <rPr>
            <sz val="9"/>
            <color indexed="81"/>
            <rFont val="宋体"/>
            <family val="3"/>
            <charset val="134"/>
          </rPr>
          <t>〕</t>
        </r>
        <r>
          <rPr>
            <sz val="9"/>
            <color indexed="81"/>
            <rFont val="Tahoma"/>
            <family val="2"/>
          </rPr>
          <t>26</t>
        </r>
        <r>
          <rPr>
            <sz val="9"/>
            <color indexed="81"/>
            <rFont val="宋体"/>
            <family val="3"/>
            <charset val="134"/>
          </rPr>
          <t>号）、《国家税务总局关于实施农林牧渔业项目企业所得税优惠问题的公告》（国家税务总局公告</t>
        </r>
        <r>
          <rPr>
            <sz val="9"/>
            <color indexed="81"/>
            <rFont val="Tahoma"/>
            <family val="2"/>
          </rPr>
          <t>2011</t>
        </r>
        <r>
          <rPr>
            <sz val="9"/>
            <color indexed="81"/>
            <rFont val="宋体"/>
            <family val="3"/>
            <charset val="134"/>
          </rPr>
          <t>年第</t>
        </r>
        <r>
          <rPr>
            <sz val="9"/>
            <color indexed="81"/>
            <rFont val="Tahoma"/>
            <family val="2"/>
          </rPr>
          <t>48</t>
        </r>
        <r>
          <rPr>
            <sz val="9"/>
            <color indexed="81"/>
            <rFont val="宋体"/>
            <family val="3"/>
            <charset val="134"/>
          </rPr>
          <t>号）等相关税收政策规定，填报该项目本纳税年度发生的减征、免征企业所得税项目的所得额。</t>
        </r>
        <r>
          <rPr>
            <sz val="9"/>
            <color indexed="81"/>
            <rFont val="Tahoma"/>
            <family val="2"/>
          </rPr>
          <t xml:space="preserve">
</t>
        </r>
      </text>
    </comment>
    <comment ref="D6" authorId="0">
      <text>
        <r>
          <rPr>
            <sz val="9"/>
            <color indexed="81"/>
            <rFont val="宋体"/>
            <family val="3"/>
            <charset val="134"/>
          </rPr>
          <t>在以下优惠事项中选择填报：</t>
        </r>
        <r>
          <rPr>
            <sz val="9"/>
            <color indexed="81"/>
            <rFont val="Tahoma"/>
            <family val="2"/>
          </rPr>
          <t>1.</t>
        </r>
        <r>
          <rPr>
            <sz val="9"/>
            <color indexed="81"/>
            <rFont val="宋体"/>
            <family val="3"/>
            <charset val="134"/>
          </rPr>
          <t>蔬菜、谷物、薯类、油料、豆类、棉花、麻类、糖料、水果、坚果的种植；</t>
        </r>
        <r>
          <rPr>
            <sz val="9"/>
            <color indexed="81"/>
            <rFont val="Tahoma"/>
            <family val="2"/>
          </rPr>
          <t>2.</t>
        </r>
        <r>
          <rPr>
            <sz val="9"/>
            <color indexed="81"/>
            <rFont val="宋体"/>
            <family val="3"/>
            <charset val="134"/>
          </rPr>
          <t>农作物新品种的选育；</t>
        </r>
        <r>
          <rPr>
            <sz val="9"/>
            <color indexed="81"/>
            <rFont val="Tahoma"/>
            <family val="2"/>
          </rPr>
          <t>3.</t>
        </r>
        <r>
          <rPr>
            <sz val="9"/>
            <color indexed="81"/>
            <rFont val="宋体"/>
            <family val="3"/>
            <charset val="134"/>
          </rPr>
          <t>中药材的种植；</t>
        </r>
        <r>
          <rPr>
            <sz val="9"/>
            <color indexed="81"/>
            <rFont val="Tahoma"/>
            <family val="2"/>
          </rPr>
          <t>4.</t>
        </r>
        <r>
          <rPr>
            <sz val="9"/>
            <color indexed="81"/>
            <rFont val="宋体"/>
            <family val="3"/>
            <charset val="134"/>
          </rPr>
          <t>林木的培育和种植；</t>
        </r>
        <r>
          <rPr>
            <sz val="9"/>
            <color indexed="81"/>
            <rFont val="Tahoma"/>
            <family val="2"/>
          </rPr>
          <t>5.</t>
        </r>
        <r>
          <rPr>
            <sz val="9"/>
            <color indexed="81"/>
            <rFont val="宋体"/>
            <family val="3"/>
            <charset val="134"/>
          </rPr>
          <t>牲畜、家禽的饲养；</t>
        </r>
        <r>
          <rPr>
            <sz val="9"/>
            <color indexed="81"/>
            <rFont val="Tahoma"/>
            <family val="2"/>
          </rPr>
          <t>6.</t>
        </r>
        <r>
          <rPr>
            <sz val="9"/>
            <color indexed="81"/>
            <rFont val="宋体"/>
            <family val="3"/>
            <charset val="134"/>
          </rPr>
          <t>林产品的采集；</t>
        </r>
        <r>
          <rPr>
            <sz val="9"/>
            <color indexed="81"/>
            <rFont val="Tahoma"/>
            <family val="2"/>
          </rPr>
          <t>7.</t>
        </r>
        <r>
          <rPr>
            <sz val="9"/>
            <color indexed="81"/>
            <rFont val="宋体"/>
            <family val="3"/>
            <charset val="134"/>
          </rPr>
          <t>灌溉、兽医、农技推广、农机作业和维修等农、林、牧、渔服务业项目；</t>
        </r>
        <r>
          <rPr>
            <sz val="9"/>
            <color indexed="81"/>
            <rFont val="Tahoma"/>
            <family val="2"/>
          </rPr>
          <t>8.</t>
        </r>
        <r>
          <rPr>
            <sz val="9"/>
            <color indexed="81"/>
            <rFont val="宋体"/>
            <family val="3"/>
            <charset val="134"/>
          </rPr>
          <t>农产品初加工；</t>
        </r>
        <r>
          <rPr>
            <sz val="9"/>
            <color indexed="81"/>
            <rFont val="Tahoma"/>
            <family val="2"/>
          </rPr>
          <t>9.</t>
        </r>
        <r>
          <rPr>
            <sz val="9"/>
            <color indexed="81"/>
            <rFont val="宋体"/>
            <family val="3"/>
            <charset val="134"/>
          </rPr>
          <t>远洋捕捞；</t>
        </r>
        <r>
          <rPr>
            <sz val="9"/>
            <color indexed="81"/>
            <rFont val="Tahoma"/>
            <family val="2"/>
          </rPr>
          <t>10.</t>
        </r>
        <r>
          <rPr>
            <sz val="9"/>
            <color indexed="81"/>
            <rFont val="宋体"/>
            <family val="3"/>
            <charset val="134"/>
          </rPr>
          <t>花卉、茶以及其他饮料作物和香料作物的种植；</t>
        </r>
        <r>
          <rPr>
            <sz val="9"/>
            <color indexed="81"/>
            <rFont val="Tahoma"/>
            <family val="2"/>
          </rPr>
          <t>11.</t>
        </r>
        <r>
          <rPr>
            <sz val="9"/>
            <color indexed="81"/>
            <rFont val="宋体"/>
            <family val="3"/>
            <charset val="134"/>
          </rPr>
          <t>海水养殖、内陆养殖；</t>
        </r>
        <r>
          <rPr>
            <sz val="9"/>
            <color indexed="81"/>
            <rFont val="Tahoma"/>
            <family val="2"/>
          </rPr>
          <t>12.</t>
        </r>
        <r>
          <rPr>
            <sz val="9"/>
            <color indexed="81"/>
            <rFont val="宋体"/>
            <family val="3"/>
            <charset val="134"/>
          </rPr>
          <t>其他。</t>
        </r>
        <r>
          <rPr>
            <sz val="9"/>
            <color indexed="81"/>
            <rFont val="Tahoma"/>
            <family val="2"/>
          </rPr>
          <t xml:space="preserve">
</t>
        </r>
      </text>
    </comment>
    <comment ref="B9" authorId="0">
      <text>
        <r>
          <rPr>
            <sz val="9"/>
            <color indexed="81"/>
            <rFont val="宋体"/>
            <family val="3"/>
            <charset val="134"/>
          </rPr>
          <t>按国家重点扶持的公共基础设施项目具体内容分别填报，一个项目填报一行，纳税人有多个项目的，可自行增加行次填报。各行相应列次填报金额的合计金额填入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国家税务总局关于执行公共基础设施项目企业所得税优惠目录有关问题的通知》（财税〔</t>
        </r>
        <r>
          <rPr>
            <sz val="9"/>
            <color indexed="81"/>
            <rFont val="Tahoma"/>
            <family val="2"/>
          </rPr>
          <t>2008</t>
        </r>
        <r>
          <rPr>
            <sz val="9"/>
            <color indexed="81"/>
            <rFont val="宋体"/>
            <family val="3"/>
            <charset val="134"/>
          </rPr>
          <t>〕</t>
        </r>
        <r>
          <rPr>
            <sz val="9"/>
            <color indexed="81"/>
            <rFont val="Tahoma"/>
            <family val="2"/>
          </rPr>
          <t>46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国家发展改革委关于公布公共基础设施项目企业所得税优惠目录</t>
        </r>
        <r>
          <rPr>
            <sz val="9"/>
            <color indexed="81"/>
            <rFont val="Tahoma"/>
            <family val="2"/>
          </rPr>
          <t>(2008</t>
        </r>
        <r>
          <rPr>
            <sz val="9"/>
            <color indexed="81"/>
            <rFont val="宋体"/>
            <family val="3"/>
            <charset val="134"/>
          </rPr>
          <t>年版</t>
        </r>
        <r>
          <rPr>
            <sz val="9"/>
            <color indexed="81"/>
            <rFont val="Tahoma"/>
            <family val="2"/>
          </rPr>
          <t>)</t>
        </r>
        <r>
          <rPr>
            <sz val="9"/>
            <color indexed="81"/>
            <rFont val="宋体"/>
            <family val="3"/>
            <charset val="134"/>
          </rPr>
          <t>的通知》（财税〔</t>
        </r>
        <r>
          <rPr>
            <sz val="9"/>
            <color indexed="81"/>
            <rFont val="Tahoma"/>
            <family val="2"/>
          </rPr>
          <t>2008</t>
        </r>
        <r>
          <rPr>
            <sz val="9"/>
            <color indexed="81"/>
            <rFont val="宋体"/>
            <family val="3"/>
            <charset val="134"/>
          </rPr>
          <t>〕</t>
        </r>
        <r>
          <rPr>
            <sz val="9"/>
            <color indexed="81"/>
            <rFont val="Tahoma"/>
            <family val="2"/>
          </rPr>
          <t>116</t>
        </r>
        <r>
          <rPr>
            <sz val="9"/>
            <color indexed="81"/>
            <rFont val="宋体"/>
            <family val="3"/>
            <charset val="134"/>
          </rPr>
          <t>号）、《国家税务总局关于实施国家重点扶持的公共基础设施项目企业所得税优惠问题的通知》（国税发〔</t>
        </r>
        <r>
          <rPr>
            <sz val="9"/>
            <color indexed="81"/>
            <rFont val="Tahoma"/>
            <family val="2"/>
          </rPr>
          <t>2009</t>
        </r>
        <r>
          <rPr>
            <sz val="9"/>
            <color indexed="81"/>
            <rFont val="宋体"/>
            <family val="3"/>
            <charset val="134"/>
          </rPr>
          <t>〕</t>
        </r>
        <r>
          <rPr>
            <sz val="9"/>
            <color indexed="81"/>
            <rFont val="Tahoma"/>
            <family val="2"/>
          </rPr>
          <t>80</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国家税务总局关于公共基础设施项目和环境保护</t>
        </r>
        <r>
          <rPr>
            <sz val="9"/>
            <color indexed="81"/>
            <rFont val="Tahoma"/>
            <family val="2"/>
          </rPr>
          <t xml:space="preserve"> </t>
        </r>
        <r>
          <rPr>
            <sz val="9"/>
            <color indexed="81"/>
            <rFont val="宋体"/>
            <family val="3"/>
            <charset val="134"/>
          </rPr>
          <t>节能节水项目企业所得税优惠政策问题的通知》（财税〔</t>
        </r>
        <r>
          <rPr>
            <sz val="9"/>
            <color indexed="81"/>
            <rFont val="Tahoma"/>
            <family val="2"/>
          </rPr>
          <t>2012</t>
        </r>
        <r>
          <rPr>
            <sz val="9"/>
            <color indexed="81"/>
            <rFont val="宋体"/>
            <family val="3"/>
            <charset val="134"/>
          </rPr>
          <t>〕</t>
        </r>
        <r>
          <rPr>
            <sz val="9"/>
            <color indexed="81"/>
            <rFont val="Tahoma"/>
            <family val="2"/>
          </rPr>
          <t>10</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国家税务总局关于支持农村饮水安全工程建设运营税收政策的通知》（财税〔</t>
        </r>
        <r>
          <rPr>
            <sz val="9"/>
            <color indexed="81"/>
            <rFont val="Tahoma"/>
            <family val="2"/>
          </rPr>
          <t>2012</t>
        </r>
        <r>
          <rPr>
            <sz val="9"/>
            <color indexed="81"/>
            <rFont val="宋体"/>
            <family val="3"/>
            <charset val="134"/>
          </rPr>
          <t>〕</t>
        </r>
        <r>
          <rPr>
            <sz val="9"/>
            <color indexed="81"/>
            <rFont val="Tahoma"/>
            <family val="2"/>
          </rPr>
          <t>30</t>
        </r>
        <r>
          <rPr>
            <sz val="9"/>
            <color indexed="81"/>
            <rFont val="宋体"/>
            <family val="3"/>
            <charset val="134"/>
          </rPr>
          <t>号）第五条、《国家税务总局关于电网企业电网新建项目享受所得税优惠政策问题的公告》（国家税务总局公告</t>
        </r>
        <r>
          <rPr>
            <sz val="9"/>
            <color indexed="81"/>
            <rFont val="Tahoma"/>
            <family val="2"/>
          </rPr>
          <t>2013</t>
        </r>
        <r>
          <rPr>
            <sz val="9"/>
            <color indexed="81"/>
            <rFont val="宋体"/>
            <family val="3"/>
            <charset val="134"/>
          </rPr>
          <t>年第</t>
        </r>
        <r>
          <rPr>
            <sz val="9"/>
            <color indexed="81"/>
            <rFont val="Tahoma"/>
            <family val="2"/>
          </rPr>
          <t>26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国家税务总局关于公共基础设施项目享受企业所得税优惠政策问题的补充通知》（财税〔</t>
        </r>
        <r>
          <rPr>
            <sz val="9"/>
            <color indexed="81"/>
            <rFont val="Tahoma"/>
            <family val="2"/>
          </rPr>
          <t>2014</t>
        </r>
        <r>
          <rPr>
            <sz val="9"/>
            <color indexed="81"/>
            <rFont val="宋体"/>
            <family val="3"/>
            <charset val="134"/>
          </rPr>
          <t>〕</t>
        </r>
        <r>
          <rPr>
            <sz val="9"/>
            <color indexed="81"/>
            <rFont val="Tahoma"/>
            <family val="2"/>
          </rPr>
          <t>55</t>
        </r>
        <r>
          <rPr>
            <sz val="9"/>
            <color indexed="81"/>
            <rFont val="宋体"/>
            <family val="3"/>
            <charset val="134"/>
          </rPr>
          <t>号）等相关税收政策规定，填报从事《公共基础设施项目企业所得税优惠目录》规定的港口码头、机场、铁路、公路、城市公共交通、电力、水利等项目的投资经营的所得，自项目取得第一笔生产经营收入所属纳税年度起，第一年至第三年免征企业所得税，第四年至第六年减半征收企业所得税。不包括企业承包经营、承包建设和内部自建自用该项目的所得。</t>
        </r>
        <r>
          <rPr>
            <sz val="9"/>
            <color indexed="81"/>
            <rFont val="Tahoma"/>
            <family val="2"/>
          </rPr>
          <t xml:space="preserve">
</t>
        </r>
      </text>
    </comment>
    <comment ref="D9" authorId="0">
      <text>
        <r>
          <rPr>
            <sz val="9"/>
            <color indexed="81"/>
            <rFont val="宋体"/>
            <family val="3"/>
            <charset val="134"/>
          </rPr>
          <t>在以下优惠事项中选择填报：</t>
        </r>
        <r>
          <rPr>
            <sz val="9"/>
            <color indexed="81"/>
            <rFont val="Tahoma"/>
            <family val="2"/>
          </rPr>
          <t>1.</t>
        </r>
        <r>
          <rPr>
            <sz val="9"/>
            <color indexed="81"/>
            <rFont val="宋体"/>
            <family val="3"/>
            <charset val="134"/>
          </rPr>
          <t>港口码头项目；</t>
        </r>
        <r>
          <rPr>
            <sz val="9"/>
            <color indexed="81"/>
            <rFont val="Tahoma"/>
            <family val="2"/>
          </rPr>
          <t>2.</t>
        </r>
        <r>
          <rPr>
            <sz val="9"/>
            <color indexed="81"/>
            <rFont val="宋体"/>
            <family val="3"/>
            <charset val="134"/>
          </rPr>
          <t>机场项目；</t>
        </r>
        <r>
          <rPr>
            <sz val="9"/>
            <color indexed="81"/>
            <rFont val="Tahoma"/>
            <family val="2"/>
          </rPr>
          <t>3.</t>
        </r>
        <r>
          <rPr>
            <sz val="9"/>
            <color indexed="81"/>
            <rFont val="宋体"/>
            <family val="3"/>
            <charset val="134"/>
          </rPr>
          <t>铁路项目；</t>
        </r>
        <r>
          <rPr>
            <sz val="9"/>
            <color indexed="81"/>
            <rFont val="Tahoma"/>
            <family val="2"/>
          </rPr>
          <t>4.</t>
        </r>
        <r>
          <rPr>
            <sz val="9"/>
            <color indexed="81"/>
            <rFont val="宋体"/>
            <family val="3"/>
            <charset val="134"/>
          </rPr>
          <t>公路项目；</t>
        </r>
        <r>
          <rPr>
            <sz val="9"/>
            <color indexed="81"/>
            <rFont val="Tahoma"/>
            <family val="2"/>
          </rPr>
          <t>5.</t>
        </r>
        <r>
          <rPr>
            <sz val="9"/>
            <color indexed="81"/>
            <rFont val="宋体"/>
            <family val="3"/>
            <charset val="134"/>
          </rPr>
          <t>城市公共交通项目；</t>
        </r>
        <r>
          <rPr>
            <sz val="9"/>
            <color indexed="81"/>
            <rFont val="Tahoma"/>
            <family val="2"/>
          </rPr>
          <t>6.</t>
        </r>
        <r>
          <rPr>
            <sz val="9"/>
            <color indexed="81"/>
            <rFont val="宋体"/>
            <family val="3"/>
            <charset val="134"/>
          </rPr>
          <t>电力项目；</t>
        </r>
        <r>
          <rPr>
            <sz val="9"/>
            <color indexed="81"/>
            <rFont val="Tahoma"/>
            <family val="2"/>
          </rPr>
          <t>7.</t>
        </r>
        <r>
          <rPr>
            <sz val="9"/>
            <color indexed="81"/>
            <rFont val="宋体"/>
            <family val="3"/>
            <charset val="134"/>
          </rPr>
          <t>水利项目；</t>
        </r>
        <r>
          <rPr>
            <sz val="9"/>
            <color indexed="81"/>
            <rFont val="Tahoma"/>
            <family val="2"/>
          </rPr>
          <t>8.</t>
        </r>
        <r>
          <rPr>
            <sz val="9"/>
            <color indexed="81"/>
            <rFont val="宋体"/>
            <family val="3"/>
            <charset val="134"/>
          </rPr>
          <t>其他项目</t>
        </r>
        <r>
          <rPr>
            <sz val="9"/>
            <color indexed="81"/>
            <rFont val="Tahoma"/>
            <family val="2"/>
          </rPr>
          <t xml:space="preserve">
</t>
        </r>
      </text>
    </comment>
    <comment ref="B12" authorId="0">
      <text>
        <r>
          <rPr>
            <sz val="9"/>
            <color indexed="81"/>
            <rFont val="宋体"/>
            <family val="3"/>
            <charset val="134"/>
          </rPr>
          <t>按符合条件的环境保护、节能节水项目的具体内容分别填报，一个项目填报一行。纳税人有多个项目的，可自行增加行次填报。各行相应列次填报金额的合计金额填入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国家发展改革委关于公布环境保护节能节水项目企业所得税优惠目录（试行）的通知》（财税〔</t>
        </r>
        <r>
          <rPr>
            <sz val="9"/>
            <color indexed="81"/>
            <rFont val="Tahoma"/>
            <family val="2"/>
          </rPr>
          <t>2009</t>
        </r>
        <r>
          <rPr>
            <sz val="9"/>
            <color indexed="81"/>
            <rFont val="宋体"/>
            <family val="3"/>
            <charset val="134"/>
          </rPr>
          <t>〕</t>
        </r>
        <r>
          <rPr>
            <sz val="9"/>
            <color indexed="81"/>
            <rFont val="Tahoma"/>
            <family val="2"/>
          </rPr>
          <t>166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国家税务总局关于公共基础设施项目和环境保护</t>
        </r>
        <r>
          <rPr>
            <sz val="9"/>
            <color indexed="81"/>
            <rFont val="Tahoma"/>
            <family val="2"/>
          </rPr>
          <t xml:space="preserve"> </t>
        </r>
        <r>
          <rPr>
            <sz val="9"/>
            <color indexed="81"/>
            <rFont val="宋体"/>
            <family val="3"/>
            <charset val="134"/>
          </rPr>
          <t>节能节水项目企业所得税优惠政策问题的通知》（财税〔</t>
        </r>
        <r>
          <rPr>
            <sz val="9"/>
            <color indexed="81"/>
            <rFont val="Tahoma"/>
            <family val="2"/>
          </rPr>
          <t>2012</t>
        </r>
        <r>
          <rPr>
            <sz val="9"/>
            <color indexed="81"/>
            <rFont val="宋体"/>
            <family val="3"/>
            <charset val="134"/>
          </rPr>
          <t>〕</t>
        </r>
        <r>
          <rPr>
            <sz val="9"/>
            <color indexed="81"/>
            <rFont val="Tahoma"/>
            <family val="2"/>
          </rPr>
          <t>10</t>
        </r>
        <r>
          <rPr>
            <sz val="9"/>
            <color indexed="81"/>
            <rFont val="宋体"/>
            <family val="3"/>
            <charset val="134"/>
          </rPr>
          <t>号）等相关税收政策规定，填报从事符合条件的公共污水处理、公共垃圾处理、沼气综合开发利用、节能减排技术改造、海水淡化等环境保护、节能节水项目的所得，自项目取得第一笔生产经营收入所属纳税年度起，第一年至第三年免征企业所得税，第四年至第六年减半征收企业所得税。</t>
        </r>
        <r>
          <rPr>
            <sz val="9"/>
            <color indexed="81"/>
            <rFont val="Tahoma"/>
            <family val="2"/>
          </rPr>
          <t xml:space="preserve">
</t>
        </r>
      </text>
    </comment>
    <comment ref="D12" authorId="0">
      <text>
        <r>
          <rPr>
            <sz val="9"/>
            <color indexed="81"/>
            <rFont val="宋体"/>
            <family val="3"/>
            <charset val="134"/>
          </rPr>
          <t>在以下优惠事项中选择填报：</t>
        </r>
        <r>
          <rPr>
            <sz val="9"/>
            <color indexed="81"/>
            <rFont val="Tahoma"/>
            <family val="2"/>
          </rPr>
          <t>1.</t>
        </r>
        <r>
          <rPr>
            <sz val="9"/>
            <color indexed="81"/>
            <rFont val="宋体"/>
            <family val="3"/>
            <charset val="134"/>
          </rPr>
          <t>公共污水处理项目；</t>
        </r>
        <r>
          <rPr>
            <sz val="9"/>
            <color indexed="81"/>
            <rFont val="Tahoma"/>
            <family val="2"/>
          </rPr>
          <t>2.</t>
        </r>
        <r>
          <rPr>
            <sz val="9"/>
            <color indexed="81"/>
            <rFont val="宋体"/>
            <family val="3"/>
            <charset val="134"/>
          </rPr>
          <t>公共垃圾处理项目；</t>
        </r>
        <r>
          <rPr>
            <sz val="9"/>
            <color indexed="81"/>
            <rFont val="Tahoma"/>
            <family val="2"/>
          </rPr>
          <t>3.</t>
        </r>
        <r>
          <rPr>
            <sz val="9"/>
            <color indexed="81"/>
            <rFont val="宋体"/>
            <family val="3"/>
            <charset val="134"/>
          </rPr>
          <t>沼气综合开发利用项目；</t>
        </r>
        <r>
          <rPr>
            <sz val="9"/>
            <color indexed="81"/>
            <rFont val="Tahoma"/>
            <family val="2"/>
          </rPr>
          <t>4.</t>
        </r>
        <r>
          <rPr>
            <sz val="9"/>
            <color indexed="81"/>
            <rFont val="宋体"/>
            <family val="3"/>
            <charset val="134"/>
          </rPr>
          <t>节能减排技术改造项目；</t>
        </r>
        <r>
          <rPr>
            <sz val="9"/>
            <color indexed="81"/>
            <rFont val="Tahoma"/>
            <family val="2"/>
          </rPr>
          <t>5.</t>
        </r>
        <r>
          <rPr>
            <sz val="9"/>
            <color indexed="81"/>
            <rFont val="宋体"/>
            <family val="3"/>
            <charset val="134"/>
          </rPr>
          <t>海水淡化项目；</t>
        </r>
        <r>
          <rPr>
            <sz val="9"/>
            <color indexed="81"/>
            <rFont val="Tahoma"/>
            <family val="2"/>
          </rPr>
          <t>6.</t>
        </r>
        <r>
          <rPr>
            <sz val="9"/>
            <color indexed="81"/>
            <rFont val="宋体"/>
            <family val="3"/>
            <charset val="134"/>
          </rPr>
          <t>其他项目。</t>
        </r>
        <r>
          <rPr>
            <sz val="9"/>
            <color indexed="81"/>
            <rFont val="Tahoma"/>
            <family val="2"/>
          </rPr>
          <t xml:space="preserve">
</t>
        </r>
      </text>
    </comment>
    <comment ref="B15" authorId="0">
      <text>
        <r>
          <rPr>
            <sz val="9"/>
            <color indexed="81"/>
            <rFont val="宋体"/>
            <family val="3"/>
            <charset val="134"/>
          </rPr>
          <t>按照不同技术转让项目分别填报，一个项目填报一行，纳税人有多个项目的，可自行增加行次填报。各行相应列次填报金额的合计金额填入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行。纳税人根据《国家税务总局关于技术转让所得减免企业所得税有关问题的通知》（国税函〔</t>
        </r>
        <r>
          <rPr>
            <sz val="9"/>
            <color indexed="81"/>
            <rFont val="Tahoma"/>
            <family val="2"/>
          </rPr>
          <t>2009</t>
        </r>
        <r>
          <rPr>
            <sz val="9"/>
            <color indexed="81"/>
            <rFont val="宋体"/>
            <family val="3"/>
            <charset val="134"/>
          </rPr>
          <t>〕</t>
        </r>
        <r>
          <rPr>
            <sz val="9"/>
            <color indexed="81"/>
            <rFont val="Tahoma"/>
            <family val="2"/>
          </rPr>
          <t>212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国家税务总局关于居民企业技术转让有关企业所得税政策问题的通知》（财税〔</t>
        </r>
        <r>
          <rPr>
            <sz val="9"/>
            <color indexed="81"/>
            <rFont val="Tahoma"/>
            <family val="2"/>
          </rPr>
          <t>2010</t>
        </r>
        <r>
          <rPr>
            <sz val="9"/>
            <color indexed="81"/>
            <rFont val="宋体"/>
            <family val="3"/>
            <charset val="134"/>
          </rPr>
          <t>〕</t>
        </r>
        <r>
          <rPr>
            <sz val="9"/>
            <color indexed="81"/>
            <rFont val="Tahoma"/>
            <family val="2"/>
          </rPr>
          <t>111</t>
        </r>
        <r>
          <rPr>
            <sz val="9"/>
            <color indexed="81"/>
            <rFont val="宋体"/>
            <family val="3"/>
            <charset val="134"/>
          </rPr>
          <t>号）、《国家税务总局关于技术转让所得减免企业所得税有关问题的公告》（国家税务总局公告</t>
        </r>
        <r>
          <rPr>
            <sz val="9"/>
            <color indexed="81"/>
            <rFont val="Tahoma"/>
            <family val="2"/>
          </rPr>
          <t>2013</t>
        </r>
        <r>
          <rPr>
            <sz val="9"/>
            <color indexed="81"/>
            <rFont val="宋体"/>
            <family val="3"/>
            <charset val="134"/>
          </rPr>
          <t>年第</t>
        </r>
        <r>
          <rPr>
            <sz val="9"/>
            <color indexed="81"/>
            <rFont val="Tahoma"/>
            <family val="2"/>
          </rPr>
          <t>62</t>
        </r>
        <r>
          <rPr>
            <sz val="9"/>
            <color indexed="81"/>
            <rFont val="宋体"/>
            <family val="3"/>
            <charset val="134"/>
          </rPr>
          <t>号）、《国家税务总局关于许可使用权技术转让所得企业所得税有关问题的公告》（国家税务总局公告</t>
        </r>
        <r>
          <rPr>
            <sz val="9"/>
            <color indexed="81"/>
            <rFont val="Tahoma"/>
            <family val="2"/>
          </rPr>
          <t>2015</t>
        </r>
        <r>
          <rPr>
            <sz val="9"/>
            <color indexed="81"/>
            <rFont val="宋体"/>
            <family val="3"/>
            <charset val="134"/>
          </rPr>
          <t>年第</t>
        </r>
        <r>
          <rPr>
            <sz val="9"/>
            <color indexed="81"/>
            <rFont val="Tahoma"/>
            <family val="2"/>
          </rPr>
          <t>82</t>
        </r>
        <r>
          <rPr>
            <sz val="9"/>
            <color indexed="81"/>
            <rFont val="宋体"/>
            <family val="3"/>
            <charset val="134"/>
          </rPr>
          <t>号）等相关税收政策规定，填报一个纳税年度内，居民企业将其拥有的专利技术、计算机软件著作权、集成电路布图设计权、植物新品种、生物医药新品种，以及财政部和国家税务总局确定的其他技术的所有权或</t>
        </r>
        <r>
          <rPr>
            <sz val="9"/>
            <color indexed="81"/>
            <rFont val="Tahoma"/>
            <family val="2"/>
          </rPr>
          <t>5</t>
        </r>
        <r>
          <rPr>
            <sz val="9"/>
            <color indexed="81"/>
            <rFont val="宋体"/>
            <family val="3"/>
            <charset val="134"/>
          </rPr>
          <t>年以上（含</t>
        </r>
        <r>
          <rPr>
            <sz val="9"/>
            <color indexed="81"/>
            <rFont val="Tahoma"/>
            <family val="2"/>
          </rPr>
          <t>5</t>
        </r>
        <r>
          <rPr>
            <sz val="9"/>
            <color indexed="81"/>
            <rFont val="宋体"/>
            <family val="3"/>
            <charset val="134"/>
          </rPr>
          <t>年）全球独占许可使用权、</t>
        </r>
        <r>
          <rPr>
            <sz val="9"/>
            <color indexed="81"/>
            <rFont val="Tahoma"/>
            <family val="2"/>
          </rPr>
          <t>5</t>
        </r>
        <r>
          <rPr>
            <sz val="9"/>
            <color indexed="81"/>
            <rFont val="宋体"/>
            <family val="3"/>
            <charset val="134"/>
          </rPr>
          <t>年以上（含</t>
        </r>
        <r>
          <rPr>
            <sz val="9"/>
            <color indexed="81"/>
            <rFont val="Tahoma"/>
            <family val="2"/>
          </rPr>
          <t>5</t>
        </r>
        <r>
          <rPr>
            <sz val="9"/>
            <color indexed="81"/>
            <rFont val="宋体"/>
            <family val="3"/>
            <charset val="134"/>
          </rPr>
          <t>年）非独占许可使用权转让取得的所得，不超过</t>
        </r>
        <r>
          <rPr>
            <sz val="9"/>
            <color indexed="81"/>
            <rFont val="Tahoma"/>
            <family val="2"/>
          </rPr>
          <t>500</t>
        </r>
        <r>
          <rPr>
            <sz val="9"/>
            <color indexed="81"/>
            <rFont val="宋体"/>
            <family val="3"/>
            <charset val="134"/>
          </rPr>
          <t>万元的部分，免征企业所得税；超过</t>
        </r>
        <r>
          <rPr>
            <sz val="9"/>
            <color indexed="81"/>
            <rFont val="Tahoma"/>
            <family val="2"/>
          </rPr>
          <t>500</t>
        </r>
        <r>
          <rPr>
            <sz val="9"/>
            <color indexed="81"/>
            <rFont val="宋体"/>
            <family val="3"/>
            <charset val="134"/>
          </rPr>
          <t>万元的部分，减半征收企业所得税。居民企业从直接或间接持有股权之和达到</t>
        </r>
        <r>
          <rPr>
            <sz val="9"/>
            <color indexed="81"/>
            <rFont val="Tahoma"/>
            <family val="2"/>
          </rPr>
          <t>100%</t>
        </r>
        <r>
          <rPr>
            <sz val="9"/>
            <color indexed="81"/>
            <rFont val="宋体"/>
            <family val="3"/>
            <charset val="134"/>
          </rPr>
          <t>的关联方取得的技术转让所得，不享受技术转让减免企业所得税优惠政策。</t>
        </r>
        <r>
          <rPr>
            <sz val="9"/>
            <color indexed="81"/>
            <rFont val="Tahoma"/>
            <family val="2"/>
          </rPr>
          <t xml:space="preserve">
</t>
        </r>
      </text>
    </comment>
    <comment ref="D15" authorId="0">
      <text>
        <r>
          <rPr>
            <sz val="9"/>
            <color indexed="81"/>
            <rFont val="宋体"/>
            <family val="3"/>
            <charset val="134"/>
          </rPr>
          <t>本列不需填报。</t>
        </r>
        <r>
          <rPr>
            <sz val="9"/>
            <color indexed="81"/>
            <rFont val="Tahoma"/>
            <family val="2"/>
          </rPr>
          <t xml:space="preserve">
</t>
        </r>
      </text>
    </comment>
    <comment ref="K17" authorId="0">
      <text>
        <r>
          <rPr>
            <sz val="9"/>
            <color indexed="81"/>
            <rFont val="宋体"/>
            <family val="3"/>
            <charset val="134"/>
          </rPr>
          <t>第</t>
        </r>
        <r>
          <rPr>
            <sz val="9"/>
            <color indexed="81"/>
            <rFont val="Tahoma"/>
            <family val="2"/>
          </rPr>
          <t>4-5-6-7+8</t>
        </r>
        <r>
          <rPr>
            <sz val="9"/>
            <color indexed="81"/>
            <rFont val="宋体"/>
            <family val="3"/>
            <charset val="134"/>
          </rPr>
          <t>列的值小于等于</t>
        </r>
        <r>
          <rPr>
            <sz val="9"/>
            <color indexed="81"/>
            <rFont val="Tahoma"/>
            <family val="2"/>
          </rPr>
          <t>500</t>
        </r>
        <r>
          <rPr>
            <sz val="9"/>
            <color indexed="81"/>
            <rFont val="宋体"/>
            <family val="3"/>
            <charset val="134"/>
          </rPr>
          <t>万元的，填入本列，超出部分金额填入第</t>
        </r>
        <r>
          <rPr>
            <sz val="9"/>
            <color indexed="81"/>
            <rFont val="Tahoma"/>
            <family val="2"/>
          </rPr>
          <t>10</t>
        </r>
        <r>
          <rPr>
            <sz val="9"/>
            <color indexed="81"/>
            <rFont val="宋体"/>
            <family val="3"/>
            <charset val="134"/>
          </rPr>
          <t>列；若第</t>
        </r>
        <r>
          <rPr>
            <sz val="9"/>
            <color indexed="81"/>
            <rFont val="Tahoma"/>
            <family val="2"/>
          </rPr>
          <t>4-5-6-7+8</t>
        </r>
        <r>
          <rPr>
            <sz val="9"/>
            <color indexed="81"/>
            <rFont val="宋体"/>
            <family val="3"/>
            <charset val="134"/>
          </rPr>
          <t>列的值小于零的，本列按零填报。</t>
        </r>
        <r>
          <rPr>
            <sz val="9"/>
            <color indexed="81"/>
            <rFont val="Tahoma"/>
            <family val="2"/>
          </rPr>
          <t xml:space="preserve">
</t>
        </r>
      </text>
    </comment>
    <comment ref="L17" authorId="0">
      <text>
        <r>
          <rPr>
            <sz val="9"/>
            <color indexed="81"/>
            <rFont val="宋体"/>
            <family val="3"/>
            <charset val="134"/>
          </rPr>
          <t>第</t>
        </r>
        <r>
          <rPr>
            <sz val="9"/>
            <color indexed="81"/>
            <rFont val="Tahoma"/>
            <family val="2"/>
          </rPr>
          <t>4-5-6-7+8</t>
        </r>
        <r>
          <rPr>
            <sz val="9"/>
            <color indexed="81"/>
            <rFont val="宋体"/>
            <family val="3"/>
            <charset val="134"/>
          </rPr>
          <t>列的值超过</t>
        </r>
        <r>
          <rPr>
            <sz val="9"/>
            <color indexed="81"/>
            <rFont val="Tahoma"/>
            <family val="2"/>
          </rPr>
          <t>500</t>
        </r>
        <r>
          <rPr>
            <sz val="9"/>
            <color indexed="81"/>
            <rFont val="宋体"/>
            <family val="3"/>
            <charset val="134"/>
          </rPr>
          <t>万元的部分，填入本列。</t>
        </r>
      </text>
    </comment>
    <comment ref="B18" authorId="0">
      <text>
        <r>
          <rPr>
            <sz val="9"/>
            <color indexed="81"/>
            <rFont val="宋体"/>
            <family val="3"/>
            <charset val="134"/>
          </rPr>
          <t>按照实施清洁发展机制的不同项目分别填报，一个项目填报一行，纳税人有多个项目的，可自行增加行次填报。各行相应列次填报金额的合计金额填入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国家税务总局关于中国清洁发展机制基金及清洁发展机制项目实施企业有关企业所得税政策问题的通知》（财税〔</t>
        </r>
        <r>
          <rPr>
            <sz val="9"/>
            <color indexed="81"/>
            <rFont val="Tahoma"/>
            <family val="2"/>
          </rPr>
          <t>2009</t>
        </r>
        <r>
          <rPr>
            <sz val="9"/>
            <color indexed="81"/>
            <rFont val="宋体"/>
            <family val="3"/>
            <charset val="134"/>
          </rPr>
          <t>〕</t>
        </r>
        <r>
          <rPr>
            <sz val="9"/>
            <color indexed="81"/>
            <rFont val="Tahoma"/>
            <family val="2"/>
          </rPr>
          <t>30</t>
        </r>
        <r>
          <rPr>
            <sz val="9"/>
            <color indexed="81"/>
            <rFont val="宋体"/>
            <family val="3"/>
            <charset val="134"/>
          </rPr>
          <t>号）等相关税收政策规定，填报对企业实施的将温室气体减排量转让收入的</t>
        </r>
        <r>
          <rPr>
            <sz val="9"/>
            <color indexed="81"/>
            <rFont val="Tahoma"/>
            <family val="2"/>
          </rPr>
          <t>65%</t>
        </r>
        <r>
          <rPr>
            <sz val="9"/>
            <color indexed="81"/>
            <rFont val="宋体"/>
            <family val="3"/>
            <charset val="134"/>
          </rPr>
          <t>上缴给国家的</t>
        </r>
        <r>
          <rPr>
            <sz val="9"/>
            <color indexed="81"/>
            <rFont val="Tahoma"/>
            <family val="2"/>
          </rPr>
          <t>HFC</t>
        </r>
        <r>
          <rPr>
            <sz val="9"/>
            <color indexed="81"/>
            <rFont val="宋体"/>
            <family val="3"/>
            <charset val="134"/>
          </rPr>
          <t>和</t>
        </r>
        <r>
          <rPr>
            <sz val="9"/>
            <color indexed="81"/>
            <rFont val="Tahoma"/>
            <family val="2"/>
          </rPr>
          <t>PFC</t>
        </r>
        <r>
          <rPr>
            <sz val="9"/>
            <color indexed="81"/>
            <rFont val="宋体"/>
            <family val="3"/>
            <charset val="134"/>
          </rPr>
          <t>类</t>
        </r>
        <r>
          <rPr>
            <sz val="9"/>
            <color indexed="81"/>
            <rFont val="Tahoma"/>
            <family val="2"/>
          </rPr>
          <t>CDM</t>
        </r>
        <r>
          <rPr>
            <sz val="9"/>
            <color indexed="81"/>
            <rFont val="宋体"/>
            <family val="3"/>
            <charset val="134"/>
          </rPr>
          <t>项目，以及将温室气体减排量转让收入的</t>
        </r>
        <r>
          <rPr>
            <sz val="9"/>
            <color indexed="81"/>
            <rFont val="Tahoma"/>
            <family val="2"/>
          </rPr>
          <t>30%</t>
        </r>
        <r>
          <rPr>
            <sz val="9"/>
            <color indexed="81"/>
            <rFont val="宋体"/>
            <family val="3"/>
            <charset val="134"/>
          </rPr>
          <t>上缴给国家的</t>
        </r>
        <r>
          <rPr>
            <sz val="9"/>
            <color indexed="81"/>
            <rFont val="Tahoma"/>
            <family val="2"/>
          </rPr>
          <t>N2O</t>
        </r>
        <r>
          <rPr>
            <sz val="9"/>
            <color indexed="81"/>
            <rFont val="宋体"/>
            <family val="3"/>
            <charset val="134"/>
          </rPr>
          <t>类</t>
        </r>
        <r>
          <rPr>
            <sz val="9"/>
            <color indexed="81"/>
            <rFont val="Tahoma"/>
            <family val="2"/>
          </rPr>
          <t>CDM</t>
        </r>
        <r>
          <rPr>
            <sz val="9"/>
            <color indexed="81"/>
            <rFont val="宋体"/>
            <family val="3"/>
            <charset val="134"/>
          </rPr>
          <t>项目，其实施该类</t>
        </r>
        <r>
          <rPr>
            <sz val="9"/>
            <color indexed="81"/>
            <rFont val="Tahoma"/>
            <family val="2"/>
          </rPr>
          <t>CDM</t>
        </r>
        <r>
          <rPr>
            <sz val="9"/>
            <color indexed="81"/>
            <rFont val="宋体"/>
            <family val="3"/>
            <charset val="134"/>
          </rPr>
          <t>项目的所得，自项目取得第一笔减排量转让收入所属纳税年度起，第一年至第三年免征企业所得税，第四年至第六年减半征收企业所得税。</t>
        </r>
        <r>
          <rPr>
            <sz val="9"/>
            <color indexed="81"/>
            <rFont val="Tahoma"/>
            <family val="2"/>
          </rPr>
          <t xml:space="preserve">
</t>
        </r>
      </text>
    </comment>
    <comment ref="D18" authorId="0">
      <text>
        <r>
          <rPr>
            <sz val="9"/>
            <color indexed="81"/>
            <rFont val="宋体"/>
            <family val="3"/>
            <charset val="134"/>
          </rPr>
          <t>本列不需填报。</t>
        </r>
        <r>
          <rPr>
            <sz val="9"/>
            <color indexed="81"/>
            <rFont val="Tahoma"/>
            <family val="2"/>
          </rPr>
          <t xml:space="preserve">
</t>
        </r>
      </text>
    </comment>
    <comment ref="B21" authorId="0">
      <text>
        <r>
          <rPr>
            <sz val="9"/>
            <color indexed="81"/>
            <rFont val="宋体"/>
            <family val="3"/>
            <charset val="134"/>
          </rPr>
          <t>按照节能服务公司实施合同能源管理的不同项目分别填报，一个项目填报一行，纳税人有多个项目的，可自行增加行次填报。各行相应列次填报金额的合计金额填入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行。纳税人根据《财政部</t>
        </r>
        <r>
          <rPr>
            <sz val="9"/>
            <color indexed="81"/>
            <rFont val="Tahoma"/>
            <family val="2"/>
          </rPr>
          <t xml:space="preserve"> </t>
        </r>
        <r>
          <rPr>
            <sz val="9"/>
            <color indexed="81"/>
            <rFont val="宋体"/>
            <family val="3"/>
            <charset val="134"/>
          </rPr>
          <t>国家税务总局关于促进节能服务产业发展增值税营业税和企业所得税政策问题的通知》（财税〔</t>
        </r>
        <r>
          <rPr>
            <sz val="9"/>
            <color indexed="81"/>
            <rFont val="Tahoma"/>
            <family val="2"/>
          </rPr>
          <t>2010</t>
        </r>
        <r>
          <rPr>
            <sz val="9"/>
            <color indexed="81"/>
            <rFont val="宋体"/>
            <family val="3"/>
            <charset val="134"/>
          </rPr>
          <t>〕</t>
        </r>
        <r>
          <rPr>
            <sz val="9"/>
            <color indexed="81"/>
            <rFont val="Tahoma"/>
            <family val="2"/>
          </rPr>
          <t>110</t>
        </r>
        <r>
          <rPr>
            <sz val="9"/>
            <color indexed="81"/>
            <rFont val="宋体"/>
            <family val="3"/>
            <charset val="134"/>
          </rPr>
          <t>号）、《国家税务总局</t>
        </r>
        <r>
          <rPr>
            <sz val="9"/>
            <color indexed="81"/>
            <rFont val="Tahoma"/>
            <family val="2"/>
          </rPr>
          <t xml:space="preserve"> </t>
        </r>
        <r>
          <rPr>
            <sz val="9"/>
            <color indexed="81"/>
            <rFont val="宋体"/>
            <family val="3"/>
            <charset val="134"/>
          </rPr>
          <t>国家发展改革委关于落实节能服务企业合同能源管理项目企业所得税优惠政策有关征收管理问题的公告》（国家税务总局</t>
        </r>
        <r>
          <rPr>
            <sz val="9"/>
            <color indexed="81"/>
            <rFont val="Tahoma"/>
            <family val="2"/>
          </rPr>
          <t xml:space="preserve"> </t>
        </r>
        <r>
          <rPr>
            <sz val="9"/>
            <color indexed="81"/>
            <rFont val="宋体"/>
            <family val="3"/>
            <charset val="134"/>
          </rPr>
          <t>国家发展改革委公告</t>
        </r>
        <r>
          <rPr>
            <sz val="9"/>
            <color indexed="81"/>
            <rFont val="Tahoma"/>
            <family val="2"/>
          </rPr>
          <t>2013</t>
        </r>
        <r>
          <rPr>
            <sz val="9"/>
            <color indexed="81"/>
            <rFont val="宋体"/>
            <family val="3"/>
            <charset val="134"/>
          </rPr>
          <t>年第</t>
        </r>
        <r>
          <rPr>
            <sz val="9"/>
            <color indexed="81"/>
            <rFont val="Tahoma"/>
            <family val="2"/>
          </rPr>
          <t>77</t>
        </r>
        <r>
          <rPr>
            <sz val="9"/>
            <color indexed="81"/>
            <rFont val="宋体"/>
            <family val="3"/>
            <charset val="134"/>
          </rPr>
          <t>号）等相关税收政策规定，填报对符合条件的节能服务公司实施合同能源管理项目，符合企业所得税税法有关规定的，自项目取得第一笔生产经营收入所属纳税年度起，第一年至第三年免征企业所得税，第四年至第六年按照</t>
        </r>
        <r>
          <rPr>
            <sz val="9"/>
            <color indexed="81"/>
            <rFont val="Tahoma"/>
            <family val="2"/>
          </rPr>
          <t>25%</t>
        </r>
        <r>
          <rPr>
            <sz val="9"/>
            <color indexed="81"/>
            <rFont val="宋体"/>
            <family val="3"/>
            <charset val="134"/>
          </rPr>
          <t>的法定税率减半征收企业所得税。</t>
        </r>
        <r>
          <rPr>
            <sz val="9"/>
            <color indexed="81"/>
            <rFont val="Tahoma"/>
            <family val="2"/>
          </rPr>
          <t xml:space="preserve">
</t>
        </r>
      </text>
    </comment>
    <comment ref="D21" authorId="0">
      <text>
        <r>
          <rPr>
            <sz val="9"/>
            <color indexed="81"/>
            <rFont val="宋体"/>
            <family val="3"/>
            <charset val="134"/>
          </rPr>
          <t>本列不需填报。</t>
        </r>
        <r>
          <rPr>
            <sz val="9"/>
            <color indexed="81"/>
            <rFont val="Tahoma"/>
            <family val="2"/>
          </rPr>
          <t xml:space="preserve">
</t>
        </r>
      </text>
    </comment>
    <comment ref="B24" authorId="0">
      <text>
        <r>
          <rPr>
            <sz val="9"/>
            <color indexed="81"/>
            <rFont val="宋体"/>
            <family val="3"/>
            <charset val="134"/>
          </rPr>
          <t>填报纳税人享受的其他专项减免项目名称、优惠事项名称及减免税代码、项目收入等。按照享受所得减免企业所得税优惠的其他项目内容分别填报，一个项目填报一行，纳税人有多个项目的，可自行增加行次填报。各行相应列次填报金额的合计金额填入</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t>
        </r>
        <r>
          <rPr>
            <sz val="9"/>
            <color indexed="81"/>
            <rFont val="Tahoma"/>
            <family val="2"/>
          </rPr>
          <t xml:space="preserve">
</t>
        </r>
      </text>
    </comment>
    <comment ref="D24" authorId="0">
      <text>
        <r>
          <rPr>
            <sz val="9"/>
            <color indexed="81"/>
            <rFont val="宋体"/>
            <family val="3"/>
            <charset val="134"/>
          </rPr>
          <t>填报上述所得减免优惠项目以外的其他所得减免优惠政策具体名称。</t>
        </r>
        <r>
          <rPr>
            <sz val="9"/>
            <color indexed="81"/>
            <rFont val="Tahoma"/>
            <family val="2"/>
          </rPr>
          <t xml:space="preserve">
</t>
        </r>
      </text>
    </comment>
    <comment ref="B27" authorId="0">
      <text>
        <r>
          <rPr>
            <sz val="9"/>
            <color indexed="81"/>
            <rFont val="宋体"/>
            <family val="3"/>
            <charset val="134"/>
          </rPr>
          <t>填报第一至第七项</t>
        </r>
        <r>
          <rPr>
            <sz val="9"/>
            <color indexed="81"/>
            <rFont val="Tahoma"/>
            <family val="2"/>
          </rPr>
          <t>“</t>
        </r>
        <r>
          <rPr>
            <sz val="9"/>
            <color indexed="81"/>
            <rFont val="宋体"/>
            <family val="3"/>
            <charset val="134"/>
          </rPr>
          <t>小计</t>
        </r>
        <r>
          <rPr>
            <sz val="9"/>
            <color indexed="81"/>
            <rFont val="Tahoma"/>
            <family val="2"/>
          </rPr>
          <t>”</t>
        </r>
        <r>
          <rPr>
            <sz val="9"/>
            <color indexed="81"/>
            <rFont val="宋体"/>
            <family val="3"/>
            <charset val="134"/>
          </rPr>
          <t>行的合计金额。</t>
        </r>
        <r>
          <rPr>
            <sz val="9"/>
            <color indexed="81"/>
            <rFont val="Tahoma"/>
            <family val="2"/>
          </rPr>
          <t xml:space="preserve">
</t>
        </r>
      </text>
    </comment>
    <comment ref="M27" authorId="0">
      <text>
        <r>
          <rPr>
            <sz val="9"/>
            <color indexed="81"/>
            <rFont val="宋体"/>
            <family val="3"/>
            <charset val="134"/>
          </rPr>
          <t>当本表合计行第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，且本表合计行第</t>
        </r>
        <r>
          <rPr>
            <sz val="9"/>
            <color indexed="81"/>
            <rFont val="Tahoma"/>
            <family val="2"/>
          </rPr>
          <t>11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行时，表</t>
        </r>
        <r>
          <rPr>
            <sz val="9"/>
            <color indexed="81"/>
            <rFont val="Tahoma"/>
            <family val="2"/>
          </rPr>
          <t>A100000</t>
        </r>
        <r>
          <rPr>
            <sz val="9"/>
            <color indexed="81"/>
            <rFont val="宋体"/>
            <family val="3"/>
            <charset val="134"/>
          </rPr>
          <t>第</t>
        </r>
        <r>
          <rPr>
            <sz val="9"/>
            <color indexed="81"/>
            <rFont val="Tahoma"/>
            <family val="2"/>
          </rPr>
          <t>20</t>
        </r>
        <r>
          <rPr>
            <sz val="9"/>
            <color indexed="81"/>
            <rFont val="宋体"/>
            <family val="3"/>
            <charset val="134"/>
          </rPr>
          <t>行＝合计行第</t>
        </r>
        <r>
          <rPr>
            <sz val="9"/>
            <color indexed="81"/>
            <rFont val="Tahoma"/>
            <family val="2"/>
          </rPr>
          <t>11</t>
        </r>
        <r>
          <rPr>
            <sz val="9"/>
            <color indexed="81"/>
            <rFont val="宋体"/>
            <family val="3"/>
            <charset val="134"/>
          </rPr>
          <t xml:space="preserve">列。
</t>
        </r>
        <r>
          <rPr>
            <sz val="9"/>
            <color indexed="81"/>
            <rFont val="Tahoma"/>
            <family val="2"/>
          </rPr>
          <t>2.</t>
        </r>
        <r>
          <rPr>
            <sz val="9"/>
            <color indexed="81"/>
            <rFont val="宋体"/>
            <family val="3"/>
            <charset val="134"/>
          </rPr>
          <t>当本表合计行第</t>
        </r>
        <r>
          <rPr>
            <sz val="9"/>
            <color indexed="81"/>
            <rFont val="Tahoma"/>
            <family val="2"/>
          </rPr>
          <t>11</t>
        </r>
        <r>
          <rPr>
            <sz val="9"/>
            <color indexed="81"/>
            <rFont val="宋体"/>
            <family val="3"/>
            <charset val="134"/>
          </rPr>
          <t>列≥</t>
        </r>
        <r>
          <rPr>
            <sz val="9"/>
            <color indexed="81"/>
            <rFont val="Tahoma"/>
            <family val="2"/>
          </rPr>
          <t>0</t>
        </r>
        <r>
          <rPr>
            <sz val="9"/>
            <color indexed="81"/>
            <rFont val="宋体"/>
            <family val="3"/>
            <charset val="134"/>
          </rPr>
          <t>，且本表合计行第</t>
        </r>
        <r>
          <rPr>
            <sz val="9"/>
            <color indexed="81"/>
            <rFont val="Tahoma"/>
            <family val="2"/>
          </rPr>
          <t>11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行时，表</t>
        </r>
        <r>
          <rPr>
            <sz val="9"/>
            <color indexed="81"/>
            <rFont val="Tahoma"/>
            <family val="2"/>
          </rPr>
          <t>A100000</t>
        </r>
        <r>
          <rPr>
            <sz val="9"/>
            <color indexed="81"/>
            <rFont val="宋体"/>
            <family val="3"/>
            <charset val="134"/>
          </rPr>
          <t>第</t>
        </r>
        <r>
          <rPr>
            <sz val="9"/>
            <color indexed="81"/>
            <rFont val="Tahoma"/>
            <family val="2"/>
          </rPr>
          <t>20</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19</t>
        </r>
        <r>
          <rPr>
            <sz val="9"/>
            <color indexed="81"/>
            <rFont val="宋体"/>
            <family val="3"/>
            <charset val="134"/>
          </rPr>
          <t>行。</t>
        </r>
        <r>
          <rPr>
            <sz val="9"/>
            <color indexed="81"/>
            <rFont val="Tahoma"/>
            <family val="2"/>
          </rPr>
          <t xml:space="preserve"> 
</t>
        </r>
      </text>
    </comment>
  </commentList>
</comments>
</file>

<file path=xl/comments38.xml><?xml version="1.0" encoding="utf-8"?>
<comments xmlns="http://schemas.openxmlformats.org/spreadsheetml/2006/main">
  <authors>
    <author>Zhang, Dorothy</author>
  </authors>
  <commentList>
    <comment ref="A2" authorId="0">
      <text>
        <r>
          <rPr>
            <sz val="9"/>
            <color indexed="81"/>
            <rFont val="Tahoma"/>
            <family val="2"/>
          </rPr>
          <t>1</t>
        </r>
        <r>
          <rPr>
            <sz val="9"/>
            <color indexed="81"/>
            <rFont val="宋体"/>
            <family val="3"/>
            <charset val="134"/>
          </rPr>
          <t>、本表适用于享受创业投资企业抵扣应纳税所得额优惠（含结转）的纳税人填报。纳税人根据税法、《国家税务总局关于实施创业投资企业所得税优惠问题的通知》（国税发〔</t>
        </r>
        <r>
          <rPr>
            <sz val="9"/>
            <color indexed="81"/>
            <rFont val="Tahoma"/>
            <family val="2"/>
          </rPr>
          <t>2009</t>
        </r>
        <r>
          <rPr>
            <sz val="9"/>
            <color indexed="81"/>
            <rFont val="宋体"/>
            <family val="3"/>
            <charset val="134"/>
          </rPr>
          <t>〕</t>
        </r>
        <r>
          <rPr>
            <sz val="9"/>
            <color indexed="81"/>
            <rFont val="Tahoma"/>
            <family val="2"/>
          </rPr>
          <t>87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国家税务总局关于执行企业所得税优惠政策若干问题的通知》（财税〔</t>
        </r>
        <r>
          <rPr>
            <sz val="9"/>
            <color indexed="81"/>
            <rFont val="Tahoma"/>
            <family val="2"/>
          </rPr>
          <t>2009</t>
        </r>
        <r>
          <rPr>
            <sz val="9"/>
            <color indexed="81"/>
            <rFont val="宋体"/>
            <family val="3"/>
            <charset val="134"/>
          </rPr>
          <t>〕</t>
        </r>
        <r>
          <rPr>
            <sz val="9"/>
            <color indexed="81"/>
            <rFont val="Tahoma"/>
            <family val="2"/>
          </rPr>
          <t>69</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国家税务总局关于将国家自主创新示范区有关税收试点政策推广到全国范围实施的通知》（财税〔</t>
        </r>
        <r>
          <rPr>
            <sz val="9"/>
            <color indexed="81"/>
            <rFont val="Tahoma"/>
            <family val="2"/>
          </rPr>
          <t>2015</t>
        </r>
        <r>
          <rPr>
            <sz val="9"/>
            <color indexed="81"/>
            <rFont val="宋体"/>
            <family val="3"/>
            <charset val="134"/>
          </rPr>
          <t>〕</t>
        </r>
        <r>
          <rPr>
            <sz val="9"/>
            <color indexed="81"/>
            <rFont val="Tahoma"/>
            <family val="2"/>
          </rPr>
          <t>116</t>
        </r>
        <r>
          <rPr>
            <sz val="9"/>
            <color indexed="81"/>
            <rFont val="宋体"/>
            <family val="3"/>
            <charset val="134"/>
          </rPr>
          <t>号）、《国家税务总局关于有限合伙制创业投资企业法人合伙人企业所得税有关问题的公告》（国家税务总局公告</t>
        </r>
        <r>
          <rPr>
            <sz val="9"/>
            <color indexed="81"/>
            <rFont val="Tahoma"/>
            <family val="2"/>
          </rPr>
          <t>2015</t>
        </r>
        <r>
          <rPr>
            <sz val="9"/>
            <color indexed="81"/>
            <rFont val="宋体"/>
            <family val="3"/>
            <charset val="134"/>
          </rPr>
          <t>年第</t>
        </r>
        <r>
          <rPr>
            <sz val="9"/>
            <color indexed="81"/>
            <rFont val="Tahoma"/>
            <family val="2"/>
          </rPr>
          <t>81</t>
        </r>
        <r>
          <rPr>
            <sz val="9"/>
            <color indexed="81"/>
            <rFont val="宋体"/>
            <family val="3"/>
            <charset val="134"/>
          </rPr>
          <t>号）、《财政部</t>
        </r>
        <r>
          <rPr>
            <sz val="9"/>
            <color indexed="81"/>
            <rFont val="Tahoma"/>
            <family val="2"/>
          </rPr>
          <t xml:space="preserve"> </t>
        </r>
        <r>
          <rPr>
            <sz val="9"/>
            <color indexed="81"/>
            <rFont val="宋体"/>
            <family val="3"/>
            <charset val="134"/>
          </rPr>
          <t>税务总局关于创业投资企业和天使投资个人有关税收试点政策的通知》（财税〔</t>
        </r>
        <r>
          <rPr>
            <sz val="9"/>
            <color indexed="81"/>
            <rFont val="Tahoma"/>
            <family val="2"/>
          </rPr>
          <t>2017</t>
        </r>
        <r>
          <rPr>
            <sz val="9"/>
            <color indexed="81"/>
            <rFont val="宋体"/>
            <family val="3"/>
            <charset val="134"/>
          </rPr>
          <t>〕</t>
        </r>
        <r>
          <rPr>
            <sz val="9"/>
            <color indexed="81"/>
            <rFont val="Tahoma"/>
            <family val="2"/>
          </rPr>
          <t>38</t>
        </r>
        <r>
          <rPr>
            <sz val="9"/>
            <color indexed="81"/>
            <rFont val="宋体"/>
            <family val="3"/>
            <charset val="134"/>
          </rPr>
          <t>号）、《国家税务总局关于创业投资企业和天使投资个人税收试点政策有关问题的公告》（国家税务总局公告</t>
        </r>
        <r>
          <rPr>
            <sz val="9"/>
            <color indexed="81"/>
            <rFont val="Tahoma"/>
            <family val="2"/>
          </rPr>
          <t>2017</t>
        </r>
        <r>
          <rPr>
            <sz val="9"/>
            <color indexed="81"/>
            <rFont val="宋体"/>
            <family val="3"/>
            <charset val="134"/>
          </rPr>
          <t>年第</t>
        </r>
        <r>
          <rPr>
            <sz val="9"/>
            <color indexed="81"/>
            <rFont val="Tahoma"/>
            <family val="2"/>
          </rPr>
          <t>20</t>
        </r>
        <r>
          <rPr>
            <sz val="9"/>
            <color indexed="81"/>
            <rFont val="宋体"/>
            <family val="3"/>
            <charset val="134"/>
          </rPr>
          <t>号）等规定，填报本年度发生的创业投资企业抵扣应纳税所得额优惠情况。企业只要本年有新增符合条件的投资额、从有限合伙制创业投资企业分得的应纳税所得额或以前年度结转的尚未抵扣的股权投资余额，无论本年是否抵扣应纳税所得额，均需填报本表。</t>
        </r>
        <r>
          <rPr>
            <sz val="9"/>
            <color indexed="81"/>
            <rFont val="Tahoma"/>
            <family val="2"/>
          </rPr>
          <t xml:space="preserve">
2</t>
        </r>
        <r>
          <rPr>
            <sz val="9"/>
            <color indexed="81"/>
            <rFont val="宋体"/>
            <family val="3"/>
            <charset val="134"/>
          </rPr>
          <t>、企业同时存在创业投资企业直接投资和通过有限合伙制创业投资企业投资两种情形的，应先填写本表的</t>
        </r>
        <r>
          <rPr>
            <sz val="9"/>
            <color indexed="81"/>
            <rFont val="Tahoma"/>
            <family val="2"/>
          </rPr>
          <t>“</t>
        </r>
        <r>
          <rPr>
            <sz val="9"/>
            <color indexed="81"/>
            <rFont val="宋体"/>
            <family val="3"/>
            <charset val="134"/>
          </rPr>
          <t>二、通过有限合伙制创业投资企业投资按一定比例抵扣分得的应纳税所得额</t>
        </r>
        <r>
          <rPr>
            <sz val="9"/>
            <color indexed="81"/>
            <rFont val="Tahoma"/>
            <family val="2"/>
          </rPr>
          <t>”</t>
        </r>
        <r>
          <rPr>
            <sz val="9"/>
            <color indexed="81"/>
            <rFont val="宋体"/>
            <family val="3"/>
            <charset val="134"/>
          </rPr>
          <t>。</t>
        </r>
      </text>
    </comment>
    <comment ref="C3" authorId="0">
      <text>
        <r>
          <rPr>
            <sz val="9"/>
            <color indexed="81"/>
            <rFont val="宋体"/>
            <family val="3"/>
            <charset val="134"/>
          </rPr>
          <t>第</t>
        </r>
        <r>
          <rPr>
            <sz val="9"/>
            <color indexed="81"/>
            <rFont val="Tahoma"/>
            <family val="2"/>
          </rPr>
          <t>1</t>
        </r>
        <r>
          <rPr>
            <sz val="9"/>
            <color indexed="81"/>
            <rFont val="宋体"/>
            <family val="3"/>
            <charset val="134"/>
          </rPr>
          <t>列填报抵扣应纳税所得额的整体情况。</t>
        </r>
        <r>
          <rPr>
            <sz val="9"/>
            <color indexed="81"/>
            <rFont val="Tahoma"/>
            <family val="2"/>
          </rPr>
          <t xml:space="preserve">
</t>
        </r>
      </text>
    </comment>
    <comment ref="D3" authorId="0">
      <text>
        <r>
          <rPr>
            <sz val="9"/>
            <color indexed="81"/>
            <rFont val="宋体"/>
            <family val="3"/>
            <charset val="134"/>
          </rPr>
          <t>第</t>
        </r>
        <r>
          <rPr>
            <sz val="9"/>
            <color indexed="81"/>
            <rFont val="Tahoma"/>
            <family val="2"/>
          </rPr>
          <t>2</t>
        </r>
        <r>
          <rPr>
            <sz val="9"/>
            <color indexed="81"/>
            <rFont val="宋体"/>
            <family val="3"/>
            <charset val="134"/>
          </rPr>
          <t>列填报投资于未上市中小高新技术企业部分。</t>
        </r>
        <r>
          <rPr>
            <sz val="9"/>
            <color indexed="81"/>
            <rFont val="Tahoma"/>
            <family val="2"/>
          </rPr>
          <t xml:space="preserve">
</t>
        </r>
      </text>
    </comment>
    <comment ref="E3" authorId="0">
      <text>
        <r>
          <rPr>
            <sz val="9"/>
            <color indexed="81"/>
            <rFont val="宋体"/>
            <family val="3"/>
            <charset val="134"/>
          </rPr>
          <t>第</t>
        </r>
        <r>
          <rPr>
            <sz val="9"/>
            <color indexed="81"/>
            <rFont val="Tahoma"/>
            <family val="2"/>
          </rPr>
          <t>3</t>
        </r>
        <r>
          <rPr>
            <sz val="9"/>
            <color indexed="81"/>
            <rFont val="宋体"/>
            <family val="3"/>
            <charset val="134"/>
          </rPr>
          <t>列填报投资于种子期、初创期科技型企业部分。</t>
        </r>
        <r>
          <rPr>
            <sz val="9"/>
            <color indexed="81"/>
            <rFont val="Tahoma"/>
            <family val="2"/>
          </rPr>
          <t xml:space="preserve">
</t>
        </r>
      </text>
    </comment>
    <comment ref="A5" authorId="0">
      <text>
        <r>
          <rPr>
            <sz val="9"/>
            <color indexed="81"/>
            <rFont val="宋体"/>
            <family val="3"/>
            <charset val="134"/>
          </rPr>
          <t>由创业投资企业（非合伙制）纳税人填报其以股权投资方式直接投资未上市的中小高新技术企业和投资于种子期、初创期科技型企业</t>
        </r>
        <r>
          <rPr>
            <sz val="9"/>
            <color indexed="81"/>
            <rFont val="Tahoma"/>
            <family val="2"/>
          </rPr>
          <t>2</t>
        </r>
        <r>
          <rPr>
            <sz val="9"/>
            <color indexed="81"/>
            <rFont val="宋体"/>
            <family val="3"/>
            <charset val="134"/>
          </rPr>
          <t>年（</t>
        </r>
        <r>
          <rPr>
            <sz val="9"/>
            <color indexed="81"/>
            <rFont val="Tahoma"/>
            <family val="2"/>
          </rPr>
          <t>24</t>
        </r>
        <r>
          <rPr>
            <sz val="9"/>
            <color indexed="81"/>
            <rFont val="宋体"/>
            <family val="3"/>
            <charset val="134"/>
          </rPr>
          <t>个月，下同）以上限额抵免应纳税所得额的金额。对于通过有限合伙制创业投资企业间接投资未上市的中小高新技术企业和投资于种子期、初创期科技型企业享受优惠政策填写本表第</t>
        </r>
        <r>
          <rPr>
            <sz val="9"/>
            <color indexed="81"/>
            <rFont val="Tahoma"/>
            <family val="2"/>
          </rPr>
          <t>9</t>
        </r>
        <r>
          <rPr>
            <sz val="9"/>
            <color indexed="81"/>
            <rFont val="宋体"/>
            <family val="3"/>
            <charset val="134"/>
          </rPr>
          <t>行至第</t>
        </r>
        <r>
          <rPr>
            <sz val="9"/>
            <color indexed="81"/>
            <rFont val="Tahoma"/>
            <family val="2"/>
          </rPr>
          <t>14</t>
        </r>
        <r>
          <rPr>
            <sz val="9"/>
            <color indexed="81"/>
            <rFont val="宋体"/>
            <family val="3"/>
            <charset val="134"/>
          </rPr>
          <t>行。</t>
        </r>
        <r>
          <rPr>
            <sz val="9"/>
            <color indexed="81"/>
            <rFont val="Tahoma"/>
            <family val="2"/>
          </rPr>
          <t xml:space="preserve">
</t>
        </r>
      </text>
    </comment>
    <comment ref="B6" authorId="0">
      <text>
        <r>
          <rPr>
            <sz val="9"/>
            <color indexed="81"/>
            <rFont val="宋体"/>
            <family val="3"/>
            <charset val="134"/>
          </rPr>
          <t>填报创业投资企业采取股权投资方式投资于未上市的中小高新技术企业和投资于种子期、初创期科技型企业满</t>
        </r>
        <r>
          <rPr>
            <sz val="9"/>
            <color indexed="81"/>
            <rFont val="Tahoma"/>
            <family val="2"/>
          </rPr>
          <t>2</t>
        </r>
        <r>
          <rPr>
            <sz val="9"/>
            <color indexed="81"/>
            <rFont val="宋体"/>
            <family val="3"/>
            <charset val="134"/>
          </rPr>
          <t>年的，本年新增的符合条件的股权投资额。本行第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列。无论企业本年是否盈利，有符合条件的投资额即填报本表，以后年度盈利时填写第</t>
        </r>
        <r>
          <rPr>
            <sz val="9"/>
            <color indexed="81"/>
            <rFont val="Tahoma"/>
            <family val="2"/>
          </rPr>
          <t>4</t>
        </r>
        <r>
          <rPr>
            <sz val="9"/>
            <color indexed="81"/>
            <rFont val="宋体"/>
            <family val="3"/>
            <charset val="134"/>
          </rPr>
          <t>行</t>
        </r>
        <r>
          <rPr>
            <sz val="9"/>
            <color indexed="81"/>
            <rFont val="Tahoma"/>
            <family val="2"/>
          </rPr>
          <t>“</t>
        </r>
        <r>
          <rPr>
            <sz val="9"/>
            <color indexed="81"/>
            <rFont val="宋体"/>
            <family val="3"/>
            <charset val="134"/>
          </rPr>
          <t>以前年度结转的尚未抵扣的股权投资余额</t>
        </r>
        <r>
          <rPr>
            <sz val="9"/>
            <color indexed="81"/>
            <rFont val="Tahoma"/>
            <family val="2"/>
          </rPr>
          <t>”</t>
        </r>
        <r>
          <rPr>
            <sz val="9"/>
            <color indexed="81"/>
            <rFont val="宋体"/>
            <family val="3"/>
            <charset val="134"/>
          </rPr>
          <t>。</t>
        </r>
        <r>
          <rPr>
            <sz val="9"/>
            <color indexed="81"/>
            <rFont val="Tahoma"/>
            <family val="2"/>
          </rPr>
          <t xml:space="preserve">
</t>
        </r>
      </text>
    </comment>
    <comment ref="B8" authorId="0">
      <text>
        <r>
          <rPr>
            <sz val="9"/>
            <color indexed="81"/>
            <rFont val="宋体"/>
            <family val="3"/>
            <charset val="134"/>
          </rPr>
          <t>本行填报第</t>
        </r>
        <r>
          <rPr>
            <sz val="9"/>
            <color indexed="81"/>
            <rFont val="Tahoma"/>
            <family val="2"/>
          </rPr>
          <t>1×2</t>
        </r>
        <r>
          <rPr>
            <sz val="9"/>
            <color indexed="81"/>
            <rFont val="宋体"/>
            <family val="3"/>
            <charset val="134"/>
          </rPr>
          <t>行金额。本行第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text>
    </comment>
    <comment ref="B9" authorId="0">
      <text>
        <r>
          <rPr>
            <sz val="9"/>
            <color indexed="81"/>
            <rFont val="宋体"/>
            <family val="3"/>
            <charset val="134"/>
          </rPr>
          <t>填报以前年度符合条件的尚未抵扣的股权投资余额。</t>
        </r>
        <r>
          <rPr>
            <sz val="9"/>
            <color indexed="81"/>
            <rFont val="Tahoma"/>
            <family val="2"/>
          </rPr>
          <t xml:space="preserve">
</t>
        </r>
      </text>
    </comment>
    <comment ref="B10" authorId="0">
      <text>
        <r>
          <rPr>
            <sz val="9"/>
            <color indexed="81"/>
            <rFont val="宋体"/>
            <family val="3"/>
            <charset val="134"/>
          </rPr>
          <t>本行填报第</t>
        </r>
        <r>
          <rPr>
            <sz val="9"/>
            <color indexed="81"/>
            <rFont val="Tahoma"/>
            <family val="2"/>
          </rPr>
          <t>3+4</t>
        </r>
        <r>
          <rPr>
            <sz val="9"/>
            <color indexed="81"/>
            <rFont val="宋体"/>
            <family val="3"/>
            <charset val="134"/>
          </rPr>
          <t>行的合计金额。</t>
        </r>
        <r>
          <rPr>
            <sz val="9"/>
            <color indexed="81"/>
            <rFont val="Tahoma"/>
            <family val="2"/>
          </rPr>
          <t xml:space="preserve">
</t>
        </r>
      </text>
    </comment>
    <comment ref="B11" authorId="0">
      <text>
        <r>
          <rPr>
            <sz val="9"/>
            <color indexed="81"/>
            <rFont val="宋体"/>
            <family val="3"/>
            <charset val="134"/>
          </rPr>
          <t>本行第</t>
        </r>
        <r>
          <rPr>
            <sz val="9"/>
            <color indexed="81"/>
            <rFont val="Tahoma"/>
            <family val="2"/>
          </rPr>
          <t>1</t>
        </r>
        <r>
          <rPr>
            <sz val="9"/>
            <color indexed="81"/>
            <rFont val="宋体"/>
            <family val="3"/>
            <charset val="134"/>
          </rPr>
          <t>列填报表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t>
        </r>
        <r>
          <rPr>
            <sz val="9"/>
            <color indexed="81"/>
            <rFont val="Tahoma"/>
            <family val="2"/>
          </rPr>
          <t>-</t>
        </r>
        <r>
          <rPr>
            <sz val="9"/>
            <color indexed="81"/>
            <rFont val="宋体"/>
            <family val="3"/>
            <charset val="134"/>
          </rPr>
          <t>本表第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本年实际抵扣应分得的应纳税所得额</t>
        </r>
        <r>
          <rPr>
            <sz val="9"/>
            <color indexed="81"/>
            <rFont val="Tahoma"/>
            <family val="2"/>
          </rPr>
          <t>”</t>
        </r>
        <r>
          <rPr>
            <sz val="9"/>
            <color indexed="81"/>
            <rFont val="宋体"/>
            <family val="3"/>
            <charset val="134"/>
          </rPr>
          <t>的金额，若金额小于零，则填报零。</t>
        </r>
      </text>
    </comment>
    <comment ref="C11" authorId="0">
      <text>
        <r>
          <rPr>
            <sz val="9"/>
            <color indexed="81"/>
            <rFont val="宋体"/>
            <family val="3"/>
            <charset val="134"/>
          </rPr>
          <t>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t>
        </r>
        <r>
          <rPr>
            <sz val="9"/>
            <color indexed="81"/>
            <rFont val="Tahoma"/>
            <family val="2"/>
          </rPr>
          <t>-</t>
        </r>
        <r>
          <rPr>
            <sz val="9"/>
            <color indexed="81"/>
            <rFont val="宋体"/>
            <family val="3"/>
            <charset val="134"/>
          </rPr>
          <t>本表第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列；若表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t>
        </r>
        <r>
          <rPr>
            <sz val="9"/>
            <color indexed="81"/>
            <rFont val="Tahoma"/>
            <family val="2"/>
          </rPr>
          <t>-</t>
        </r>
        <r>
          <rPr>
            <sz val="9"/>
            <color indexed="81"/>
            <rFont val="宋体"/>
            <family val="3"/>
            <charset val="134"/>
          </rPr>
          <t>本表第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t>
        </r>
        <r>
          <rPr>
            <sz val="9"/>
            <color indexed="81"/>
            <rFont val="Tahoma"/>
            <family val="2"/>
          </rPr>
          <t xml:space="preserve">
</t>
        </r>
      </text>
    </comment>
    <comment ref="B12" authorId="0">
      <text>
        <r>
          <rPr>
            <sz val="9"/>
            <color indexed="81"/>
            <rFont val="宋体"/>
            <family val="3"/>
            <charset val="134"/>
          </rPr>
          <t>若第</t>
        </r>
        <r>
          <rPr>
            <sz val="9"/>
            <color indexed="81"/>
            <rFont val="Tahoma"/>
            <family val="2"/>
          </rPr>
          <t>5</t>
        </r>
        <r>
          <rPr>
            <sz val="9"/>
            <color indexed="81"/>
            <rFont val="宋体"/>
            <family val="3"/>
            <charset val="134"/>
          </rPr>
          <t>行第</t>
        </r>
        <r>
          <rPr>
            <sz val="9"/>
            <color indexed="81"/>
            <rFont val="Tahoma"/>
            <family val="2"/>
          </rPr>
          <t>1</t>
        </r>
        <r>
          <rPr>
            <sz val="9"/>
            <color indexed="81"/>
            <rFont val="宋体"/>
            <family val="3"/>
            <charset val="134"/>
          </rPr>
          <t>列≤第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列，则本行第</t>
        </r>
        <r>
          <rPr>
            <sz val="9"/>
            <color indexed="81"/>
            <rFont val="Tahoma"/>
            <family val="2"/>
          </rPr>
          <t>1</t>
        </r>
        <r>
          <rPr>
            <sz val="9"/>
            <color indexed="81"/>
            <rFont val="宋体"/>
            <family val="3"/>
            <charset val="134"/>
          </rPr>
          <t>列＝第</t>
        </r>
        <r>
          <rPr>
            <sz val="9"/>
            <color indexed="81"/>
            <rFont val="Tahoma"/>
            <family val="2"/>
          </rPr>
          <t>5</t>
        </r>
        <r>
          <rPr>
            <sz val="9"/>
            <color indexed="81"/>
            <rFont val="宋体"/>
            <family val="3"/>
            <charset val="134"/>
          </rPr>
          <t>行第</t>
        </r>
        <r>
          <rPr>
            <sz val="9"/>
            <color indexed="81"/>
            <rFont val="Tahoma"/>
            <family val="2"/>
          </rPr>
          <t>1</t>
        </r>
        <r>
          <rPr>
            <sz val="9"/>
            <color indexed="81"/>
            <rFont val="宋体"/>
            <family val="3"/>
            <charset val="134"/>
          </rPr>
          <t>列；若第</t>
        </r>
        <r>
          <rPr>
            <sz val="9"/>
            <color indexed="81"/>
            <rFont val="Tahoma"/>
            <family val="2"/>
          </rPr>
          <t>5</t>
        </r>
        <r>
          <rPr>
            <sz val="9"/>
            <color indexed="81"/>
            <rFont val="宋体"/>
            <family val="3"/>
            <charset val="134"/>
          </rPr>
          <t>行第</t>
        </r>
        <r>
          <rPr>
            <sz val="9"/>
            <color indexed="81"/>
            <rFont val="Tahoma"/>
            <family val="2"/>
          </rPr>
          <t>1</t>
        </r>
        <r>
          <rPr>
            <sz val="9"/>
            <color indexed="81"/>
            <rFont val="宋体"/>
            <family val="3"/>
            <charset val="134"/>
          </rPr>
          <t>列＞第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列，则本行第</t>
        </r>
        <r>
          <rPr>
            <sz val="9"/>
            <color indexed="81"/>
            <rFont val="Tahoma"/>
            <family val="2"/>
          </rPr>
          <t>1</t>
        </r>
        <r>
          <rPr>
            <sz val="9"/>
            <color indexed="81"/>
            <rFont val="宋体"/>
            <family val="3"/>
            <charset val="134"/>
          </rPr>
          <t>列＝第</t>
        </r>
        <r>
          <rPr>
            <sz val="9"/>
            <color indexed="81"/>
            <rFont val="Tahoma"/>
            <family val="2"/>
          </rPr>
          <t>6</t>
        </r>
        <r>
          <rPr>
            <sz val="9"/>
            <color indexed="81"/>
            <rFont val="宋体"/>
            <family val="3"/>
            <charset val="134"/>
          </rPr>
          <t>行第</t>
        </r>
        <r>
          <rPr>
            <sz val="9"/>
            <color indexed="81"/>
            <rFont val="Tahoma"/>
            <family val="2"/>
          </rPr>
          <t>1</t>
        </r>
        <r>
          <rPr>
            <sz val="9"/>
            <color indexed="81"/>
            <rFont val="宋体"/>
            <family val="3"/>
            <charset val="134"/>
          </rPr>
          <t>列。本行第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text>
    </comment>
    <comment ref="B13" authorId="0">
      <text>
        <r>
          <rPr>
            <sz val="9"/>
            <color indexed="81"/>
            <rFont val="宋体"/>
            <family val="3"/>
            <charset val="134"/>
          </rPr>
          <t>填报本年可抵扣的股权投资额大于本年实际抵扣应纳税所得额时，抵扣后余额部分结转以后年度抵扣的金额。</t>
        </r>
        <r>
          <rPr>
            <sz val="9"/>
            <color indexed="81"/>
            <rFont val="Tahoma"/>
            <family val="2"/>
          </rPr>
          <t xml:space="preserve">
</t>
        </r>
      </text>
    </comment>
    <comment ref="A14" authorId="0">
      <text>
        <r>
          <rPr>
            <sz val="9"/>
            <color indexed="81"/>
            <rFont val="宋体"/>
            <family val="3"/>
            <charset val="134"/>
          </rPr>
          <t>企业作为有限合伙制创业投资企业的合伙人，通过合伙企业间接投资未上市中小高新技术企业和种子期、初创期科技型企业，享受有限合伙制创业投资企业法人合伙人按投资额的一定比例抵扣应纳税所得额政策，在本部分填报。</t>
        </r>
        <r>
          <rPr>
            <sz val="9"/>
            <color indexed="81"/>
            <rFont val="Tahoma"/>
            <family val="2"/>
          </rPr>
          <t xml:space="preserve">
</t>
        </r>
      </text>
    </comment>
    <comment ref="B15" authorId="0">
      <text>
        <r>
          <rPr>
            <sz val="9"/>
            <color indexed="81"/>
            <rFont val="宋体"/>
            <family val="3"/>
            <charset val="134"/>
          </rPr>
          <t>填写企业作为法人合伙人，通过有限合伙制创业投资企业投资未上市的中小高新技术企业或者投资于种子期、初创期科技型企业，无论本年是否盈利、是否抵扣应纳税所得额，只要本年从有限合伙制创业投资企业中分配归属于该法人合伙人的应纳税所得额，需填写本行。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text>
    </comment>
    <comment ref="B16" authorId="0">
      <text>
        <r>
          <rPr>
            <sz val="9"/>
            <color indexed="81"/>
            <rFont val="宋体"/>
            <family val="3"/>
            <charset val="134"/>
          </rPr>
          <t>填写企业作为法人合伙人，通过有限合伙制创业投资企业投资未上市中小高新技术企业和种子期、初创期科技型企业，本年投资满</t>
        </r>
        <r>
          <rPr>
            <sz val="9"/>
            <color indexed="81"/>
            <rFont val="Tahoma"/>
            <family val="2"/>
          </rPr>
          <t>2</t>
        </r>
        <r>
          <rPr>
            <sz val="9"/>
            <color indexed="81"/>
            <rFont val="宋体"/>
            <family val="3"/>
            <charset val="134"/>
          </rPr>
          <t>年符合条件的可抵扣投资额中归属于该法人合伙人的本年新增可抵扣投资额。无论本年是否盈利、是否需要抵扣应纳税所得额，均需填写本行。本行第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r>
          <rPr>
            <sz val="9"/>
            <color indexed="81"/>
            <rFont val="宋体"/>
            <family val="3"/>
            <charset val="134"/>
          </rPr>
          <t>有限合伙制创业投资企业的法人合伙人对未上市中小高新技术企业和种子期、初创期科技型企业的投资额，按照有限合伙制创业投资企业的投资额和合伙协议约定的法人合伙人占有限合伙制创业投资企业的出资比例计算确定。其中，有限合伙制创业投资企业的投资额按实缴投资额计算；法人合伙人占有限合伙制创业投资企业的出资比例按法人合伙人对有限合伙制创业投资企业的实缴出资额占该有限合伙制创业投资企业的全部实缴出资额的比例计算。</t>
        </r>
      </text>
    </comment>
    <comment ref="B17" authorId="0">
      <text>
        <r>
          <rPr>
            <sz val="9"/>
            <color indexed="81"/>
            <rFont val="宋体"/>
            <family val="3"/>
            <charset val="134"/>
          </rPr>
          <t>填写法人合伙人上年度未抵扣，可以结转到本年及以后年度的抵扣投资额。</t>
        </r>
        <r>
          <rPr>
            <sz val="9"/>
            <color indexed="81"/>
            <rFont val="Tahoma"/>
            <family val="2"/>
          </rPr>
          <t xml:space="preserve">
</t>
        </r>
      </text>
    </comment>
    <comment ref="B18" authorId="0">
      <text>
        <r>
          <rPr>
            <sz val="9"/>
            <color indexed="81"/>
            <rFont val="宋体"/>
            <family val="3"/>
            <charset val="134"/>
          </rPr>
          <t>填写本年法人合伙人可用于抵扣的投资额合计，包括本年新增和以前年度结转两部分，等于第</t>
        </r>
        <r>
          <rPr>
            <sz val="9"/>
            <color indexed="81"/>
            <rFont val="Tahoma"/>
            <family val="2"/>
          </rPr>
          <t>10</t>
        </r>
        <r>
          <rPr>
            <sz val="9"/>
            <color indexed="81"/>
            <rFont val="宋体"/>
            <family val="3"/>
            <charset val="134"/>
          </rPr>
          <t>行</t>
        </r>
        <r>
          <rPr>
            <sz val="9"/>
            <color indexed="81"/>
            <rFont val="Tahoma"/>
            <family val="2"/>
          </rPr>
          <t>+</t>
        </r>
        <r>
          <rPr>
            <sz val="9"/>
            <color indexed="81"/>
            <rFont val="宋体"/>
            <family val="3"/>
            <charset val="134"/>
          </rPr>
          <t>第</t>
        </r>
        <r>
          <rPr>
            <sz val="9"/>
            <color indexed="81"/>
            <rFont val="Tahoma"/>
            <family val="2"/>
          </rPr>
          <t>11</t>
        </r>
        <r>
          <rPr>
            <sz val="9"/>
            <color indexed="81"/>
            <rFont val="宋体"/>
            <family val="3"/>
            <charset val="134"/>
          </rPr>
          <t>行。</t>
        </r>
        <r>
          <rPr>
            <sz val="9"/>
            <color indexed="81"/>
            <rFont val="Tahoma"/>
            <family val="2"/>
          </rPr>
          <t xml:space="preserve">
</t>
        </r>
      </text>
    </comment>
    <comment ref="B19" authorId="0">
      <text>
        <r>
          <rPr>
            <sz val="9"/>
            <color indexed="81"/>
            <rFont val="宋体"/>
            <family val="3"/>
            <charset val="134"/>
          </rPr>
          <t>填写本年法人合伙人享受优惠实际抵扣的投资额，本行第</t>
        </r>
        <r>
          <rPr>
            <sz val="9"/>
            <color indexed="81"/>
            <rFont val="Tahoma"/>
            <family val="2"/>
          </rPr>
          <t>1</t>
        </r>
        <r>
          <rPr>
            <sz val="9"/>
            <color indexed="81"/>
            <rFont val="宋体"/>
            <family val="3"/>
            <charset val="134"/>
          </rPr>
          <t>列为第</t>
        </r>
        <r>
          <rPr>
            <sz val="9"/>
            <color indexed="81"/>
            <rFont val="Tahoma"/>
            <family val="2"/>
          </rPr>
          <t>9</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本年从有限合伙创投企业应分得的应纳税所得额</t>
        </r>
        <r>
          <rPr>
            <sz val="9"/>
            <color indexed="81"/>
            <rFont val="Tahoma"/>
            <family val="2"/>
          </rPr>
          <t>”</t>
        </r>
        <r>
          <rPr>
            <sz val="9"/>
            <color indexed="81"/>
            <rFont val="宋体"/>
            <family val="3"/>
            <charset val="134"/>
          </rPr>
          <t>、第</t>
        </r>
        <r>
          <rPr>
            <sz val="9"/>
            <color indexed="81"/>
            <rFont val="Tahoma"/>
            <family val="2"/>
          </rPr>
          <t>12</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t>
        </r>
        <r>
          <rPr>
            <sz val="9"/>
            <color indexed="81"/>
            <rFont val="宋体"/>
            <family val="3"/>
            <charset val="134"/>
          </rPr>
          <t>本年可抵扣投资额</t>
        </r>
        <r>
          <rPr>
            <sz val="9"/>
            <color indexed="81"/>
            <rFont val="Tahoma"/>
            <family val="2"/>
          </rPr>
          <t>”</t>
        </r>
        <r>
          <rPr>
            <sz val="9"/>
            <color indexed="81"/>
            <rFont val="宋体"/>
            <family val="3"/>
            <charset val="134"/>
          </rPr>
          <t>、主表第</t>
        </r>
        <r>
          <rPr>
            <sz val="9"/>
            <color indexed="81"/>
            <rFont val="Tahoma"/>
            <family val="2"/>
          </rPr>
          <t>19-20-21</t>
        </r>
        <r>
          <rPr>
            <sz val="9"/>
            <color indexed="81"/>
            <rFont val="宋体"/>
            <family val="3"/>
            <charset val="134"/>
          </rPr>
          <t>行的三者孰小值，若金额小于零，则填报零。本行第</t>
        </r>
        <r>
          <rPr>
            <sz val="9"/>
            <color indexed="81"/>
            <rFont val="Tahoma"/>
            <family val="2"/>
          </rPr>
          <t>1</t>
        </r>
        <r>
          <rPr>
            <sz val="9"/>
            <color indexed="81"/>
            <rFont val="宋体"/>
            <family val="3"/>
            <charset val="134"/>
          </rPr>
          <t>列＝第</t>
        </r>
        <r>
          <rPr>
            <sz val="9"/>
            <color indexed="81"/>
            <rFont val="Tahoma"/>
            <family val="2"/>
          </rPr>
          <t>2+3</t>
        </r>
        <r>
          <rPr>
            <sz val="9"/>
            <color indexed="81"/>
            <rFont val="宋体"/>
            <family val="3"/>
            <charset val="134"/>
          </rPr>
          <t>列。</t>
        </r>
        <r>
          <rPr>
            <sz val="9"/>
            <color indexed="81"/>
            <rFont val="Tahoma"/>
            <family val="2"/>
          </rPr>
          <t xml:space="preserve">
</t>
        </r>
      </text>
    </comment>
    <comment ref="C19" authorId="0">
      <text>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列＝本表第</t>
        </r>
        <r>
          <rPr>
            <sz val="9"/>
            <color indexed="81"/>
            <rFont val="Tahoma"/>
            <family val="2"/>
          </rPr>
          <t>9</t>
        </r>
        <r>
          <rPr>
            <sz val="9"/>
            <color indexed="81"/>
            <rFont val="宋体"/>
            <family val="3"/>
            <charset val="134"/>
          </rPr>
          <t>行第</t>
        </r>
        <r>
          <rPr>
            <sz val="9"/>
            <color indexed="81"/>
            <rFont val="Tahoma"/>
            <family val="2"/>
          </rPr>
          <t>1</t>
        </r>
        <r>
          <rPr>
            <sz val="9"/>
            <color indexed="81"/>
            <rFont val="宋体"/>
            <family val="3"/>
            <charset val="134"/>
          </rPr>
          <t>列、第</t>
        </r>
        <r>
          <rPr>
            <sz val="9"/>
            <color indexed="81"/>
            <rFont val="Tahoma"/>
            <family val="2"/>
          </rPr>
          <t>12</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19-20-21</t>
        </r>
        <r>
          <rPr>
            <sz val="9"/>
            <color indexed="81"/>
            <rFont val="宋体"/>
            <family val="3"/>
            <charset val="134"/>
          </rPr>
          <t>行三者的孰小值；若上述孰小值＜</t>
        </r>
        <r>
          <rPr>
            <sz val="9"/>
            <color indexed="81"/>
            <rFont val="Tahoma"/>
            <family val="2"/>
          </rPr>
          <t>0</t>
        </r>
        <r>
          <rPr>
            <sz val="9"/>
            <color indexed="81"/>
            <rFont val="宋体"/>
            <family val="3"/>
            <charset val="134"/>
          </rPr>
          <t>，第</t>
        </r>
        <r>
          <rPr>
            <sz val="9"/>
            <color indexed="81"/>
            <rFont val="Tahoma"/>
            <family val="2"/>
          </rPr>
          <t>13</t>
        </r>
        <r>
          <rPr>
            <sz val="9"/>
            <color indexed="81"/>
            <rFont val="宋体"/>
            <family val="3"/>
            <charset val="134"/>
          </rPr>
          <t>行第</t>
        </r>
        <r>
          <rPr>
            <sz val="9"/>
            <color indexed="81"/>
            <rFont val="Tahoma"/>
            <family val="2"/>
          </rPr>
          <t>1</t>
        </r>
        <r>
          <rPr>
            <sz val="9"/>
            <color indexed="81"/>
            <rFont val="宋体"/>
            <family val="3"/>
            <charset val="134"/>
          </rPr>
          <t>列＝</t>
        </r>
        <r>
          <rPr>
            <sz val="9"/>
            <color indexed="81"/>
            <rFont val="Tahoma"/>
            <family val="2"/>
          </rPr>
          <t>0</t>
        </r>
        <r>
          <rPr>
            <sz val="9"/>
            <color indexed="81"/>
            <rFont val="宋体"/>
            <family val="3"/>
            <charset val="134"/>
          </rPr>
          <t>。</t>
        </r>
        <r>
          <rPr>
            <sz val="9"/>
            <color indexed="81"/>
            <rFont val="Tahoma"/>
            <family val="2"/>
          </rPr>
          <t xml:space="preserve">
</t>
        </r>
      </text>
    </comment>
    <comment ref="B20" authorId="0">
      <text>
        <r>
          <rPr>
            <sz val="9"/>
            <color indexed="81"/>
            <rFont val="宋体"/>
            <family val="3"/>
            <charset val="134"/>
          </rPr>
          <t>本年可抵扣投资额大于应分得的应纳税所得额时，抵扣后余额部分结转以后年度抵扣的金额。</t>
        </r>
        <r>
          <rPr>
            <sz val="9"/>
            <color indexed="81"/>
            <rFont val="Tahoma"/>
            <family val="2"/>
          </rPr>
          <t xml:space="preserve">
</t>
        </r>
      </text>
    </comment>
    <comment ref="A21" authorId="0">
      <text>
        <r>
          <rPr>
            <sz val="9"/>
            <color indexed="81"/>
            <rFont val="宋体"/>
            <family val="3"/>
            <charset val="134"/>
          </rPr>
          <t>上述优惠合计额，带入表</t>
        </r>
        <r>
          <rPr>
            <sz val="9"/>
            <color indexed="81"/>
            <rFont val="Tahoma"/>
            <family val="2"/>
          </rPr>
          <t>A100000</t>
        </r>
        <r>
          <rPr>
            <sz val="9"/>
            <color indexed="81"/>
            <rFont val="宋体"/>
            <family val="3"/>
            <charset val="134"/>
          </rPr>
          <t>表计算应纳税所得额。
第</t>
        </r>
        <r>
          <rPr>
            <sz val="9"/>
            <color indexed="81"/>
            <rFont val="Tahoma"/>
            <family val="2"/>
          </rPr>
          <t>15</t>
        </r>
        <r>
          <rPr>
            <sz val="9"/>
            <color indexed="81"/>
            <rFont val="宋体"/>
            <family val="3"/>
            <charset val="134"/>
          </rPr>
          <t>行“合计”＝</t>
        </r>
        <r>
          <rPr>
            <sz val="9"/>
            <color indexed="81"/>
            <rFont val="Tahoma"/>
            <family val="2"/>
          </rPr>
          <t>7</t>
        </r>
        <r>
          <rPr>
            <sz val="9"/>
            <color indexed="81"/>
            <rFont val="宋体"/>
            <family val="3"/>
            <charset val="134"/>
          </rPr>
          <t>行</t>
        </r>
        <r>
          <rPr>
            <sz val="9"/>
            <color indexed="81"/>
            <rFont val="Tahoma"/>
            <family val="2"/>
          </rPr>
          <t>+13</t>
        </r>
        <r>
          <rPr>
            <sz val="9"/>
            <color indexed="81"/>
            <rFont val="宋体"/>
            <family val="3"/>
            <charset val="134"/>
          </rPr>
          <t>行。本行第</t>
        </r>
        <r>
          <rPr>
            <sz val="9"/>
            <color indexed="81"/>
            <rFont val="Tahoma"/>
            <family val="2"/>
          </rPr>
          <t>1</t>
        </r>
        <r>
          <rPr>
            <sz val="9"/>
            <color indexed="81"/>
            <rFont val="宋体"/>
            <family val="3"/>
            <charset val="134"/>
          </rPr>
          <t>列＝本行第</t>
        </r>
        <r>
          <rPr>
            <sz val="9"/>
            <color indexed="81"/>
            <rFont val="Tahoma"/>
            <family val="2"/>
          </rPr>
          <t>2</t>
        </r>
        <r>
          <rPr>
            <sz val="9"/>
            <color indexed="81"/>
            <rFont val="宋体"/>
            <family val="3"/>
            <charset val="134"/>
          </rPr>
          <t>列</t>
        </r>
        <r>
          <rPr>
            <sz val="9"/>
            <color indexed="81"/>
            <rFont val="Tahoma"/>
            <family val="2"/>
          </rPr>
          <t>+</t>
        </r>
        <r>
          <rPr>
            <sz val="9"/>
            <color indexed="81"/>
            <rFont val="宋体"/>
            <family val="3"/>
            <charset val="134"/>
          </rPr>
          <t>本行第</t>
        </r>
        <r>
          <rPr>
            <sz val="9"/>
            <color indexed="81"/>
            <rFont val="Tahoma"/>
            <family val="2"/>
          </rPr>
          <t>3</t>
        </r>
        <r>
          <rPr>
            <sz val="9"/>
            <color indexed="81"/>
            <rFont val="宋体"/>
            <family val="3"/>
            <charset val="134"/>
          </rPr>
          <t>列。</t>
        </r>
        <r>
          <rPr>
            <sz val="9"/>
            <color indexed="81"/>
            <rFont val="Tahoma"/>
            <family val="2"/>
          </rPr>
          <t xml:space="preserve">
</t>
        </r>
      </text>
    </comment>
    <comment ref="C22" authorId="0">
      <text>
        <r>
          <rPr>
            <sz val="9"/>
            <color indexed="81"/>
            <rFont val="宋体"/>
            <family val="3"/>
            <charset val="134"/>
          </rPr>
          <t>第</t>
        </r>
        <r>
          <rPr>
            <sz val="9"/>
            <color indexed="81"/>
            <rFont val="Tahoma"/>
            <family val="2"/>
          </rPr>
          <t>15</t>
        </r>
        <r>
          <rPr>
            <sz val="9"/>
            <color indexed="81"/>
            <rFont val="宋体"/>
            <family val="3"/>
            <charset val="134"/>
          </rPr>
          <t>行第</t>
        </r>
        <r>
          <rPr>
            <sz val="9"/>
            <color indexed="81"/>
            <rFont val="Tahoma"/>
            <family val="2"/>
          </rPr>
          <t>1</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22</t>
        </r>
        <r>
          <rPr>
            <sz val="9"/>
            <color indexed="81"/>
            <rFont val="宋体"/>
            <family val="3"/>
            <charset val="134"/>
          </rPr>
          <t>行。</t>
        </r>
        <r>
          <rPr>
            <sz val="9"/>
            <color indexed="81"/>
            <rFont val="Tahoma"/>
            <family val="2"/>
          </rPr>
          <t xml:space="preserve">
</t>
        </r>
      </text>
    </comment>
  </commentList>
</comments>
</file>

<file path=xl/comments39.xml><?xml version="1.0" encoding="utf-8"?>
<comments xmlns="http://schemas.openxmlformats.org/spreadsheetml/2006/main">
  <authors>
    <author>Cindy Wang</author>
    <author>Zhang, Dorothy</author>
  </authors>
  <commentList>
    <comment ref="A2" authorId="0">
      <text>
        <r>
          <rPr>
            <sz val="9"/>
            <color indexed="81"/>
            <rFont val="宋体"/>
            <family val="3"/>
            <charset val="134"/>
          </rPr>
          <t>本表由享受减免所得税优惠的纳税人填报。纳税人根据税法和相关税收政策规定，填报本年享受减免所得税优惠情况。</t>
        </r>
      </text>
    </comment>
    <comment ref="B4" authorId="1">
      <text>
        <r>
          <rPr>
            <sz val="9"/>
            <color indexed="81"/>
            <rFont val="宋体"/>
            <family val="3"/>
            <charset val="134"/>
          </rPr>
          <t>由享受小型微利企业所得税政策的纳税人填报。填报纳税人根据《财政部</t>
        </r>
        <r>
          <rPr>
            <sz val="9"/>
            <color indexed="81"/>
            <rFont val="Tahoma"/>
            <family val="2"/>
          </rPr>
          <t xml:space="preserve"> </t>
        </r>
        <r>
          <rPr>
            <sz val="9"/>
            <color indexed="81"/>
            <rFont val="宋体"/>
            <family val="3"/>
            <charset val="134"/>
          </rPr>
          <t>国家税务总局关于扩大小型微利企业所得税优惠政策范围的通知》（财税〔</t>
        </r>
        <r>
          <rPr>
            <sz val="9"/>
            <color indexed="81"/>
            <rFont val="Tahoma"/>
            <family val="2"/>
          </rPr>
          <t>2017</t>
        </r>
        <r>
          <rPr>
            <sz val="9"/>
            <color indexed="81"/>
            <rFont val="宋体"/>
            <family val="3"/>
            <charset val="134"/>
          </rPr>
          <t>〕</t>
        </r>
        <r>
          <rPr>
            <sz val="9"/>
            <color indexed="81"/>
            <rFont val="Tahoma"/>
            <family val="2"/>
          </rPr>
          <t>43</t>
        </r>
        <r>
          <rPr>
            <sz val="9"/>
            <color indexed="81"/>
            <rFont val="宋体"/>
            <family val="3"/>
            <charset val="134"/>
          </rPr>
          <t>号）、《国家税务总局关于贯彻落实扩大小型微利企业所得税优惠政策范围有关征管问题的公告》（国家税务总局公告</t>
        </r>
        <r>
          <rPr>
            <sz val="9"/>
            <color indexed="81"/>
            <rFont val="Tahoma"/>
            <family val="2"/>
          </rPr>
          <t>2017</t>
        </r>
        <r>
          <rPr>
            <sz val="9"/>
            <color indexed="81"/>
            <rFont val="宋体"/>
            <family val="3"/>
            <charset val="134"/>
          </rPr>
          <t>年第</t>
        </r>
        <r>
          <rPr>
            <sz val="9"/>
            <color indexed="81"/>
            <rFont val="Tahoma"/>
            <family val="2"/>
          </rPr>
          <t>23</t>
        </r>
        <r>
          <rPr>
            <sz val="9"/>
            <color indexed="81"/>
            <rFont val="宋体"/>
            <family val="3"/>
            <charset val="134"/>
          </rPr>
          <t>号）等相关税收政策规定的，从事国家非限制和禁止行业的企业，并符合工业企业，年度应纳税所得额不超过</t>
        </r>
        <r>
          <rPr>
            <sz val="9"/>
            <color indexed="81"/>
            <rFont val="Tahoma"/>
            <family val="2"/>
          </rPr>
          <t>50</t>
        </r>
        <r>
          <rPr>
            <sz val="9"/>
            <color indexed="81"/>
            <rFont val="宋体"/>
            <family val="3"/>
            <charset val="134"/>
          </rPr>
          <t>万元，从业人数不超过</t>
        </r>
        <r>
          <rPr>
            <sz val="9"/>
            <color indexed="81"/>
            <rFont val="Tahoma"/>
            <family val="2"/>
          </rPr>
          <t>100</t>
        </r>
        <r>
          <rPr>
            <sz val="9"/>
            <color indexed="81"/>
            <rFont val="宋体"/>
            <family val="3"/>
            <charset val="134"/>
          </rPr>
          <t>人，资产总额不超过</t>
        </r>
        <r>
          <rPr>
            <sz val="9"/>
            <color indexed="81"/>
            <rFont val="Tahoma"/>
            <family val="2"/>
          </rPr>
          <t>3000</t>
        </r>
        <r>
          <rPr>
            <sz val="9"/>
            <color indexed="81"/>
            <rFont val="宋体"/>
            <family val="3"/>
            <charset val="134"/>
          </rPr>
          <t>万元；其他企业，年度应纳税所得额不超过</t>
        </r>
        <r>
          <rPr>
            <sz val="9"/>
            <color indexed="81"/>
            <rFont val="Tahoma"/>
            <family val="2"/>
          </rPr>
          <t>50</t>
        </r>
        <r>
          <rPr>
            <sz val="9"/>
            <color indexed="81"/>
            <rFont val="宋体"/>
            <family val="3"/>
            <charset val="134"/>
          </rPr>
          <t>万元，从业人数不超过</t>
        </r>
        <r>
          <rPr>
            <sz val="9"/>
            <color indexed="81"/>
            <rFont val="Tahoma"/>
            <family val="2"/>
          </rPr>
          <t>80</t>
        </r>
        <r>
          <rPr>
            <sz val="9"/>
            <color indexed="81"/>
            <rFont val="宋体"/>
            <family val="3"/>
            <charset val="134"/>
          </rPr>
          <t>人，资产总额不超过</t>
        </r>
        <r>
          <rPr>
            <sz val="9"/>
            <color indexed="81"/>
            <rFont val="Tahoma"/>
            <family val="2"/>
          </rPr>
          <t>1000</t>
        </r>
        <r>
          <rPr>
            <sz val="9"/>
            <color indexed="81"/>
            <rFont val="宋体"/>
            <family val="3"/>
            <charset val="134"/>
          </rPr>
          <t>万元条件的，其所得减按</t>
        </r>
        <r>
          <rPr>
            <sz val="9"/>
            <color indexed="81"/>
            <rFont val="Tahoma"/>
            <family val="2"/>
          </rPr>
          <t>50%</t>
        </r>
        <r>
          <rPr>
            <sz val="9"/>
            <color indexed="81"/>
            <rFont val="宋体"/>
            <family val="3"/>
            <charset val="134"/>
          </rPr>
          <t>计入应纳税所得额，按</t>
        </r>
        <r>
          <rPr>
            <sz val="9"/>
            <color indexed="81"/>
            <rFont val="Tahoma"/>
            <family val="2"/>
          </rPr>
          <t>20%</t>
        </r>
        <r>
          <rPr>
            <sz val="9"/>
            <color indexed="81"/>
            <rFont val="宋体"/>
            <family val="3"/>
            <charset val="134"/>
          </rPr>
          <t>的税率缴纳企业所得税。本行填报《中华人民共和国企业所得税年度纳税申报表（</t>
        </r>
        <r>
          <rPr>
            <sz val="9"/>
            <color indexed="81"/>
            <rFont val="Tahoma"/>
            <family val="2"/>
          </rPr>
          <t>A</t>
        </r>
        <r>
          <rPr>
            <sz val="9"/>
            <color indexed="81"/>
            <rFont val="宋体"/>
            <family val="3"/>
            <charset val="134"/>
          </rPr>
          <t>类）》（</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t>
        </r>
        <r>
          <rPr>
            <sz val="9"/>
            <color indexed="81"/>
            <rFont val="Tahoma"/>
            <family val="2"/>
          </rPr>
          <t>×15%</t>
        </r>
        <r>
          <rPr>
            <sz val="9"/>
            <color indexed="81"/>
            <rFont val="宋体"/>
            <family val="3"/>
            <charset val="134"/>
          </rPr>
          <t>的金额。</t>
        </r>
        <r>
          <rPr>
            <sz val="9"/>
            <color indexed="81"/>
            <rFont val="Tahoma"/>
            <family val="2"/>
          </rPr>
          <t xml:space="preserve">
</t>
        </r>
      </text>
    </comment>
    <comment ref="B5" authorId="1">
      <text>
        <r>
          <rPr>
            <sz val="9"/>
            <color indexed="81"/>
            <rFont val="宋体"/>
            <family val="3"/>
            <charset val="134"/>
          </rPr>
          <t>国家需要重点扶持的高新技术企业享受</t>
        </r>
        <r>
          <rPr>
            <sz val="9"/>
            <color indexed="81"/>
            <rFont val="Tahoma"/>
            <family val="2"/>
          </rPr>
          <t>15%</t>
        </r>
        <r>
          <rPr>
            <sz val="9"/>
            <color indexed="81"/>
            <rFont val="宋体"/>
            <family val="3"/>
            <charset val="134"/>
          </rPr>
          <t>税率优惠金额填报本行。同时须填报《高新技术企业优惠情况及明细表》（</t>
        </r>
        <r>
          <rPr>
            <sz val="9"/>
            <color indexed="81"/>
            <rFont val="Tahoma"/>
            <family val="2"/>
          </rPr>
          <t>A107041</t>
        </r>
        <r>
          <rPr>
            <sz val="9"/>
            <color indexed="81"/>
            <rFont val="宋体"/>
            <family val="3"/>
            <charset val="134"/>
          </rPr>
          <t>）。</t>
        </r>
        <r>
          <rPr>
            <sz val="9"/>
            <color indexed="81"/>
            <rFont val="Tahoma"/>
            <family val="2"/>
          </rPr>
          <t xml:space="preserve">
</t>
        </r>
      </text>
    </comment>
    <comment ref="B6" authorId="1">
      <text>
        <r>
          <rPr>
            <sz val="9"/>
            <color indexed="81"/>
            <rFont val="宋体"/>
            <family val="3"/>
            <charset val="134"/>
          </rPr>
          <t>填报纳税人根据《国务院关于经济特区和上海浦东新区新设立高新技术企业实行过渡性税收优惠的通知》（国发〔</t>
        </r>
        <r>
          <rPr>
            <sz val="9"/>
            <color indexed="81"/>
            <rFont val="Tahoma"/>
            <family val="2"/>
          </rPr>
          <t>2007</t>
        </r>
        <r>
          <rPr>
            <sz val="9"/>
            <color indexed="81"/>
            <rFont val="宋体"/>
            <family val="3"/>
            <charset val="134"/>
          </rPr>
          <t>〕</t>
        </r>
        <r>
          <rPr>
            <sz val="9"/>
            <color indexed="81"/>
            <rFont val="Tahoma"/>
            <family val="2"/>
          </rPr>
          <t>40</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国家税务总局关于贯彻落实国务院关于实施企业所得税过渡优惠政策有关问题的通知》（财税〔</t>
        </r>
        <r>
          <rPr>
            <sz val="9"/>
            <color indexed="81"/>
            <rFont val="Tahoma"/>
            <family val="2"/>
          </rPr>
          <t>2008</t>
        </r>
        <r>
          <rPr>
            <sz val="9"/>
            <color indexed="81"/>
            <rFont val="宋体"/>
            <family val="3"/>
            <charset val="134"/>
          </rPr>
          <t>〕</t>
        </r>
        <r>
          <rPr>
            <sz val="9"/>
            <color indexed="81"/>
            <rFont val="Tahoma"/>
            <family val="2"/>
          </rPr>
          <t>21</t>
        </r>
        <r>
          <rPr>
            <sz val="9"/>
            <color indexed="81"/>
            <rFont val="宋体"/>
            <family val="3"/>
            <charset val="134"/>
          </rPr>
          <t>号）等规定，经济特区和上海浦东新区内，在</t>
        </r>
        <r>
          <rPr>
            <sz val="9"/>
            <color indexed="81"/>
            <rFont val="Tahoma"/>
            <family val="2"/>
          </rPr>
          <t>2008</t>
        </r>
        <r>
          <rPr>
            <sz val="9"/>
            <color indexed="81"/>
            <rFont val="宋体"/>
            <family val="3"/>
            <charset val="134"/>
          </rPr>
          <t>年</t>
        </r>
        <r>
          <rPr>
            <sz val="9"/>
            <color indexed="81"/>
            <rFont val="Tahoma"/>
            <family val="2"/>
          </rPr>
          <t>1</t>
        </r>
        <r>
          <rPr>
            <sz val="9"/>
            <color indexed="81"/>
            <rFont val="宋体"/>
            <family val="3"/>
            <charset val="134"/>
          </rPr>
          <t>月</t>
        </r>
        <r>
          <rPr>
            <sz val="9"/>
            <color indexed="81"/>
            <rFont val="Tahoma"/>
            <family val="2"/>
          </rPr>
          <t>1</t>
        </r>
        <r>
          <rPr>
            <sz val="9"/>
            <color indexed="81"/>
            <rFont val="宋体"/>
            <family val="3"/>
            <charset val="134"/>
          </rPr>
          <t>日（含）之后完成登记注册的国家需要重点扶持的高新技术企业，在经济特区和上海浦东新区内取得的所得，自取得第一笔生产经营收入所属纳税年度起，第一年至第二年免征企业所得税，第三年至第五年按照</t>
        </r>
        <r>
          <rPr>
            <sz val="9"/>
            <color indexed="81"/>
            <rFont val="Tahoma"/>
            <family val="2"/>
          </rPr>
          <t>25%</t>
        </r>
        <r>
          <rPr>
            <sz val="9"/>
            <color indexed="81"/>
            <rFont val="宋体"/>
            <family val="3"/>
            <charset val="134"/>
          </rPr>
          <t>法定税率减半征收企业所得税。对于跨经济特区和上海浦东新区的高新技术企业，其区内所得优惠填写本行，区外所得优惠填写本表第</t>
        </r>
        <r>
          <rPr>
            <sz val="9"/>
            <color indexed="81"/>
            <rFont val="Tahoma"/>
            <family val="2"/>
          </rPr>
          <t>2</t>
        </r>
        <r>
          <rPr>
            <sz val="9"/>
            <color indexed="81"/>
            <rFont val="宋体"/>
            <family val="3"/>
            <charset val="134"/>
          </rPr>
          <t>行。经济特区和上海浦东新区新设立的高新技术企业定期减免税期满后，只享受</t>
        </r>
        <r>
          <rPr>
            <sz val="9"/>
            <color indexed="81"/>
            <rFont val="Tahoma"/>
            <family val="2"/>
          </rPr>
          <t>15%</t>
        </r>
        <r>
          <rPr>
            <sz val="9"/>
            <color indexed="81"/>
            <rFont val="宋体"/>
            <family val="3"/>
            <charset val="134"/>
          </rPr>
          <t>税率优惠的，填写本表第</t>
        </r>
        <r>
          <rPr>
            <sz val="9"/>
            <color indexed="81"/>
            <rFont val="Tahoma"/>
            <family val="2"/>
          </rPr>
          <t>2</t>
        </r>
        <r>
          <rPr>
            <sz val="9"/>
            <color indexed="81"/>
            <rFont val="宋体"/>
            <family val="3"/>
            <charset val="134"/>
          </rPr>
          <t>行。同时须填报《高新技术企业优惠情况及明细表》（</t>
        </r>
        <r>
          <rPr>
            <sz val="9"/>
            <color indexed="81"/>
            <rFont val="Tahoma"/>
            <family val="2"/>
          </rPr>
          <t>A107041</t>
        </r>
        <r>
          <rPr>
            <sz val="9"/>
            <color indexed="81"/>
            <rFont val="宋体"/>
            <family val="3"/>
            <charset val="134"/>
          </rPr>
          <t>）。</t>
        </r>
      </text>
    </comment>
    <comment ref="B7" authorId="1">
      <text>
        <r>
          <rPr>
            <sz val="9"/>
            <color indexed="81"/>
            <rFont val="宋体"/>
            <family val="3"/>
            <charset val="134"/>
          </rPr>
          <t>填报受灾地区农村信用社免征企业所得税金额。本行为合计行，等于</t>
        </r>
        <r>
          <rPr>
            <sz val="9"/>
            <color indexed="81"/>
            <rFont val="Tahoma"/>
            <family val="2"/>
          </rPr>
          <t>4.1</t>
        </r>
        <r>
          <rPr>
            <sz val="9"/>
            <color indexed="81"/>
            <rFont val="宋体"/>
            <family val="3"/>
            <charset val="134"/>
          </rPr>
          <t>行</t>
        </r>
        <r>
          <rPr>
            <sz val="9"/>
            <color indexed="81"/>
            <rFont val="Tahoma"/>
            <family val="2"/>
          </rPr>
          <t>+4.2</t>
        </r>
        <r>
          <rPr>
            <sz val="9"/>
            <color indexed="81"/>
            <rFont val="宋体"/>
            <family val="3"/>
            <charset val="134"/>
          </rPr>
          <t>行。</t>
        </r>
        <r>
          <rPr>
            <sz val="9"/>
            <color indexed="81"/>
            <rFont val="Tahoma"/>
            <family val="2"/>
          </rPr>
          <t xml:space="preserve">
</t>
        </r>
        <r>
          <rPr>
            <sz val="9"/>
            <color indexed="81"/>
            <rFont val="宋体"/>
            <family val="3"/>
            <charset val="134"/>
          </rPr>
          <t>《财政部</t>
        </r>
        <r>
          <rPr>
            <sz val="9"/>
            <color indexed="81"/>
            <rFont val="Tahoma"/>
            <family val="2"/>
          </rPr>
          <t xml:space="preserve"> </t>
        </r>
        <r>
          <rPr>
            <sz val="9"/>
            <color indexed="81"/>
            <rFont val="宋体"/>
            <family val="3"/>
            <charset val="134"/>
          </rPr>
          <t>海关总署</t>
        </r>
        <r>
          <rPr>
            <sz val="9"/>
            <color indexed="81"/>
            <rFont val="Tahoma"/>
            <family val="2"/>
          </rPr>
          <t xml:space="preserve"> </t>
        </r>
        <r>
          <rPr>
            <sz val="9"/>
            <color indexed="81"/>
            <rFont val="宋体"/>
            <family val="3"/>
            <charset val="134"/>
          </rPr>
          <t>国家税务总局关于支持芦山地震灾后恢复重建有关税收政策问题的通知》（财税〔</t>
        </r>
        <r>
          <rPr>
            <sz val="9"/>
            <color indexed="81"/>
            <rFont val="Tahoma"/>
            <family val="2"/>
          </rPr>
          <t>2013</t>
        </r>
        <r>
          <rPr>
            <sz val="9"/>
            <color indexed="81"/>
            <rFont val="宋体"/>
            <family val="3"/>
            <charset val="134"/>
          </rPr>
          <t>〕</t>
        </r>
        <r>
          <rPr>
            <sz val="9"/>
            <color indexed="81"/>
            <rFont val="Tahoma"/>
            <family val="2"/>
          </rPr>
          <t>58</t>
        </r>
        <r>
          <rPr>
            <sz val="9"/>
            <color indexed="81"/>
            <rFont val="宋体"/>
            <family val="3"/>
            <charset val="134"/>
          </rPr>
          <t>号）、《财政部</t>
        </r>
        <r>
          <rPr>
            <sz val="9"/>
            <color indexed="81"/>
            <rFont val="Tahoma"/>
            <family val="2"/>
          </rPr>
          <t xml:space="preserve"> </t>
        </r>
        <r>
          <rPr>
            <sz val="9"/>
            <color indexed="81"/>
            <rFont val="宋体"/>
            <family val="3"/>
            <charset val="134"/>
          </rPr>
          <t>海关总署</t>
        </r>
        <r>
          <rPr>
            <sz val="9"/>
            <color indexed="81"/>
            <rFont val="Tahoma"/>
            <family val="2"/>
          </rPr>
          <t xml:space="preserve"> </t>
        </r>
        <r>
          <rPr>
            <sz val="9"/>
            <color indexed="81"/>
            <rFont val="宋体"/>
            <family val="3"/>
            <charset val="134"/>
          </rPr>
          <t>国家税务总局关于支持鲁甸地震灾后恢复重建有关税收政策问题的通知》（财税〔</t>
        </r>
        <r>
          <rPr>
            <sz val="9"/>
            <color indexed="81"/>
            <rFont val="Tahoma"/>
            <family val="2"/>
          </rPr>
          <t>2015</t>
        </r>
        <r>
          <rPr>
            <sz val="9"/>
            <color indexed="81"/>
            <rFont val="宋体"/>
            <family val="3"/>
            <charset val="134"/>
          </rPr>
          <t>〕</t>
        </r>
        <r>
          <rPr>
            <sz val="9"/>
            <color indexed="81"/>
            <rFont val="Tahoma"/>
            <family val="2"/>
          </rPr>
          <t>27</t>
        </r>
        <r>
          <rPr>
            <sz val="9"/>
            <color indexed="81"/>
            <rFont val="宋体"/>
            <family val="3"/>
            <charset val="134"/>
          </rPr>
          <t>号）规定，对芦山、鲁甸受灾地区农村信用社，在规定期限内免征企业所得税。
芦山农村信用社在</t>
        </r>
        <r>
          <rPr>
            <sz val="9"/>
            <color indexed="81"/>
            <rFont val="Tahoma"/>
            <family val="2"/>
          </rPr>
          <t>2017</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日前免征所得税，在</t>
        </r>
        <r>
          <rPr>
            <sz val="9"/>
            <color indexed="81"/>
            <rFont val="Tahoma"/>
            <family val="2"/>
          </rPr>
          <t>4.1</t>
        </r>
        <r>
          <rPr>
            <sz val="9"/>
            <color indexed="81"/>
            <rFont val="宋体"/>
            <family val="3"/>
            <charset val="134"/>
          </rPr>
          <t>行填列；鲁甸农村信用社在</t>
        </r>
        <r>
          <rPr>
            <sz val="9"/>
            <color indexed="81"/>
            <rFont val="Tahoma"/>
            <family val="2"/>
          </rPr>
          <t>2018</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日前免征所得税，在</t>
        </r>
        <r>
          <rPr>
            <sz val="9"/>
            <color indexed="81"/>
            <rFont val="Tahoma"/>
            <family val="2"/>
          </rPr>
          <t>4.2</t>
        </r>
        <r>
          <rPr>
            <sz val="9"/>
            <color indexed="81"/>
            <rFont val="宋体"/>
            <family val="3"/>
            <charset val="134"/>
          </rPr>
          <t>行填列。免征所得税金额根据表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行应纳税所得额和法定税率计算。</t>
        </r>
      </text>
    </comment>
    <comment ref="B10"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国家税务总局关于扶持动漫产业发展有关税收政策问题的通知》（财税〔</t>
        </r>
        <r>
          <rPr>
            <sz val="9"/>
            <color indexed="81"/>
            <rFont val="Tahoma"/>
            <family val="2"/>
          </rPr>
          <t>2009</t>
        </r>
        <r>
          <rPr>
            <sz val="9"/>
            <color indexed="81"/>
            <rFont val="宋体"/>
            <family val="3"/>
            <charset val="134"/>
          </rPr>
          <t>〕</t>
        </r>
        <r>
          <rPr>
            <sz val="9"/>
            <color indexed="81"/>
            <rFont val="Tahoma"/>
            <family val="2"/>
          </rPr>
          <t>65</t>
        </r>
        <r>
          <rPr>
            <sz val="9"/>
            <color indexed="81"/>
            <rFont val="宋体"/>
            <family val="3"/>
            <charset val="134"/>
          </rPr>
          <t>号）、《文化部</t>
        </r>
        <r>
          <rPr>
            <sz val="9"/>
            <color indexed="81"/>
            <rFont val="Tahoma"/>
            <family val="2"/>
          </rPr>
          <t xml:space="preserve"> </t>
        </r>
        <r>
          <rPr>
            <sz val="9"/>
            <color indexed="81"/>
            <rFont val="宋体"/>
            <family val="3"/>
            <charset val="134"/>
          </rPr>
          <t>财政部</t>
        </r>
        <r>
          <rPr>
            <sz val="9"/>
            <color indexed="81"/>
            <rFont val="Tahoma"/>
            <family val="2"/>
          </rPr>
          <t xml:space="preserve"> </t>
        </r>
        <r>
          <rPr>
            <sz val="9"/>
            <color indexed="81"/>
            <rFont val="宋体"/>
            <family val="3"/>
            <charset val="134"/>
          </rPr>
          <t>国家税务总局关于印发</t>
        </r>
        <r>
          <rPr>
            <sz val="9"/>
            <color indexed="81"/>
            <rFont val="Tahoma"/>
            <family val="2"/>
          </rPr>
          <t>&lt;</t>
        </r>
        <r>
          <rPr>
            <sz val="9"/>
            <color indexed="81"/>
            <rFont val="宋体"/>
            <family val="3"/>
            <charset val="134"/>
          </rPr>
          <t>动漫企业认定管理办法（试行）</t>
        </r>
        <r>
          <rPr>
            <sz val="9"/>
            <color indexed="81"/>
            <rFont val="Tahoma"/>
            <family val="2"/>
          </rPr>
          <t>&gt;</t>
        </r>
        <r>
          <rPr>
            <sz val="9"/>
            <color indexed="81"/>
            <rFont val="宋体"/>
            <family val="3"/>
            <charset val="134"/>
          </rPr>
          <t>的通知》（文市发〔</t>
        </r>
        <r>
          <rPr>
            <sz val="9"/>
            <color indexed="81"/>
            <rFont val="Tahoma"/>
            <family val="2"/>
          </rPr>
          <t>2008</t>
        </r>
        <r>
          <rPr>
            <sz val="9"/>
            <color indexed="81"/>
            <rFont val="宋体"/>
            <family val="3"/>
            <charset val="134"/>
          </rPr>
          <t>〕</t>
        </r>
        <r>
          <rPr>
            <sz val="9"/>
            <color indexed="81"/>
            <rFont val="Tahoma"/>
            <family val="2"/>
          </rPr>
          <t>51</t>
        </r>
        <r>
          <rPr>
            <sz val="9"/>
            <color indexed="81"/>
            <rFont val="宋体"/>
            <family val="3"/>
            <charset val="134"/>
          </rPr>
          <t>号）、《文化部</t>
        </r>
        <r>
          <rPr>
            <sz val="9"/>
            <color indexed="81"/>
            <rFont val="Tahoma"/>
            <family val="2"/>
          </rPr>
          <t xml:space="preserve"> </t>
        </r>
        <r>
          <rPr>
            <sz val="9"/>
            <color indexed="81"/>
            <rFont val="宋体"/>
            <family val="3"/>
            <charset val="134"/>
          </rPr>
          <t>财政部</t>
        </r>
        <r>
          <rPr>
            <sz val="9"/>
            <color indexed="81"/>
            <rFont val="Tahoma"/>
            <family val="2"/>
          </rPr>
          <t xml:space="preserve"> </t>
        </r>
        <r>
          <rPr>
            <sz val="9"/>
            <color indexed="81"/>
            <rFont val="宋体"/>
            <family val="3"/>
            <charset val="134"/>
          </rPr>
          <t>国家税务总局关于实施</t>
        </r>
        <r>
          <rPr>
            <sz val="9"/>
            <color indexed="81"/>
            <rFont val="Tahoma"/>
            <family val="2"/>
          </rPr>
          <t>&lt;</t>
        </r>
        <r>
          <rPr>
            <sz val="9"/>
            <color indexed="81"/>
            <rFont val="宋体"/>
            <family val="3"/>
            <charset val="134"/>
          </rPr>
          <t>动漫企业认定管理办法（试行）</t>
        </r>
        <r>
          <rPr>
            <sz val="9"/>
            <color indexed="81"/>
            <rFont val="Tahoma"/>
            <family val="2"/>
          </rPr>
          <t>&gt;</t>
        </r>
        <r>
          <rPr>
            <sz val="9"/>
            <color indexed="81"/>
            <rFont val="宋体"/>
            <family val="3"/>
            <charset val="134"/>
          </rPr>
          <t>有关问题的通知》（文产发〔</t>
        </r>
        <r>
          <rPr>
            <sz val="9"/>
            <color indexed="81"/>
            <rFont val="Tahoma"/>
            <family val="2"/>
          </rPr>
          <t>2009</t>
        </r>
        <r>
          <rPr>
            <sz val="9"/>
            <color indexed="81"/>
            <rFont val="宋体"/>
            <family val="3"/>
            <charset val="134"/>
          </rPr>
          <t>〕</t>
        </r>
        <r>
          <rPr>
            <sz val="9"/>
            <color indexed="81"/>
            <rFont val="Tahoma"/>
            <family val="2"/>
          </rPr>
          <t>18</t>
        </r>
        <r>
          <rPr>
            <sz val="9"/>
            <color indexed="81"/>
            <rFont val="宋体"/>
            <family val="3"/>
            <charset val="134"/>
          </rPr>
          <t>号）等规定，经认定的动漫企业自主开发、生产动漫产品，享受软件企业所得税优惠政策。即在</t>
        </r>
        <r>
          <rPr>
            <sz val="9"/>
            <color indexed="81"/>
            <rFont val="Tahoma"/>
            <family val="2"/>
          </rPr>
          <t>2017</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日前自获利年度起，第一年至第二年免征所得税，第三年至第五年按照</t>
        </r>
        <r>
          <rPr>
            <sz val="9"/>
            <color indexed="81"/>
            <rFont val="Tahoma"/>
            <family val="2"/>
          </rPr>
          <t>25%</t>
        </r>
        <r>
          <rPr>
            <sz val="9"/>
            <color indexed="81"/>
            <rFont val="宋体"/>
            <family val="3"/>
            <charset val="134"/>
          </rPr>
          <t>的法定税率减半征收所得税，并享受至期满为止。本行填报根据表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行应纳税所得额计算的免征、减征企业所得税金额。</t>
        </r>
        <r>
          <rPr>
            <sz val="9"/>
            <color indexed="81"/>
            <rFont val="Tahoma"/>
            <family val="2"/>
          </rPr>
          <t xml:space="preserve">
</t>
        </r>
      </text>
    </comment>
    <comment ref="B11"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号）等规定，集成电路线宽小于</t>
        </r>
        <r>
          <rPr>
            <sz val="9"/>
            <color indexed="81"/>
            <rFont val="Tahoma"/>
            <family val="2"/>
          </rPr>
          <t>0.8</t>
        </r>
        <r>
          <rPr>
            <sz val="9"/>
            <color indexed="81"/>
            <rFont val="宋体"/>
            <family val="3"/>
            <charset val="134"/>
          </rPr>
          <t>微米（含）的集成电路生产企业，在</t>
        </r>
        <r>
          <rPr>
            <sz val="9"/>
            <color indexed="81"/>
            <rFont val="Tahoma"/>
            <family val="2"/>
          </rPr>
          <t>2017</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日前自获利年度起计算优惠期，第一年至第二年免征企业所得税，第三年至第五年按照</t>
        </r>
        <r>
          <rPr>
            <sz val="9"/>
            <color indexed="81"/>
            <rFont val="Tahoma"/>
            <family val="2"/>
          </rPr>
          <t>25%</t>
        </r>
        <r>
          <rPr>
            <sz val="9"/>
            <color indexed="81"/>
            <rFont val="宋体"/>
            <family val="3"/>
            <charset val="134"/>
          </rPr>
          <t>的法定税率减半征收企业所得税，并享受至期满为止。当表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1</t>
        </r>
        <r>
          <rPr>
            <sz val="9"/>
            <color indexed="81"/>
            <rFont val="宋体"/>
            <family val="3"/>
            <charset val="134"/>
          </rPr>
          <t>行时，本行填报表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1" authorId="1">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1</t>
        </r>
        <r>
          <rPr>
            <sz val="9"/>
            <color indexed="81"/>
            <rFont val="宋体"/>
            <family val="3"/>
            <charset val="134"/>
          </rPr>
          <t>行，第</t>
        </r>
        <r>
          <rPr>
            <sz val="9"/>
            <color indexed="81"/>
            <rFont val="Tahoma"/>
            <family val="2"/>
          </rPr>
          <t>6</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12"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号）等规定，线宽小于</t>
        </r>
        <r>
          <rPr>
            <sz val="9"/>
            <color indexed="81"/>
            <rFont val="Tahoma"/>
            <family val="2"/>
          </rPr>
          <t>0.25</t>
        </r>
        <r>
          <rPr>
            <sz val="9"/>
            <color indexed="81"/>
            <rFont val="宋体"/>
            <family val="3"/>
            <charset val="134"/>
          </rPr>
          <t>微米的集成电路生产企业，享受</t>
        </r>
        <r>
          <rPr>
            <sz val="9"/>
            <color indexed="81"/>
            <rFont val="Tahoma"/>
            <family val="2"/>
          </rPr>
          <t>15%</t>
        </r>
        <r>
          <rPr>
            <sz val="9"/>
            <color indexed="81"/>
            <rFont val="宋体"/>
            <family val="3"/>
            <charset val="134"/>
          </rPr>
          <t>税率。当表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2</t>
        </r>
        <r>
          <rPr>
            <sz val="9"/>
            <color indexed="81"/>
            <rFont val="宋体"/>
            <family val="3"/>
            <charset val="134"/>
          </rPr>
          <t>行的</t>
        </r>
        <r>
          <rPr>
            <sz val="9"/>
            <color indexed="81"/>
            <rFont val="Tahoma"/>
            <family val="2"/>
          </rPr>
          <t>“15%</t>
        </r>
        <r>
          <rPr>
            <sz val="9"/>
            <color indexed="81"/>
            <rFont val="宋体"/>
            <family val="3"/>
            <charset val="134"/>
          </rPr>
          <t>税率</t>
        </r>
        <r>
          <rPr>
            <sz val="9"/>
            <color indexed="81"/>
            <rFont val="Tahoma"/>
            <family val="2"/>
          </rPr>
          <t>”</t>
        </r>
        <r>
          <rPr>
            <sz val="9"/>
            <color indexed="81"/>
            <rFont val="宋体"/>
            <family val="3"/>
            <charset val="134"/>
          </rPr>
          <t>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2" authorId="1">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2</t>
        </r>
        <r>
          <rPr>
            <sz val="9"/>
            <color indexed="81"/>
            <rFont val="宋体"/>
            <family val="3"/>
            <charset val="134"/>
          </rPr>
          <t>行</t>
        </r>
        <r>
          <rPr>
            <sz val="9"/>
            <color indexed="81"/>
            <rFont val="Tahoma"/>
            <family val="2"/>
          </rPr>
          <t>“15%</t>
        </r>
        <r>
          <rPr>
            <sz val="9"/>
            <color indexed="81"/>
            <rFont val="宋体"/>
            <family val="3"/>
            <charset val="134"/>
          </rPr>
          <t>税率</t>
        </r>
        <r>
          <rPr>
            <sz val="9"/>
            <color indexed="81"/>
            <rFont val="Tahoma"/>
            <family val="2"/>
          </rPr>
          <t>”</t>
        </r>
        <r>
          <rPr>
            <sz val="9"/>
            <color indexed="81"/>
            <rFont val="宋体"/>
            <family val="3"/>
            <charset val="134"/>
          </rPr>
          <t>，第</t>
        </r>
        <r>
          <rPr>
            <sz val="9"/>
            <color indexed="81"/>
            <rFont val="Tahoma"/>
            <family val="2"/>
          </rPr>
          <t>7</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13"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号）等规定，投资额超过</t>
        </r>
        <r>
          <rPr>
            <sz val="9"/>
            <color indexed="81"/>
            <rFont val="Tahoma"/>
            <family val="2"/>
          </rPr>
          <t>80</t>
        </r>
        <r>
          <rPr>
            <sz val="9"/>
            <color indexed="81"/>
            <rFont val="宋体"/>
            <family val="3"/>
            <charset val="134"/>
          </rPr>
          <t>亿元的集成电路生产企业，享受</t>
        </r>
        <r>
          <rPr>
            <sz val="9"/>
            <color indexed="81"/>
            <rFont val="Tahoma"/>
            <family val="2"/>
          </rPr>
          <t>15%</t>
        </r>
        <r>
          <rPr>
            <sz val="9"/>
            <color indexed="81"/>
            <rFont val="宋体"/>
            <family val="3"/>
            <charset val="134"/>
          </rPr>
          <t>税率。当表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3</t>
        </r>
        <r>
          <rPr>
            <sz val="9"/>
            <color indexed="81"/>
            <rFont val="宋体"/>
            <family val="3"/>
            <charset val="134"/>
          </rPr>
          <t>行的</t>
        </r>
        <r>
          <rPr>
            <sz val="9"/>
            <color indexed="81"/>
            <rFont val="Tahoma"/>
            <family val="2"/>
          </rPr>
          <t>“15%</t>
        </r>
        <r>
          <rPr>
            <sz val="9"/>
            <color indexed="81"/>
            <rFont val="宋体"/>
            <family val="3"/>
            <charset val="134"/>
          </rPr>
          <t>税率</t>
        </r>
        <r>
          <rPr>
            <sz val="9"/>
            <color indexed="81"/>
            <rFont val="Tahoma"/>
            <family val="2"/>
          </rPr>
          <t>”</t>
        </r>
        <r>
          <rPr>
            <sz val="9"/>
            <color indexed="81"/>
            <rFont val="宋体"/>
            <family val="3"/>
            <charset val="134"/>
          </rPr>
          <t>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3" authorId="1">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3</t>
        </r>
        <r>
          <rPr>
            <sz val="9"/>
            <color indexed="81"/>
            <rFont val="宋体"/>
            <family val="3"/>
            <charset val="134"/>
          </rPr>
          <t>行</t>
        </r>
        <r>
          <rPr>
            <sz val="9"/>
            <color indexed="81"/>
            <rFont val="Tahoma"/>
            <family val="2"/>
          </rPr>
          <t>“15%</t>
        </r>
        <r>
          <rPr>
            <sz val="9"/>
            <color indexed="81"/>
            <rFont val="宋体"/>
            <family val="3"/>
            <charset val="134"/>
          </rPr>
          <t>税率</t>
        </r>
        <r>
          <rPr>
            <sz val="9"/>
            <color indexed="81"/>
            <rFont val="Tahoma"/>
            <family val="2"/>
          </rPr>
          <t>”</t>
        </r>
        <r>
          <rPr>
            <sz val="9"/>
            <color indexed="81"/>
            <rFont val="宋体"/>
            <family val="3"/>
            <charset val="134"/>
          </rPr>
          <t>，第</t>
        </r>
        <r>
          <rPr>
            <sz val="9"/>
            <color indexed="81"/>
            <rFont val="Tahoma"/>
            <family val="2"/>
          </rPr>
          <t>8</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14"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号）等规定，线宽小于</t>
        </r>
        <r>
          <rPr>
            <sz val="9"/>
            <color indexed="81"/>
            <rFont val="Tahoma"/>
            <family val="2"/>
          </rPr>
          <t>0.25</t>
        </r>
        <r>
          <rPr>
            <sz val="9"/>
            <color indexed="81"/>
            <rFont val="宋体"/>
            <family val="3"/>
            <charset val="134"/>
          </rPr>
          <t>微米的集成电路生产企业，经营期在</t>
        </r>
        <r>
          <rPr>
            <sz val="9"/>
            <color indexed="81"/>
            <rFont val="Tahoma"/>
            <family val="2"/>
          </rPr>
          <t>15</t>
        </r>
        <r>
          <rPr>
            <sz val="9"/>
            <color indexed="81"/>
            <rFont val="宋体"/>
            <family val="3"/>
            <charset val="134"/>
          </rPr>
          <t>年以上的，在</t>
        </r>
        <r>
          <rPr>
            <sz val="9"/>
            <color indexed="81"/>
            <rFont val="Tahoma"/>
            <family val="2"/>
          </rPr>
          <t>2017</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日前自获利年度起计算优惠期，第一年至第五年免征企业所得税，第六年至第十年按照</t>
        </r>
        <r>
          <rPr>
            <sz val="9"/>
            <color indexed="81"/>
            <rFont val="Tahoma"/>
            <family val="2"/>
          </rPr>
          <t>25%</t>
        </r>
        <r>
          <rPr>
            <sz val="9"/>
            <color indexed="81"/>
            <rFont val="宋体"/>
            <family val="3"/>
            <charset val="134"/>
          </rPr>
          <t>的法定税率减半征收企业所得税，并享受至期满为止。当表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2</t>
        </r>
        <r>
          <rPr>
            <sz val="9"/>
            <color indexed="81"/>
            <rFont val="宋体"/>
            <family val="3"/>
            <charset val="134"/>
          </rPr>
          <t>行的</t>
        </r>
        <r>
          <rPr>
            <sz val="9"/>
            <color indexed="81"/>
            <rFont val="Tahoma"/>
            <family val="2"/>
          </rPr>
          <t>“</t>
        </r>
        <r>
          <rPr>
            <sz val="9"/>
            <color indexed="81"/>
            <rFont val="宋体"/>
            <family val="3"/>
            <charset val="134"/>
          </rPr>
          <t>五免五减半</t>
        </r>
        <r>
          <rPr>
            <sz val="9"/>
            <color indexed="81"/>
            <rFont val="Tahoma"/>
            <family val="2"/>
          </rPr>
          <t>”</t>
        </r>
        <r>
          <rPr>
            <sz val="9"/>
            <color indexed="81"/>
            <rFont val="宋体"/>
            <family val="3"/>
            <charset val="134"/>
          </rPr>
          <t>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4" authorId="1">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2</t>
        </r>
        <r>
          <rPr>
            <sz val="9"/>
            <color indexed="81"/>
            <rFont val="宋体"/>
            <family val="3"/>
            <charset val="134"/>
          </rPr>
          <t>行</t>
        </r>
        <r>
          <rPr>
            <sz val="9"/>
            <color indexed="81"/>
            <rFont val="Tahoma"/>
            <family val="2"/>
          </rPr>
          <t>“</t>
        </r>
        <r>
          <rPr>
            <sz val="9"/>
            <color indexed="81"/>
            <rFont val="宋体"/>
            <family val="3"/>
            <charset val="134"/>
          </rPr>
          <t>五免五减半</t>
        </r>
        <r>
          <rPr>
            <sz val="9"/>
            <color indexed="81"/>
            <rFont val="Tahoma"/>
            <family val="2"/>
          </rPr>
          <t>”</t>
        </r>
        <r>
          <rPr>
            <sz val="9"/>
            <color indexed="81"/>
            <rFont val="宋体"/>
            <family val="3"/>
            <charset val="134"/>
          </rPr>
          <t>，第</t>
        </r>
        <r>
          <rPr>
            <sz val="9"/>
            <color indexed="81"/>
            <rFont val="Tahoma"/>
            <family val="2"/>
          </rPr>
          <t>9</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text>
    </comment>
    <comment ref="B15"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号）等规定，投资额超过</t>
        </r>
        <r>
          <rPr>
            <sz val="9"/>
            <color indexed="81"/>
            <rFont val="Tahoma"/>
            <family val="2"/>
          </rPr>
          <t>80</t>
        </r>
        <r>
          <rPr>
            <sz val="9"/>
            <color indexed="81"/>
            <rFont val="宋体"/>
            <family val="3"/>
            <charset val="134"/>
          </rPr>
          <t>亿元的集成电路生产企业，经营期在</t>
        </r>
        <r>
          <rPr>
            <sz val="9"/>
            <color indexed="81"/>
            <rFont val="Tahoma"/>
            <family val="2"/>
          </rPr>
          <t>15</t>
        </r>
        <r>
          <rPr>
            <sz val="9"/>
            <color indexed="81"/>
            <rFont val="宋体"/>
            <family val="3"/>
            <charset val="134"/>
          </rPr>
          <t>年以上的，在</t>
        </r>
        <r>
          <rPr>
            <sz val="9"/>
            <color indexed="81"/>
            <rFont val="Tahoma"/>
            <family val="2"/>
          </rPr>
          <t>2017</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日前自获利年度起计算优惠期，第一年至第五年免征企业所得税，第六年至第十年按照</t>
        </r>
        <r>
          <rPr>
            <sz val="9"/>
            <color indexed="81"/>
            <rFont val="Tahoma"/>
            <family val="2"/>
          </rPr>
          <t>25%</t>
        </r>
        <r>
          <rPr>
            <sz val="9"/>
            <color indexed="81"/>
            <rFont val="宋体"/>
            <family val="3"/>
            <charset val="134"/>
          </rPr>
          <t>的法定税率减半征收企业所得税，并享受至期满为止。当表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3</t>
        </r>
        <r>
          <rPr>
            <sz val="9"/>
            <color indexed="81"/>
            <rFont val="宋体"/>
            <family val="3"/>
            <charset val="134"/>
          </rPr>
          <t>行的</t>
        </r>
        <r>
          <rPr>
            <sz val="9"/>
            <color indexed="81"/>
            <rFont val="Tahoma"/>
            <family val="2"/>
          </rPr>
          <t>“</t>
        </r>
        <r>
          <rPr>
            <sz val="9"/>
            <color indexed="81"/>
            <rFont val="宋体"/>
            <family val="3"/>
            <charset val="134"/>
          </rPr>
          <t>五免五减半</t>
        </r>
        <r>
          <rPr>
            <sz val="9"/>
            <color indexed="81"/>
            <rFont val="Tahoma"/>
            <family val="2"/>
          </rPr>
          <t>”</t>
        </r>
        <r>
          <rPr>
            <sz val="9"/>
            <color indexed="81"/>
            <rFont val="宋体"/>
            <family val="3"/>
            <charset val="134"/>
          </rPr>
          <t>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5" authorId="1">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3</t>
        </r>
        <r>
          <rPr>
            <sz val="9"/>
            <color indexed="81"/>
            <rFont val="宋体"/>
            <family val="3"/>
            <charset val="134"/>
          </rPr>
          <t>行</t>
        </r>
        <r>
          <rPr>
            <sz val="9"/>
            <color indexed="81"/>
            <rFont val="Tahoma"/>
            <family val="2"/>
          </rPr>
          <t>“</t>
        </r>
        <r>
          <rPr>
            <sz val="9"/>
            <color indexed="81"/>
            <rFont val="宋体"/>
            <family val="3"/>
            <charset val="134"/>
          </rPr>
          <t>五免五减半</t>
        </r>
        <r>
          <rPr>
            <sz val="9"/>
            <color indexed="81"/>
            <rFont val="Tahoma"/>
            <family val="2"/>
          </rPr>
          <t>”</t>
        </r>
        <r>
          <rPr>
            <sz val="9"/>
            <color indexed="81"/>
            <rFont val="宋体"/>
            <family val="3"/>
            <charset val="134"/>
          </rPr>
          <t>，第</t>
        </r>
        <r>
          <rPr>
            <sz val="9"/>
            <color indexed="81"/>
            <rFont val="Tahoma"/>
            <family val="2"/>
          </rPr>
          <t>10</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16"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号）等规定，我国境内新办的集成电路设计企业，在</t>
        </r>
        <r>
          <rPr>
            <sz val="9"/>
            <color indexed="81"/>
            <rFont val="Tahoma"/>
            <family val="2"/>
          </rPr>
          <t>2017</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日前自获利年度起计算优惠期，第一年至第二年免征企业所得税，第三年至第五年按照</t>
        </r>
        <r>
          <rPr>
            <sz val="9"/>
            <color indexed="81"/>
            <rFont val="Tahoma"/>
            <family val="2"/>
          </rPr>
          <t>25%</t>
        </r>
        <r>
          <rPr>
            <sz val="9"/>
            <color indexed="81"/>
            <rFont val="宋体"/>
            <family val="3"/>
            <charset val="134"/>
          </rPr>
          <t>的法定税率减半征收企业所得税，并享受至期满为止。当表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4</t>
        </r>
        <r>
          <rPr>
            <sz val="9"/>
            <color indexed="81"/>
            <rFont val="宋体"/>
            <family val="3"/>
            <charset val="134"/>
          </rPr>
          <t>行时，本行填报表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6" authorId="1">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4</t>
        </r>
        <r>
          <rPr>
            <sz val="9"/>
            <color indexed="81"/>
            <rFont val="宋体"/>
            <family val="3"/>
            <charset val="134"/>
          </rPr>
          <t>行，第</t>
        </r>
        <r>
          <rPr>
            <sz val="9"/>
            <color indexed="81"/>
            <rFont val="Tahoma"/>
            <family val="2"/>
          </rPr>
          <t>11</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17"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号）等规定，国家规划布局内的重点集成电路设计企业，如当年未享受免税优惠的，可减按</t>
        </r>
        <r>
          <rPr>
            <sz val="9"/>
            <color indexed="81"/>
            <rFont val="Tahoma"/>
            <family val="2"/>
          </rPr>
          <t>10%</t>
        </r>
        <r>
          <rPr>
            <sz val="9"/>
            <color indexed="81"/>
            <rFont val="宋体"/>
            <family val="3"/>
            <charset val="134"/>
          </rPr>
          <t>税率征收企业所得税。当表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5</t>
        </r>
        <r>
          <rPr>
            <sz val="9"/>
            <color indexed="81"/>
            <rFont val="宋体"/>
            <family val="3"/>
            <charset val="134"/>
          </rPr>
          <t>行时，本行填报表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7" authorId="1">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5</t>
        </r>
        <r>
          <rPr>
            <sz val="9"/>
            <color indexed="81"/>
            <rFont val="宋体"/>
            <family val="3"/>
            <charset val="134"/>
          </rPr>
          <t>行，第</t>
        </r>
        <r>
          <rPr>
            <sz val="9"/>
            <color indexed="81"/>
            <rFont val="Tahoma"/>
            <family val="2"/>
          </rPr>
          <t>12</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18"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号）等规定，我国境内新办的符合条件的企业，在</t>
        </r>
        <r>
          <rPr>
            <sz val="9"/>
            <color indexed="81"/>
            <rFont val="Tahoma"/>
            <family val="2"/>
          </rPr>
          <t>2017</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31</t>
        </r>
        <r>
          <rPr>
            <sz val="9"/>
            <color indexed="81"/>
            <rFont val="宋体"/>
            <family val="3"/>
            <charset val="134"/>
          </rPr>
          <t>日前自获利年度起计算优惠期，第一年至第二年免征企业所得税，第三年至第五年按照</t>
        </r>
        <r>
          <rPr>
            <sz val="9"/>
            <color indexed="81"/>
            <rFont val="Tahoma"/>
            <family val="2"/>
          </rPr>
          <t>25%</t>
        </r>
        <r>
          <rPr>
            <sz val="9"/>
            <color indexed="81"/>
            <rFont val="宋体"/>
            <family val="3"/>
            <charset val="134"/>
          </rPr>
          <t>的法定税率减半征收企业所得税，并享受至期满为止。当表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6</t>
        </r>
        <r>
          <rPr>
            <sz val="9"/>
            <color indexed="81"/>
            <rFont val="宋体"/>
            <family val="3"/>
            <charset val="134"/>
          </rPr>
          <t>行时，本行填报表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18" authorId="1">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6</t>
        </r>
        <r>
          <rPr>
            <sz val="9"/>
            <color indexed="81"/>
            <rFont val="宋体"/>
            <family val="3"/>
            <charset val="134"/>
          </rPr>
          <t>行，第</t>
        </r>
        <r>
          <rPr>
            <sz val="9"/>
            <color indexed="81"/>
            <rFont val="Tahoma"/>
            <family val="2"/>
          </rPr>
          <t>13</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19"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国家税务总局关于进一步鼓励软件产业和集成电路产业发展企业所得税政策的通知》（财税〔</t>
        </r>
        <r>
          <rPr>
            <sz val="9"/>
            <color indexed="81"/>
            <rFont val="Tahoma"/>
            <family val="2"/>
          </rPr>
          <t>2012</t>
        </r>
        <r>
          <rPr>
            <sz val="9"/>
            <color indexed="81"/>
            <rFont val="宋体"/>
            <family val="3"/>
            <charset val="134"/>
          </rPr>
          <t>〕</t>
        </r>
        <r>
          <rPr>
            <sz val="9"/>
            <color indexed="81"/>
            <rFont val="Tahoma"/>
            <family val="2"/>
          </rPr>
          <t>27</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t>
        </r>
        <r>
          <rPr>
            <sz val="9"/>
            <color indexed="81"/>
            <rFont val="Tahoma"/>
            <family val="2"/>
          </rPr>
          <t xml:space="preserve"> </t>
        </r>
        <r>
          <rPr>
            <sz val="9"/>
            <color indexed="81"/>
            <rFont val="宋体"/>
            <family val="3"/>
            <charset val="134"/>
          </rPr>
          <t>工业和信息化部关于软件和集成电路产业企业所得税优惠政策有关问题的通知》（财税〔</t>
        </r>
        <r>
          <rPr>
            <sz val="9"/>
            <color indexed="81"/>
            <rFont val="Tahoma"/>
            <family val="2"/>
          </rPr>
          <t>2016</t>
        </r>
        <r>
          <rPr>
            <sz val="9"/>
            <color indexed="81"/>
            <rFont val="宋体"/>
            <family val="3"/>
            <charset val="134"/>
          </rPr>
          <t>〕</t>
        </r>
        <r>
          <rPr>
            <sz val="9"/>
            <color indexed="81"/>
            <rFont val="Tahoma"/>
            <family val="2"/>
          </rPr>
          <t>49</t>
        </r>
        <r>
          <rPr>
            <sz val="9"/>
            <color indexed="81"/>
            <rFont val="宋体"/>
            <family val="3"/>
            <charset val="134"/>
          </rPr>
          <t>号）等规定，国家规划布局内的重点软件企业，如当年未享受免税优惠的，可减按</t>
        </r>
        <r>
          <rPr>
            <sz val="9"/>
            <color indexed="81"/>
            <rFont val="Tahoma"/>
            <family val="2"/>
          </rPr>
          <t>10%</t>
        </r>
        <r>
          <rPr>
            <sz val="9"/>
            <color indexed="81"/>
            <rFont val="宋体"/>
            <family val="3"/>
            <charset val="134"/>
          </rPr>
          <t>税率征收企业所得税。当表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7</t>
        </r>
        <r>
          <rPr>
            <sz val="9"/>
            <color indexed="81"/>
            <rFont val="宋体"/>
            <family val="3"/>
            <charset val="134"/>
          </rPr>
          <t>行时，本行填报表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text>
    </comment>
    <comment ref="C19" authorId="1">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7</t>
        </r>
        <r>
          <rPr>
            <sz val="9"/>
            <color indexed="81"/>
            <rFont val="宋体"/>
            <family val="3"/>
            <charset val="134"/>
          </rPr>
          <t>行，第</t>
        </r>
        <r>
          <rPr>
            <sz val="9"/>
            <color indexed="81"/>
            <rFont val="Tahoma"/>
            <family val="2"/>
          </rPr>
          <t>14</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text>
    </comment>
    <comment ref="B20"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发展改革委工业和信息化部关于进一步鼓励集成电路产业发展企业所得税政策的通知》（财税〔</t>
        </r>
        <r>
          <rPr>
            <sz val="9"/>
            <color indexed="81"/>
            <rFont val="Tahoma"/>
            <family val="2"/>
          </rPr>
          <t>2015</t>
        </r>
        <r>
          <rPr>
            <sz val="9"/>
            <color indexed="81"/>
            <rFont val="宋体"/>
            <family val="3"/>
            <charset val="134"/>
          </rPr>
          <t>〕</t>
        </r>
        <r>
          <rPr>
            <sz val="9"/>
            <color indexed="81"/>
            <rFont val="Tahoma"/>
            <family val="2"/>
          </rPr>
          <t>6</t>
        </r>
        <r>
          <rPr>
            <sz val="9"/>
            <color indexed="81"/>
            <rFont val="宋体"/>
            <family val="3"/>
            <charset val="134"/>
          </rPr>
          <t>号）规定，符合条件的集成电路封装、测试企业，在</t>
        </r>
        <r>
          <rPr>
            <sz val="9"/>
            <color indexed="81"/>
            <rFont val="Tahoma"/>
            <family val="2"/>
          </rPr>
          <t>2017</t>
        </r>
        <r>
          <rPr>
            <sz val="9"/>
            <color indexed="81"/>
            <rFont val="宋体"/>
            <family val="3"/>
            <charset val="134"/>
          </rPr>
          <t>年（含</t>
        </r>
        <r>
          <rPr>
            <sz val="9"/>
            <color indexed="81"/>
            <rFont val="Tahoma"/>
            <family val="2"/>
          </rPr>
          <t>2017</t>
        </r>
        <r>
          <rPr>
            <sz val="9"/>
            <color indexed="81"/>
            <rFont val="宋体"/>
            <family val="3"/>
            <charset val="134"/>
          </rPr>
          <t>年）前实现获利的，自获利年度起第一年至第二年免征企业所得税，第三年至第五年按照</t>
        </r>
        <r>
          <rPr>
            <sz val="9"/>
            <color indexed="81"/>
            <rFont val="Tahoma"/>
            <family val="2"/>
          </rPr>
          <t>25%</t>
        </r>
        <r>
          <rPr>
            <sz val="9"/>
            <color indexed="81"/>
            <rFont val="宋体"/>
            <family val="3"/>
            <charset val="134"/>
          </rPr>
          <t>的法定税率减半征收企业所得税，并享受至期满为止；</t>
        </r>
        <r>
          <rPr>
            <sz val="9"/>
            <color indexed="81"/>
            <rFont val="Tahoma"/>
            <family val="2"/>
          </rPr>
          <t>2017</t>
        </r>
        <r>
          <rPr>
            <sz val="9"/>
            <color indexed="81"/>
            <rFont val="宋体"/>
            <family val="3"/>
            <charset val="134"/>
          </rPr>
          <t>年前未实现获利的，自</t>
        </r>
        <r>
          <rPr>
            <sz val="9"/>
            <color indexed="81"/>
            <rFont val="Tahoma"/>
            <family val="2"/>
          </rPr>
          <t>2017</t>
        </r>
        <r>
          <rPr>
            <sz val="9"/>
            <color indexed="81"/>
            <rFont val="宋体"/>
            <family val="3"/>
            <charset val="134"/>
          </rPr>
          <t>年起计算优惠期，享受至期满为止。本行填报根据表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行应纳税所得额计算的免征、减征企业所得税金额。当表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8</t>
        </r>
        <r>
          <rPr>
            <sz val="9"/>
            <color indexed="81"/>
            <rFont val="宋体"/>
            <family val="3"/>
            <charset val="134"/>
          </rPr>
          <t>行时，本行填报表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20" authorId="1">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8</t>
        </r>
        <r>
          <rPr>
            <sz val="9"/>
            <color indexed="81"/>
            <rFont val="宋体"/>
            <family val="3"/>
            <charset val="134"/>
          </rPr>
          <t>行，第</t>
        </r>
        <r>
          <rPr>
            <sz val="9"/>
            <color indexed="81"/>
            <rFont val="Tahoma"/>
            <family val="2"/>
          </rPr>
          <t>15</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21"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发展改革委工业和信息化部关于进一步鼓励集成电路产业发展企业所得税政策的通知》（财税〔</t>
        </r>
        <r>
          <rPr>
            <sz val="9"/>
            <color indexed="81"/>
            <rFont val="Tahoma"/>
            <family val="2"/>
          </rPr>
          <t>2015</t>
        </r>
        <r>
          <rPr>
            <sz val="9"/>
            <color indexed="81"/>
            <rFont val="宋体"/>
            <family val="3"/>
            <charset val="134"/>
          </rPr>
          <t>〕</t>
        </r>
        <r>
          <rPr>
            <sz val="9"/>
            <color indexed="81"/>
            <rFont val="Tahoma"/>
            <family val="2"/>
          </rPr>
          <t>6</t>
        </r>
        <r>
          <rPr>
            <sz val="9"/>
            <color indexed="81"/>
            <rFont val="宋体"/>
            <family val="3"/>
            <charset val="134"/>
          </rPr>
          <t>号）规定，符合条件的集成电路关键专用材料生产企业、集成电路专用设备生产企业，在</t>
        </r>
        <r>
          <rPr>
            <sz val="9"/>
            <color indexed="81"/>
            <rFont val="Tahoma"/>
            <family val="2"/>
          </rPr>
          <t>2017</t>
        </r>
        <r>
          <rPr>
            <sz val="9"/>
            <color indexed="81"/>
            <rFont val="宋体"/>
            <family val="3"/>
            <charset val="134"/>
          </rPr>
          <t>年（含</t>
        </r>
        <r>
          <rPr>
            <sz val="9"/>
            <color indexed="81"/>
            <rFont val="Tahoma"/>
            <family val="2"/>
          </rPr>
          <t>2017</t>
        </r>
        <r>
          <rPr>
            <sz val="9"/>
            <color indexed="81"/>
            <rFont val="宋体"/>
            <family val="3"/>
            <charset val="134"/>
          </rPr>
          <t>年）前实现获利的，自获利年度起第一年至第二年免征企业所得税，第三年至第五年按照</t>
        </r>
        <r>
          <rPr>
            <sz val="9"/>
            <color indexed="81"/>
            <rFont val="Tahoma"/>
            <family val="2"/>
          </rPr>
          <t>25%</t>
        </r>
        <r>
          <rPr>
            <sz val="9"/>
            <color indexed="81"/>
            <rFont val="宋体"/>
            <family val="3"/>
            <charset val="134"/>
          </rPr>
          <t>的法定税率减半征收企业所得税，并享受至期满为止；</t>
        </r>
        <r>
          <rPr>
            <sz val="9"/>
            <color indexed="81"/>
            <rFont val="Tahoma"/>
            <family val="2"/>
          </rPr>
          <t>2017</t>
        </r>
        <r>
          <rPr>
            <sz val="9"/>
            <color indexed="81"/>
            <rFont val="宋体"/>
            <family val="3"/>
            <charset val="134"/>
          </rPr>
          <t>年前未实现获利的，自</t>
        </r>
        <r>
          <rPr>
            <sz val="9"/>
            <color indexed="81"/>
            <rFont val="Tahoma"/>
            <family val="2"/>
          </rPr>
          <t>2017</t>
        </r>
        <r>
          <rPr>
            <sz val="9"/>
            <color indexed="81"/>
            <rFont val="宋体"/>
            <family val="3"/>
            <charset val="134"/>
          </rPr>
          <t>年起计算优惠期，享受至期满为止。本行填报根据表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行应纳税所得额计算的免征、减征企业所得税金额。当表</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选择第</t>
        </r>
        <r>
          <rPr>
            <sz val="9"/>
            <color indexed="81"/>
            <rFont val="Tahoma"/>
            <family val="2"/>
          </rPr>
          <t>9</t>
        </r>
        <r>
          <rPr>
            <sz val="9"/>
            <color indexed="81"/>
            <rFont val="宋体"/>
            <family val="3"/>
            <charset val="134"/>
          </rPr>
          <t>行时，本行填报表</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行的金额，否则不允许填报。</t>
        </r>
        <r>
          <rPr>
            <sz val="9"/>
            <color indexed="81"/>
            <rFont val="Tahoma"/>
            <family val="2"/>
          </rPr>
          <t xml:space="preserve">
</t>
        </r>
      </text>
    </comment>
    <comment ref="C21" authorId="1">
      <text>
        <r>
          <rPr>
            <sz val="9"/>
            <color indexed="81"/>
            <rFont val="宋体"/>
            <family val="3"/>
            <charset val="134"/>
          </rPr>
          <t>若</t>
        </r>
        <r>
          <rPr>
            <sz val="9"/>
            <color indexed="81"/>
            <rFont val="Tahoma"/>
            <family val="2"/>
          </rPr>
          <t>A107042“</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9</t>
        </r>
        <r>
          <rPr>
            <sz val="9"/>
            <color indexed="81"/>
            <rFont val="宋体"/>
            <family val="3"/>
            <charset val="134"/>
          </rPr>
          <t>行，第</t>
        </r>
        <r>
          <rPr>
            <sz val="9"/>
            <color indexed="81"/>
            <rFont val="Tahoma"/>
            <family val="2"/>
          </rPr>
          <t>16</t>
        </r>
        <r>
          <rPr>
            <sz val="9"/>
            <color indexed="81"/>
            <rFont val="宋体"/>
            <family val="3"/>
            <charset val="134"/>
          </rPr>
          <t>行＝</t>
        </r>
        <r>
          <rPr>
            <sz val="9"/>
            <color indexed="81"/>
            <rFont val="Tahoma"/>
            <family val="2"/>
          </rPr>
          <t>A107042</t>
        </r>
        <r>
          <rPr>
            <sz val="9"/>
            <color indexed="81"/>
            <rFont val="宋体"/>
            <family val="3"/>
            <charset val="134"/>
          </rPr>
          <t>第</t>
        </r>
        <r>
          <rPr>
            <sz val="9"/>
            <color indexed="81"/>
            <rFont val="Tahoma"/>
            <family val="2"/>
          </rPr>
          <t>32</t>
        </r>
        <r>
          <rPr>
            <sz val="9"/>
            <color indexed="81"/>
            <rFont val="宋体"/>
            <family val="3"/>
            <charset val="134"/>
          </rPr>
          <t>行。</t>
        </r>
        <r>
          <rPr>
            <sz val="9"/>
            <color indexed="81"/>
            <rFont val="Tahoma"/>
            <family val="2"/>
          </rPr>
          <t xml:space="preserve">
</t>
        </r>
      </text>
    </comment>
    <comment ref="B22"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中宣部关于继续实施文化体制改革中经营性文化事业单位转制为企业若干税收政策的通知》（财税〔</t>
        </r>
        <r>
          <rPr>
            <sz val="9"/>
            <color indexed="81"/>
            <rFont val="Tahoma"/>
            <family val="2"/>
          </rPr>
          <t>2014</t>
        </r>
        <r>
          <rPr>
            <sz val="9"/>
            <color indexed="81"/>
            <rFont val="宋体"/>
            <family val="3"/>
            <charset val="134"/>
          </rPr>
          <t>〕</t>
        </r>
        <r>
          <rPr>
            <sz val="9"/>
            <color indexed="81"/>
            <rFont val="Tahoma"/>
            <family val="2"/>
          </rPr>
          <t>84</t>
        </r>
        <r>
          <rPr>
            <sz val="9"/>
            <color indexed="81"/>
            <rFont val="宋体"/>
            <family val="3"/>
            <charset val="134"/>
          </rPr>
          <t>号）等规定，从事新闻出版、广播影视和文化艺术的经营性文化事业单位转制为企业的，自转制注册之日起免征企业所得税。本行填报根据表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行应纳税所得额计算的免征企业所得税金额。</t>
        </r>
        <r>
          <rPr>
            <sz val="9"/>
            <color indexed="81"/>
            <rFont val="Tahoma"/>
            <family val="2"/>
          </rPr>
          <t xml:space="preserve">
</t>
        </r>
      </text>
    </comment>
    <comment ref="B23"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民政部关于生产和装配伤残人员专门用品企业免征企业所得税的通知》（财税〔</t>
        </r>
        <r>
          <rPr>
            <sz val="9"/>
            <color indexed="81"/>
            <rFont val="Tahoma"/>
            <family val="2"/>
          </rPr>
          <t>2016</t>
        </r>
        <r>
          <rPr>
            <sz val="9"/>
            <color indexed="81"/>
            <rFont val="宋体"/>
            <family val="3"/>
            <charset val="134"/>
          </rPr>
          <t>〕</t>
        </r>
        <r>
          <rPr>
            <sz val="9"/>
            <color indexed="81"/>
            <rFont val="Tahoma"/>
            <family val="2"/>
          </rPr>
          <t>111</t>
        </r>
        <r>
          <rPr>
            <sz val="9"/>
            <color indexed="81"/>
            <rFont val="宋体"/>
            <family val="3"/>
            <charset val="134"/>
          </rPr>
          <t>号）等规定，符合条件的生产和装配伤残人员专门用品的企业免征企业所得税。本行填报根据</t>
        </r>
        <r>
          <rPr>
            <sz val="9"/>
            <color indexed="81"/>
            <rFont val="Tahoma"/>
            <family val="2"/>
          </rPr>
          <t>A100000</t>
        </r>
        <r>
          <rPr>
            <sz val="9"/>
            <color indexed="81"/>
            <rFont val="宋体"/>
            <family val="3"/>
            <charset val="134"/>
          </rPr>
          <t>表第</t>
        </r>
        <r>
          <rPr>
            <sz val="9"/>
            <color indexed="81"/>
            <rFont val="Tahoma"/>
            <family val="2"/>
          </rPr>
          <t>23</t>
        </r>
        <r>
          <rPr>
            <sz val="9"/>
            <color indexed="81"/>
            <rFont val="宋体"/>
            <family val="3"/>
            <charset val="134"/>
          </rPr>
          <t>行应纳税所得额计算的免征企业所得税金额。</t>
        </r>
        <r>
          <rPr>
            <sz val="9"/>
            <color indexed="81"/>
            <rFont val="Tahoma"/>
            <family val="2"/>
          </rPr>
          <t xml:space="preserve">
</t>
        </r>
      </text>
    </comment>
    <comment ref="B24"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商务部</t>
        </r>
        <r>
          <rPr>
            <sz val="9"/>
            <color indexed="81"/>
            <rFont val="Tahoma"/>
            <family val="2"/>
          </rPr>
          <t xml:space="preserve"> </t>
        </r>
        <r>
          <rPr>
            <sz val="9"/>
            <color indexed="81"/>
            <rFont val="宋体"/>
            <family val="3"/>
            <charset val="134"/>
          </rPr>
          <t>科技部</t>
        </r>
        <r>
          <rPr>
            <sz val="9"/>
            <color indexed="81"/>
            <rFont val="Tahoma"/>
            <family val="2"/>
          </rPr>
          <t xml:space="preserve"> </t>
        </r>
        <r>
          <rPr>
            <sz val="9"/>
            <color indexed="81"/>
            <rFont val="宋体"/>
            <family val="3"/>
            <charset val="134"/>
          </rPr>
          <t>国家发展改革委关于完善技术先进型服务企业有关企业所得税政策问题的通知》（财税〔</t>
        </r>
        <r>
          <rPr>
            <sz val="9"/>
            <color indexed="81"/>
            <rFont val="Tahoma"/>
            <family val="2"/>
          </rPr>
          <t>2014</t>
        </r>
        <r>
          <rPr>
            <sz val="9"/>
            <color indexed="81"/>
            <rFont val="宋体"/>
            <family val="3"/>
            <charset val="134"/>
          </rPr>
          <t>〕</t>
        </r>
        <r>
          <rPr>
            <sz val="9"/>
            <color indexed="81"/>
            <rFont val="Tahoma"/>
            <family val="2"/>
          </rPr>
          <t>59</t>
        </r>
        <r>
          <rPr>
            <sz val="9"/>
            <color indexed="81"/>
            <rFont val="宋体"/>
            <family val="3"/>
            <charset val="134"/>
          </rPr>
          <t>号）和《财政部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商务部</t>
        </r>
        <r>
          <rPr>
            <sz val="9"/>
            <color indexed="81"/>
            <rFont val="Tahoma"/>
            <family val="2"/>
          </rPr>
          <t xml:space="preserve"> </t>
        </r>
        <r>
          <rPr>
            <sz val="9"/>
            <color indexed="81"/>
            <rFont val="宋体"/>
            <family val="3"/>
            <charset val="134"/>
          </rPr>
          <t>科学技术部</t>
        </r>
        <r>
          <rPr>
            <sz val="9"/>
            <color indexed="81"/>
            <rFont val="Tahoma"/>
            <family val="2"/>
          </rPr>
          <t xml:space="preserve"> </t>
        </r>
        <r>
          <rPr>
            <sz val="9"/>
            <color indexed="81"/>
            <rFont val="宋体"/>
            <family val="3"/>
            <charset val="134"/>
          </rPr>
          <t>国家发展和改革委员会关于新增中国服务外包示范城市适用技术先进型服务企业所得税政策的通知》（财税〔</t>
        </r>
        <r>
          <rPr>
            <sz val="9"/>
            <color indexed="81"/>
            <rFont val="Tahoma"/>
            <family val="2"/>
          </rPr>
          <t>2016</t>
        </r>
        <r>
          <rPr>
            <sz val="9"/>
            <color indexed="81"/>
            <rFont val="宋体"/>
            <family val="3"/>
            <charset val="134"/>
          </rPr>
          <t>〕</t>
        </r>
        <r>
          <rPr>
            <sz val="9"/>
            <color indexed="81"/>
            <rFont val="Tahoma"/>
            <family val="2"/>
          </rPr>
          <t>108</t>
        </r>
        <r>
          <rPr>
            <sz val="9"/>
            <color indexed="81"/>
            <rFont val="宋体"/>
            <family val="3"/>
            <charset val="134"/>
          </rPr>
          <t>号）《财政部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商务部</t>
        </r>
        <r>
          <rPr>
            <sz val="9"/>
            <color indexed="81"/>
            <rFont val="Tahoma"/>
            <family val="2"/>
          </rPr>
          <t xml:space="preserve"> </t>
        </r>
        <r>
          <rPr>
            <sz val="9"/>
            <color indexed="81"/>
            <rFont val="宋体"/>
            <family val="3"/>
            <charset val="134"/>
          </rPr>
          <t>科技部</t>
        </r>
        <r>
          <rPr>
            <sz val="9"/>
            <color indexed="81"/>
            <rFont val="Tahoma"/>
            <family val="2"/>
          </rPr>
          <t xml:space="preserve"> </t>
        </r>
        <r>
          <rPr>
            <sz val="9"/>
            <color indexed="81"/>
            <rFont val="宋体"/>
            <family val="3"/>
            <charset val="134"/>
          </rPr>
          <t>国家发展改革委关于将技术先进型服务企业所得税政策推广至全国实施的通知》（财税〔</t>
        </r>
        <r>
          <rPr>
            <sz val="9"/>
            <color indexed="81"/>
            <rFont val="Tahoma"/>
            <family val="2"/>
          </rPr>
          <t>2017</t>
        </r>
        <r>
          <rPr>
            <sz val="9"/>
            <color indexed="81"/>
            <rFont val="宋体"/>
            <family val="3"/>
            <charset val="134"/>
          </rPr>
          <t>〕</t>
        </r>
        <r>
          <rPr>
            <sz val="9"/>
            <color indexed="81"/>
            <rFont val="Tahoma"/>
            <family val="2"/>
          </rPr>
          <t>79</t>
        </r>
        <r>
          <rPr>
            <sz val="9"/>
            <color indexed="81"/>
            <rFont val="宋体"/>
            <family val="3"/>
            <charset val="134"/>
          </rPr>
          <t>号）等规定，对经认定的技术先进型服务企业，减按</t>
        </r>
        <r>
          <rPr>
            <sz val="9"/>
            <color indexed="81"/>
            <rFont val="Tahoma"/>
            <family val="2"/>
          </rPr>
          <t>15%</t>
        </r>
        <r>
          <rPr>
            <sz val="9"/>
            <color indexed="81"/>
            <rFont val="宋体"/>
            <family val="3"/>
            <charset val="134"/>
          </rPr>
          <t>的税率征收企业所得税。本行填报根据表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行应纳税所得额计算的减征所得税金额。</t>
        </r>
        <r>
          <rPr>
            <sz val="9"/>
            <color indexed="81"/>
            <rFont val="Tahoma"/>
            <family val="2"/>
          </rPr>
          <t xml:space="preserve">
</t>
        </r>
      </text>
    </comment>
    <comment ref="B25"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商务部</t>
        </r>
        <r>
          <rPr>
            <sz val="9"/>
            <color indexed="81"/>
            <rFont val="Tahoma"/>
            <family val="2"/>
          </rPr>
          <t xml:space="preserve"> </t>
        </r>
        <r>
          <rPr>
            <sz val="9"/>
            <color indexed="81"/>
            <rFont val="宋体"/>
            <family val="3"/>
            <charset val="134"/>
          </rPr>
          <t>科技部</t>
        </r>
        <r>
          <rPr>
            <sz val="9"/>
            <color indexed="81"/>
            <rFont val="Tahoma"/>
            <family val="2"/>
          </rPr>
          <t xml:space="preserve"> </t>
        </r>
        <r>
          <rPr>
            <sz val="9"/>
            <color indexed="81"/>
            <rFont val="宋体"/>
            <family val="3"/>
            <charset val="134"/>
          </rPr>
          <t>国家发展改革委关于在服务贸易创新发展试点地区推广技术先进型服务企业所得税优惠政策的通知》（财税〔</t>
        </r>
        <r>
          <rPr>
            <sz val="9"/>
            <color indexed="81"/>
            <rFont val="Tahoma"/>
            <family val="2"/>
          </rPr>
          <t>2016</t>
        </r>
        <r>
          <rPr>
            <sz val="9"/>
            <color indexed="81"/>
            <rFont val="宋体"/>
            <family val="3"/>
            <charset val="134"/>
          </rPr>
          <t>〕</t>
        </r>
        <r>
          <rPr>
            <sz val="9"/>
            <color indexed="81"/>
            <rFont val="Tahoma"/>
            <family val="2"/>
          </rPr>
          <t>122</t>
        </r>
        <r>
          <rPr>
            <sz val="9"/>
            <color indexed="81"/>
            <rFont val="宋体"/>
            <family val="3"/>
            <charset val="134"/>
          </rPr>
          <t>号）等规定，在服务贸易创新发展试点地区，符合条件的技术先进型服务企业减按</t>
        </r>
        <r>
          <rPr>
            <sz val="9"/>
            <color indexed="81"/>
            <rFont val="Tahoma"/>
            <family val="2"/>
          </rPr>
          <t>15%</t>
        </r>
        <r>
          <rPr>
            <sz val="9"/>
            <color indexed="81"/>
            <rFont val="宋体"/>
            <family val="3"/>
            <charset val="134"/>
          </rPr>
          <t>的税率征收企业所得税。本行填报根据表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行应纳税所得额计算的减征所得税金额。</t>
        </r>
      </text>
    </comment>
    <comment ref="B26" authorId="1">
      <text>
        <r>
          <rPr>
            <sz val="9"/>
            <color indexed="81"/>
            <rFont val="宋体"/>
            <family val="3"/>
            <charset val="134"/>
          </rPr>
          <t>根据《财政部</t>
        </r>
        <r>
          <rPr>
            <sz val="9"/>
            <color indexed="81"/>
            <rFont val="Tahoma"/>
            <family val="2"/>
          </rPr>
          <t xml:space="preserve"> </t>
        </r>
        <r>
          <rPr>
            <sz val="9"/>
            <color indexed="81"/>
            <rFont val="宋体"/>
            <family val="3"/>
            <charset val="134"/>
          </rPr>
          <t>海关总署</t>
        </r>
        <r>
          <rPr>
            <sz val="9"/>
            <color indexed="81"/>
            <rFont val="Tahoma"/>
            <family val="2"/>
          </rPr>
          <t xml:space="preserve"> </t>
        </r>
        <r>
          <rPr>
            <sz val="9"/>
            <color indexed="81"/>
            <rFont val="宋体"/>
            <family val="3"/>
            <charset val="134"/>
          </rPr>
          <t>国家税务总局关于深入实施西部大开发战略有关税收政策问题的通知》（财税〔</t>
        </r>
        <r>
          <rPr>
            <sz val="9"/>
            <color indexed="81"/>
            <rFont val="Tahoma"/>
            <family val="2"/>
          </rPr>
          <t>2011</t>
        </r>
        <r>
          <rPr>
            <sz val="9"/>
            <color indexed="81"/>
            <rFont val="宋体"/>
            <family val="3"/>
            <charset val="134"/>
          </rPr>
          <t>〕</t>
        </r>
        <r>
          <rPr>
            <sz val="9"/>
            <color indexed="81"/>
            <rFont val="Tahoma"/>
            <family val="2"/>
          </rPr>
          <t>58</t>
        </r>
        <r>
          <rPr>
            <sz val="9"/>
            <color indexed="81"/>
            <rFont val="宋体"/>
            <family val="3"/>
            <charset val="134"/>
          </rPr>
          <t>号）、《国家税务总局关于深入实施西部大开发战略有关企业所得税问题的公告》（国家税务总局公告</t>
        </r>
        <r>
          <rPr>
            <sz val="9"/>
            <color indexed="81"/>
            <rFont val="Tahoma"/>
            <family val="2"/>
          </rPr>
          <t>2012</t>
        </r>
        <r>
          <rPr>
            <sz val="9"/>
            <color indexed="81"/>
            <rFont val="宋体"/>
            <family val="3"/>
            <charset val="134"/>
          </rPr>
          <t>年第</t>
        </r>
        <r>
          <rPr>
            <sz val="9"/>
            <color indexed="81"/>
            <rFont val="Tahoma"/>
            <family val="2"/>
          </rPr>
          <t>12</t>
        </r>
        <r>
          <rPr>
            <sz val="9"/>
            <color indexed="81"/>
            <rFont val="宋体"/>
            <family val="3"/>
            <charset val="134"/>
          </rPr>
          <t>号）、《财政部</t>
        </r>
        <r>
          <rPr>
            <sz val="9"/>
            <color indexed="81"/>
            <rFont val="Tahoma"/>
            <family val="2"/>
          </rPr>
          <t xml:space="preserve"> </t>
        </r>
        <r>
          <rPr>
            <sz val="9"/>
            <color indexed="81"/>
            <rFont val="宋体"/>
            <family val="3"/>
            <charset val="134"/>
          </rPr>
          <t>海关总署</t>
        </r>
        <r>
          <rPr>
            <sz val="9"/>
            <color indexed="81"/>
            <rFont val="Tahoma"/>
            <family val="2"/>
          </rPr>
          <t xml:space="preserve"> </t>
        </r>
        <r>
          <rPr>
            <sz val="9"/>
            <color indexed="81"/>
            <rFont val="宋体"/>
            <family val="3"/>
            <charset val="134"/>
          </rPr>
          <t>国家税务总局关于赣州市执行西部大开发税收政策问题的通知》（财税〔</t>
        </r>
        <r>
          <rPr>
            <sz val="9"/>
            <color indexed="81"/>
            <rFont val="Tahoma"/>
            <family val="2"/>
          </rPr>
          <t>2013</t>
        </r>
        <r>
          <rPr>
            <sz val="9"/>
            <color indexed="81"/>
            <rFont val="宋体"/>
            <family val="3"/>
            <charset val="134"/>
          </rPr>
          <t>〕</t>
        </r>
        <r>
          <rPr>
            <sz val="9"/>
            <color indexed="81"/>
            <rFont val="Tahoma"/>
            <family val="2"/>
          </rPr>
          <t>4</t>
        </r>
        <r>
          <rPr>
            <sz val="9"/>
            <color indexed="81"/>
            <rFont val="宋体"/>
            <family val="3"/>
            <charset val="134"/>
          </rPr>
          <t>号）、《西部地区鼓励类产业目录》</t>
        </r>
        <r>
          <rPr>
            <sz val="9"/>
            <color indexed="81"/>
            <rFont val="Tahoma"/>
            <family val="2"/>
          </rPr>
          <t>(</t>
        </r>
        <r>
          <rPr>
            <sz val="9"/>
            <color indexed="81"/>
            <rFont val="宋体"/>
            <family val="3"/>
            <charset val="134"/>
          </rPr>
          <t>中华人民共和国国家发展和改革委员会令第</t>
        </r>
        <r>
          <rPr>
            <sz val="9"/>
            <color indexed="81"/>
            <rFont val="Tahoma"/>
            <family val="2"/>
          </rPr>
          <t>15</t>
        </r>
        <r>
          <rPr>
            <sz val="9"/>
            <color indexed="81"/>
            <rFont val="宋体"/>
            <family val="3"/>
            <charset val="134"/>
          </rPr>
          <t>号</t>
        </r>
        <r>
          <rPr>
            <sz val="9"/>
            <color indexed="81"/>
            <rFont val="Tahoma"/>
            <family val="2"/>
          </rPr>
          <t>)</t>
        </r>
        <r>
          <rPr>
            <sz val="9"/>
            <color indexed="81"/>
            <rFont val="宋体"/>
            <family val="3"/>
            <charset val="134"/>
          </rPr>
          <t>、《国家税务总局关于执行</t>
        </r>
        <r>
          <rPr>
            <sz val="9"/>
            <color indexed="81"/>
            <rFont val="Tahoma"/>
            <family val="2"/>
          </rPr>
          <t>&lt;</t>
        </r>
        <r>
          <rPr>
            <sz val="9"/>
            <color indexed="81"/>
            <rFont val="宋体"/>
            <family val="3"/>
            <charset val="134"/>
          </rPr>
          <t>西部地区鼓励类产业目录</t>
        </r>
        <r>
          <rPr>
            <sz val="9"/>
            <color indexed="81"/>
            <rFont val="Tahoma"/>
            <family val="2"/>
          </rPr>
          <t>&gt;</t>
        </r>
        <r>
          <rPr>
            <sz val="9"/>
            <color indexed="81"/>
            <rFont val="宋体"/>
            <family val="3"/>
            <charset val="134"/>
          </rPr>
          <t>有关企业所得税问题的公告》（国家税务总局公告</t>
        </r>
        <r>
          <rPr>
            <sz val="9"/>
            <color indexed="81"/>
            <rFont val="Tahoma"/>
            <family val="2"/>
          </rPr>
          <t>2015</t>
        </r>
        <r>
          <rPr>
            <sz val="9"/>
            <color indexed="81"/>
            <rFont val="宋体"/>
            <family val="3"/>
            <charset val="134"/>
          </rPr>
          <t>年第</t>
        </r>
        <r>
          <rPr>
            <sz val="9"/>
            <color indexed="81"/>
            <rFont val="Tahoma"/>
            <family val="2"/>
          </rPr>
          <t>14</t>
        </r>
        <r>
          <rPr>
            <sz val="9"/>
            <color indexed="81"/>
            <rFont val="宋体"/>
            <family val="3"/>
            <charset val="134"/>
          </rPr>
          <t>号）等规定，对设在西部地区的鼓励类产业企业减按</t>
        </r>
        <r>
          <rPr>
            <sz val="9"/>
            <color indexed="81"/>
            <rFont val="Tahoma"/>
            <family val="2"/>
          </rPr>
          <t>15%</t>
        </r>
        <r>
          <rPr>
            <sz val="9"/>
            <color indexed="81"/>
            <rFont val="宋体"/>
            <family val="3"/>
            <charset val="134"/>
          </rPr>
          <t>的税率征收企业所得税；对设在赣州市的鼓励类产业的内资和外商投资企业减按</t>
        </r>
        <r>
          <rPr>
            <sz val="9"/>
            <color indexed="81"/>
            <rFont val="Tahoma"/>
            <family val="2"/>
          </rPr>
          <t>15%</t>
        </r>
        <r>
          <rPr>
            <sz val="9"/>
            <color indexed="81"/>
            <rFont val="宋体"/>
            <family val="3"/>
            <charset val="134"/>
          </rPr>
          <t>税率征收企业所得税。本行填报根据表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行应纳税所得额计算的减征所得税金额。</t>
        </r>
        <r>
          <rPr>
            <sz val="9"/>
            <color indexed="81"/>
            <rFont val="Tahoma"/>
            <family val="2"/>
          </rPr>
          <t xml:space="preserve">
</t>
        </r>
      </text>
    </comment>
    <comment ref="B27"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国家税务总局关于新疆困难地区新办企业所得税优惠政策的通知》（财税〔</t>
        </r>
        <r>
          <rPr>
            <sz val="9"/>
            <color indexed="81"/>
            <rFont val="Tahoma"/>
            <family val="2"/>
          </rPr>
          <t>2011</t>
        </r>
        <r>
          <rPr>
            <sz val="9"/>
            <color indexed="81"/>
            <rFont val="宋体"/>
            <family val="3"/>
            <charset val="134"/>
          </rPr>
          <t>〕</t>
        </r>
        <r>
          <rPr>
            <sz val="9"/>
            <color indexed="81"/>
            <rFont val="Tahoma"/>
            <family val="2"/>
          </rPr>
          <t>53</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国家发展改革委</t>
        </r>
        <r>
          <rPr>
            <sz val="9"/>
            <color indexed="81"/>
            <rFont val="Tahoma"/>
            <family val="2"/>
          </rPr>
          <t xml:space="preserve"> </t>
        </r>
        <r>
          <rPr>
            <sz val="9"/>
            <color indexed="81"/>
            <rFont val="宋体"/>
            <family val="3"/>
            <charset val="134"/>
          </rPr>
          <t>工业和信息化部关于完善新疆困难地区重点鼓励发展产业企业所得税优惠目录的通知》（财税〔</t>
        </r>
        <r>
          <rPr>
            <sz val="9"/>
            <color indexed="81"/>
            <rFont val="Tahoma"/>
            <family val="2"/>
          </rPr>
          <t>2016</t>
        </r>
        <r>
          <rPr>
            <sz val="9"/>
            <color indexed="81"/>
            <rFont val="宋体"/>
            <family val="3"/>
            <charset val="134"/>
          </rPr>
          <t>〕</t>
        </r>
        <r>
          <rPr>
            <sz val="9"/>
            <color indexed="81"/>
            <rFont val="Tahoma"/>
            <family val="2"/>
          </rPr>
          <t>85</t>
        </r>
        <r>
          <rPr>
            <sz val="9"/>
            <color indexed="81"/>
            <rFont val="宋体"/>
            <family val="3"/>
            <charset val="134"/>
          </rPr>
          <t>号）等规定，对在新疆困难地区新办的属于《新疆困难地区重点鼓励发展产业企业所得税优惠目录》范围内的企业，自取得第一笔生产经营收入所属纳税年度起，第一年至第二年免征企业所得税，第三年至第五年减半征收企业所得税。本行填报根据</t>
        </r>
        <r>
          <rPr>
            <sz val="9"/>
            <color indexed="81"/>
            <rFont val="Tahoma"/>
            <family val="2"/>
          </rPr>
          <t>A100000</t>
        </r>
        <r>
          <rPr>
            <sz val="9"/>
            <color indexed="81"/>
            <rFont val="宋体"/>
            <family val="3"/>
            <charset val="134"/>
          </rPr>
          <t>表第</t>
        </r>
        <r>
          <rPr>
            <sz val="9"/>
            <color indexed="81"/>
            <rFont val="Tahoma"/>
            <family val="2"/>
          </rPr>
          <t>23</t>
        </r>
        <r>
          <rPr>
            <sz val="9"/>
            <color indexed="81"/>
            <rFont val="宋体"/>
            <family val="3"/>
            <charset val="134"/>
          </rPr>
          <t>行应纳税所得额计算的免征、减征企业所得税金额。</t>
        </r>
        <r>
          <rPr>
            <sz val="9"/>
            <color indexed="81"/>
            <rFont val="Tahoma"/>
            <family val="2"/>
          </rPr>
          <t xml:space="preserve">
</t>
        </r>
      </text>
    </comment>
    <comment ref="B28"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国家税务总局关于新疆喀什</t>
        </r>
        <r>
          <rPr>
            <sz val="9"/>
            <color indexed="81"/>
            <rFont val="Tahoma"/>
            <family val="2"/>
          </rPr>
          <t xml:space="preserve"> </t>
        </r>
        <r>
          <rPr>
            <sz val="9"/>
            <color indexed="81"/>
            <rFont val="宋体"/>
            <family val="3"/>
            <charset val="134"/>
          </rPr>
          <t>霍尔果斯两个特殊经济开发区企业所得税优惠政策的通知》（财税〔</t>
        </r>
        <r>
          <rPr>
            <sz val="9"/>
            <color indexed="81"/>
            <rFont val="Tahoma"/>
            <family val="2"/>
          </rPr>
          <t>2011</t>
        </r>
        <r>
          <rPr>
            <sz val="9"/>
            <color indexed="81"/>
            <rFont val="宋体"/>
            <family val="3"/>
            <charset val="134"/>
          </rPr>
          <t>〕</t>
        </r>
        <r>
          <rPr>
            <sz val="9"/>
            <color indexed="81"/>
            <rFont val="Tahoma"/>
            <family val="2"/>
          </rPr>
          <t>112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国家发展改革委</t>
        </r>
        <r>
          <rPr>
            <sz val="9"/>
            <color indexed="81"/>
            <rFont val="Tahoma"/>
            <family val="2"/>
          </rPr>
          <t xml:space="preserve"> </t>
        </r>
        <r>
          <rPr>
            <sz val="9"/>
            <color indexed="81"/>
            <rFont val="宋体"/>
            <family val="3"/>
            <charset val="134"/>
          </rPr>
          <t>工业和信息化部关于完善新疆困难地区重点鼓励发展产业企业所得税优惠目录的通知》（财税〔</t>
        </r>
        <r>
          <rPr>
            <sz val="9"/>
            <color indexed="81"/>
            <rFont val="Tahoma"/>
            <family val="2"/>
          </rPr>
          <t>2016</t>
        </r>
        <r>
          <rPr>
            <sz val="9"/>
            <color indexed="81"/>
            <rFont val="宋体"/>
            <family val="3"/>
            <charset val="134"/>
          </rPr>
          <t>〕</t>
        </r>
        <r>
          <rPr>
            <sz val="9"/>
            <color indexed="81"/>
            <rFont val="Tahoma"/>
            <family val="2"/>
          </rPr>
          <t>85</t>
        </r>
        <r>
          <rPr>
            <sz val="9"/>
            <color indexed="81"/>
            <rFont val="宋体"/>
            <family val="3"/>
            <charset val="134"/>
          </rPr>
          <t>号）等规定，对在新疆喀什、霍尔果斯两个特殊经济开发区内新办的属于《新疆困难地区重点鼓励发展产业企业所得税优惠目录》范围内的企业，自取得第一笔生产经营收入所属纳税年度起，五年内免征企业所得税。本行填报根据</t>
        </r>
        <r>
          <rPr>
            <sz val="9"/>
            <color indexed="81"/>
            <rFont val="Tahoma"/>
            <family val="2"/>
          </rPr>
          <t>A100000</t>
        </r>
        <r>
          <rPr>
            <sz val="9"/>
            <color indexed="81"/>
            <rFont val="宋体"/>
            <family val="3"/>
            <charset val="134"/>
          </rPr>
          <t>表第</t>
        </r>
        <r>
          <rPr>
            <sz val="9"/>
            <color indexed="81"/>
            <rFont val="Tahoma"/>
            <family val="2"/>
          </rPr>
          <t>23</t>
        </r>
        <r>
          <rPr>
            <sz val="9"/>
            <color indexed="81"/>
            <rFont val="宋体"/>
            <family val="3"/>
            <charset val="134"/>
          </rPr>
          <t>行应纳税所得额计算的免征企业所得税金额。</t>
        </r>
      </text>
    </comment>
    <comment ref="B29" authorId="1">
      <text>
        <r>
          <rPr>
            <sz val="9"/>
            <color indexed="81"/>
            <rFont val="宋体"/>
            <family val="3"/>
            <charset val="134"/>
          </rPr>
          <t>根据《财政部</t>
        </r>
        <r>
          <rPr>
            <sz val="9"/>
            <color indexed="81"/>
            <rFont val="Tahoma"/>
            <family val="2"/>
          </rPr>
          <t xml:space="preserve"> </t>
        </r>
        <r>
          <rPr>
            <sz val="9"/>
            <color indexed="81"/>
            <rFont val="宋体"/>
            <family val="3"/>
            <charset val="134"/>
          </rPr>
          <t>国家税务总局关于广东横琴新区、福建平潭综合实验区、深圳前海深港现代化服务业合作区企业所得税优惠政策及优惠目录的通知》（财税〔</t>
        </r>
        <r>
          <rPr>
            <sz val="9"/>
            <color indexed="81"/>
            <rFont val="Tahoma"/>
            <family val="2"/>
          </rPr>
          <t>2014</t>
        </r>
        <r>
          <rPr>
            <sz val="9"/>
            <color indexed="81"/>
            <rFont val="宋体"/>
            <family val="3"/>
            <charset val="134"/>
          </rPr>
          <t>〕</t>
        </r>
        <r>
          <rPr>
            <sz val="9"/>
            <color indexed="81"/>
            <rFont val="Tahoma"/>
            <family val="2"/>
          </rPr>
          <t>26</t>
        </r>
        <r>
          <rPr>
            <sz val="9"/>
            <color indexed="81"/>
            <rFont val="宋体"/>
            <family val="3"/>
            <charset val="134"/>
          </rPr>
          <t>号）等规定，对设在广东横琴新区、福建平潭综合实验区和深圳前海深港现代服务业合作区的鼓励类产业企业减按</t>
        </r>
        <r>
          <rPr>
            <sz val="9"/>
            <color indexed="81"/>
            <rFont val="Tahoma"/>
            <family val="2"/>
          </rPr>
          <t>15%</t>
        </r>
        <r>
          <rPr>
            <sz val="9"/>
            <color indexed="81"/>
            <rFont val="宋体"/>
            <family val="3"/>
            <charset val="134"/>
          </rPr>
          <t>的税率征收企业所得税。本行填报根据表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行应纳税所得额计算的减征所得税金额。</t>
        </r>
        <r>
          <rPr>
            <sz val="9"/>
            <color indexed="81"/>
            <rFont val="Tahoma"/>
            <family val="2"/>
          </rPr>
          <t xml:space="preserve">
</t>
        </r>
      </text>
    </comment>
    <comment ref="B30" authorId="1">
      <text>
        <r>
          <rPr>
            <sz val="9"/>
            <color indexed="81"/>
            <rFont val="宋体"/>
            <family val="3"/>
            <charset val="134"/>
          </rPr>
          <t>根据《财政部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号）等规定，为支持发展奥林匹克运动，确保北京</t>
        </r>
        <r>
          <rPr>
            <sz val="9"/>
            <color indexed="81"/>
            <rFont val="Tahoma"/>
            <family val="2"/>
          </rPr>
          <t>2022</t>
        </r>
        <r>
          <rPr>
            <sz val="9"/>
            <color indexed="81"/>
            <rFont val="宋体"/>
            <family val="3"/>
            <charset val="134"/>
          </rPr>
          <t>年冬奥会和冬残奥会顺利举办，对北京冬奥组委免征应缴纳的企业所得税</t>
        </r>
        <r>
          <rPr>
            <sz val="9"/>
            <color indexed="81"/>
            <rFont val="Tahoma"/>
            <family val="2"/>
          </rPr>
          <t xml:space="preserve">, </t>
        </r>
        <r>
          <rPr>
            <sz val="9"/>
            <color indexed="81"/>
            <rFont val="宋体"/>
            <family val="3"/>
            <charset val="134"/>
          </rPr>
          <t>北京冬奥会测试赛赛事组委会取得的收入及发生的涉税支出比照执行北京冬奥组委的税收政策。本行填报北京冬奥组委、北京冬奥会测试赛赛事组委会根据表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行应纳税所得额计算的免征企业所得税金额。</t>
        </r>
        <r>
          <rPr>
            <sz val="9"/>
            <color indexed="81"/>
            <rFont val="Tahoma"/>
            <family val="2"/>
          </rPr>
          <t xml:space="preserve">
</t>
        </r>
      </text>
    </comment>
    <comment ref="B31" authorId="1">
      <text>
        <r>
          <rPr>
            <sz val="9"/>
            <color indexed="81"/>
            <rFont val="宋体"/>
            <family val="3"/>
            <charset val="134"/>
          </rPr>
          <t>根据《国务院关于实施企业所得税过渡优惠政策的通知》</t>
        </r>
        <r>
          <rPr>
            <sz val="9"/>
            <color indexed="81"/>
            <rFont val="Tahoma"/>
            <family val="2"/>
          </rPr>
          <t>(</t>
        </r>
        <r>
          <rPr>
            <sz val="9"/>
            <color indexed="81"/>
            <rFont val="宋体"/>
            <family val="3"/>
            <charset val="134"/>
          </rPr>
          <t>国发〔</t>
        </r>
        <r>
          <rPr>
            <sz val="9"/>
            <color indexed="81"/>
            <rFont val="Tahoma"/>
            <family val="2"/>
          </rPr>
          <t>2007</t>
        </r>
        <r>
          <rPr>
            <sz val="9"/>
            <color indexed="81"/>
            <rFont val="宋体"/>
            <family val="3"/>
            <charset val="134"/>
          </rPr>
          <t>〕</t>
        </r>
        <r>
          <rPr>
            <sz val="9"/>
            <color indexed="81"/>
            <rFont val="Tahoma"/>
            <family val="2"/>
          </rPr>
          <t>39</t>
        </r>
        <r>
          <rPr>
            <sz val="9"/>
            <color indexed="81"/>
            <rFont val="宋体"/>
            <family val="3"/>
            <charset val="134"/>
          </rPr>
          <t>号</t>
        </r>
        <r>
          <rPr>
            <sz val="9"/>
            <color indexed="81"/>
            <rFont val="Tahoma"/>
            <family val="2"/>
          </rPr>
          <t>)</t>
        </r>
        <r>
          <rPr>
            <sz val="9"/>
            <color indexed="81"/>
            <rFont val="宋体"/>
            <family val="3"/>
            <charset val="134"/>
          </rPr>
          <t>等规定，自</t>
        </r>
        <r>
          <rPr>
            <sz val="9"/>
            <color indexed="81"/>
            <rFont val="Tahoma"/>
            <family val="2"/>
          </rPr>
          <t>2008</t>
        </r>
        <r>
          <rPr>
            <sz val="9"/>
            <color indexed="81"/>
            <rFont val="宋体"/>
            <family val="3"/>
            <charset val="134"/>
          </rPr>
          <t>年</t>
        </r>
        <r>
          <rPr>
            <sz val="9"/>
            <color indexed="81"/>
            <rFont val="Tahoma"/>
            <family val="2"/>
          </rPr>
          <t>1</t>
        </r>
        <r>
          <rPr>
            <sz val="9"/>
            <color indexed="81"/>
            <rFont val="宋体"/>
            <family val="3"/>
            <charset val="134"/>
          </rPr>
          <t>月</t>
        </r>
        <r>
          <rPr>
            <sz val="9"/>
            <color indexed="81"/>
            <rFont val="Tahoma"/>
            <family val="2"/>
          </rPr>
          <t>1</t>
        </r>
        <r>
          <rPr>
            <sz val="9"/>
            <color indexed="81"/>
            <rFont val="宋体"/>
            <family val="3"/>
            <charset val="134"/>
          </rPr>
          <t>日起，原享受企业所得税</t>
        </r>
        <r>
          <rPr>
            <sz val="9"/>
            <color indexed="81"/>
            <rFont val="Tahoma"/>
            <family val="2"/>
          </rPr>
          <t>“</t>
        </r>
        <r>
          <rPr>
            <sz val="9"/>
            <color indexed="81"/>
            <rFont val="宋体"/>
            <family val="3"/>
            <charset val="134"/>
          </rPr>
          <t>五免五减半</t>
        </r>
        <r>
          <rPr>
            <sz val="9"/>
            <color indexed="81"/>
            <rFont val="Tahoma"/>
            <family val="2"/>
          </rPr>
          <t>”</t>
        </r>
        <r>
          <rPr>
            <sz val="9"/>
            <color indexed="81"/>
            <rFont val="宋体"/>
            <family val="3"/>
            <charset val="134"/>
          </rPr>
          <t>等定期减免税优惠的企业，新税法施行后继续按原税收法律、行政法规及相关文件规定的优惠办法及年限享受至期满为止，但因未获利而尚未享受税收优惠的，其优惠期限从</t>
        </r>
        <r>
          <rPr>
            <sz val="9"/>
            <color indexed="81"/>
            <rFont val="Tahoma"/>
            <family val="2"/>
          </rPr>
          <t>2008</t>
        </r>
        <r>
          <rPr>
            <sz val="9"/>
            <color indexed="81"/>
            <rFont val="宋体"/>
            <family val="3"/>
            <charset val="134"/>
          </rPr>
          <t>年度起计算。本行填报根据表</t>
        </r>
        <r>
          <rPr>
            <sz val="9"/>
            <color indexed="81"/>
            <rFont val="Tahoma"/>
            <family val="2"/>
          </rPr>
          <t>A100000</t>
        </r>
        <r>
          <rPr>
            <sz val="9"/>
            <color indexed="81"/>
            <rFont val="宋体"/>
            <family val="3"/>
            <charset val="134"/>
          </rPr>
          <t>第</t>
        </r>
        <r>
          <rPr>
            <sz val="9"/>
            <color indexed="81"/>
            <rFont val="Tahoma"/>
            <family val="2"/>
          </rPr>
          <t>23</t>
        </r>
        <r>
          <rPr>
            <sz val="9"/>
            <color indexed="81"/>
            <rFont val="宋体"/>
            <family val="3"/>
            <charset val="134"/>
          </rPr>
          <t>行应纳税所得额计算的免征、减征企业所得税金额。</t>
        </r>
        <r>
          <rPr>
            <sz val="9"/>
            <color indexed="81"/>
            <rFont val="Tahoma"/>
            <family val="2"/>
          </rPr>
          <t xml:space="preserve">
</t>
        </r>
      </text>
    </comment>
    <comment ref="B32" authorId="1">
      <text>
        <r>
          <rPr>
            <sz val="9"/>
            <color indexed="81"/>
            <rFont val="宋体"/>
            <family val="3"/>
            <charset val="134"/>
          </rPr>
          <t>填报国务院根据税法授权制定的及本表未列明的其他税收优惠政策，需填报项目名称、减免税代码及免征、减征企业所得税金额。</t>
        </r>
        <r>
          <rPr>
            <sz val="9"/>
            <color indexed="81"/>
            <rFont val="Tahoma"/>
            <family val="2"/>
          </rPr>
          <t xml:space="preserve">
</t>
        </r>
      </text>
    </comment>
    <comment ref="B33" authorId="1">
      <text>
        <r>
          <rPr>
            <sz val="9"/>
            <color indexed="81"/>
            <rFont val="宋体"/>
            <family val="3"/>
            <charset val="134"/>
          </rPr>
          <t>纳税人同时享受优惠税率和所得项目减半情形下，在填报本表低税率优惠时，所得项目按照优惠税率减半计算多享受优惠的部分。</t>
        </r>
        <r>
          <rPr>
            <sz val="9"/>
            <color indexed="81"/>
            <rFont val="Tahoma"/>
            <family val="2"/>
          </rPr>
          <t xml:space="preserve">
</t>
        </r>
        <r>
          <rPr>
            <sz val="9"/>
            <color indexed="81"/>
            <rFont val="宋体"/>
            <family val="3"/>
            <charset val="134"/>
          </rPr>
          <t>企业从事农林牧渔业项目、国家重点扶持的公共基础设施项目、符合条件的环境保护、节能节水项目、符合条件的技术转让、其他专项优惠等所得额应按法定税率25%减半征收，同时享受小型微利企业、高新技术企业、技术先进型服务企业、集成电路线宽小于0.25微米或投资额超过80亿元人民币集成电路生产企业、国家规划布局内重点软件企业和集成电路设计企业等优惠税率政策，由于申报表填报顺序，按优惠税率减半叠加享受减免税优惠部分，应在本行对该部分金额进行调整。本行应大于等于0且小于等于第1+2+</t>
        </r>
        <r>
          <rPr>
            <sz val="9"/>
            <color indexed="81"/>
            <rFont val="Tahoma"/>
            <family val="2"/>
          </rPr>
          <t>…</t>
        </r>
        <r>
          <rPr>
            <sz val="9"/>
            <color indexed="81"/>
            <rFont val="宋体"/>
            <family val="3"/>
            <charset val="134"/>
          </rPr>
          <t>+20+22+</t>
        </r>
        <r>
          <rPr>
            <sz val="9"/>
            <color indexed="81"/>
            <rFont val="Tahoma"/>
            <family val="2"/>
          </rPr>
          <t>…</t>
        </r>
        <r>
          <rPr>
            <sz val="9"/>
            <color indexed="81"/>
            <rFont val="宋体"/>
            <family val="3"/>
            <charset val="134"/>
          </rPr>
          <t>+27行的值。
计算公式：本行＝减半项目所得额</t>
        </r>
        <r>
          <rPr>
            <sz val="9"/>
            <color indexed="81"/>
            <rFont val="Tahoma"/>
            <family val="2"/>
          </rPr>
          <t>×</t>
        </r>
        <r>
          <rPr>
            <sz val="9"/>
            <color indexed="81"/>
            <rFont val="宋体"/>
            <family val="3"/>
            <charset val="134"/>
          </rPr>
          <t>50%</t>
        </r>
        <r>
          <rPr>
            <sz val="9"/>
            <color indexed="81"/>
            <rFont val="Tahoma"/>
            <family val="2"/>
          </rPr>
          <t>×</t>
        </r>
        <r>
          <rPr>
            <sz val="9"/>
            <color indexed="81"/>
            <rFont val="宋体"/>
            <family val="3"/>
            <charset val="134"/>
          </rPr>
          <t>（25%-优惠税率）。</t>
        </r>
      </text>
    </comment>
    <comment ref="B34" authorId="1">
      <text>
        <r>
          <rPr>
            <sz val="9"/>
            <color indexed="81"/>
            <rFont val="宋体"/>
            <family val="3"/>
            <charset val="134"/>
          </rPr>
          <t>根据《财政部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人力资源社会保障部关于继续实施支持和促进重点群体创业就业有关税收政策的通知》（财税〔</t>
        </r>
        <r>
          <rPr>
            <sz val="9"/>
            <color indexed="81"/>
            <rFont val="Tahoma"/>
            <family val="2"/>
          </rPr>
          <t>2017</t>
        </r>
        <r>
          <rPr>
            <sz val="9"/>
            <color indexed="81"/>
            <rFont val="宋体"/>
            <family val="3"/>
            <charset val="134"/>
          </rPr>
          <t>〕</t>
        </r>
        <r>
          <rPr>
            <sz val="9"/>
            <color indexed="81"/>
            <rFont val="Tahoma"/>
            <family val="2"/>
          </rPr>
          <t>49</t>
        </r>
        <r>
          <rPr>
            <sz val="9"/>
            <color indexed="81"/>
            <rFont val="宋体"/>
            <family val="3"/>
            <charset val="134"/>
          </rPr>
          <t>号）等规定，商贸企业、服务型企业、劳动就业服务企业中的加工型企业和街道社区具有加工性质的小型企业实体，在新增加的岗位中，当年新招用在人力资源社会保障部门公共就业服务机构登记失业半年以上且持《就业创业证》或《就业失业登记证》（注明</t>
        </r>
        <r>
          <rPr>
            <sz val="9"/>
            <color indexed="81"/>
            <rFont val="Tahoma"/>
            <family val="2"/>
          </rPr>
          <t>“</t>
        </r>
        <r>
          <rPr>
            <sz val="9"/>
            <color indexed="81"/>
            <rFont val="宋体"/>
            <family val="3"/>
            <charset val="134"/>
          </rPr>
          <t>企业吸纳税收政策</t>
        </r>
        <r>
          <rPr>
            <sz val="9"/>
            <color indexed="81"/>
            <rFont val="Tahoma"/>
            <family val="2"/>
          </rPr>
          <t>”</t>
        </r>
        <r>
          <rPr>
            <sz val="9"/>
            <color indexed="81"/>
            <rFont val="宋体"/>
            <family val="3"/>
            <charset val="134"/>
          </rPr>
          <t>）人员，与其签订</t>
        </r>
        <r>
          <rPr>
            <sz val="9"/>
            <color indexed="81"/>
            <rFont val="Tahoma"/>
            <family val="2"/>
          </rPr>
          <t>1</t>
        </r>
        <r>
          <rPr>
            <sz val="9"/>
            <color indexed="81"/>
            <rFont val="宋体"/>
            <family val="3"/>
            <charset val="134"/>
          </rPr>
          <t>年以上期限劳动合同并依法缴纳社会保险费的，在</t>
        </r>
        <r>
          <rPr>
            <sz val="9"/>
            <color indexed="81"/>
            <rFont val="Tahoma"/>
            <family val="2"/>
          </rPr>
          <t>3</t>
        </r>
        <r>
          <rPr>
            <sz val="9"/>
            <color indexed="81"/>
            <rFont val="宋体"/>
            <family val="3"/>
            <charset val="134"/>
          </rPr>
          <t>年内按实际招用人数予以定额依次扣减增值税、城市维护建设税、教育费附加、地方教育附加和企业所得税优惠。定额标准为每人每年</t>
        </r>
        <r>
          <rPr>
            <sz val="9"/>
            <color indexed="81"/>
            <rFont val="Tahoma"/>
            <family val="2"/>
          </rPr>
          <t>4000</t>
        </r>
        <r>
          <rPr>
            <sz val="9"/>
            <color indexed="81"/>
            <rFont val="宋体"/>
            <family val="3"/>
            <charset val="134"/>
          </rPr>
          <t>元，最高可上浮</t>
        </r>
        <r>
          <rPr>
            <sz val="9"/>
            <color indexed="81"/>
            <rFont val="Tahoma"/>
            <family val="2"/>
          </rPr>
          <t>30%</t>
        </r>
        <r>
          <rPr>
            <sz val="9"/>
            <color indexed="81"/>
            <rFont val="宋体"/>
            <family val="3"/>
            <charset val="134"/>
          </rPr>
          <t>。本行填报企业纳税年度终了时实际减免的增值税、城市维护建设税、教育费附加和地方教育附加小于核定的减免税总额，在企业所得税汇算清缴时扣减的企业所得税，当年扣减不完的，不再结转以后年度扣减。本行为合计行，等于</t>
        </r>
        <r>
          <rPr>
            <sz val="9"/>
            <color indexed="81"/>
            <rFont val="Tahoma"/>
            <family val="2"/>
          </rPr>
          <t>29.1</t>
        </r>
        <r>
          <rPr>
            <sz val="9"/>
            <color indexed="81"/>
            <rFont val="宋体"/>
            <family val="3"/>
            <charset val="134"/>
          </rPr>
          <t>行</t>
        </r>
        <r>
          <rPr>
            <sz val="9"/>
            <color indexed="81"/>
            <rFont val="Tahoma"/>
            <family val="2"/>
          </rPr>
          <t>+29.2</t>
        </r>
        <r>
          <rPr>
            <sz val="9"/>
            <color indexed="81"/>
            <rFont val="宋体"/>
            <family val="3"/>
            <charset val="134"/>
          </rPr>
          <t>行。
安置下岗失业人员再就业、高校毕业生就业扣减的企业所得税，分别填写本表</t>
        </r>
        <r>
          <rPr>
            <sz val="9"/>
            <color indexed="81"/>
            <rFont val="Tahoma"/>
            <family val="2"/>
          </rPr>
          <t>29.1</t>
        </r>
        <r>
          <rPr>
            <sz val="9"/>
            <color indexed="81"/>
            <rFont val="宋体"/>
            <family val="3"/>
            <charset val="134"/>
          </rPr>
          <t>行、</t>
        </r>
        <r>
          <rPr>
            <sz val="9"/>
            <color indexed="81"/>
            <rFont val="Tahoma"/>
            <family val="2"/>
          </rPr>
          <t>29.2</t>
        </r>
        <r>
          <rPr>
            <sz val="9"/>
            <color indexed="81"/>
            <rFont val="宋体"/>
            <family val="3"/>
            <charset val="134"/>
          </rPr>
          <t xml:space="preserve">行。
</t>
        </r>
      </text>
    </comment>
    <comment ref="B37" authorId="1">
      <text>
        <r>
          <rPr>
            <sz val="9"/>
            <color indexed="81"/>
            <rFont val="宋体"/>
            <family val="3"/>
            <charset val="134"/>
          </rPr>
          <t>根据《财政部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民政部关于继续实施扶持自主就业退役士兵创业就业有关税收政策的通知》（财税〔</t>
        </r>
        <r>
          <rPr>
            <sz val="9"/>
            <color indexed="81"/>
            <rFont val="Tahoma"/>
            <family val="2"/>
          </rPr>
          <t>2017</t>
        </r>
        <r>
          <rPr>
            <sz val="9"/>
            <color indexed="81"/>
            <rFont val="宋体"/>
            <family val="3"/>
            <charset val="134"/>
          </rPr>
          <t>〕</t>
        </r>
        <r>
          <rPr>
            <sz val="9"/>
            <color indexed="81"/>
            <rFont val="Tahoma"/>
            <family val="2"/>
          </rPr>
          <t>46</t>
        </r>
        <r>
          <rPr>
            <sz val="9"/>
            <color indexed="81"/>
            <rFont val="宋体"/>
            <family val="3"/>
            <charset val="134"/>
          </rPr>
          <t>号）等规定，对商贸企业、服务型企业、劳动就业服务企业中的加工型企业和街道社区具有加工性质的小型企业实体，在新增加的岗位中，当年新招用自主就业退役士兵，与其签订</t>
        </r>
        <r>
          <rPr>
            <sz val="9"/>
            <color indexed="81"/>
            <rFont val="Tahoma"/>
            <family val="2"/>
          </rPr>
          <t>1</t>
        </r>
        <r>
          <rPr>
            <sz val="9"/>
            <color indexed="81"/>
            <rFont val="宋体"/>
            <family val="3"/>
            <charset val="134"/>
          </rPr>
          <t>年以上期限劳动合同并依法缴纳社会保险费的，在</t>
        </r>
        <r>
          <rPr>
            <sz val="9"/>
            <color indexed="81"/>
            <rFont val="Tahoma"/>
            <family val="2"/>
          </rPr>
          <t>3</t>
        </r>
        <r>
          <rPr>
            <sz val="9"/>
            <color indexed="81"/>
            <rFont val="宋体"/>
            <family val="3"/>
            <charset val="134"/>
          </rPr>
          <t>年内按实际招用人数予以定额依次扣减增值税、城市维护建设税、教育费附加、地方教育附加和企业所得税优惠。定额标准为每人每年</t>
        </r>
        <r>
          <rPr>
            <sz val="9"/>
            <color indexed="81"/>
            <rFont val="Tahoma"/>
            <family val="2"/>
          </rPr>
          <t>4000</t>
        </r>
        <r>
          <rPr>
            <sz val="9"/>
            <color indexed="81"/>
            <rFont val="宋体"/>
            <family val="3"/>
            <charset val="134"/>
          </rPr>
          <t>元，最高可上浮</t>
        </r>
        <r>
          <rPr>
            <sz val="9"/>
            <color indexed="81"/>
            <rFont val="Tahoma"/>
            <family val="2"/>
          </rPr>
          <t>50%</t>
        </r>
        <r>
          <rPr>
            <sz val="9"/>
            <color indexed="81"/>
            <rFont val="宋体"/>
            <family val="3"/>
            <charset val="134"/>
          </rPr>
          <t>。本行填报企业纳税年度终了时实际减免的增值税、城市维护建设税、教育费附加和地方教育附加小于核定的减免税总额，在企业所得税汇算清缴时扣减的企业所得税，当年扣减不完的，不再结转以后年度扣减。</t>
        </r>
        <r>
          <rPr>
            <sz val="9"/>
            <color indexed="81"/>
            <rFont val="Tahoma"/>
            <family val="2"/>
          </rPr>
          <t xml:space="preserve">
</t>
        </r>
      </text>
    </comment>
    <comment ref="B38" authorId="1">
      <text>
        <r>
          <rPr>
            <sz val="9"/>
            <color indexed="81"/>
            <rFont val="宋体"/>
            <family val="3"/>
            <charset val="134"/>
          </rPr>
          <t>根据税法、《财政部</t>
        </r>
        <r>
          <rPr>
            <sz val="9"/>
            <color indexed="81"/>
            <rFont val="Tahoma"/>
            <family val="2"/>
          </rPr>
          <t xml:space="preserve"> </t>
        </r>
        <r>
          <rPr>
            <sz val="9"/>
            <color indexed="81"/>
            <rFont val="宋体"/>
            <family val="3"/>
            <charset val="134"/>
          </rPr>
          <t>国家税务总局关于贯彻落实国务院关于实施企业所得税过渡优惠政策有关问题的通知》（财税〔</t>
        </r>
        <r>
          <rPr>
            <sz val="9"/>
            <color indexed="81"/>
            <rFont val="Tahoma"/>
            <family val="2"/>
          </rPr>
          <t>2008</t>
        </r>
        <r>
          <rPr>
            <sz val="9"/>
            <color indexed="81"/>
            <rFont val="宋体"/>
            <family val="3"/>
            <charset val="134"/>
          </rPr>
          <t>〕</t>
        </r>
        <r>
          <rPr>
            <sz val="9"/>
            <color indexed="81"/>
            <rFont val="Tahoma"/>
            <family val="2"/>
          </rPr>
          <t>21</t>
        </r>
        <r>
          <rPr>
            <sz val="9"/>
            <color indexed="81"/>
            <rFont val="宋体"/>
            <family val="3"/>
            <charset val="134"/>
          </rPr>
          <t>号）、《中华人民共和国民族区域自治法》的规定，实行民族区域自治的自治区、自治州、自治县的自治机关对本民族自治地方的企业应缴纳的企业所得税中属于地方分享的部分，可以决定减征或者免征，自治州、自治县决定减征或者免征的，须报省、自治区、直辖市人民政府批准。
纳税人填报该行次时，根据享受政策的类型选择</t>
        </r>
        <r>
          <rPr>
            <sz val="9"/>
            <color indexed="81"/>
            <rFont val="Tahoma"/>
            <family val="2"/>
          </rPr>
          <t>“</t>
        </r>
        <r>
          <rPr>
            <sz val="9"/>
            <color indexed="81"/>
            <rFont val="宋体"/>
            <family val="3"/>
            <charset val="134"/>
          </rPr>
          <t>免征</t>
        </r>
        <r>
          <rPr>
            <sz val="9"/>
            <color indexed="81"/>
            <rFont val="Tahoma"/>
            <family val="2"/>
          </rPr>
          <t>”</t>
        </r>
        <r>
          <rPr>
            <sz val="9"/>
            <color indexed="81"/>
            <rFont val="宋体"/>
            <family val="3"/>
            <charset val="134"/>
          </rPr>
          <t>或</t>
        </r>
        <r>
          <rPr>
            <sz val="9"/>
            <color indexed="81"/>
            <rFont val="Tahoma"/>
            <family val="2"/>
          </rPr>
          <t>“</t>
        </r>
        <r>
          <rPr>
            <sz val="9"/>
            <color indexed="81"/>
            <rFont val="宋体"/>
            <family val="3"/>
            <charset val="134"/>
          </rPr>
          <t>减征</t>
        </r>
        <r>
          <rPr>
            <sz val="9"/>
            <color indexed="81"/>
            <rFont val="Tahoma"/>
            <family val="2"/>
          </rPr>
          <t>”</t>
        </r>
        <r>
          <rPr>
            <sz val="9"/>
            <color indexed="81"/>
            <rFont val="宋体"/>
            <family val="3"/>
            <charset val="134"/>
          </rPr>
          <t>，二者必选其一。选择</t>
        </r>
        <r>
          <rPr>
            <sz val="9"/>
            <color indexed="81"/>
            <rFont val="Tahoma"/>
            <family val="2"/>
          </rPr>
          <t>“</t>
        </r>
        <r>
          <rPr>
            <sz val="9"/>
            <color indexed="81"/>
            <rFont val="宋体"/>
            <family val="3"/>
            <charset val="134"/>
          </rPr>
          <t>免征</t>
        </r>
        <r>
          <rPr>
            <sz val="9"/>
            <color indexed="81"/>
            <rFont val="Tahoma"/>
            <family val="2"/>
          </rPr>
          <t>”</t>
        </r>
        <r>
          <rPr>
            <sz val="9"/>
            <color indexed="81"/>
            <rFont val="宋体"/>
            <family val="3"/>
            <charset val="134"/>
          </rPr>
          <t>是指企业所得税款地方分成</t>
        </r>
        <r>
          <rPr>
            <sz val="9"/>
            <color indexed="81"/>
            <rFont val="Tahoma"/>
            <family val="2"/>
          </rPr>
          <t>40%</t>
        </r>
        <r>
          <rPr>
            <sz val="9"/>
            <color indexed="81"/>
            <rFont val="宋体"/>
            <family val="3"/>
            <charset val="134"/>
          </rPr>
          <t>部分全免；选择</t>
        </r>
        <r>
          <rPr>
            <sz val="9"/>
            <color indexed="81"/>
            <rFont val="Tahoma"/>
            <family val="2"/>
          </rPr>
          <t>“</t>
        </r>
        <r>
          <rPr>
            <sz val="9"/>
            <color indexed="81"/>
            <rFont val="宋体"/>
            <family val="3"/>
            <charset val="134"/>
          </rPr>
          <t>减征</t>
        </r>
        <r>
          <rPr>
            <sz val="9"/>
            <color indexed="81"/>
            <rFont val="Tahoma"/>
            <family val="2"/>
          </rPr>
          <t>:</t>
        </r>
        <r>
          <rPr>
            <sz val="9"/>
            <color indexed="81"/>
            <rFont val="宋体"/>
            <family val="3"/>
            <charset val="134"/>
          </rPr>
          <t>减征幅度</t>
        </r>
        <r>
          <rPr>
            <sz val="9"/>
            <color indexed="81"/>
            <rFont val="Tahoma"/>
            <family val="2"/>
          </rPr>
          <t>____%”</t>
        </r>
        <r>
          <rPr>
            <sz val="9"/>
            <color indexed="81"/>
            <rFont val="宋体"/>
            <family val="3"/>
            <charset val="134"/>
          </rPr>
          <t>需填写</t>
        </r>
        <r>
          <rPr>
            <sz val="9"/>
            <color indexed="81"/>
            <rFont val="Tahoma"/>
            <family val="2"/>
          </rPr>
          <t>“</t>
        </r>
        <r>
          <rPr>
            <sz val="9"/>
            <color indexed="81"/>
            <rFont val="宋体"/>
            <family val="3"/>
            <charset val="134"/>
          </rPr>
          <t>减征幅度</t>
        </r>
        <r>
          <rPr>
            <sz val="9"/>
            <color indexed="81"/>
            <rFont val="Tahoma"/>
            <family val="2"/>
          </rPr>
          <t>”</t>
        </r>
        <r>
          <rPr>
            <sz val="9"/>
            <color indexed="81"/>
            <rFont val="宋体"/>
            <family val="3"/>
            <charset val="134"/>
          </rPr>
          <t>，减征幅度填写</t>
        </r>
        <r>
          <rPr>
            <sz val="9"/>
            <color indexed="81"/>
            <rFont val="Tahoma"/>
            <family val="2"/>
          </rPr>
          <t>1</t>
        </r>
        <r>
          <rPr>
            <sz val="9"/>
            <color indexed="81"/>
            <rFont val="宋体"/>
            <family val="3"/>
            <charset val="134"/>
          </rPr>
          <t>至</t>
        </r>
        <r>
          <rPr>
            <sz val="9"/>
            <color indexed="81"/>
            <rFont val="Tahoma"/>
            <family val="2"/>
          </rPr>
          <t>100</t>
        </r>
        <r>
          <rPr>
            <sz val="9"/>
            <color indexed="81"/>
            <rFont val="宋体"/>
            <family val="3"/>
            <charset val="134"/>
          </rPr>
          <t>，表示企业所得税地方分成部分减征的百分比。优惠金额填报（应纳所得税额</t>
        </r>
        <r>
          <rPr>
            <sz val="9"/>
            <color indexed="81"/>
            <rFont val="Tahoma"/>
            <family val="2"/>
          </rPr>
          <t>-</t>
        </r>
        <r>
          <rPr>
            <sz val="9"/>
            <color indexed="81"/>
            <rFont val="宋体"/>
            <family val="3"/>
            <charset val="134"/>
          </rPr>
          <t>本表以上行次优惠合计）</t>
        </r>
        <r>
          <rPr>
            <sz val="9"/>
            <color indexed="81"/>
            <rFont val="Tahoma"/>
            <family val="2"/>
          </rPr>
          <t>×40%×</t>
        </r>
        <r>
          <rPr>
            <sz val="9"/>
            <color indexed="81"/>
            <rFont val="宋体"/>
            <family val="3"/>
            <charset val="134"/>
          </rPr>
          <t>减征幅度的金额</t>
        </r>
        <r>
          <rPr>
            <sz val="9"/>
            <color indexed="81"/>
            <rFont val="Tahoma"/>
            <family val="2"/>
          </rPr>
          <t>,</t>
        </r>
        <r>
          <rPr>
            <sz val="9"/>
            <color indexed="81"/>
            <rFont val="宋体"/>
            <family val="3"/>
            <charset val="134"/>
          </rPr>
          <t>本表以上行次不包括第</t>
        </r>
        <r>
          <rPr>
            <sz val="9"/>
            <color indexed="81"/>
            <rFont val="Tahoma"/>
            <family val="2"/>
          </rPr>
          <t>4.1</t>
        </r>
        <r>
          <rPr>
            <sz val="9"/>
            <color indexed="81"/>
            <rFont val="宋体"/>
            <family val="3"/>
            <charset val="134"/>
          </rPr>
          <t>行、</t>
        </r>
        <r>
          <rPr>
            <sz val="9"/>
            <color indexed="81"/>
            <rFont val="Tahoma"/>
            <family val="2"/>
          </rPr>
          <t>4.2</t>
        </r>
        <r>
          <rPr>
            <sz val="9"/>
            <color indexed="81"/>
            <rFont val="宋体"/>
            <family val="3"/>
            <charset val="134"/>
          </rPr>
          <t>行、</t>
        </r>
        <r>
          <rPr>
            <sz val="9"/>
            <color indexed="81"/>
            <rFont val="Tahoma"/>
            <family val="2"/>
          </rPr>
          <t>29.1</t>
        </r>
        <r>
          <rPr>
            <sz val="9"/>
            <color indexed="81"/>
            <rFont val="宋体"/>
            <family val="3"/>
            <charset val="134"/>
          </rPr>
          <t>行、</t>
        </r>
        <r>
          <rPr>
            <sz val="9"/>
            <color indexed="81"/>
            <rFont val="Tahoma"/>
            <family val="2"/>
          </rPr>
          <t>29.2</t>
        </r>
        <r>
          <rPr>
            <sz val="9"/>
            <color indexed="81"/>
            <rFont val="宋体"/>
            <family val="3"/>
            <charset val="134"/>
          </rPr>
          <t>行。如地方分享部分减半征收，则选择</t>
        </r>
        <r>
          <rPr>
            <sz val="9"/>
            <color indexed="81"/>
            <rFont val="Tahoma"/>
            <family val="2"/>
          </rPr>
          <t>“</t>
        </r>
        <r>
          <rPr>
            <sz val="9"/>
            <color indexed="81"/>
            <rFont val="宋体"/>
            <family val="3"/>
            <charset val="134"/>
          </rPr>
          <t>减征</t>
        </r>
        <r>
          <rPr>
            <sz val="9"/>
            <color indexed="81"/>
            <rFont val="Tahoma"/>
            <family val="2"/>
          </rPr>
          <t>”</t>
        </r>
        <r>
          <rPr>
            <sz val="9"/>
            <color indexed="81"/>
            <rFont val="宋体"/>
            <family val="3"/>
            <charset val="134"/>
          </rPr>
          <t>，并在</t>
        </r>
        <r>
          <rPr>
            <sz val="9"/>
            <color indexed="81"/>
            <rFont val="Tahoma"/>
            <family val="2"/>
          </rPr>
          <t>“</t>
        </r>
        <r>
          <rPr>
            <sz val="9"/>
            <color indexed="81"/>
            <rFont val="宋体"/>
            <family val="3"/>
            <charset val="134"/>
          </rPr>
          <t>减征幅度</t>
        </r>
        <r>
          <rPr>
            <sz val="9"/>
            <color indexed="81"/>
            <rFont val="Tahoma"/>
            <family val="2"/>
          </rPr>
          <t>”</t>
        </r>
        <r>
          <rPr>
            <sz val="9"/>
            <color indexed="81"/>
            <rFont val="宋体"/>
            <family val="3"/>
            <charset val="134"/>
          </rPr>
          <t>后填写</t>
        </r>
        <r>
          <rPr>
            <sz val="9"/>
            <color indexed="81"/>
            <rFont val="Tahoma"/>
            <family val="2"/>
          </rPr>
          <t>“50%”</t>
        </r>
        <r>
          <rPr>
            <sz val="9"/>
            <color indexed="81"/>
            <rFont val="宋体"/>
            <family val="3"/>
            <charset val="134"/>
          </rPr>
          <t>。</t>
        </r>
        <r>
          <rPr>
            <b/>
            <sz val="9"/>
            <color indexed="81"/>
            <rFont val="宋体"/>
            <family val="3"/>
            <charset val="134"/>
          </rPr>
          <t xml:space="preserve">
</t>
        </r>
      </text>
    </comment>
    <comment ref="C38" authorId="1">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25</t>
        </r>
        <r>
          <rPr>
            <sz val="9"/>
            <color indexed="81"/>
            <rFont val="宋体"/>
            <family val="3"/>
            <charset val="134"/>
          </rPr>
          <t>行</t>
        </r>
        <r>
          <rPr>
            <sz val="9"/>
            <color indexed="81"/>
            <rFont val="Tahoma"/>
            <family val="2"/>
          </rPr>
          <t>-</t>
        </r>
        <r>
          <rPr>
            <sz val="9"/>
            <color indexed="81"/>
            <rFont val="宋体"/>
            <family val="3"/>
            <charset val="134"/>
          </rPr>
          <t>本表第</t>
        </r>
        <r>
          <rPr>
            <sz val="9"/>
            <color indexed="81"/>
            <rFont val="Tahoma"/>
            <family val="2"/>
          </rPr>
          <t>1+2+3+4+5…+29+30</t>
        </r>
        <r>
          <rPr>
            <sz val="9"/>
            <color indexed="81"/>
            <rFont val="宋体"/>
            <family val="3"/>
            <charset val="134"/>
          </rPr>
          <t>行）</t>
        </r>
        <r>
          <rPr>
            <sz val="9"/>
            <color indexed="81"/>
            <rFont val="Tahoma"/>
            <family val="2"/>
          </rPr>
          <t>×40%×</t>
        </r>
        <r>
          <rPr>
            <sz val="9"/>
            <color indexed="81"/>
            <rFont val="宋体"/>
            <family val="3"/>
            <charset val="134"/>
          </rPr>
          <t>减征幅度。</t>
        </r>
        <r>
          <rPr>
            <sz val="9"/>
            <color indexed="81"/>
            <rFont val="Tahoma"/>
            <family val="2"/>
          </rPr>
          <t xml:space="preserve">
</t>
        </r>
      </text>
    </comment>
    <comment ref="B39" authorId="1">
      <text>
        <r>
          <rPr>
            <sz val="9"/>
            <color indexed="81"/>
            <rFont val="宋体"/>
            <family val="3"/>
            <charset val="134"/>
          </rPr>
          <t>填报第</t>
        </r>
        <r>
          <rPr>
            <sz val="9"/>
            <color indexed="81"/>
            <rFont val="Tahoma"/>
            <family val="2"/>
          </rPr>
          <t>1+2+3+4+5+…+26+27-28+29+30+31</t>
        </r>
        <r>
          <rPr>
            <sz val="9"/>
            <color indexed="81"/>
            <rFont val="宋体"/>
            <family val="3"/>
            <charset val="134"/>
          </rPr>
          <t>行的金额。</t>
        </r>
        <r>
          <rPr>
            <sz val="9"/>
            <color indexed="81"/>
            <rFont val="Tahoma"/>
            <family val="2"/>
          </rPr>
          <t xml:space="preserve">
</t>
        </r>
      </text>
    </comment>
    <comment ref="C39" authorId="1">
      <text>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26</t>
        </r>
        <r>
          <rPr>
            <sz val="9"/>
            <color indexed="81"/>
            <rFont val="宋体"/>
            <family val="3"/>
            <charset val="134"/>
          </rPr>
          <t>行。</t>
        </r>
        <r>
          <rPr>
            <sz val="9"/>
            <color indexed="81"/>
            <rFont val="Tahoma"/>
            <family val="2"/>
          </rPr>
          <t xml:space="preserve">
</t>
        </r>
      </text>
    </comment>
  </commentList>
</comments>
</file>

<file path=xl/comments40.xml><?xml version="1.0" encoding="utf-8"?>
<comments xmlns="http://schemas.openxmlformats.org/spreadsheetml/2006/main">
  <authors>
    <author>Zhang, Dorothy</author>
  </authors>
  <commentList>
    <comment ref="A2" authorId="0">
      <text>
        <r>
          <rPr>
            <sz val="9"/>
            <color indexed="81"/>
            <rFont val="Tahoma"/>
            <family val="2"/>
            <charset val="134"/>
          </rPr>
          <t xml:space="preserve">高新技术企业资格的纳税人均需填报本表。纳税人根据税法、《科技部 财政部 国家税务总局关于修订印发〈高新技术企业认定管理办法〉的通知》（国科发火〔2016〕32号）、《科学技术部 财政部 国家税务总局关于修订印发〈高新技术企业认定管理工作指引〉的通知》（国科发火〔2016〕195号）、《国家税务总局关于实施高新技术企业所得税优惠政策有关问题的公告》（国家税务总局公告2017年第24号）等相关税收政策规定，填报本年发生的高新技术企业优惠情况。
</t>
        </r>
      </text>
    </comment>
    <comment ref="B4" authorId="0">
      <text>
        <r>
          <rPr>
            <sz val="9"/>
            <color indexed="81"/>
            <rFont val="Tahoma"/>
            <family val="2"/>
            <charset val="134"/>
          </rPr>
          <t>填报纳税人高新技术企业证书上的编号。</t>
        </r>
      </text>
    </comment>
    <comment ref="E4" authorId="0">
      <text>
        <r>
          <rPr>
            <sz val="9"/>
            <color indexed="81"/>
            <rFont val="Tahoma"/>
            <family val="2"/>
            <charset val="134"/>
          </rPr>
          <t xml:space="preserve">填报纳税人高新技术企业证书上的取得时间。
</t>
        </r>
      </text>
    </comment>
    <comment ref="B5" authorId="0">
      <text>
        <r>
          <rPr>
            <sz val="9"/>
            <color indexed="81"/>
            <rFont val="Tahoma"/>
            <family val="2"/>
            <charset val="134"/>
          </rPr>
          <t xml:space="preserve">填报对企业主要产品（服务）发挥核心支持作用的技术属于《国家重点支持的高新技术领域》规定的具体范围，填报至三级明细领域，如“一、电子信息技术（一）软件1.系统软件”。
</t>
        </r>
      </text>
    </comment>
    <comment ref="C9" authorId="0">
      <text>
        <r>
          <rPr>
            <sz val="9"/>
            <color indexed="81"/>
            <rFont val="Tahoma"/>
            <family val="2"/>
            <charset val="134"/>
          </rPr>
          <t xml:space="preserve">填报第5+6行的合计金额。
</t>
        </r>
      </text>
    </comment>
    <comment ref="C10" authorId="0">
      <text>
        <r>
          <rPr>
            <sz val="9"/>
            <color indexed="81"/>
            <rFont val="Tahoma"/>
            <family val="2"/>
            <charset val="134"/>
          </rPr>
          <t xml:space="preserve">填报纳税人本年发挥核心支持作用的技术属于《国家重点支持的高新技术领域》规定范围的产品（服务）收入。
</t>
        </r>
      </text>
    </comment>
    <comment ref="C11" authorId="0">
      <text>
        <r>
          <rPr>
            <sz val="9"/>
            <color indexed="81"/>
            <rFont val="Tahoma"/>
            <family val="2"/>
            <charset val="134"/>
          </rPr>
          <t xml:space="preserve">包括技术转让收入、技术服务收入和接受委托研究开发收入。
</t>
        </r>
      </text>
    </comment>
    <comment ref="C12" authorId="0">
      <text>
        <r>
          <rPr>
            <sz val="9"/>
            <color indexed="81"/>
            <rFont val="Tahoma"/>
            <family val="2"/>
            <charset val="134"/>
          </rPr>
          <t xml:space="preserve">填报第8-9行的余额。
</t>
        </r>
      </text>
    </comment>
    <comment ref="C13" authorId="0">
      <text>
        <r>
          <rPr>
            <sz val="9"/>
            <color indexed="81"/>
            <rFont val="Tahoma"/>
            <family val="2"/>
            <charset val="134"/>
          </rPr>
          <t xml:space="preserve">填报纳税人本年以货币形式和非货币形式从各种来源取得的收入，为收入总额。包括：销售货物收入，提供劳务收入，转让财产收入，股息、红利等权益性投资收益，利息收入，租金收入，特许权使用费收入，接受捐赠收入，其他收入。
</t>
        </r>
      </text>
    </comment>
    <comment ref="C14" authorId="0">
      <text>
        <r>
          <rPr>
            <sz val="9"/>
            <color indexed="81"/>
            <rFont val="Tahoma"/>
            <family val="2"/>
            <charset val="134"/>
          </rPr>
          <t xml:space="preserve">填报纳税人本年符合相关政策规定的不征税收入。
</t>
        </r>
      </text>
    </comment>
    <comment ref="C15" authorId="0">
      <text>
        <r>
          <rPr>
            <sz val="9"/>
            <color indexed="81"/>
            <rFont val="Tahoma"/>
            <family val="2"/>
            <charset val="134"/>
          </rPr>
          <t xml:space="preserve">填报第4÷7行计算后的比例。
</t>
        </r>
      </text>
    </comment>
    <comment ref="C16" authorId="0">
      <text>
        <r>
          <rPr>
            <sz val="9"/>
            <color indexed="81"/>
            <rFont val="Tahoma"/>
            <family val="2"/>
            <charset val="134"/>
          </rPr>
          <t xml:space="preserve">填报纳税人直接从事研发和相关技术创新活动，以及专门从事上述活动的管理和提供直接技术服务的，累计实际工作时间在183天以上的人员，包括在职、兼职和临时聘用人员。
</t>
        </r>
      </text>
    </comment>
    <comment ref="C17" authorId="0">
      <text>
        <r>
          <rPr>
            <sz val="9"/>
            <color indexed="81"/>
            <rFont val="Tahoma"/>
            <family val="2"/>
            <charset val="134"/>
          </rPr>
          <t xml:space="preserve">填报纳税人本年在职、兼职和临时聘用人员。在职人员可以通过企业是否签订了劳动合同或缴纳社会保险费来鉴别。兼职、临时聘用人员全年须在企业累计工作183天以上。
</t>
        </r>
      </text>
    </comment>
    <comment ref="C18" authorId="0">
      <text>
        <r>
          <rPr>
            <sz val="9"/>
            <color indexed="81"/>
            <rFont val="Tahoma"/>
            <family val="2"/>
          </rPr>
          <t>填报第11÷12行计算后的比例。</t>
        </r>
      </text>
    </comment>
    <comment ref="C19" authorId="0">
      <text>
        <r>
          <rPr>
            <sz val="9"/>
            <color indexed="81"/>
            <rFont val="Tahoma"/>
            <family val="2"/>
          </rPr>
          <t xml:space="preserve">本行设定了三个年度，与计算研发费比例相关的第15行至第29行需填报三年数据，实际经营不满三年的按实际经营时间填报。
</t>
        </r>
      </text>
    </comment>
    <comment ref="C21" authorId="0">
      <text>
        <r>
          <rPr>
            <sz val="9"/>
            <color indexed="81"/>
            <rFont val="Tahoma"/>
            <family val="2"/>
          </rPr>
          <t xml:space="preserve">填报第16+25行的合计金额。
</t>
        </r>
      </text>
    </comment>
    <comment ref="C22" authorId="0">
      <text>
        <r>
          <rPr>
            <sz val="9"/>
            <color indexed="81"/>
            <rFont val="Tahoma"/>
            <family val="2"/>
          </rPr>
          <t>填报第17+18+19+20+21+22+24行的合计金额。</t>
        </r>
      </text>
    </comment>
    <comment ref="C23" authorId="0">
      <text>
        <r>
          <rPr>
            <sz val="9"/>
            <color indexed="81"/>
            <rFont val="Tahoma"/>
            <family val="2"/>
          </rPr>
          <t xml:space="preserve">填报纳税人科技人员的工资薪金、基本养老保险费、基本医疗保险费、失业保险费、工伤保险费、生育保险费和住房公积金，以及外聘科技人员的劳务费用。
</t>
        </r>
      </text>
    </comment>
    <comment ref="C24" authorId="0">
      <text>
        <r>
          <rPr>
            <sz val="9"/>
            <color indexed="81"/>
            <rFont val="Tahoma"/>
            <family val="2"/>
          </rPr>
          <t>填报纳税人为实施研究开发活动而实际发生的相关支出。包括：直接消耗的材料、燃料和动力费用；用于中间试验和产品试制的模具、工艺装备开发及制造费，不构成固定资产的样品、样机及一般测试手段购置费，试制产品的检验费；用于研究开发活动的仪器、设备的运行维护、调整、检验、检测、维修等费用，以及通过经营租赁方式租入的用于研发活动的固定资产租赁费。</t>
        </r>
      </text>
    </comment>
    <comment ref="C25" authorId="0">
      <text>
        <r>
          <rPr>
            <sz val="9"/>
            <color indexed="81"/>
            <rFont val="Tahoma"/>
            <family val="2"/>
          </rPr>
          <t xml:space="preserve">填报纳税人用于研究开发活动的仪器、设备和在用建筑物的折旧费；研发设施的改建、改装、装修和修理过程中发生的长期待摊费用。
</t>
        </r>
      </text>
    </comment>
    <comment ref="C26" authorId="0">
      <text>
        <r>
          <rPr>
            <sz val="9"/>
            <color indexed="81"/>
            <rFont val="Tahoma"/>
            <family val="2"/>
          </rPr>
          <t xml:space="preserve">填报纳税人用于研究开发活动的软件、知识产权、非专利技术（专有技术、许可证、设计和计算方法等）的摊销费用。
</t>
        </r>
      </text>
    </comment>
    <comment ref="C27" authorId="0">
      <text>
        <r>
          <rPr>
            <sz val="9"/>
            <color indexed="81"/>
            <rFont val="Tahoma"/>
            <family val="2"/>
          </rPr>
          <t>填报纳税人为新产品和新工艺进行构思、开发和制造，进行工序、技术规范、规程制定、操作特性方面的设计等发生的费用，包括为获得创新性、创意性、突破性产品进行的创意设</t>
        </r>
        <r>
          <rPr>
            <b/>
            <sz val="9"/>
            <color indexed="81"/>
            <rFont val="Tahoma"/>
            <family val="2"/>
          </rPr>
          <t>计活动发生的相关费用。</t>
        </r>
        <r>
          <rPr>
            <sz val="9"/>
            <color indexed="81"/>
            <rFont val="Tahoma"/>
            <family val="2"/>
          </rPr>
          <t xml:space="preserve">
</t>
        </r>
      </text>
    </comment>
    <comment ref="C28" authorId="0">
      <text>
        <r>
          <rPr>
            <sz val="9"/>
            <color indexed="81"/>
            <rFont val="Tahoma"/>
            <family val="2"/>
          </rPr>
          <t xml:space="preserve">填报纳税人工装准备过程中研究开发活动所发生的费用，包括研制特殊、专用的生产机器，改变生产和质量控制程序，或制定新方法及标准等活动所发生的费用。
</t>
        </r>
      </text>
    </comment>
    <comment ref="C29" authorId="0">
      <text>
        <r>
          <rPr>
            <sz val="9"/>
            <color indexed="81"/>
            <rFont val="Tahoma"/>
            <family val="2"/>
          </rPr>
          <t xml:space="preserve">填报纳税人与研究开发活动直接相关的其他费用，包括技术图书资料费、资料翻译费、专家咨询费、高新科技研发保险费，研发成果的检索、论证、评审、鉴定、验收费用，知识产权的申请费、注册费、代理费，会议费、差旅费、通讯费等。
</t>
        </r>
      </text>
    </comment>
    <comment ref="C30" authorId="0">
      <text>
        <r>
          <rPr>
            <sz val="9"/>
            <color indexed="81"/>
            <rFont val="Tahoma"/>
            <family val="2"/>
          </rPr>
          <t xml:space="preserve">填报纳税人为研究开发活动所发生的其他费用中不超过研究开发总费用的20%的金额。该行取第17行至第22行之和×20%÷(1-20%)与第23行的孰小值。
</t>
        </r>
      </text>
    </comment>
    <comment ref="C31" authorId="0">
      <text>
        <r>
          <rPr>
            <sz val="9"/>
            <color indexed="81"/>
            <rFont val="Tahoma"/>
            <family val="2"/>
          </rPr>
          <t xml:space="preserve">填报纳税人委托境内外其他机构或个人进行研究开发活动所发生的费用（研究开发活动成果为委托方企业拥有，且与该企业的主要经营业务紧密相关）。委托外部研发费用的实际发生额应按照独立交易原则确定，按照实际发生额的80%计入委托方研发费用总额。本行填报（第26+28行）×80%的金额。
</t>
        </r>
      </text>
    </comment>
    <comment ref="C32" authorId="0">
      <text>
        <r>
          <rPr>
            <sz val="9"/>
            <color indexed="81"/>
            <rFont val="Tahoma"/>
            <family val="2"/>
          </rPr>
          <t xml:space="preserve">填报纳税人委托境内其他机构或个人进行的研究开发活动所支出的费用。本行填报实际发生境内的外部研发费用。
</t>
        </r>
      </text>
    </comment>
    <comment ref="C33" authorId="0">
      <text>
        <r>
          <rPr>
            <sz val="9"/>
            <color indexed="81"/>
            <rFont val="Tahoma"/>
            <family val="2"/>
          </rPr>
          <t xml:space="preserve">填报纳税人委托境外机构或个人完成的研究开发活动所发生的费用。受托研发的境外机构是指依照外国(地区)及港澳台法律成立的企业和其他取得收入的组织；受托研发的境外个人是指外籍及港澳台个人。本行填报实际发生境外的外部研发费用。
</t>
        </r>
      </text>
    </comment>
    <comment ref="C34" authorId="0">
      <text>
        <r>
          <rPr>
            <sz val="9"/>
            <color indexed="81"/>
            <rFont val="Tahoma"/>
            <family val="2"/>
          </rPr>
          <t xml:space="preserve">根据《高新技术企业认定管理办法》等规定，纳税人在中国境内发生的研发费用总额占全部研发费用总额的比例不低于60%，即境外发生的研发费用总额占全部研发费用总额的比例不超过40%。本行填报（第17+18+…+22+23+26行）×40%÷(1-40%)与第27行的孰小值。
</t>
        </r>
      </text>
    </comment>
    <comment ref="C35" authorId="0">
      <text>
        <r>
          <rPr>
            <sz val="9"/>
            <color indexed="81"/>
            <rFont val="Tahoma"/>
            <family val="2"/>
          </rPr>
          <t xml:space="preserve">填报纳税人主营业务收入与其他业务收入之和。
</t>
        </r>
      </text>
    </comment>
    <comment ref="C36" authorId="0">
      <text>
        <r>
          <rPr>
            <sz val="9"/>
            <color indexed="81"/>
            <rFont val="Tahoma"/>
            <family val="2"/>
          </rPr>
          <t xml:space="preserve">填报第15行4列÷第29行4列计算后的比例。
</t>
        </r>
      </text>
    </comment>
    <comment ref="C37" authorId="0">
      <text>
        <r>
          <rPr>
            <sz val="9"/>
            <color indexed="81"/>
            <rFont val="Tahoma"/>
            <family val="2"/>
          </rPr>
          <t xml:space="preserve">本行填报经济特区和上海浦东新区外的高新技术企业或虽在经济特区和上海浦东新区新设的高新技术企业但取得区外所得的减免税金额。
</t>
        </r>
      </text>
    </comment>
    <comment ref="I37" authorId="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2</t>
        </r>
        <r>
          <rPr>
            <sz val="9"/>
            <color indexed="81"/>
            <rFont val="宋体"/>
            <family val="3"/>
            <charset val="134"/>
          </rPr>
          <t>行。</t>
        </r>
        <r>
          <rPr>
            <sz val="9"/>
            <color indexed="81"/>
            <rFont val="Tahoma"/>
            <family val="2"/>
          </rPr>
          <t xml:space="preserve">
</t>
        </r>
      </text>
    </comment>
    <comment ref="C38" authorId="0">
      <text>
        <r>
          <rPr>
            <sz val="9"/>
            <color indexed="81"/>
            <rFont val="Tahoma"/>
            <family val="2"/>
          </rPr>
          <t xml:space="preserve">本行填报在经济特区和上海浦东新区新设的高新技术企业区内所得减免税金额。
</t>
        </r>
      </text>
    </comment>
    <comment ref="I38" authorId="0">
      <text>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3</t>
        </r>
        <r>
          <rPr>
            <sz val="9"/>
            <color indexed="81"/>
            <rFont val="宋体"/>
            <family val="3"/>
            <charset val="134"/>
          </rPr>
          <t>行。</t>
        </r>
        <r>
          <rPr>
            <sz val="9"/>
            <color indexed="81"/>
            <rFont val="Tahoma"/>
            <family val="2"/>
          </rPr>
          <t xml:space="preserve"> 
</t>
        </r>
      </text>
    </comment>
  </commentList>
</comments>
</file>

<file path=xl/comments41.xml><?xml version="1.0" encoding="utf-8"?>
<comments xmlns="http://schemas.openxmlformats.org/spreadsheetml/2006/main">
  <authors>
    <author>Zhang, Dorothy</author>
  </authors>
  <commentList>
    <comment ref="A2" authorId="0">
      <text>
        <r>
          <rPr>
            <sz val="9"/>
            <color indexed="81"/>
            <rFont val="Tahoma"/>
            <family val="2"/>
          </rPr>
          <t xml:space="preserve">本表适用于享受软件、集成电路企业优惠的纳税人填报。纳税人根据税法、《财政部 国家税务总局关于进一步鼓励软件产业和集成电路产业发展企业所得税政策的通知》（财税〔2012〕27号）、《财政部 国家税务总局 发展改革委 工业和信息化部关于软件和集成电路产业企业所得税优惠政策有关问题的通知》（财税〔2016〕49号）、《国家发展和改革委员会 工业和信息化部 财政部 国家税务总局关于印发国家规划布局内重点软件和集成电路设计领域的通知》（发改高技〔2016〕1056号）、《财政部 国家税务总局 发展改革委 工业和信息化部关于进一步鼓励集成电路产业发展企业所得税政策的通知》（财税〔2015〕6号）等相关规定，填报本年发生的软件、集成电路企业优惠有关情况。
</t>
        </r>
      </text>
    </comment>
    <comment ref="A3" authorId="0">
      <text>
        <r>
          <rPr>
            <sz val="9"/>
            <color indexed="81"/>
            <rFont val="Tahoma"/>
            <family val="2"/>
          </rPr>
          <t xml:space="preserve">纳税人根据企业类型选择享受的优惠政策和享受优惠有关基本信息。
</t>
        </r>
      </text>
    </comment>
    <comment ref="B4" authorId="0">
      <text>
        <r>
          <rPr>
            <sz val="9"/>
            <color indexed="81"/>
            <rFont val="Tahoma"/>
            <family val="2"/>
          </rPr>
          <t>“企业类型”中，若享受软件企业有关优惠政策的，须选择软件企业产品类型，“一般软件”和“嵌入式或信息系统集成软件”两个选项必选其一；若享受重点软件或重点集成电路设计企业优惠，须选择重点企业类型，“大型”“领域”和“出口”（其中，“出口”选项仅重点软件企业选择）必选其一。</t>
        </r>
      </text>
    </comment>
    <comment ref="E4" authorId="0">
      <text>
        <r>
          <rPr>
            <sz val="9"/>
            <color indexed="81"/>
            <rFont val="Tahoma"/>
            <family val="2"/>
          </rPr>
          <t>其中“减免方式”列中的11个选项为单项选择，选择不同的项目优惠金额将带入表A107040对应的行次。</t>
        </r>
      </text>
    </comment>
    <comment ref="D5" authorId="0">
      <text>
        <r>
          <rPr>
            <sz val="9"/>
            <color indexed="81"/>
            <rFont val="Tahoma"/>
            <family val="2"/>
          </rPr>
          <t>第1行“（一）线宽小于0.8微米（含）”：是指财税〔2012〕27号文件第一条规定的优惠政策，由线宽小于0.8微米（含）集成电路生产企业填报。</t>
        </r>
      </text>
    </comment>
    <comment ref="D6" authorId="0">
      <text>
        <r>
          <rPr>
            <sz val="9"/>
            <color indexed="81"/>
            <rFont val="Tahoma"/>
            <family val="2"/>
          </rPr>
          <t>第2行“（二）线宽小于0.25微米”：是指财税〔2012〕27号文件第二条规定的优惠，由线宽小于0.25微米的集成电路生产企业填报，根据享受的政策选择优惠方式，其中经营期在15年以上符合条件的企业，可选择“五免五减半”。</t>
        </r>
      </text>
    </comment>
    <comment ref="D7" authorId="0">
      <text>
        <r>
          <rPr>
            <sz val="9"/>
            <color indexed="81"/>
            <rFont val="Tahoma"/>
            <family val="2"/>
          </rPr>
          <t>第3行“（三）投资额超过80亿元”：是指财税〔2012〕27号文件第二条规定的优惠，由投资额超过80亿元的集成电路生产企业填报，根据享受的政策选择优惠方式，其中经营期在15年以上符合条件的企业，可以选择“五免五减半”。</t>
        </r>
      </text>
    </comment>
    <comment ref="D8" authorId="0">
      <text>
        <r>
          <rPr>
            <sz val="9"/>
            <color indexed="81"/>
            <rFont val="Tahoma"/>
            <family val="2"/>
          </rPr>
          <t>第4行“（一）新办符合条件”：是指集成电路设计企业享受财税〔2012〕27号文件第三条规定的优惠政策，由符合条件的集成电路设计企业填报。</t>
        </r>
      </text>
    </comment>
    <comment ref="D9" authorId="0">
      <text>
        <r>
          <rPr>
            <sz val="9"/>
            <color indexed="81"/>
            <rFont val="Tahoma"/>
            <family val="2"/>
          </rPr>
          <t xml:space="preserve">第5行“（二）重点企业 □大型 □领域”：是指财税〔2012〕27号文件第四条规定的优惠政策，由国家规划布局内的重点集成电路设计企业填报，同时，须选择重点集成电路企业的类型，符合财税〔2016〕49号第五条第一项条件的选择“大型”，符合财税〔2016〕49号第五条第二项条件的选择“领域”。
</t>
        </r>
      </text>
    </comment>
    <comment ref="B10" authorId="0">
      <text>
        <r>
          <rPr>
            <sz val="9"/>
            <color indexed="81"/>
            <rFont val="Tahoma"/>
            <family val="2"/>
          </rPr>
          <t>第6-7行“三、软件企业 □一般软件 □嵌入式或信息系统集成软件”：是指软件企业享受财税〔2012〕27号文件第三条规定的软件企业优惠政策以及第四条规定的国家规划布局内的重点软件企业优惠政策。若企业产品是嵌入式软件产品和信息系统集成产品开发，该选项应选择“嵌入式或信息系统集成软件”，否则选“一般软件”。</t>
        </r>
      </text>
    </comment>
    <comment ref="D10" authorId="0">
      <text>
        <r>
          <rPr>
            <sz val="9"/>
            <color indexed="81"/>
            <rFont val="Tahoma"/>
            <family val="2"/>
          </rPr>
          <t>第6行“（一）新办符合条件”：是指软件企业享受财税〔2012〕27号文件第三条规定的优惠政策，由符合条件的软件企业填报。</t>
        </r>
      </text>
    </comment>
    <comment ref="D11" authorId="0">
      <text>
        <r>
          <rPr>
            <sz val="9"/>
            <color indexed="81"/>
            <rFont val="Tahoma"/>
            <family val="2"/>
          </rPr>
          <t>第7行“（二）重点企业 □大型 □领域 □出口”：是指财税〔2012〕27号文件第四条规定的优惠政策，由国家规划布局内的重点软件企业填报，同时，须选择重点软件企业的类型，符合财税〔2016〕49号第六条第一项条件的选择“大型”，符合财税〔2016〕49号第六条第二项条件的选择“领域”，符合财税〔2016〕49号第六条第三项条件的选择“出口”。</t>
        </r>
      </text>
    </comment>
    <comment ref="B12" authorId="0">
      <text>
        <r>
          <rPr>
            <sz val="9"/>
            <color indexed="81"/>
            <rFont val="Tahoma"/>
            <family val="2"/>
          </rPr>
          <t>第8行“四、集成电路封装测试企业”：是指财税〔2015〕6号文件第一条规定的优惠政策，由符合条件的集成电路封装、测试企业填报。</t>
        </r>
      </text>
    </comment>
    <comment ref="B13" authorId="0">
      <text>
        <r>
          <rPr>
            <sz val="9"/>
            <color indexed="81"/>
            <rFont val="Tahoma"/>
            <family val="2"/>
          </rPr>
          <t>第9行“五、集成电路关键专用材料或专用设备生产企业 □关键专用材料 □专用设备”：是指财税〔2015〕6号文件第一条规定的优惠政策，由符合条件的集成电路关键专用材料生产企业、集成电路专用设备生产企业填报。享受该项政策，须根据企业类型选择，集成电路关键专用材料生产企业选择“□关键专用材料”，集成电路专用设备生产企业选择“□专用设备”。</t>
        </r>
      </text>
    </comment>
    <comment ref="B15" authorId="0">
      <text>
        <r>
          <rPr>
            <sz val="9"/>
            <color indexed="81"/>
            <rFont val="Tahoma"/>
            <family val="2"/>
          </rPr>
          <t>第10行“获利年度/开始计算优惠期年度”：由选择“二免三减半”“五免五减半”两类定期减免类型的企业填报，填报开始计算优惠期的年度。</t>
        </r>
      </text>
    </comment>
    <comment ref="A16" authorId="0">
      <text>
        <r>
          <rPr>
            <sz val="9"/>
            <color indexed="81"/>
            <rFont val="Tahoma"/>
            <family val="2"/>
          </rPr>
          <t>填报企业享受政策的有关指标。
第11行至第22行：享受本表任意优惠政策的企业均需填报。</t>
        </r>
      </text>
    </comment>
    <comment ref="C17" authorId="0">
      <text>
        <r>
          <rPr>
            <sz val="9"/>
            <color indexed="81"/>
            <rFont val="Tahoma"/>
            <family val="2"/>
          </rPr>
          <t xml:space="preserve">填报企业本年月平均职工总人数。本年月平均职工总人数计算方法：
月平均人数＝（月初数+月末数）÷2
全年月平均职工总人数＝全年各月平均数之和÷12
</t>
        </r>
      </text>
    </comment>
    <comment ref="C18" authorId="0">
      <text>
        <r>
          <rPr>
            <sz val="9"/>
            <color indexed="81"/>
            <rFont val="Tahoma"/>
            <family val="2"/>
          </rPr>
          <t>填报纳税人本年签订劳动合同关系且具有大学专科以上学历的职工人数。</t>
        </r>
      </text>
    </comment>
    <comment ref="C19" authorId="0">
      <text>
        <r>
          <rPr>
            <sz val="9"/>
            <color indexed="81"/>
            <rFont val="Tahoma"/>
            <family val="2"/>
          </rPr>
          <t>填报纳税人本年研究开发人员人数。</t>
        </r>
      </text>
    </comment>
    <comment ref="C20" authorId="0">
      <text>
        <r>
          <rPr>
            <sz val="9"/>
            <color indexed="81"/>
            <rFont val="Tahoma"/>
            <family val="2"/>
          </rPr>
          <t>填报第12÷11行计算后的比例。</t>
        </r>
      </text>
    </comment>
    <comment ref="C21" authorId="0">
      <text>
        <r>
          <rPr>
            <sz val="9"/>
            <color indexed="81"/>
            <rFont val="Tahoma"/>
            <family val="2"/>
          </rPr>
          <t>填报第13÷11行计算后的比例。</t>
        </r>
      </text>
    </comment>
    <comment ref="C22" authorId="0">
      <text>
        <r>
          <rPr>
            <sz val="9"/>
            <color indexed="81"/>
            <rFont val="Tahoma"/>
            <family val="2"/>
          </rPr>
          <t>填报企业按照《财政部 国家税务总局 科技部关于完善研发费用税前加计扣除政策的通知》（财税〔2015〕119号）口径归集的研发费用总额。</t>
        </r>
      </text>
    </comment>
    <comment ref="C23" authorId="0">
      <text>
        <r>
          <rPr>
            <sz val="9"/>
            <color indexed="81"/>
            <rFont val="Tahoma"/>
            <family val="2"/>
          </rPr>
          <t>填报纳税人本年在中国境内发生的研发费用金额。</t>
        </r>
      </text>
    </comment>
    <comment ref="C24" authorId="0">
      <text>
        <r>
          <rPr>
            <sz val="9"/>
            <color indexed="81"/>
            <rFont val="Tahoma"/>
            <family val="2"/>
          </rPr>
          <t>填报研发费用占销售（营业）收入的比例，即本表第16行÷表A101010第1行。</t>
        </r>
      </text>
    </comment>
    <comment ref="C25" authorId="0">
      <text>
        <r>
          <rPr>
            <sz val="9"/>
            <color indexed="81"/>
            <rFont val="Tahoma"/>
            <family val="2"/>
          </rPr>
          <t>填报第17÷16行计算后的比例。</t>
        </r>
      </text>
    </comment>
    <comment ref="C26" authorId="0">
      <text>
        <r>
          <rPr>
            <sz val="9"/>
            <color indexed="81"/>
            <rFont val="Tahoma"/>
            <family val="2"/>
          </rPr>
          <t>填报纳税人本年以货币形式和非货币形式从各种来源取得的收入，为税法第六条规定的收入总额。包括：销售货物收入，提供劳务收入，转让财产收入，股息、红利等权益性投资收益，利息收入，租金收入，特许权使用费收入，接受捐赠收入，其他收入。</t>
        </r>
      </text>
    </comment>
    <comment ref="C27" authorId="0">
      <text>
        <r>
          <rPr>
            <sz val="9"/>
            <color indexed="81"/>
            <rFont val="Tahoma"/>
            <family val="2"/>
          </rPr>
          <t>根据企业类型分析填报，享受不同政策本行所填数据含义不同：
（1）集成电路生产企业：本行填报本年度集成电路制造销售（营业）收入；
（2）集成电路设计企业：本行填报本年度集成电路设计销售（营业）收入；
（3）软件企业：选择“一般软件”的，本行填报本年软件产品开发销售（营业）收入；选择“嵌入式或信息系统集成软件”的，本行填报嵌入式软件产品和信息系统集成产品开发销售（营业）收入；
（4）集成电路封装、测试企业：本行填报本年集成电路封装、测试销售（营业）收入；
（5）集成电路关键专用材料生产企业：本行填报本年集成电路关键专用材料销售（营业）收入；
（6）集成电路专用设备生产企业：行填报本年集成电路专用设备销售（营业）收入。</t>
        </r>
      </text>
    </comment>
    <comment ref="C28" authorId="0">
      <text>
        <r>
          <rPr>
            <sz val="9"/>
            <color indexed="81"/>
            <rFont val="Tahoma"/>
            <family val="2"/>
          </rPr>
          <t>填报第21÷20行计算后的比例。</t>
        </r>
      </text>
    </comment>
    <comment ref="C29" authorId="0">
      <text>
        <r>
          <rPr>
            <sz val="9"/>
            <color indexed="81"/>
            <rFont val="Tahoma"/>
            <family val="2"/>
          </rPr>
          <t>第23行至第24行：由软件、集成电路设计企业填报，包括国家规划布局内的重点软件企业和重点集成电路设计企业（即单选本表第4行至第7行中减免类型的企业）填报。</t>
        </r>
      </text>
    </comment>
    <comment ref="D29" authorId="0">
      <text>
        <r>
          <rPr>
            <sz val="9"/>
            <color indexed="81"/>
            <rFont val="Tahoma"/>
            <family val="2"/>
          </rPr>
          <t>集成电路设计企业，本行填报本年度集成电路自主设计销售（营业）收入。
软件企业，选“一般软件”的填报本年软件产品自主开发销售（营业）收入，选“嵌入式或信息系统集成软件”的填报本年自主开发嵌入式软件产品和信息系统集成产品开发销售（营业）收入。</t>
        </r>
      </text>
    </comment>
    <comment ref="D30" authorId="0">
      <text>
        <r>
          <rPr>
            <sz val="9"/>
            <color indexed="81"/>
            <rFont val="Tahoma"/>
            <family val="2"/>
          </rPr>
          <t>填报第23÷20行计算后的比例。</t>
        </r>
      </text>
    </comment>
    <comment ref="C31" authorId="0">
      <text>
        <r>
          <rPr>
            <sz val="9"/>
            <color indexed="81"/>
            <rFont val="Tahoma"/>
            <family val="2"/>
          </rPr>
          <t>第25行至第27行：由国家规划布局内的重点软件企业、重点集成电路企业中，适用符合领域条件的企业（即单选本表第5行、第7行减免类型，且重点企业选择“领域”的企业）填报。</t>
        </r>
      </text>
    </comment>
    <comment ref="D31" authorId="0">
      <text>
        <r>
          <rPr>
            <sz val="9"/>
            <color indexed="81"/>
            <rFont val="Tahoma"/>
            <family val="2"/>
          </rPr>
          <t>根据《国家发展和改革委员会 工业和信息化部 财政部 国家税务总局关于印发国家规划布局内重点软件和集成电路设计领域的通知》（发改高技〔2016〕1056号）文件，选择适用的领域。</t>
        </r>
      </text>
    </comment>
    <comment ref="D32" authorId="0">
      <text>
        <r>
          <rPr>
            <sz val="9"/>
            <color indexed="81"/>
            <rFont val="Tahoma"/>
            <family val="2"/>
          </rPr>
          <t>填报符合第25行选定“领域”内的销售（营业）收入。如选择领域为“（一）基础软件：操作系统、数据库、中间件”，则该行填报该业务的销售（营业）收入。</t>
        </r>
      </text>
    </comment>
    <comment ref="D33" authorId="0">
      <text>
        <r>
          <rPr>
            <sz val="9"/>
            <color indexed="81"/>
            <rFont val="Tahoma"/>
            <family val="2"/>
          </rPr>
          <t>填报第26÷21行计算后的比例。</t>
        </r>
      </text>
    </comment>
    <comment ref="C34" authorId="0">
      <text>
        <r>
          <rPr>
            <sz val="9"/>
            <color indexed="81"/>
            <rFont val="Tahoma"/>
            <family val="2"/>
          </rPr>
          <t>第28行至第30行：由国家规划布局内的重点软件企业中，适用符合出口条件的企业（即单选本表第7行减免类型，且重点企业选择“出口”的企业）填报。</t>
        </r>
      </text>
    </comment>
    <comment ref="D34" authorId="0">
      <text>
        <r>
          <rPr>
            <sz val="9"/>
            <color indexed="81"/>
            <rFont val="Tahoma"/>
            <family val="2"/>
          </rPr>
          <t>填报企业年度软件出口收入总额，以美元计算。</t>
        </r>
      </text>
    </comment>
    <comment ref="D35" authorId="0">
      <text>
        <r>
          <rPr>
            <sz val="9"/>
            <color indexed="81"/>
            <rFont val="Tahoma"/>
            <family val="2"/>
          </rPr>
          <t>填报企业年度软件出口收入总额，换算成人民币以后的金额。</t>
        </r>
      </text>
    </comment>
    <comment ref="D36" authorId="0">
      <text>
        <r>
          <rPr>
            <sz val="9"/>
            <color indexed="81"/>
            <rFont val="Tahoma"/>
            <family val="2"/>
          </rPr>
          <t>填报第29÷20行计算后的比例。</t>
        </r>
      </text>
    </comment>
    <comment ref="C37" authorId="0">
      <text>
        <r>
          <rPr>
            <sz val="9"/>
            <color indexed="81"/>
            <rFont val="Tahoma"/>
            <family val="2"/>
          </rPr>
          <t>第31行：由集成电路关键专用材料或专用设备生产企业（即单选本表第9行减免类型）填报。</t>
        </r>
      </text>
    </comment>
    <comment ref="D37" authorId="0">
      <text>
        <r>
          <rPr>
            <sz val="9"/>
            <color indexed="81"/>
            <rFont val="Tahoma"/>
            <family val="2"/>
          </rPr>
          <t>由集成电路关键专用材料或专用设备生产企业，即单选本表第9行减免类型的企业填报。目录见《财政部 国家税务总局 发展改革委 工业和信息化部关于进一步鼓励集成电路产业发展企业所得税政策的通知》（财税〔2015〕6号）文件。</t>
        </r>
      </text>
    </comment>
    <comment ref="B38" authorId="0">
      <text>
        <r>
          <rPr>
            <sz val="9"/>
            <color indexed="81"/>
            <rFont val="Tahoma"/>
            <family val="2"/>
          </rPr>
          <t>填报本年享受集成电路、软件企业优惠的金额。</t>
        </r>
      </text>
    </comment>
    <comment ref="E38" authorId="0">
      <text>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6</t>
        </r>
        <r>
          <rPr>
            <sz val="9"/>
            <color indexed="81"/>
            <rFont val="宋体"/>
            <family val="3"/>
            <charset val="134"/>
          </rPr>
          <t>行至第</t>
        </r>
        <r>
          <rPr>
            <sz val="9"/>
            <color indexed="81"/>
            <rFont val="Tahoma"/>
            <family val="2"/>
          </rPr>
          <t>16</t>
        </r>
        <r>
          <rPr>
            <sz val="9"/>
            <color indexed="81"/>
            <rFont val="宋体"/>
            <family val="3"/>
            <charset val="134"/>
          </rPr>
          <t>行，根据以下规则判断填报：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1</t>
        </r>
        <r>
          <rPr>
            <sz val="9"/>
            <color indexed="81"/>
            <rFont val="宋体"/>
            <family val="3"/>
            <charset val="134"/>
          </rPr>
          <t>行，第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6</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2</t>
        </r>
        <r>
          <rPr>
            <sz val="9"/>
            <color indexed="81"/>
            <rFont val="宋体"/>
            <family val="3"/>
            <charset val="134"/>
          </rPr>
          <t>行</t>
        </r>
        <r>
          <rPr>
            <sz val="9"/>
            <color indexed="81"/>
            <rFont val="Tahoma"/>
            <family val="2"/>
          </rPr>
          <t>“</t>
        </r>
        <r>
          <rPr>
            <sz val="9"/>
            <color indexed="81"/>
            <rFont val="宋体"/>
            <family val="3"/>
            <charset val="134"/>
          </rPr>
          <t>五免五减半</t>
        </r>
        <r>
          <rPr>
            <sz val="9"/>
            <color indexed="81"/>
            <rFont val="Tahoma"/>
            <family val="2"/>
          </rPr>
          <t>”</t>
        </r>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9</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2</t>
        </r>
        <r>
          <rPr>
            <sz val="9"/>
            <color indexed="81"/>
            <rFont val="宋体"/>
            <family val="3"/>
            <charset val="134"/>
          </rPr>
          <t>行</t>
        </r>
        <r>
          <rPr>
            <sz val="9"/>
            <color indexed="81"/>
            <rFont val="Tahoma"/>
            <family val="2"/>
          </rPr>
          <t>“15%</t>
        </r>
        <r>
          <rPr>
            <sz val="9"/>
            <color indexed="81"/>
            <rFont val="宋体"/>
            <family val="3"/>
            <charset val="134"/>
          </rPr>
          <t>税率</t>
        </r>
        <r>
          <rPr>
            <sz val="9"/>
            <color indexed="81"/>
            <rFont val="Tahoma"/>
            <family val="2"/>
          </rPr>
          <t>”</t>
        </r>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7</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3</t>
        </r>
        <r>
          <rPr>
            <sz val="9"/>
            <color indexed="81"/>
            <rFont val="宋体"/>
            <family val="3"/>
            <charset val="134"/>
          </rPr>
          <t>行</t>
        </r>
        <r>
          <rPr>
            <sz val="9"/>
            <color indexed="81"/>
            <rFont val="Tahoma"/>
            <family val="2"/>
          </rPr>
          <t>“</t>
        </r>
        <r>
          <rPr>
            <sz val="9"/>
            <color indexed="81"/>
            <rFont val="宋体"/>
            <family val="3"/>
            <charset val="134"/>
          </rPr>
          <t>五免五减半</t>
        </r>
        <r>
          <rPr>
            <sz val="9"/>
            <color indexed="81"/>
            <rFont val="Tahoma"/>
            <family val="2"/>
          </rPr>
          <t>”</t>
        </r>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10</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3</t>
        </r>
        <r>
          <rPr>
            <sz val="9"/>
            <color indexed="81"/>
            <rFont val="宋体"/>
            <family val="3"/>
            <charset val="134"/>
          </rPr>
          <t>行</t>
        </r>
        <r>
          <rPr>
            <sz val="9"/>
            <color indexed="81"/>
            <rFont val="Tahoma"/>
            <family val="2"/>
          </rPr>
          <t>“15%</t>
        </r>
        <r>
          <rPr>
            <sz val="9"/>
            <color indexed="81"/>
            <rFont val="宋体"/>
            <family val="3"/>
            <charset val="134"/>
          </rPr>
          <t>税率</t>
        </r>
        <r>
          <rPr>
            <sz val="9"/>
            <color indexed="81"/>
            <rFont val="Tahoma"/>
            <family val="2"/>
          </rPr>
          <t>”</t>
        </r>
        <r>
          <rPr>
            <sz val="9"/>
            <color indexed="81"/>
            <rFont val="宋体"/>
            <family val="3"/>
            <charset val="134"/>
          </rPr>
          <t>，第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8</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4</t>
        </r>
        <r>
          <rPr>
            <sz val="9"/>
            <color indexed="81"/>
            <rFont val="宋体"/>
            <family val="3"/>
            <charset val="134"/>
          </rPr>
          <t>行，第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11</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5</t>
        </r>
        <r>
          <rPr>
            <sz val="9"/>
            <color indexed="81"/>
            <rFont val="宋体"/>
            <family val="3"/>
            <charset val="134"/>
          </rPr>
          <t>行，第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12</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6</t>
        </r>
        <r>
          <rPr>
            <sz val="9"/>
            <color indexed="81"/>
            <rFont val="宋体"/>
            <family val="3"/>
            <charset val="134"/>
          </rPr>
          <t>行，第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13</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7</t>
        </r>
        <r>
          <rPr>
            <sz val="9"/>
            <color indexed="81"/>
            <rFont val="宋体"/>
            <family val="3"/>
            <charset val="134"/>
          </rPr>
          <t>行，第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14</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8</t>
        </r>
        <r>
          <rPr>
            <sz val="9"/>
            <color indexed="81"/>
            <rFont val="宋体"/>
            <family val="3"/>
            <charset val="134"/>
          </rPr>
          <t>行，第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15</t>
        </r>
        <r>
          <rPr>
            <sz val="9"/>
            <color indexed="81"/>
            <rFont val="宋体"/>
            <family val="3"/>
            <charset val="134"/>
          </rPr>
          <t>行；
若</t>
        </r>
        <r>
          <rPr>
            <sz val="9"/>
            <color indexed="81"/>
            <rFont val="Tahoma"/>
            <family val="2"/>
          </rPr>
          <t>“</t>
        </r>
        <r>
          <rPr>
            <sz val="9"/>
            <color indexed="81"/>
            <rFont val="宋体"/>
            <family val="3"/>
            <charset val="134"/>
          </rPr>
          <t>减免方式</t>
        </r>
        <r>
          <rPr>
            <sz val="9"/>
            <color indexed="81"/>
            <rFont val="Tahoma"/>
            <family val="2"/>
          </rPr>
          <t>”</t>
        </r>
        <r>
          <rPr>
            <sz val="9"/>
            <color indexed="81"/>
            <rFont val="宋体"/>
            <family val="3"/>
            <charset val="134"/>
          </rPr>
          <t>单选第</t>
        </r>
        <r>
          <rPr>
            <sz val="9"/>
            <color indexed="81"/>
            <rFont val="Tahoma"/>
            <family val="2"/>
          </rPr>
          <t>9</t>
        </r>
        <r>
          <rPr>
            <sz val="9"/>
            <color indexed="81"/>
            <rFont val="宋体"/>
            <family val="3"/>
            <charset val="134"/>
          </rPr>
          <t>行，第</t>
        </r>
        <r>
          <rPr>
            <sz val="9"/>
            <color indexed="81"/>
            <rFont val="Tahoma"/>
            <family val="2"/>
          </rPr>
          <t>32</t>
        </r>
        <r>
          <rPr>
            <sz val="9"/>
            <color indexed="81"/>
            <rFont val="宋体"/>
            <family val="3"/>
            <charset val="134"/>
          </rPr>
          <t>行＝表</t>
        </r>
        <r>
          <rPr>
            <sz val="9"/>
            <color indexed="81"/>
            <rFont val="Tahoma"/>
            <family val="2"/>
          </rPr>
          <t>A107040</t>
        </r>
        <r>
          <rPr>
            <sz val="9"/>
            <color indexed="81"/>
            <rFont val="宋体"/>
            <family val="3"/>
            <charset val="134"/>
          </rPr>
          <t>第</t>
        </r>
        <r>
          <rPr>
            <sz val="9"/>
            <color indexed="81"/>
            <rFont val="Tahoma"/>
            <family val="2"/>
          </rPr>
          <t>16</t>
        </r>
        <r>
          <rPr>
            <sz val="9"/>
            <color indexed="81"/>
            <rFont val="宋体"/>
            <family val="3"/>
            <charset val="134"/>
          </rPr>
          <t>行。</t>
        </r>
        <r>
          <rPr>
            <b/>
            <sz val="9"/>
            <color indexed="81"/>
            <rFont val="Tahoma"/>
            <family val="2"/>
          </rPr>
          <t xml:space="preserve"> 
</t>
        </r>
      </text>
    </comment>
  </commentList>
</comments>
</file>

<file path=xl/comments42.xml><?xml version="1.0" encoding="utf-8"?>
<comments xmlns="http://schemas.openxmlformats.org/spreadsheetml/2006/main">
  <authors>
    <author>Cindy Wang</author>
    <author>Zhang, Dorothy</author>
  </authors>
  <commentList>
    <comment ref="A2" authorId="0">
      <text>
        <r>
          <rPr>
            <sz val="9"/>
            <color indexed="81"/>
            <rFont val="宋体"/>
            <family val="3"/>
            <charset val="134"/>
          </rPr>
          <t>本表适用于享受专用设备投资额抵免优惠（含结转）的纳税人填报。纳税人根据税法、《财政部　国家税务总局关于执行环境保护专用设备企业所得税优惠目录、节能节水专用设备企业所得税优惠目录和安全生产专用设备企业所得税优惠目录有关问题的通知》（财税〔2008〕48号）、《财政部　国家税务总局　国家发展改革委关于公布节能节水专用设备企业所得税优惠目录（2008年版）和环境保护专用设备企业所得税优惠目录（2008年版）的通知》（财税〔2008〕115号）、《财政部　国家税务总局　安全监管总局关于公布〈安全生产专用设备企业所得税优惠目录（2008年版）〉的通知》（财税〔2008〕118号）、《财政部　国家税务总局关于执行企业所得税优惠政策若干问题的通知》（财税〔2009〕69号）、《国家税务总局关于环境保护、节能节水、安全生产等专用设备投资抵免企业所得税有关问题的通知》（国税函〔2010〕256号）、《财政部 税务总局 国家发展改革委 工业和信息化部 环境保护部关于印发节能节水和环境保护专用设备企业所得税优惠目录（2017年版）的通知》（财税〔2017〕71号）等相关税收政策规定，填报本年发生的专用设备投资额抵免优惠（含结转）情况。</t>
        </r>
      </text>
    </comment>
    <comment ref="C3" authorId="0">
      <text>
        <r>
          <rPr>
            <sz val="9"/>
            <color indexed="81"/>
            <rFont val="宋体"/>
            <family val="3"/>
            <charset val="134"/>
          </rPr>
          <t>填报公历年份。第6行为本年，第5行至第1行依次填报。</t>
        </r>
      </text>
    </comment>
    <comment ref="D3" authorId="1">
      <text>
        <r>
          <rPr>
            <sz val="9"/>
            <color indexed="81"/>
            <rFont val="Tahoma"/>
            <family val="2"/>
          </rPr>
          <t>填报纳税人《中华人民共和国企业所得税年度纳税申报表（A类）》（表A100000）第25行“应纳所得税额”减第26行“减免所得税额”后的额。2012和2013年度的“当年抵免前应纳税额”：填报《企业所得税年度纳税申报表（A类）》（2008年版）第27行“应纳所得税额”减第28行“减免所得税额”后的余额。2014、2015和2016年度的“当年抵免前应纳税额”：填报纳税人《中华人民共和国企业所得税年度纳税申报表（A类）》（2014年版）第25行“应纳所得税额”减第26行“减免所得税额”后的余额。</t>
        </r>
      </text>
    </comment>
    <comment ref="E3" authorId="1">
      <text>
        <r>
          <rPr>
            <sz val="9"/>
            <color indexed="81"/>
            <rFont val="Tahoma"/>
            <family val="2"/>
          </rPr>
          <t>填报纳税人本年购置并实际使用《环境保护专用设备企业所得税优惠目录》《节能节水专用设备企业所得税优惠目录》和《安全生产专用设备企业所得税优惠目录》规定的环境保护、节能节水、安全生产等专用设备的发票价税合计金额，但不包括允许抵扣的增值税进项税额、按有关规定退还的增值税税款以及设备运输、安装和调试等费用。</t>
        </r>
      </text>
    </comment>
    <comment ref="F3" authorId="1">
      <text>
        <r>
          <rPr>
            <sz val="9"/>
            <color indexed="81"/>
            <rFont val="Tahoma"/>
            <family val="2"/>
          </rPr>
          <t>填报第3列×10%的金额。</t>
        </r>
      </text>
    </comment>
    <comment ref="G3" authorId="0">
      <text>
        <r>
          <rPr>
            <sz val="9"/>
            <color indexed="81"/>
            <rFont val="宋体"/>
            <family val="3"/>
            <charset val="134"/>
          </rPr>
          <t>填报纳税人以前年度已抵免税额，其中前五年度、前四年度、前三年度、前二年度、前一年度与“项目”列中的前五年度、前四年度、前三年度、前二年度、前一年度相对应。</t>
        </r>
      </text>
    </comment>
    <comment ref="M3" authorId="1">
      <text>
        <r>
          <rPr>
            <sz val="9"/>
            <color indexed="81"/>
            <rFont val="宋体"/>
            <family val="3"/>
            <charset val="134"/>
          </rPr>
          <t>第</t>
        </r>
        <r>
          <rPr>
            <sz val="9"/>
            <color indexed="81"/>
            <rFont val="Tahoma"/>
            <family val="2"/>
          </rPr>
          <t>1</t>
        </r>
        <r>
          <rPr>
            <sz val="9"/>
            <color indexed="81"/>
            <rFont val="宋体"/>
            <family val="3"/>
            <charset val="134"/>
          </rPr>
          <t>行至第</t>
        </r>
        <r>
          <rPr>
            <sz val="9"/>
            <color indexed="81"/>
            <rFont val="Tahoma"/>
            <family val="2"/>
          </rPr>
          <t>6</t>
        </r>
        <r>
          <rPr>
            <sz val="9"/>
            <color indexed="81"/>
            <rFont val="宋体"/>
            <family val="3"/>
            <charset val="134"/>
          </rPr>
          <t>行填报纳税人用于依次抵免前</t>
        </r>
        <r>
          <rPr>
            <sz val="9"/>
            <color indexed="81"/>
            <rFont val="Tahoma"/>
            <family val="2"/>
          </rPr>
          <t>5</t>
        </r>
        <r>
          <rPr>
            <sz val="9"/>
            <color indexed="81"/>
            <rFont val="宋体"/>
            <family val="3"/>
            <charset val="134"/>
          </rPr>
          <t>个年度及本年尚未抵免的税额，第</t>
        </r>
        <r>
          <rPr>
            <sz val="9"/>
            <color indexed="81"/>
            <rFont val="Tahoma"/>
            <family val="2"/>
          </rPr>
          <t>11</t>
        </r>
        <r>
          <rPr>
            <sz val="9"/>
            <color indexed="81"/>
            <rFont val="宋体"/>
            <family val="3"/>
            <charset val="134"/>
          </rPr>
          <t>列小于等于第</t>
        </r>
        <r>
          <rPr>
            <sz val="9"/>
            <color indexed="81"/>
            <rFont val="Tahoma"/>
            <family val="2"/>
          </rPr>
          <t>4-10</t>
        </r>
        <r>
          <rPr>
            <sz val="9"/>
            <color indexed="81"/>
            <rFont val="宋体"/>
            <family val="3"/>
            <charset val="134"/>
          </rPr>
          <t>列，且第</t>
        </r>
        <r>
          <rPr>
            <sz val="9"/>
            <color indexed="81"/>
            <rFont val="Tahoma"/>
            <family val="2"/>
          </rPr>
          <t>11</t>
        </r>
        <r>
          <rPr>
            <sz val="9"/>
            <color indexed="81"/>
            <rFont val="宋体"/>
            <family val="3"/>
            <charset val="134"/>
          </rPr>
          <t>列第</t>
        </r>
        <r>
          <rPr>
            <sz val="9"/>
            <color indexed="81"/>
            <rFont val="Tahoma"/>
            <family val="2"/>
          </rPr>
          <t>1</t>
        </r>
        <r>
          <rPr>
            <sz val="9"/>
            <color indexed="81"/>
            <rFont val="宋体"/>
            <family val="3"/>
            <charset val="134"/>
          </rPr>
          <t>行至第</t>
        </r>
        <r>
          <rPr>
            <sz val="9"/>
            <color indexed="81"/>
            <rFont val="Tahoma"/>
            <family val="2"/>
          </rPr>
          <t>6</t>
        </r>
        <r>
          <rPr>
            <sz val="9"/>
            <color indexed="81"/>
            <rFont val="宋体"/>
            <family val="3"/>
            <charset val="134"/>
          </rPr>
          <t>行合计金额不得大于第</t>
        </r>
        <r>
          <rPr>
            <sz val="9"/>
            <color indexed="81"/>
            <rFont val="Tahoma"/>
            <family val="2"/>
          </rPr>
          <t>6</t>
        </r>
        <r>
          <rPr>
            <sz val="9"/>
            <color indexed="81"/>
            <rFont val="宋体"/>
            <family val="3"/>
            <charset val="134"/>
          </rPr>
          <t>行第</t>
        </r>
        <r>
          <rPr>
            <sz val="9"/>
            <color indexed="81"/>
            <rFont val="Tahoma"/>
            <family val="2"/>
          </rPr>
          <t>2</t>
        </r>
        <r>
          <rPr>
            <sz val="9"/>
            <color indexed="81"/>
            <rFont val="宋体"/>
            <family val="3"/>
            <charset val="134"/>
          </rPr>
          <t>列的金额。</t>
        </r>
      </text>
    </comment>
    <comment ref="N3" authorId="1">
      <text>
        <r>
          <rPr>
            <sz val="9"/>
            <color indexed="81"/>
            <rFont val="Tahoma"/>
            <family val="2"/>
          </rPr>
          <t>填报第4-10-11列的余额。</t>
        </r>
      </text>
    </comment>
    <comment ref="L5" authorId="0">
      <text>
        <r>
          <rPr>
            <sz val="9"/>
            <color indexed="81"/>
            <rFont val="宋体"/>
            <family val="3"/>
            <charset val="134"/>
          </rPr>
          <t>填报第5+6+7+8+9列的金额。</t>
        </r>
      </text>
    </comment>
    <comment ref="D14" authorId="1">
      <text>
        <r>
          <rPr>
            <sz val="9"/>
            <color indexed="81"/>
            <rFont val="宋体"/>
            <family val="3"/>
            <charset val="134"/>
          </rPr>
          <t>第</t>
        </r>
        <r>
          <rPr>
            <sz val="9"/>
            <color indexed="81"/>
            <rFont val="Tahoma"/>
            <family val="2"/>
          </rPr>
          <t>2</t>
        </r>
        <r>
          <rPr>
            <sz val="9"/>
            <color indexed="81"/>
            <rFont val="宋体"/>
            <family val="3"/>
            <charset val="134"/>
          </rPr>
          <t>列＝表</t>
        </r>
        <r>
          <rPr>
            <sz val="9"/>
            <color indexed="81"/>
            <rFont val="Tahoma"/>
            <family val="2"/>
          </rPr>
          <t>A100000</t>
        </r>
        <r>
          <rPr>
            <sz val="9"/>
            <color indexed="81"/>
            <rFont val="宋体"/>
            <family val="3"/>
            <charset val="134"/>
          </rPr>
          <t>第</t>
        </r>
        <r>
          <rPr>
            <sz val="9"/>
            <color indexed="81"/>
            <rFont val="Tahoma"/>
            <family val="2"/>
          </rPr>
          <t>25</t>
        </r>
        <r>
          <rPr>
            <sz val="9"/>
            <color indexed="81"/>
            <rFont val="宋体"/>
            <family val="3"/>
            <charset val="134"/>
          </rPr>
          <t>行</t>
        </r>
        <r>
          <rPr>
            <sz val="9"/>
            <color indexed="81"/>
            <rFont val="Tahoma"/>
            <family val="2"/>
          </rPr>
          <t>-</t>
        </r>
        <r>
          <rPr>
            <sz val="9"/>
            <color indexed="81"/>
            <rFont val="宋体"/>
            <family val="3"/>
            <charset val="134"/>
          </rPr>
          <t>表</t>
        </r>
        <r>
          <rPr>
            <sz val="9"/>
            <color indexed="81"/>
            <rFont val="Tahoma"/>
            <family val="2"/>
          </rPr>
          <t>A100000</t>
        </r>
        <r>
          <rPr>
            <sz val="9"/>
            <color indexed="81"/>
            <rFont val="宋体"/>
            <family val="3"/>
            <charset val="134"/>
          </rPr>
          <t>第</t>
        </r>
        <r>
          <rPr>
            <sz val="9"/>
            <color indexed="81"/>
            <rFont val="Tahoma"/>
            <family val="2"/>
          </rPr>
          <t>26</t>
        </r>
        <r>
          <rPr>
            <sz val="9"/>
            <color indexed="81"/>
            <rFont val="宋体"/>
            <family val="3"/>
            <charset val="134"/>
          </rPr>
          <t xml:space="preserve">行。
</t>
        </r>
        <r>
          <rPr>
            <sz val="9"/>
            <color indexed="81"/>
            <rFont val="Tahoma"/>
            <family val="2"/>
          </rPr>
          <t>2012</t>
        </r>
        <r>
          <rPr>
            <sz val="9"/>
            <color indexed="81"/>
            <rFont val="宋体"/>
            <family val="3"/>
            <charset val="134"/>
          </rPr>
          <t>和</t>
        </r>
        <r>
          <rPr>
            <sz val="9"/>
            <color indexed="81"/>
            <rFont val="Tahoma"/>
            <family val="2"/>
          </rPr>
          <t>2013</t>
        </r>
        <r>
          <rPr>
            <sz val="9"/>
            <color indexed="81"/>
            <rFont val="宋体"/>
            <family val="3"/>
            <charset val="134"/>
          </rPr>
          <t>年度：第</t>
        </r>
        <r>
          <rPr>
            <sz val="9"/>
            <color indexed="81"/>
            <rFont val="Tahoma"/>
            <family val="2"/>
          </rPr>
          <t>2</t>
        </r>
        <r>
          <rPr>
            <sz val="9"/>
            <color indexed="81"/>
            <rFont val="宋体"/>
            <family val="3"/>
            <charset val="134"/>
          </rPr>
          <t>列＝《中华人民共和国企业所得税年度纳税申报表（</t>
        </r>
        <r>
          <rPr>
            <sz val="9"/>
            <color indexed="81"/>
            <rFont val="Tahoma"/>
            <family val="2"/>
          </rPr>
          <t>A</t>
        </r>
        <r>
          <rPr>
            <sz val="9"/>
            <color indexed="81"/>
            <rFont val="宋体"/>
            <family val="3"/>
            <charset val="134"/>
          </rPr>
          <t>类）》（</t>
        </r>
        <r>
          <rPr>
            <sz val="9"/>
            <color indexed="81"/>
            <rFont val="Tahoma"/>
            <family val="2"/>
          </rPr>
          <t>2008</t>
        </r>
        <r>
          <rPr>
            <sz val="9"/>
            <color indexed="81"/>
            <rFont val="宋体"/>
            <family val="3"/>
            <charset val="134"/>
          </rPr>
          <t>年版）第</t>
        </r>
        <r>
          <rPr>
            <sz val="9"/>
            <color indexed="81"/>
            <rFont val="Tahoma"/>
            <family val="2"/>
          </rPr>
          <t>27-28</t>
        </r>
        <r>
          <rPr>
            <sz val="9"/>
            <color indexed="81"/>
            <rFont val="宋体"/>
            <family val="3"/>
            <charset val="134"/>
          </rPr>
          <t xml:space="preserve">行。
</t>
        </r>
        <r>
          <rPr>
            <sz val="9"/>
            <color indexed="81"/>
            <rFont val="Tahoma"/>
            <family val="2"/>
          </rPr>
          <t>2014</t>
        </r>
        <r>
          <rPr>
            <sz val="9"/>
            <color indexed="81"/>
            <rFont val="宋体"/>
            <family val="3"/>
            <charset val="134"/>
          </rPr>
          <t>、</t>
        </r>
        <r>
          <rPr>
            <sz val="9"/>
            <color indexed="81"/>
            <rFont val="Tahoma"/>
            <family val="2"/>
          </rPr>
          <t>2015</t>
        </r>
        <r>
          <rPr>
            <sz val="9"/>
            <color indexed="81"/>
            <rFont val="宋体"/>
            <family val="3"/>
            <charset val="134"/>
          </rPr>
          <t>和</t>
        </r>
        <r>
          <rPr>
            <sz val="9"/>
            <color indexed="81"/>
            <rFont val="Tahoma"/>
            <family val="2"/>
          </rPr>
          <t>2016</t>
        </r>
        <r>
          <rPr>
            <sz val="9"/>
            <color indexed="81"/>
            <rFont val="宋体"/>
            <family val="3"/>
            <charset val="134"/>
          </rPr>
          <t>年度：第</t>
        </r>
        <r>
          <rPr>
            <sz val="9"/>
            <color indexed="81"/>
            <rFont val="Tahoma"/>
            <family val="2"/>
          </rPr>
          <t>2</t>
        </r>
        <r>
          <rPr>
            <sz val="9"/>
            <color indexed="81"/>
            <rFont val="宋体"/>
            <family val="3"/>
            <charset val="134"/>
          </rPr>
          <t>列＝《中华人民共和国企业所得税年度纳税申报表（</t>
        </r>
        <r>
          <rPr>
            <sz val="9"/>
            <color indexed="81"/>
            <rFont val="Tahoma"/>
            <family val="2"/>
          </rPr>
          <t>A</t>
        </r>
        <r>
          <rPr>
            <sz val="9"/>
            <color indexed="81"/>
            <rFont val="宋体"/>
            <family val="3"/>
            <charset val="134"/>
          </rPr>
          <t>类）》（</t>
        </r>
        <r>
          <rPr>
            <sz val="9"/>
            <color indexed="81"/>
            <rFont val="Tahoma"/>
            <family val="2"/>
          </rPr>
          <t>2014</t>
        </r>
        <r>
          <rPr>
            <sz val="9"/>
            <color indexed="81"/>
            <rFont val="宋体"/>
            <family val="3"/>
            <charset val="134"/>
          </rPr>
          <t>年版）第</t>
        </r>
        <r>
          <rPr>
            <sz val="9"/>
            <color indexed="81"/>
            <rFont val="Tahoma"/>
            <family val="2"/>
          </rPr>
          <t>25-26</t>
        </r>
        <r>
          <rPr>
            <sz val="9"/>
            <color indexed="81"/>
            <rFont val="宋体"/>
            <family val="3"/>
            <charset val="134"/>
          </rPr>
          <t xml:space="preserve">行。
</t>
        </r>
        <r>
          <rPr>
            <sz val="9"/>
            <color indexed="81"/>
            <rFont val="Tahoma"/>
            <family val="2"/>
          </rPr>
          <t xml:space="preserve">
</t>
        </r>
      </text>
    </comment>
    <comment ref="M15" authorId="0">
      <text>
        <r>
          <rPr>
            <sz val="9"/>
            <color indexed="81"/>
            <rFont val="宋体"/>
            <family val="3"/>
            <charset val="134"/>
          </rPr>
          <t>填报第11列第1+2+…+6行的金额。
第</t>
        </r>
        <r>
          <rPr>
            <sz val="9"/>
            <color indexed="81"/>
            <rFont val="宋体"/>
            <family val="3"/>
            <charset val="134"/>
          </rPr>
          <t>7</t>
        </r>
        <r>
          <rPr>
            <sz val="9"/>
            <color indexed="81"/>
            <rFont val="宋体"/>
            <family val="3"/>
            <charset val="134"/>
          </rPr>
          <t>行第</t>
        </r>
        <r>
          <rPr>
            <sz val="9"/>
            <color indexed="81"/>
            <rFont val="宋体"/>
            <family val="3"/>
            <charset val="134"/>
          </rPr>
          <t>11</t>
        </r>
        <r>
          <rPr>
            <sz val="9"/>
            <color indexed="81"/>
            <rFont val="宋体"/>
            <family val="3"/>
            <charset val="134"/>
          </rPr>
          <t>列≤表</t>
        </r>
        <r>
          <rPr>
            <sz val="9"/>
            <color indexed="81"/>
            <rFont val="宋体"/>
            <family val="3"/>
            <charset val="134"/>
          </rPr>
          <t>A100000</t>
        </r>
        <r>
          <rPr>
            <sz val="9"/>
            <color indexed="81"/>
            <rFont val="宋体"/>
            <family val="3"/>
            <charset val="134"/>
          </rPr>
          <t>第</t>
        </r>
        <r>
          <rPr>
            <sz val="9"/>
            <color indexed="81"/>
            <rFont val="宋体"/>
            <family val="3"/>
            <charset val="134"/>
          </rPr>
          <t>25-26</t>
        </r>
        <r>
          <rPr>
            <sz val="9"/>
            <color indexed="81"/>
            <rFont val="宋体"/>
            <family val="3"/>
            <charset val="134"/>
          </rPr>
          <t xml:space="preserve">行。
</t>
        </r>
        <r>
          <rPr>
            <sz val="9"/>
            <color indexed="81"/>
            <rFont val="宋体"/>
            <family val="3"/>
            <charset val="134"/>
          </rPr>
          <t>第</t>
        </r>
        <r>
          <rPr>
            <sz val="9"/>
            <color indexed="81"/>
            <rFont val="宋体"/>
            <family val="3"/>
            <charset val="134"/>
          </rPr>
          <t>7</t>
        </r>
        <r>
          <rPr>
            <sz val="9"/>
            <color indexed="81"/>
            <rFont val="宋体"/>
            <family val="3"/>
            <charset val="134"/>
          </rPr>
          <t>行第</t>
        </r>
        <r>
          <rPr>
            <sz val="9"/>
            <color indexed="81"/>
            <rFont val="宋体"/>
            <family val="3"/>
            <charset val="134"/>
          </rPr>
          <t>11</t>
        </r>
        <r>
          <rPr>
            <sz val="9"/>
            <color indexed="81"/>
            <rFont val="宋体"/>
            <family val="3"/>
            <charset val="134"/>
          </rPr>
          <t>列＝表</t>
        </r>
        <r>
          <rPr>
            <sz val="9"/>
            <color indexed="81"/>
            <rFont val="宋体"/>
            <family val="3"/>
            <charset val="134"/>
          </rPr>
          <t>A100000</t>
        </r>
        <r>
          <rPr>
            <sz val="9"/>
            <color indexed="81"/>
            <rFont val="宋体"/>
            <family val="3"/>
            <charset val="134"/>
          </rPr>
          <t>第</t>
        </r>
        <r>
          <rPr>
            <sz val="9"/>
            <color indexed="81"/>
            <rFont val="宋体"/>
            <family val="3"/>
            <charset val="134"/>
          </rPr>
          <t>27</t>
        </r>
        <r>
          <rPr>
            <sz val="9"/>
            <color indexed="81"/>
            <rFont val="宋体"/>
            <family val="3"/>
            <charset val="134"/>
          </rPr>
          <t xml:space="preserve">行。
</t>
        </r>
      </text>
    </comment>
    <comment ref="N16" authorId="1">
      <text>
        <r>
          <rPr>
            <sz val="9"/>
            <color indexed="81"/>
            <rFont val="宋体"/>
            <family val="3"/>
            <charset val="134"/>
          </rPr>
          <t>填报第</t>
        </r>
        <r>
          <rPr>
            <sz val="9"/>
            <color indexed="81"/>
            <rFont val="Tahoma"/>
            <family val="2"/>
          </rPr>
          <t>12</t>
        </r>
        <r>
          <rPr>
            <sz val="9"/>
            <color indexed="81"/>
            <rFont val="宋体"/>
            <family val="3"/>
            <charset val="134"/>
          </rPr>
          <t>列第</t>
        </r>
        <r>
          <rPr>
            <sz val="9"/>
            <color indexed="81"/>
            <rFont val="Tahoma"/>
            <family val="2"/>
          </rPr>
          <t>2+3+…+6</t>
        </r>
        <r>
          <rPr>
            <sz val="9"/>
            <color indexed="81"/>
            <rFont val="宋体"/>
            <family val="3"/>
            <charset val="134"/>
          </rPr>
          <t>行的合计金额。</t>
        </r>
      </text>
    </comment>
    <comment ref="C17" authorId="1">
      <text>
        <r>
          <rPr>
            <sz val="9"/>
            <color indexed="81"/>
            <rFont val="Tahoma"/>
            <family val="2"/>
          </rPr>
          <t>填报纳税人本年购置并实际使用《环境保护专用设备企业所得税优惠目录》规定的环境保护专用设备的发票价税合计价格，但不包括允许抵扣的增值税进项税额、按有关规定退还的增值税税款以及设备运输、安装和调试等费用。</t>
        </r>
      </text>
    </comment>
    <comment ref="C18" authorId="1">
      <text>
        <r>
          <rPr>
            <sz val="9"/>
            <color indexed="81"/>
            <rFont val="Tahoma"/>
            <family val="2"/>
          </rPr>
          <t>填报纳税人本年购置并实际使用《节能节水专用设备企业所得税优惠目录》规定的节能节水等专用设备的发票价税合计价格，但不包括允许抵扣的增值税进项税额、按有关规定退还的增值税税款以及设备运输、安装和调试等费用。</t>
        </r>
      </text>
    </comment>
    <comment ref="C19" authorId="1">
      <text>
        <r>
          <rPr>
            <sz val="9"/>
            <color indexed="81"/>
            <rFont val="Tahoma"/>
            <family val="2"/>
          </rPr>
          <t>填报纳税人本年购置并实际使用《安全生产专用设备企业所得税优惠目录》规定的安全生产等专用设备的发票价税合计价格，但不包括允许抵扣的增值税进项税额、按有关规定退还的增值税税款以及设备运输、安装和调试等费用。</t>
        </r>
      </text>
    </comment>
  </commentList>
</comments>
</file>

<file path=xl/comments43.xml><?xml version="1.0" encoding="utf-8"?>
<comments xmlns="http://schemas.openxmlformats.org/spreadsheetml/2006/main">
  <authors>
    <author>Cindy Wang</author>
    <author>Zhang, Dorothy</author>
  </authors>
  <commentList>
    <comment ref="A2" authorId="0">
      <text>
        <r>
          <rPr>
            <sz val="9"/>
            <color indexed="81"/>
            <rFont val="宋体"/>
            <family val="3"/>
            <charset val="134"/>
          </rPr>
          <t>本表适用于取得境外所得的纳税人填报。纳税人应根据税法、《财政部 国家税务总局关于企业境外所得税收抵免有关问题的通知》（财税〔2009〕125号）和《国家税务总局关于发布〈企业境外所得税收抵免操作指南〉的公告》（国家税务总局公告2010年第1号）、《财政部 国家税务总局关于我国石油企业从事油（气）资源开采所得税收抵免有关问题的通知》（财税〔2011〕23号）、《财政部 税务总局关于完善企业境外所得税收抵免政策问题的通知》（财税〔2017〕84号）规定，填报本年来源于或发生于不同国家、地区的所得按照税收规定计算应缴纳和应抵免的企业所得税。</t>
        </r>
      </text>
    </comment>
    <comment ref="A3" authorId="1">
      <text>
        <r>
          <rPr>
            <sz val="9"/>
            <color indexed="81"/>
            <rFont val="Tahoma"/>
            <family val="2"/>
          </rPr>
          <t>纳税人若选择“分国（地区）不分项”的境外所得抵免方式，应根据表A108010、表A108020、表A108030分国（地区）别逐行填报本表；纳税人若选择“不分国（地区）不分项”的境外所得抵免方式，应按照税收规定计算可抵免境外所得税税额和抵免限额，并根据表A108010、表A108020、表A108030的合计金额填报本表第1行。</t>
        </r>
      </text>
    </comment>
    <comment ref="B3" authorId="1">
      <text>
        <r>
          <rPr>
            <sz val="9"/>
            <color indexed="81"/>
            <rFont val="Tahoma"/>
            <family val="2"/>
          </rPr>
          <t>纳税人若选择“分国（地区）不分项”的境外所得抵免方式，填报纳税人境外所得来源的国家（地区）名称，来源于同一国家（地区）的境外所得合并到一行填报；纳税人若选择“不分国（地区）不分项”的境外所得抵免方式，填报“不分国（地区）不分项”。</t>
        </r>
      </text>
    </comment>
    <comment ref="C3" authorId="1">
      <text>
        <r>
          <rPr>
            <sz val="9"/>
            <color indexed="81"/>
            <rFont val="宋体"/>
            <family val="3"/>
            <charset val="134"/>
          </rPr>
          <t>填报《境外所得纳税调整后所得明细表》（</t>
        </r>
        <r>
          <rPr>
            <sz val="9"/>
            <color indexed="81"/>
            <rFont val="Tahoma"/>
            <family val="2"/>
          </rPr>
          <t>A108010</t>
        </r>
        <r>
          <rPr>
            <sz val="9"/>
            <color indexed="81"/>
            <rFont val="宋体"/>
            <family val="3"/>
            <charset val="134"/>
          </rPr>
          <t>）第</t>
        </r>
        <r>
          <rPr>
            <sz val="9"/>
            <color indexed="81"/>
            <rFont val="Tahoma"/>
            <family val="2"/>
          </rPr>
          <t>14</t>
        </r>
        <r>
          <rPr>
            <sz val="9"/>
            <color indexed="81"/>
            <rFont val="宋体"/>
            <family val="3"/>
            <charset val="134"/>
          </rPr>
          <t>列的金额。
若选择“分国（地区）不分项”的境外所得抵免方式，第</t>
        </r>
        <r>
          <rPr>
            <sz val="9"/>
            <color indexed="81"/>
            <rFont val="Tahoma"/>
            <family val="2"/>
          </rPr>
          <t>2</t>
        </r>
        <r>
          <rPr>
            <sz val="9"/>
            <color indexed="81"/>
            <rFont val="宋体"/>
            <family val="3"/>
            <charset val="134"/>
          </rPr>
          <t>列各行＝表</t>
        </r>
        <r>
          <rPr>
            <sz val="9"/>
            <color indexed="81"/>
            <rFont val="Tahoma"/>
            <family val="2"/>
          </rPr>
          <t>A108010</t>
        </r>
        <r>
          <rPr>
            <sz val="9"/>
            <color indexed="81"/>
            <rFont val="宋体"/>
            <family val="3"/>
            <charset val="134"/>
          </rPr>
          <t>第</t>
        </r>
        <r>
          <rPr>
            <sz val="9"/>
            <color indexed="81"/>
            <rFont val="Tahoma"/>
            <family val="2"/>
          </rPr>
          <t>14</t>
        </r>
        <r>
          <rPr>
            <sz val="9"/>
            <color indexed="81"/>
            <rFont val="宋体"/>
            <family val="3"/>
            <charset val="134"/>
          </rPr>
          <t>列相应行次；
若选择“不分国（地区）不分项”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t>
        </r>
        <r>
          <rPr>
            <sz val="9"/>
            <color indexed="81"/>
            <rFont val="宋体"/>
            <family val="3"/>
            <charset val="134"/>
          </rPr>
          <t>行第</t>
        </r>
        <r>
          <rPr>
            <sz val="9"/>
            <color indexed="81"/>
            <rFont val="Tahoma"/>
            <family val="2"/>
          </rPr>
          <t>2</t>
        </r>
        <r>
          <rPr>
            <sz val="9"/>
            <color indexed="81"/>
            <rFont val="宋体"/>
            <family val="3"/>
            <charset val="134"/>
          </rPr>
          <t>列＝表</t>
        </r>
        <r>
          <rPr>
            <sz val="9"/>
            <color indexed="81"/>
            <rFont val="Tahoma"/>
            <family val="2"/>
          </rPr>
          <t>A108010</t>
        </r>
        <r>
          <rPr>
            <sz val="9"/>
            <color indexed="81"/>
            <rFont val="宋体"/>
            <family val="3"/>
            <charset val="134"/>
          </rPr>
          <t>第</t>
        </r>
        <r>
          <rPr>
            <sz val="9"/>
            <color indexed="81"/>
            <rFont val="Tahoma"/>
            <family val="2"/>
          </rPr>
          <t>14</t>
        </r>
        <r>
          <rPr>
            <sz val="9"/>
            <color indexed="81"/>
            <rFont val="宋体"/>
            <family val="3"/>
            <charset val="134"/>
          </rPr>
          <t>列合计。</t>
        </r>
      </text>
    </comment>
    <comment ref="D3" authorId="1">
      <text>
        <r>
          <rPr>
            <sz val="9"/>
            <color indexed="81"/>
            <rFont val="宋体"/>
            <family val="3"/>
            <charset val="134"/>
          </rPr>
          <t>填报《境外所得纳税调整后所得明细表》（</t>
        </r>
        <r>
          <rPr>
            <sz val="9"/>
            <color indexed="81"/>
            <rFont val="Tahoma"/>
            <family val="2"/>
          </rPr>
          <t>A108010</t>
        </r>
        <r>
          <rPr>
            <sz val="9"/>
            <color indexed="81"/>
            <rFont val="宋体"/>
            <family val="3"/>
            <charset val="134"/>
          </rPr>
          <t>）第</t>
        </r>
        <r>
          <rPr>
            <sz val="9"/>
            <color indexed="81"/>
            <rFont val="Tahoma"/>
            <family val="2"/>
          </rPr>
          <t>18</t>
        </r>
        <r>
          <rPr>
            <sz val="9"/>
            <color indexed="81"/>
            <rFont val="宋体"/>
            <family val="3"/>
            <charset val="134"/>
          </rPr>
          <t>列的金额。
若选择“分国（地区）不分项”的境外所得抵免方式，第</t>
        </r>
        <r>
          <rPr>
            <sz val="9"/>
            <color indexed="81"/>
            <rFont val="Tahoma"/>
            <family val="2"/>
          </rPr>
          <t>3</t>
        </r>
        <r>
          <rPr>
            <sz val="9"/>
            <color indexed="81"/>
            <rFont val="宋体"/>
            <family val="3"/>
            <charset val="134"/>
          </rPr>
          <t>列各行＝表</t>
        </r>
        <r>
          <rPr>
            <sz val="9"/>
            <color indexed="81"/>
            <rFont val="Tahoma"/>
            <family val="2"/>
          </rPr>
          <t>A108010</t>
        </r>
        <r>
          <rPr>
            <sz val="9"/>
            <color indexed="81"/>
            <rFont val="宋体"/>
            <family val="3"/>
            <charset val="134"/>
          </rPr>
          <t>第</t>
        </r>
        <r>
          <rPr>
            <sz val="9"/>
            <color indexed="81"/>
            <rFont val="Tahoma"/>
            <family val="2"/>
          </rPr>
          <t>18</t>
        </r>
        <r>
          <rPr>
            <sz val="9"/>
            <color indexed="81"/>
            <rFont val="宋体"/>
            <family val="3"/>
            <charset val="134"/>
          </rPr>
          <t>列相应行次；
若选择“不分国（地区）不分项”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t>
        </r>
        <r>
          <rPr>
            <sz val="9"/>
            <color indexed="81"/>
            <rFont val="宋体"/>
            <family val="3"/>
            <charset val="134"/>
          </rPr>
          <t>行第</t>
        </r>
        <r>
          <rPr>
            <sz val="9"/>
            <color indexed="81"/>
            <rFont val="Tahoma"/>
            <family val="2"/>
          </rPr>
          <t>3</t>
        </r>
        <r>
          <rPr>
            <sz val="9"/>
            <color indexed="81"/>
            <rFont val="宋体"/>
            <family val="3"/>
            <charset val="134"/>
          </rPr>
          <t>列＝表</t>
        </r>
        <r>
          <rPr>
            <sz val="9"/>
            <color indexed="81"/>
            <rFont val="Tahoma"/>
            <family val="2"/>
          </rPr>
          <t>A108010</t>
        </r>
        <r>
          <rPr>
            <sz val="9"/>
            <color indexed="81"/>
            <rFont val="宋体"/>
            <family val="3"/>
            <charset val="134"/>
          </rPr>
          <t>第</t>
        </r>
        <r>
          <rPr>
            <sz val="9"/>
            <color indexed="81"/>
            <rFont val="Tahoma"/>
            <family val="2"/>
          </rPr>
          <t>18</t>
        </r>
        <r>
          <rPr>
            <sz val="9"/>
            <color indexed="81"/>
            <rFont val="宋体"/>
            <family val="3"/>
            <charset val="134"/>
          </rPr>
          <t>列合计。</t>
        </r>
      </text>
    </comment>
    <comment ref="E3" authorId="1">
      <text>
        <r>
          <rPr>
            <sz val="9"/>
            <color indexed="81"/>
            <rFont val="宋体"/>
            <family val="3"/>
            <charset val="134"/>
          </rPr>
          <t>填报《境外分支机构弥补亏损明细表》（</t>
        </r>
        <r>
          <rPr>
            <sz val="9"/>
            <color indexed="81"/>
            <rFont val="Tahoma"/>
            <family val="2"/>
          </rPr>
          <t>A108020</t>
        </r>
        <r>
          <rPr>
            <sz val="9"/>
            <color indexed="81"/>
            <rFont val="宋体"/>
            <family val="3"/>
            <charset val="134"/>
          </rPr>
          <t>）第</t>
        </r>
        <r>
          <rPr>
            <sz val="9"/>
            <color indexed="81"/>
            <rFont val="Tahoma"/>
            <family val="2"/>
          </rPr>
          <t>4</t>
        </r>
        <r>
          <rPr>
            <sz val="9"/>
            <color indexed="81"/>
            <rFont val="宋体"/>
            <family val="3"/>
            <charset val="134"/>
          </rPr>
          <t>列和第</t>
        </r>
        <r>
          <rPr>
            <sz val="9"/>
            <color indexed="81"/>
            <rFont val="Tahoma"/>
            <family val="2"/>
          </rPr>
          <t>13</t>
        </r>
        <r>
          <rPr>
            <sz val="9"/>
            <color indexed="81"/>
            <rFont val="宋体"/>
            <family val="3"/>
            <charset val="134"/>
          </rPr>
          <t>列的合计金额。
若选择“分国（地区）不分项”的境外所得抵免方式，第</t>
        </r>
        <r>
          <rPr>
            <sz val="9"/>
            <color indexed="81"/>
            <rFont val="Tahoma"/>
            <family val="2"/>
          </rPr>
          <t>4</t>
        </r>
        <r>
          <rPr>
            <sz val="9"/>
            <color indexed="81"/>
            <rFont val="宋体"/>
            <family val="3"/>
            <charset val="134"/>
          </rPr>
          <t>列各行＝表</t>
        </r>
        <r>
          <rPr>
            <sz val="9"/>
            <color indexed="81"/>
            <rFont val="Tahoma"/>
            <family val="2"/>
          </rPr>
          <t>A108020</t>
        </r>
        <r>
          <rPr>
            <sz val="9"/>
            <color indexed="81"/>
            <rFont val="宋体"/>
            <family val="3"/>
            <charset val="134"/>
          </rPr>
          <t>第</t>
        </r>
        <r>
          <rPr>
            <sz val="9"/>
            <color indexed="81"/>
            <rFont val="Tahoma"/>
            <family val="2"/>
          </rPr>
          <t>4</t>
        </r>
        <r>
          <rPr>
            <sz val="9"/>
            <color indexed="81"/>
            <rFont val="宋体"/>
            <family val="3"/>
            <charset val="134"/>
          </rPr>
          <t>列相应行次</t>
        </r>
        <r>
          <rPr>
            <sz val="9"/>
            <color indexed="81"/>
            <rFont val="Tahoma"/>
            <family val="2"/>
          </rPr>
          <t>+</t>
        </r>
        <r>
          <rPr>
            <sz val="9"/>
            <color indexed="81"/>
            <rFont val="宋体"/>
            <family val="3"/>
            <charset val="134"/>
          </rPr>
          <t>第</t>
        </r>
        <r>
          <rPr>
            <sz val="9"/>
            <color indexed="81"/>
            <rFont val="Tahoma"/>
            <family val="2"/>
          </rPr>
          <t>13</t>
        </r>
        <r>
          <rPr>
            <sz val="9"/>
            <color indexed="81"/>
            <rFont val="宋体"/>
            <family val="3"/>
            <charset val="134"/>
          </rPr>
          <t>列相应行次；
若选择“不分国（地区）不分项”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t>
        </r>
        <r>
          <rPr>
            <sz val="9"/>
            <color indexed="81"/>
            <rFont val="宋体"/>
            <family val="3"/>
            <charset val="134"/>
          </rPr>
          <t>行第</t>
        </r>
        <r>
          <rPr>
            <sz val="9"/>
            <color indexed="81"/>
            <rFont val="Tahoma"/>
            <family val="2"/>
          </rPr>
          <t>4</t>
        </r>
        <r>
          <rPr>
            <sz val="9"/>
            <color indexed="81"/>
            <rFont val="宋体"/>
            <family val="3"/>
            <charset val="134"/>
          </rPr>
          <t>列＝表</t>
        </r>
        <r>
          <rPr>
            <sz val="9"/>
            <color indexed="81"/>
            <rFont val="Tahoma"/>
            <family val="2"/>
          </rPr>
          <t>A108020</t>
        </r>
        <r>
          <rPr>
            <sz val="9"/>
            <color indexed="81"/>
            <rFont val="宋体"/>
            <family val="3"/>
            <charset val="134"/>
          </rPr>
          <t>第</t>
        </r>
        <r>
          <rPr>
            <sz val="9"/>
            <color indexed="81"/>
            <rFont val="Tahoma"/>
            <family val="2"/>
          </rPr>
          <t>4</t>
        </r>
        <r>
          <rPr>
            <sz val="9"/>
            <color indexed="81"/>
            <rFont val="宋体"/>
            <family val="3"/>
            <charset val="134"/>
          </rPr>
          <t>列合计</t>
        </r>
        <r>
          <rPr>
            <sz val="9"/>
            <color indexed="81"/>
            <rFont val="Tahoma"/>
            <family val="2"/>
          </rPr>
          <t>+</t>
        </r>
        <r>
          <rPr>
            <sz val="9"/>
            <color indexed="81"/>
            <rFont val="宋体"/>
            <family val="3"/>
            <charset val="134"/>
          </rPr>
          <t>第</t>
        </r>
        <r>
          <rPr>
            <sz val="9"/>
            <color indexed="81"/>
            <rFont val="Tahoma"/>
            <family val="2"/>
          </rPr>
          <t>13</t>
        </r>
        <r>
          <rPr>
            <sz val="9"/>
            <color indexed="81"/>
            <rFont val="宋体"/>
            <family val="3"/>
            <charset val="134"/>
          </rPr>
          <t>列合计。</t>
        </r>
      </text>
    </comment>
    <comment ref="F3" authorId="1">
      <text>
        <r>
          <rPr>
            <sz val="9"/>
            <color indexed="81"/>
            <rFont val="Tahoma"/>
            <family val="2"/>
          </rPr>
          <t>填报第3-4列的余额。当第3-4列＜0时，本列填报0。</t>
        </r>
      </text>
    </comment>
    <comment ref="G3" authorId="1">
      <text>
        <r>
          <rPr>
            <sz val="9"/>
            <color indexed="81"/>
            <rFont val="宋体"/>
            <family val="3"/>
            <charset val="134"/>
          </rPr>
          <t>当纳税人选择用境外所得弥补境内亏损时，填报纳税人境外所得按照税收规定抵减境内的亏损额（包括弥补的当年度境内亏损额和以前年度境内亏损额）；当纳税人选择不用境外所得弥补境内亏损时，填报</t>
        </r>
        <r>
          <rPr>
            <sz val="9"/>
            <color indexed="81"/>
            <rFont val="Tahoma"/>
            <family val="2"/>
          </rPr>
          <t>0</t>
        </r>
        <r>
          <rPr>
            <sz val="9"/>
            <color indexed="81"/>
            <rFont val="宋体"/>
            <family val="3"/>
            <charset val="134"/>
          </rPr>
          <t>。
若选择“分国（地区）不分项”的境外所得抵免方式，第</t>
        </r>
        <r>
          <rPr>
            <sz val="9"/>
            <color indexed="81"/>
            <rFont val="Tahoma"/>
            <family val="2"/>
          </rPr>
          <t>6</t>
        </r>
        <r>
          <rPr>
            <sz val="9"/>
            <color indexed="81"/>
            <rFont val="宋体"/>
            <family val="3"/>
            <charset val="134"/>
          </rPr>
          <t>列合计≤第</t>
        </r>
        <r>
          <rPr>
            <sz val="9"/>
            <color indexed="81"/>
            <rFont val="Tahoma"/>
            <family val="2"/>
          </rPr>
          <t>5</t>
        </r>
        <r>
          <rPr>
            <sz val="9"/>
            <color indexed="81"/>
            <rFont val="宋体"/>
            <family val="3"/>
            <charset val="134"/>
          </rPr>
          <t>列合计、表</t>
        </r>
        <r>
          <rPr>
            <sz val="9"/>
            <color indexed="81"/>
            <rFont val="Tahoma"/>
            <family val="2"/>
          </rPr>
          <t>A106000</t>
        </r>
        <r>
          <rPr>
            <sz val="9"/>
            <color indexed="81"/>
            <rFont val="宋体"/>
            <family val="3"/>
            <charset val="134"/>
          </rPr>
          <t>第</t>
        </r>
        <r>
          <rPr>
            <sz val="9"/>
            <color indexed="81"/>
            <rFont val="Tahoma"/>
            <family val="2"/>
          </rPr>
          <t>1</t>
        </r>
        <r>
          <rPr>
            <sz val="9"/>
            <color indexed="81"/>
            <rFont val="宋体"/>
            <family val="3"/>
            <charset val="134"/>
          </rPr>
          <t>行至第</t>
        </r>
        <r>
          <rPr>
            <sz val="9"/>
            <color indexed="81"/>
            <rFont val="Tahoma"/>
            <family val="2"/>
          </rPr>
          <t>5</t>
        </r>
        <r>
          <rPr>
            <sz val="9"/>
            <color indexed="81"/>
            <rFont val="宋体"/>
            <family val="3"/>
            <charset val="134"/>
          </rPr>
          <t>行</t>
        </r>
        <r>
          <rPr>
            <sz val="9"/>
            <color indexed="81"/>
            <rFont val="Tahoma"/>
            <family val="2"/>
          </rPr>
          <t>(</t>
        </r>
        <r>
          <rPr>
            <sz val="9"/>
            <color indexed="81"/>
            <rFont val="宋体"/>
            <family val="3"/>
            <charset val="134"/>
          </rPr>
          <t>第</t>
        </r>
        <r>
          <rPr>
            <sz val="9"/>
            <color indexed="81"/>
            <rFont val="Tahoma"/>
            <family val="2"/>
          </rPr>
          <t>4</t>
        </r>
        <r>
          <rPr>
            <sz val="9"/>
            <color indexed="81"/>
            <rFont val="宋体"/>
            <family val="3"/>
            <charset val="134"/>
          </rPr>
          <t>列的绝对值</t>
        </r>
        <r>
          <rPr>
            <sz val="9"/>
            <color indexed="81"/>
            <rFont val="Tahoma"/>
            <family val="2"/>
          </rPr>
          <t>-</t>
        </r>
        <r>
          <rPr>
            <sz val="9"/>
            <color indexed="81"/>
            <rFont val="宋体"/>
            <family val="3"/>
            <charset val="134"/>
          </rPr>
          <t>第</t>
        </r>
        <r>
          <rPr>
            <sz val="9"/>
            <color indexed="81"/>
            <rFont val="Tahoma"/>
            <family val="2"/>
          </rPr>
          <t>9</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10</t>
        </r>
        <r>
          <rPr>
            <sz val="9"/>
            <color indexed="81"/>
            <rFont val="宋体"/>
            <family val="3"/>
            <charset val="134"/>
          </rPr>
          <t>列</t>
        </r>
        <r>
          <rPr>
            <sz val="9"/>
            <color indexed="81"/>
            <rFont val="Tahoma"/>
            <family val="2"/>
          </rPr>
          <t>)</t>
        </r>
        <r>
          <rPr>
            <sz val="9"/>
            <color indexed="81"/>
            <rFont val="宋体"/>
            <family val="3"/>
            <charset val="134"/>
          </rPr>
          <t>合计</t>
        </r>
        <r>
          <rPr>
            <sz val="9"/>
            <color indexed="81"/>
            <rFont val="Tahoma"/>
            <family val="2"/>
          </rPr>
          <t>+</t>
        </r>
        <r>
          <rPr>
            <sz val="9"/>
            <color indexed="81"/>
            <rFont val="宋体"/>
            <family val="3"/>
            <charset val="134"/>
          </rPr>
          <t>表</t>
        </r>
        <r>
          <rPr>
            <sz val="9"/>
            <color indexed="81"/>
            <rFont val="Tahoma"/>
            <family val="2"/>
          </rPr>
          <t>A100000</t>
        </r>
        <r>
          <rPr>
            <sz val="9"/>
            <color indexed="81"/>
            <rFont val="宋体"/>
            <family val="3"/>
            <charset val="134"/>
          </rPr>
          <t>第</t>
        </r>
        <r>
          <rPr>
            <sz val="9"/>
            <color indexed="81"/>
            <rFont val="Tahoma"/>
            <family val="2"/>
          </rPr>
          <t>18</t>
        </r>
        <r>
          <rPr>
            <sz val="9"/>
            <color indexed="81"/>
            <rFont val="宋体"/>
            <family val="3"/>
            <charset val="134"/>
          </rPr>
          <t>行的孰小值；
若选择“不分国（地区）不分项”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t>
        </r>
        <r>
          <rPr>
            <sz val="9"/>
            <color indexed="81"/>
            <rFont val="宋体"/>
            <family val="3"/>
            <charset val="134"/>
          </rPr>
          <t>行第</t>
        </r>
        <r>
          <rPr>
            <sz val="9"/>
            <color indexed="81"/>
            <rFont val="Tahoma"/>
            <family val="2"/>
          </rPr>
          <t>6</t>
        </r>
        <r>
          <rPr>
            <sz val="9"/>
            <color indexed="81"/>
            <rFont val="宋体"/>
            <family val="3"/>
            <charset val="134"/>
          </rPr>
          <t>列≤第</t>
        </r>
        <r>
          <rPr>
            <sz val="9"/>
            <color indexed="81"/>
            <rFont val="Tahoma"/>
            <family val="2"/>
          </rPr>
          <t>1</t>
        </r>
        <r>
          <rPr>
            <sz val="9"/>
            <color indexed="81"/>
            <rFont val="宋体"/>
            <family val="3"/>
            <charset val="134"/>
          </rPr>
          <t>行第</t>
        </r>
        <r>
          <rPr>
            <sz val="9"/>
            <color indexed="81"/>
            <rFont val="Tahoma"/>
            <family val="2"/>
          </rPr>
          <t>5</t>
        </r>
        <r>
          <rPr>
            <sz val="9"/>
            <color indexed="81"/>
            <rFont val="宋体"/>
            <family val="3"/>
            <charset val="134"/>
          </rPr>
          <t>列、表</t>
        </r>
        <r>
          <rPr>
            <sz val="9"/>
            <color indexed="81"/>
            <rFont val="Tahoma"/>
            <family val="2"/>
          </rPr>
          <t>A106000</t>
        </r>
        <r>
          <rPr>
            <sz val="9"/>
            <color indexed="81"/>
            <rFont val="宋体"/>
            <family val="3"/>
            <charset val="134"/>
          </rPr>
          <t>第</t>
        </r>
        <r>
          <rPr>
            <sz val="9"/>
            <color indexed="81"/>
            <rFont val="Tahoma"/>
            <family val="2"/>
          </rPr>
          <t>1</t>
        </r>
        <r>
          <rPr>
            <sz val="9"/>
            <color indexed="81"/>
            <rFont val="宋体"/>
            <family val="3"/>
            <charset val="134"/>
          </rPr>
          <t>行至第</t>
        </r>
        <r>
          <rPr>
            <sz val="9"/>
            <color indexed="81"/>
            <rFont val="Tahoma"/>
            <family val="2"/>
          </rPr>
          <t>5</t>
        </r>
        <r>
          <rPr>
            <sz val="9"/>
            <color indexed="81"/>
            <rFont val="宋体"/>
            <family val="3"/>
            <charset val="134"/>
          </rPr>
          <t>行</t>
        </r>
        <r>
          <rPr>
            <sz val="9"/>
            <color indexed="81"/>
            <rFont val="Tahoma"/>
            <family val="2"/>
          </rPr>
          <t>(</t>
        </r>
        <r>
          <rPr>
            <sz val="9"/>
            <color indexed="81"/>
            <rFont val="宋体"/>
            <family val="3"/>
            <charset val="134"/>
          </rPr>
          <t>第</t>
        </r>
        <r>
          <rPr>
            <sz val="9"/>
            <color indexed="81"/>
            <rFont val="Tahoma"/>
            <family val="2"/>
          </rPr>
          <t>4</t>
        </r>
        <r>
          <rPr>
            <sz val="9"/>
            <color indexed="81"/>
            <rFont val="宋体"/>
            <family val="3"/>
            <charset val="134"/>
          </rPr>
          <t>列的绝对值</t>
        </r>
        <r>
          <rPr>
            <sz val="9"/>
            <color indexed="81"/>
            <rFont val="Tahoma"/>
            <family val="2"/>
          </rPr>
          <t>-</t>
        </r>
        <r>
          <rPr>
            <sz val="9"/>
            <color indexed="81"/>
            <rFont val="宋体"/>
            <family val="3"/>
            <charset val="134"/>
          </rPr>
          <t>第</t>
        </r>
        <r>
          <rPr>
            <sz val="9"/>
            <color indexed="81"/>
            <rFont val="Tahoma"/>
            <family val="2"/>
          </rPr>
          <t>9</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10</t>
        </r>
        <r>
          <rPr>
            <sz val="9"/>
            <color indexed="81"/>
            <rFont val="宋体"/>
            <family val="3"/>
            <charset val="134"/>
          </rPr>
          <t>列</t>
        </r>
        <r>
          <rPr>
            <sz val="9"/>
            <color indexed="81"/>
            <rFont val="Tahoma"/>
            <family val="2"/>
          </rPr>
          <t>)</t>
        </r>
        <r>
          <rPr>
            <sz val="9"/>
            <color indexed="81"/>
            <rFont val="宋体"/>
            <family val="3"/>
            <charset val="134"/>
          </rPr>
          <t>合计</t>
        </r>
        <r>
          <rPr>
            <sz val="9"/>
            <color indexed="81"/>
            <rFont val="Tahoma"/>
            <family val="2"/>
          </rPr>
          <t>+</t>
        </r>
        <r>
          <rPr>
            <sz val="9"/>
            <color indexed="81"/>
            <rFont val="宋体"/>
            <family val="3"/>
            <charset val="134"/>
          </rPr>
          <t>表</t>
        </r>
        <r>
          <rPr>
            <sz val="9"/>
            <color indexed="81"/>
            <rFont val="Tahoma"/>
            <family val="2"/>
          </rPr>
          <t>A100000</t>
        </r>
        <r>
          <rPr>
            <sz val="9"/>
            <color indexed="81"/>
            <rFont val="宋体"/>
            <family val="3"/>
            <charset val="134"/>
          </rPr>
          <t>第</t>
        </r>
        <r>
          <rPr>
            <sz val="9"/>
            <color indexed="81"/>
            <rFont val="Tahoma"/>
            <family val="2"/>
          </rPr>
          <t>18</t>
        </r>
        <r>
          <rPr>
            <sz val="9"/>
            <color indexed="81"/>
            <rFont val="宋体"/>
            <family val="3"/>
            <charset val="134"/>
          </rPr>
          <t>行的孰小值。</t>
        </r>
      </text>
    </comment>
    <comment ref="H3" authorId="1">
      <text>
        <r>
          <rPr>
            <sz val="9"/>
            <color indexed="81"/>
            <rFont val="Tahoma"/>
            <family val="2"/>
          </rPr>
          <t>填报第5-6列的余额。</t>
        </r>
      </text>
    </comment>
    <comment ref="I3" authorId="1">
      <text>
        <r>
          <rPr>
            <sz val="9"/>
            <color indexed="81"/>
            <rFont val="Tahoma"/>
            <family val="2"/>
          </rPr>
          <t>填报法定税率25%。符合《财政部 国家税务总局关于高新技术企业境外所得适用税率及税收抵免问题的通知》（财税〔2011〕47号）第一条规定的高新技术企业填报15%。</t>
        </r>
      </text>
    </comment>
    <comment ref="J3" authorId="1">
      <text>
        <r>
          <rPr>
            <sz val="9"/>
            <color indexed="81"/>
            <rFont val="Tahoma"/>
            <family val="2"/>
          </rPr>
          <t>填报第7×8列的金额。</t>
        </r>
      </text>
    </comment>
    <comment ref="K3" authorId="1">
      <text>
        <r>
          <rPr>
            <sz val="9"/>
            <color indexed="81"/>
            <rFont val="宋体"/>
            <family val="3"/>
            <charset val="134"/>
          </rPr>
          <t>填报表</t>
        </r>
        <r>
          <rPr>
            <sz val="9"/>
            <color indexed="81"/>
            <rFont val="Tahoma"/>
            <family val="2"/>
          </rPr>
          <t>A108010</t>
        </r>
        <r>
          <rPr>
            <sz val="9"/>
            <color indexed="81"/>
            <rFont val="宋体"/>
            <family val="3"/>
            <charset val="134"/>
          </rPr>
          <t>第</t>
        </r>
        <r>
          <rPr>
            <sz val="9"/>
            <color indexed="81"/>
            <rFont val="Tahoma"/>
            <family val="2"/>
          </rPr>
          <t>13</t>
        </r>
        <r>
          <rPr>
            <sz val="9"/>
            <color indexed="81"/>
            <rFont val="宋体"/>
            <family val="3"/>
            <charset val="134"/>
          </rPr>
          <t>列的金额。
若选择“分国（地区）不分项”的境外所得抵免方式，第</t>
        </r>
        <r>
          <rPr>
            <sz val="9"/>
            <color indexed="81"/>
            <rFont val="Tahoma"/>
            <family val="2"/>
          </rPr>
          <t>10</t>
        </r>
        <r>
          <rPr>
            <sz val="9"/>
            <color indexed="81"/>
            <rFont val="宋体"/>
            <family val="3"/>
            <charset val="134"/>
          </rPr>
          <t>列各行＝表</t>
        </r>
        <r>
          <rPr>
            <sz val="9"/>
            <color indexed="81"/>
            <rFont val="Tahoma"/>
            <family val="2"/>
          </rPr>
          <t>A108010</t>
        </r>
        <r>
          <rPr>
            <sz val="9"/>
            <color indexed="81"/>
            <rFont val="宋体"/>
            <family val="3"/>
            <charset val="134"/>
          </rPr>
          <t>第</t>
        </r>
        <r>
          <rPr>
            <sz val="9"/>
            <color indexed="81"/>
            <rFont val="Tahoma"/>
            <family val="2"/>
          </rPr>
          <t>13</t>
        </r>
        <r>
          <rPr>
            <sz val="9"/>
            <color indexed="81"/>
            <rFont val="宋体"/>
            <family val="3"/>
            <charset val="134"/>
          </rPr>
          <t>列相应行次；
若选择“不分国（地区）不分项”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t>
        </r>
        <r>
          <rPr>
            <sz val="9"/>
            <color indexed="81"/>
            <rFont val="宋体"/>
            <family val="3"/>
            <charset val="134"/>
          </rPr>
          <t>行第</t>
        </r>
        <r>
          <rPr>
            <sz val="9"/>
            <color indexed="81"/>
            <rFont val="Tahoma"/>
            <family val="2"/>
          </rPr>
          <t>10</t>
        </r>
        <r>
          <rPr>
            <sz val="9"/>
            <color indexed="81"/>
            <rFont val="宋体"/>
            <family val="3"/>
            <charset val="134"/>
          </rPr>
          <t>列＝表</t>
        </r>
        <r>
          <rPr>
            <sz val="9"/>
            <color indexed="81"/>
            <rFont val="Tahoma"/>
            <family val="2"/>
          </rPr>
          <t>A108010</t>
        </r>
        <r>
          <rPr>
            <sz val="9"/>
            <color indexed="81"/>
            <rFont val="宋体"/>
            <family val="3"/>
            <charset val="134"/>
          </rPr>
          <t>第</t>
        </r>
        <r>
          <rPr>
            <sz val="9"/>
            <color indexed="81"/>
            <rFont val="Tahoma"/>
            <family val="2"/>
          </rPr>
          <t>13</t>
        </r>
        <r>
          <rPr>
            <sz val="9"/>
            <color indexed="81"/>
            <rFont val="宋体"/>
            <family val="3"/>
            <charset val="134"/>
          </rPr>
          <t>列合计。</t>
        </r>
      </text>
    </comment>
    <comment ref="L3" authorId="1">
      <text>
        <r>
          <rPr>
            <sz val="9"/>
            <color indexed="81"/>
            <rFont val="Tahoma"/>
            <family val="2"/>
          </rPr>
          <t xml:space="preserve">境外所得抵免限额按以下公式计算：
抵免限额＝中国境内、境外所得依照企业所得税法和条例的规定计算的应纳税总额×来源于某国（地区）的应纳税所得额÷中国境内、境外应纳税所得总额。
</t>
        </r>
      </text>
    </comment>
    <comment ref="M3" authorId="1">
      <text>
        <r>
          <rPr>
            <sz val="9"/>
            <color indexed="81"/>
            <rFont val="Tahoma"/>
            <family val="2"/>
          </rPr>
          <t>填报纳税人本年来源于境外的所得已缴纳所得税在本年度允许抵免的金额。填报第10列、第11列孰小值。</t>
        </r>
      </text>
    </comment>
    <comment ref="N3" authorId="1">
      <text>
        <r>
          <rPr>
            <sz val="9"/>
            <color indexed="81"/>
            <rFont val="Tahoma"/>
            <family val="2"/>
          </rPr>
          <t>填报纳税人本年在抵免限额内抵免完境外所得税后有余额的，可用于抵免以前年度结转的待抵免的所得税额。本列填报第11-12列的余额。</t>
        </r>
      </text>
    </comment>
    <comment ref="O3" authorId="1">
      <text>
        <r>
          <rPr>
            <sz val="9"/>
            <color indexed="81"/>
            <rFont val="宋体"/>
            <family val="3"/>
            <charset val="134"/>
          </rPr>
          <t>填报纳税人本年可抵免以前年度未抵免、结转到本年度抵免的境外所得税额。填报第</t>
        </r>
        <r>
          <rPr>
            <sz val="9"/>
            <color indexed="81"/>
            <rFont val="Tahoma"/>
            <family val="2"/>
          </rPr>
          <t>10</t>
        </r>
        <r>
          <rPr>
            <sz val="9"/>
            <color indexed="81"/>
            <rFont val="宋体"/>
            <family val="3"/>
            <charset val="134"/>
          </rPr>
          <t>列、《跨年度结转抵免境外所得税明细表》（</t>
        </r>
        <r>
          <rPr>
            <sz val="9"/>
            <color indexed="81"/>
            <rFont val="Tahoma"/>
            <family val="2"/>
          </rPr>
          <t>A108030</t>
        </r>
        <r>
          <rPr>
            <sz val="9"/>
            <color indexed="81"/>
            <rFont val="宋体"/>
            <family val="3"/>
            <charset val="134"/>
          </rPr>
          <t>）第</t>
        </r>
        <r>
          <rPr>
            <sz val="9"/>
            <color indexed="81"/>
            <rFont val="Tahoma"/>
            <family val="2"/>
          </rPr>
          <t>7</t>
        </r>
        <r>
          <rPr>
            <sz val="9"/>
            <color indexed="81"/>
            <rFont val="宋体"/>
            <family val="3"/>
            <charset val="134"/>
          </rPr>
          <t>列孰小值。
若选择“分国（地区）不分项”的境外所得抵免方式，第</t>
        </r>
        <r>
          <rPr>
            <sz val="9"/>
            <color indexed="81"/>
            <rFont val="Tahoma"/>
            <family val="2"/>
          </rPr>
          <t>14</t>
        </r>
        <r>
          <rPr>
            <sz val="9"/>
            <color indexed="81"/>
            <rFont val="宋体"/>
            <family val="3"/>
            <charset val="134"/>
          </rPr>
          <t>列各行＝表</t>
        </r>
        <r>
          <rPr>
            <sz val="9"/>
            <color indexed="81"/>
            <rFont val="Tahoma"/>
            <family val="2"/>
          </rPr>
          <t>A108030</t>
        </r>
        <r>
          <rPr>
            <sz val="9"/>
            <color indexed="81"/>
            <rFont val="宋体"/>
            <family val="3"/>
            <charset val="134"/>
          </rPr>
          <t>第</t>
        </r>
        <r>
          <rPr>
            <sz val="9"/>
            <color indexed="81"/>
            <rFont val="Tahoma"/>
            <family val="2"/>
          </rPr>
          <t>13</t>
        </r>
        <r>
          <rPr>
            <sz val="9"/>
            <color indexed="81"/>
            <rFont val="宋体"/>
            <family val="3"/>
            <charset val="134"/>
          </rPr>
          <t>列相应行次；
若选择“不分国（地区）不分项”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t>
        </r>
        <r>
          <rPr>
            <sz val="9"/>
            <color indexed="81"/>
            <rFont val="宋体"/>
            <family val="3"/>
            <charset val="134"/>
          </rPr>
          <t>行第</t>
        </r>
        <r>
          <rPr>
            <sz val="9"/>
            <color indexed="81"/>
            <rFont val="Tahoma"/>
            <family val="2"/>
          </rPr>
          <t>14</t>
        </r>
        <r>
          <rPr>
            <sz val="9"/>
            <color indexed="81"/>
            <rFont val="宋体"/>
            <family val="3"/>
            <charset val="134"/>
          </rPr>
          <t>列＝表</t>
        </r>
        <r>
          <rPr>
            <sz val="9"/>
            <color indexed="81"/>
            <rFont val="Tahoma"/>
            <family val="2"/>
          </rPr>
          <t>A108030</t>
        </r>
        <r>
          <rPr>
            <sz val="9"/>
            <color indexed="81"/>
            <rFont val="宋体"/>
            <family val="3"/>
            <charset val="134"/>
          </rPr>
          <t>第</t>
        </r>
        <r>
          <rPr>
            <sz val="9"/>
            <color indexed="81"/>
            <rFont val="Tahoma"/>
            <family val="2"/>
          </rPr>
          <t>13</t>
        </r>
        <r>
          <rPr>
            <sz val="9"/>
            <color indexed="81"/>
            <rFont val="宋体"/>
            <family val="3"/>
            <charset val="134"/>
          </rPr>
          <t>列合计。</t>
        </r>
      </text>
    </comment>
    <comment ref="P3" authorId="1">
      <text>
        <r>
          <rPr>
            <sz val="9"/>
            <color indexed="81"/>
            <rFont val="Tahoma"/>
            <family val="2"/>
          </rPr>
          <t>由选择简易办法计算抵免额的纳税人填报。</t>
        </r>
      </text>
    </comment>
    <comment ref="T3" authorId="1">
      <text>
        <r>
          <rPr>
            <sz val="9"/>
            <color indexed="81"/>
            <rFont val="Tahoma"/>
            <family val="2"/>
          </rPr>
          <t>填报第12+14+18列的合计金额。</t>
        </r>
      </text>
    </comment>
    <comment ref="P4" authorId="1">
      <text>
        <r>
          <rPr>
            <sz val="9"/>
            <color indexed="81"/>
            <rFont val="Tahoma"/>
            <family val="2"/>
          </rPr>
          <t>纳税人从境外取得营业利润所得以及符合境外税额间接抵免条件的股息所得，所得来源国（地区）的实际有效税率低于12.5%的，填报按照实际有效税率计算的抵免额。</t>
        </r>
      </text>
    </comment>
    <comment ref="Q4" authorId="1">
      <text>
        <r>
          <rPr>
            <sz val="9"/>
            <color indexed="81"/>
            <rFont val="Tahoma"/>
            <family val="2"/>
          </rPr>
          <t>纳税人从境外取得营业利润所得以及符合境外税额间接抵免条件的股息所得，除第15列情形外，填报按照12.5%计算的抵免额。</t>
        </r>
      </text>
    </comment>
    <comment ref="R4" authorId="1">
      <text>
        <r>
          <rPr>
            <sz val="9"/>
            <color indexed="81"/>
            <rFont val="Tahoma"/>
            <family val="2"/>
          </rPr>
          <t>纳税人从境外取得营业利润所得以及符合境外税额间接抵免条件的股息所得，所得来源国（地区）的实际有效税率高于25%的，填报按照25%计算的抵免额。</t>
        </r>
      </text>
    </comment>
    <comment ref="J22" authorId="1">
      <text>
        <r>
          <rPr>
            <sz val="9"/>
            <color indexed="81"/>
            <rFont val="宋体"/>
            <family val="3"/>
            <charset val="134"/>
          </rPr>
          <t>第</t>
        </r>
        <r>
          <rPr>
            <sz val="9"/>
            <color indexed="81"/>
            <rFont val="Tahoma"/>
            <family val="2"/>
          </rPr>
          <t>9</t>
        </r>
        <r>
          <rPr>
            <sz val="9"/>
            <color indexed="81"/>
            <rFont val="宋体"/>
            <family val="3"/>
            <charset val="134"/>
          </rPr>
          <t>列合计＝表</t>
        </r>
        <r>
          <rPr>
            <sz val="9"/>
            <color indexed="81"/>
            <rFont val="Tahoma"/>
            <family val="2"/>
          </rPr>
          <t>A100000</t>
        </r>
        <r>
          <rPr>
            <sz val="9"/>
            <color indexed="81"/>
            <rFont val="宋体"/>
            <family val="3"/>
            <charset val="134"/>
          </rPr>
          <t>第</t>
        </r>
        <r>
          <rPr>
            <sz val="9"/>
            <color indexed="81"/>
            <rFont val="Tahoma"/>
            <family val="2"/>
          </rPr>
          <t>29</t>
        </r>
        <r>
          <rPr>
            <sz val="9"/>
            <color indexed="81"/>
            <rFont val="宋体"/>
            <family val="3"/>
            <charset val="134"/>
          </rPr>
          <t>行。</t>
        </r>
        <r>
          <rPr>
            <sz val="9"/>
            <color indexed="81"/>
            <rFont val="Tahoma"/>
            <family val="2"/>
          </rPr>
          <t xml:space="preserve">
</t>
        </r>
      </text>
    </comment>
    <comment ref="T22" authorId="1">
      <text>
        <r>
          <rPr>
            <sz val="9"/>
            <color indexed="81"/>
            <rFont val="宋体"/>
            <family val="3"/>
            <charset val="134"/>
          </rPr>
          <t>第</t>
        </r>
        <r>
          <rPr>
            <sz val="9"/>
            <color indexed="81"/>
            <rFont val="Tahoma"/>
            <family val="2"/>
          </rPr>
          <t>19</t>
        </r>
        <r>
          <rPr>
            <sz val="9"/>
            <color indexed="81"/>
            <rFont val="宋体"/>
            <family val="3"/>
            <charset val="134"/>
          </rPr>
          <t>列合计＝表</t>
        </r>
        <r>
          <rPr>
            <sz val="9"/>
            <color indexed="81"/>
            <rFont val="Tahoma"/>
            <family val="2"/>
          </rPr>
          <t>A100000</t>
        </r>
        <r>
          <rPr>
            <sz val="9"/>
            <color indexed="81"/>
            <rFont val="宋体"/>
            <family val="3"/>
            <charset val="134"/>
          </rPr>
          <t>第</t>
        </r>
        <r>
          <rPr>
            <sz val="9"/>
            <color indexed="81"/>
            <rFont val="Tahoma"/>
            <family val="2"/>
          </rPr>
          <t>30</t>
        </r>
        <r>
          <rPr>
            <sz val="9"/>
            <color indexed="81"/>
            <rFont val="宋体"/>
            <family val="3"/>
            <charset val="134"/>
          </rPr>
          <t>行。</t>
        </r>
        <r>
          <rPr>
            <sz val="9"/>
            <color indexed="81"/>
            <rFont val="Tahoma"/>
            <family val="2"/>
          </rPr>
          <t xml:space="preserve"> 
</t>
        </r>
      </text>
    </comment>
  </commentList>
</comments>
</file>

<file path=xl/comments44.xml><?xml version="1.0" encoding="utf-8"?>
<comments xmlns="http://schemas.openxmlformats.org/spreadsheetml/2006/main">
  <authors>
    <author>Zhang, Dorothy</author>
    <author>Cindy Wang</author>
  </authors>
  <commentList>
    <comment ref="A2" authorId="0">
      <text>
        <r>
          <rPr>
            <sz val="9"/>
            <color indexed="81"/>
            <rFont val="Tahoma"/>
            <family val="2"/>
          </rPr>
          <t>本表适用于取得境外所得的纳税人填报。纳税人应根据税法、《财政部 国家税务总局关于企业境外所得税收抵免有关问题的通知》（财税〔2009〕125号）和《国家税务总局关于发布〈企业境外所得税收抵免操作指南〉的公告》（国家税务总局公告2010年第1号）、《财政部 国家税务总局关于我国石油企业从事油（气）资源开采所得税收抵免有关问题的通知》（财税〔2011〕23号）、《财政部 税务总局关于完善企业境外所得税收抵免政策问题的通知》（财税〔2017〕84号）规定，填报本年来源于或发生于不同国家、地区的所得按照税收规定计算的境外所得纳税调整后所得。对于境外所得税收抵免方式选择“不分国（地区）不分项”的纳税人，也应按照规定计算可抵免境外所得税税额，并按国（地区）别逐行填报。</t>
        </r>
      </text>
    </comment>
    <comment ref="B3" authorId="0">
      <text>
        <r>
          <rPr>
            <sz val="9"/>
            <color indexed="81"/>
            <rFont val="Tahoma"/>
            <family val="2"/>
          </rPr>
          <t>填报纳税人境外所得来源的国家（地区）名称，来源于同一个国家（地区）的境外所得可合并到一行填报。</t>
        </r>
      </text>
    </comment>
    <comment ref="C3" authorId="0">
      <text>
        <r>
          <rPr>
            <sz val="9"/>
            <color indexed="81"/>
            <rFont val="Tahoma"/>
            <family val="2"/>
          </rPr>
          <t>填报纳税人取得的来源于境外的税后所得，其中：第3列股息、红利等权益性投资所得包含通过《受控外国企业信息报告表》（国家税务总局公告2014年第38号附件2）计算的视同分配给企业的股息。</t>
        </r>
      </text>
    </comment>
    <comment ref="O3" authorId="0">
      <text>
        <r>
          <rPr>
            <sz val="9"/>
            <color indexed="81"/>
            <rFont val="宋体"/>
            <family val="3"/>
            <charset val="134"/>
          </rPr>
          <t>若选择</t>
        </r>
        <r>
          <rPr>
            <sz val="9"/>
            <color indexed="81"/>
            <rFont val="Tahoma"/>
            <family val="2"/>
          </rPr>
          <t>“</t>
        </r>
        <r>
          <rPr>
            <sz val="9"/>
            <color indexed="81"/>
            <rFont val="宋体"/>
            <family val="3"/>
            <charset val="134"/>
          </rPr>
          <t>分国（地区）不分项</t>
        </r>
        <r>
          <rPr>
            <sz val="9"/>
            <color indexed="81"/>
            <rFont val="Tahoma"/>
            <family val="2"/>
          </rPr>
          <t>”</t>
        </r>
        <r>
          <rPr>
            <sz val="9"/>
            <color indexed="81"/>
            <rFont val="宋体"/>
            <family val="3"/>
            <charset val="134"/>
          </rPr>
          <t>的境外所得抵免方式，第</t>
        </r>
        <r>
          <rPr>
            <sz val="9"/>
            <color indexed="81"/>
            <rFont val="Tahoma"/>
            <family val="2"/>
          </rPr>
          <t>14</t>
        </r>
        <r>
          <rPr>
            <sz val="9"/>
            <color indexed="81"/>
            <rFont val="宋体"/>
            <family val="3"/>
            <charset val="134"/>
          </rPr>
          <t>列各行＝表</t>
        </r>
        <r>
          <rPr>
            <sz val="9"/>
            <color indexed="81"/>
            <rFont val="Tahoma"/>
            <family val="2"/>
          </rPr>
          <t>A108000</t>
        </r>
        <r>
          <rPr>
            <sz val="9"/>
            <color indexed="81"/>
            <rFont val="宋体"/>
            <family val="3"/>
            <charset val="134"/>
          </rPr>
          <t>第</t>
        </r>
        <r>
          <rPr>
            <sz val="9"/>
            <color indexed="81"/>
            <rFont val="Tahoma"/>
            <family val="2"/>
          </rPr>
          <t>2</t>
        </r>
        <r>
          <rPr>
            <sz val="9"/>
            <color indexed="81"/>
            <rFont val="宋体"/>
            <family val="3"/>
            <charset val="134"/>
          </rPr>
          <t>列相应行次；若选择</t>
        </r>
        <r>
          <rPr>
            <sz val="9"/>
            <color indexed="81"/>
            <rFont val="Tahoma"/>
            <family val="2"/>
          </rPr>
          <t>“</t>
        </r>
        <r>
          <rPr>
            <sz val="9"/>
            <color indexed="81"/>
            <rFont val="宋体"/>
            <family val="3"/>
            <charset val="134"/>
          </rPr>
          <t>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14</t>
        </r>
        <r>
          <rPr>
            <sz val="9"/>
            <color indexed="81"/>
            <rFont val="宋体"/>
            <family val="3"/>
            <charset val="134"/>
          </rPr>
          <t>列合计＝表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2</t>
        </r>
        <r>
          <rPr>
            <sz val="9"/>
            <color indexed="81"/>
            <rFont val="宋体"/>
            <family val="3"/>
            <charset val="134"/>
          </rPr>
          <t>列。</t>
        </r>
        <r>
          <rPr>
            <sz val="9"/>
            <color indexed="81"/>
            <rFont val="Tahoma"/>
            <family val="2"/>
          </rPr>
          <t xml:space="preserve">
</t>
        </r>
      </text>
    </comment>
    <comment ref="P3" authorId="0">
      <text>
        <r>
          <rPr>
            <sz val="9"/>
            <color indexed="81"/>
            <rFont val="Tahoma"/>
            <family val="2"/>
          </rPr>
          <t>填报纳税人境外分支机构收入、支出按照税收规定计算的纳税调整额。</t>
        </r>
      </text>
    </comment>
    <comment ref="Q3" authorId="0">
      <text>
        <r>
          <rPr>
            <sz val="9"/>
            <color indexed="81"/>
            <rFont val="Tahoma"/>
            <family val="2"/>
          </rPr>
          <t>填报纳税人境外分支机构应合理分摊的总部管理费等有关成本费用，同时在《纳税调整项目明细表》（A105000）进行纳税调增。</t>
        </r>
      </text>
    </comment>
    <comment ref="R3" authorId="0">
      <text>
        <r>
          <rPr>
            <sz val="9"/>
            <color indexed="81"/>
            <rFont val="Tahoma"/>
            <family val="2"/>
          </rPr>
          <t>填报纳税人实际发生与取得境外所得有关但未直接计入境外所得应纳税所得的成本费用支出，同时在《纳税调整项目明细表》（A105000）进行纳税调增。</t>
        </r>
      </text>
    </comment>
    <comment ref="S3" authorId="0">
      <text>
        <r>
          <rPr>
            <sz val="9"/>
            <color indexed="81"/>
            <rFont val="宋体"/>
            <family val="3"/>
            <charset val="134"/>
          </rPr>
          <t>填报第</t>
        </r>
        <r>
          <rPr>
            <sz val="9"/>
            <color indexed="81"/>
            <rFont val="Tahoma"/>
            <family val="2"/>
          </rPr>
          <t>14+15-16-17</t>
        </r>
        <r>
          <rPr>
            <sz val="9"/>
            <color indexed="81"/>
            <rFont val="宋体"/>
            <family val="3"/>
            <charset val="134"/>
          </rPr>
          <t>列的金额。
若选择“分国（地区）不分项”的境外所得抵免方式，第</t>
        </r>
        <r>
          <rPr>
            <sz val="9"/>
            <color indexed="81"/>
            <rFont val="Tahoma"/>
            <family val="2"/>
          </rPr>
          <t>18</t>
        </r>
        <r>
          <rPr>
            <sz val="9"/>
            <color indexed="81"/>
            <rFont val="宋体"/>
            <family val="3"/>
            <charset val="134"/>
          </rPr>
          <t>列相应行次＝表</t>
        </r>
        <r>
          <rPr>
            <sz val="9"/>
            <color indexed="81"/>
            <rFont val="Tahoma"/>
            <family val="2"/>
          </rPr>
          <t>A108000</t>
        </r>
        <r>
          <rPr>
            <sz val="9"/>
            <color indexed="81"/>
            <rFont val="宋体"/>
            <family val="3"/>
            <charset val="134"/>
          </rPr>
          <t>第</t>
        </r>
        <r>
          <rPr>
            <sz val="9"/>
            <color indexed="81"/>
            <rFont val="Tahoma"/>
            <family val="2"/>
          </rPr>
          <t>3</t>
        </r>
        <r>
          <rPr>
            <sz val="9"/>
            <color indexed="81"/>
            <rFont val="宋体"/>
            <family val="3"/>
            <charset val="134"/>
          </rPr>
          <t>列相应行次；
若选择“不分国（地区）不分项”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18</t>
        </r>
        <r>
          <rPr>
            <sz val="9"/>
            <color indexed="81"/>
            <rFont val="宋体"/>
            <family val="3"/>
            <charset val="134"/>
          </rPr>
          <t>列合计＝表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3</t>
        </r>
        <r>
          <rPr>
            <sz val="9"/>
            <color indexed="81"/>
            <rFont val="宋体"/>
            <family val="3"/>
            <charset val="134"/>
          </rPr>
          <t>列。</t>
        </r>
      </text>
    </comment>
    <comment ref="C5" authorId="1">
      <text>
        <r>
          <rPr>
            <sz val="9"/>
            <color indexed="81"/>
            <rFont val="宋体"/>
            <family val="3"/>
            <charset val="134"/>
          </rPr>
          <t>中国会计准则下的会计利润</t>
        </r>
      </text>
    </comment>
    <comment ref="D5" authorId="1">
      <text>
        <r>
          <rPr>
            <sz val="9"/>
            <color indexed="81"/>
            <rFont val="宋体"/>
            <family val="3"/>
            <charset val="134"/>
          </rPr>
          <t>股息分派决议</t>
        </r>
      </text>
    </comment>
    <comment ref="E5" authorId="1">
      <text>
        <r>
          <rPr>
            <sz val="9"/>
            <color indexed="81"/>
            <rFont val="宋体"/>
            <family val="3"/>
            <charset val="134"/>
          </rPr>
          <t>借款合同约定的金额或当期收入</t>
        </r>
      </text>
    </comment>
    <comment ref="F5" authorId="1">
      <text>
        <r>
          <rPr>
            <sz val="9"/>
            <color indexed="81"/>
            <rFont val="宋体"/>
            <family val="3"/>
            <charset val="134"/>
          </rPr>
          <t>租赁合同约定的金额或当期收入</t>
        </r>
      </text>
    </comment>
    <comment ref="G5" authorId="1">
      <text>
        <r>
          <rPr>
            <sz val="9"/>
            <color indexed="81"/>
            <rFont val="宋体"/>
            <family val="3"/>
            <charset val="134"/>
          </rPr>
          <t>特许权使用合同约定的金额或当期收入</t>
        </r>
      </text>
    </comment>
    <comment ref="H5" authorId="1">
      <text>
        <r>
          <rPr>
            <sz val="9"/>
            <color indexed="81"/>
            <rFont val="宋体"/>
            <family val="3"/>
            <charset val="134"/>
          </rPr>
          <t>财产转让合同约定的金额或当期收入</t>
        </r>
      </text>
    </comment>
    <comment ref="K5" authorId="0">
      <text>
        <r>
          <rPr>
            <sz val="9"/>
            <color indexed="81"/>
            <rFont val="Tahoma"/>
            <family val="2"/>
          </rPr>
          <t>填报纳税人来源于境外的营业利润所得在境外所缴纳的企业所得税，以及就来源于或发生于境外的股息、红利等权益性投资所得、利息、租金、特许权使用费、财产转让等所得在境外被源泉扣缴的预提所得税。</t>
        </r>
      </text>
    </comment>
    <comment ref="L5" authorId="0">
      <text>
        <r>
          <rPr>
            <sz val="9"/>
            <color indexed="81"/>
            <rFont val="Tahoma"/>
            <family val="2"/>
          </rPr>
          <t>填报纳税人从其直接或者间接控制的外国企业分得的来源于中国境外的股息、红利等权益性投资收益，外国企业在境外实际缴纳的所得税额中属于该项所得负担的部分。</t>
        </r>
      </text>
    </comment>
    <comment ref="M5" authorId="0">
      <text>
        <r>
          <rPr>
            <sz val="9"/>
            <color indexed="81"/>
            <rFont val="Tahoma"/>
            <family val="2"/>
          </rPr>
          <t>填报纳税人从与我国政府订立税收协定（或安排）的国家（地区）取得的所得，按照该国（地区）税收法律享受了免税或减税待遇，且该免税或减税的数额按照税收协定应视同已缴税额的金额。</t>
        </r>
      </text>
    </comment>
    <comment ref="N5" authorId="0">
      <text>
        <r>
          <rPr>
            <sz val="9"/>
            <color indexed="81"/>
            <rFont val="宋体"/>
            <family val="3"/>
            <charset val="134"/>
          </rPr>
          <t>若选择</t>
        </r>
        <r>
          <rPr>
            <sz val="9"/>
            <color indexed="81"/>
            <rFont val="Tahoma"/>
            <family val="2"/>
          </rPr>
          <t>“</t>
        </r>
        <r>
          <rPr>
            <sz val="9"/>
            <color indexed="81"/>
            <rFont val="宋体"/>
            <family val="3"/>
            <charset val="134"/>
          </rPr>
          <t>分国（地区）不分项</t>
        </r>
        <r>
          <rPr>
            <sz val="9"/>
            <color indexed="81"/>
            <rFont val="Tahoma"/>
            <family val="2"/>
          </rPr>
          <t>”</t>
        </r>
        <r>
          <rPr>
            <sz val="9"/>
            <color indexed="81"/>
            <rFont val="宋体"/>
            <family val="3"/>
            <charset val="134"/>
          </rPr>
          <t>的境外所得抵免方式，第</t>
        </r>
        <r>
          <rPr>
            <sz val="9"/>
            <color indexed="81"/>
            <rFont val="Tahoma"/>
            <family val="2"/>
          </rPr>
          <t>13</t>
        </r>
        <r>
          <rPr>
            <sz val="9"/>
            <color indexed="81"/>
            <rFont val="宋体"/>
            <family val="3"/>
            <charset val="134"/>
          </rPr>
          <t>列各行＝表</t>
        </r>
        <r>
          <rPr>
            <sz val="9"/>
            <color indexed="81"/>
            <rFont val="Tahoma"/>
            <family val="2"/>
          </rPr>
          <t>A108000</t>
        </r>
        <r>
          <rPr>
            <sz val="9"/>
            <color indexed="81"/>
            <rFont val="宋体"/>
            <family val="3"/>
            <charset val="134"/>
          </rPr>
          <t>第</t>
        </r>
        <r>
          <rPr>
            <sz val="9"/>
            <color indexed="81"/>
            <rFont val="Tahoma"/>
            <family val="2"/>
          </rPr>
          <t>10</t>
        </r>
        <r>
          <rPr>
            <sz val="9"/>
            <color indexed="81"/>
            <rFont val="宋体"/>
            <family val="3"/>
            <charset val="134"/>
          </rPr>
          <t>列相应行次；
若选择</t>
        </r>
        <r>
          <rPr>
            <sz val="9"/>
            <color indexed="81"/>
            <rFont val="Tahoma"/>
            <family val="2"/>
          </rPr>
          <t>“</t>
        </r>
        <r>
          <rPr>
            <sz val="9"/>
            <color indexed="81"/>
            <rFont val="宋体"/>
            <family val="3"/>
            <charset val="134"/>
          </rPr>
          <t>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13</t>
        </r>
        <r>
          <rPr>
            <sz val="9"/>
            <color indexed="81"/>
            <rFont val="宋体"/>
            <family val="3"/>
            <charset val="134"/>
          </rPr>
          <t>列合计＝表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10</t>
        </r>
        <r>
          <rPr>
            <sz val="9"/>
            <color indexed="81"/>
            <rFont val="宋体"/>
            <family val="3"/>
            <charset val="134"/>
          </rPr>
          <t>列。</t>
        </r>
        <r>
          <rPr>
            <sz val="9"/>
            <color indexed="81"/>
            <rFont val="Tahoma"/>
            <family val="2"/>
          </rPr>
          <t xml:space="preserve">
</t>
        </r>
      </text>
    </comment>
  </commentList>
</comments>
</file>

<file path=xl/comments45.xml><?xml version="1.0" encoding="utf-8"?>
<comments xmlns="http://schemas.openxmlformats.org/spreadsheetml/2006/main">
  <authors>
    <author>Cindy Wang</author>
    <author>Zhang, Dorothy</author>
  </authors>
  <commentList>
    <comment ref="A2" authorId="0">
      <text>
        <r>
          <rPr>
            <sz val="9"/>
            <color indexed="81"/>
            <rFont val="宋体"/>
            <family val="3"/>
            <charset val="134"/>
          </rPr>
          <t>本表适用于取得境外所得的纳税人填报。纳税人应根据税法、《财政部 国家税务总局关于企业境外所得税收抵免有关问题的通知》（财税〔2009〕125号）、《国家税务总局关于发布〈企业境外所得税收抵免操作指南〉的公告》（国家税务总局公告2010年第1号）、《财政部 国家税务总局关于我国石油企业从事油（气）资源开采所得税收抵免有关问题的通知》（财税〔2011〕23号）、《财政部 税务总局关于完善企业境外所得税收抵免政策问题的通知》（财税〔2017〕84号）规定，填报境外分支机构本年及以前年度发生的税前尚未弥补的非实际亏损额和实际亏损额、结转以后年度弥补的非实际亏损额和实际亏损额，并按国（地区）别逐行填报。</t>
        </r>
      </text>
    </comment>
    <comment ref="C3" authorId="0">
      <text>
        <r>
          <rPr>
            <sz val="9"/>
            <color indexed="81"/>
            <rFont val="宋体"/>
            <family val="3"/>
            <charset val="134"/>
          </rPr>
          <t>第2列至第5列“非实际亏损额的弥补”：填报纳税人境外分支机构非实际亏损额未弥补金额、本年发生的金额、本年弥补的金额、结转以后年度弥补的金额。</t>
        </r>
      </text>
    </comment>
    <comment ref="G3" authorId="0">
      <text>
        <r>
          <rPr>
            <sz val="9"/>
            <color indexed="81"/>
            <rFont val="宋体"/>
            <family val="3"/>
            <charset val="134"/>
          </rPr>
          <t>第6列至第19列“实际亏损额的弥补”：填报纳税人境外分支机构实际亏损额弥补金额。</t>
        </r>
      </text>
    </comment>
    <comment ref="E4" authorId="1">
      <text>
        <r>
          <rPr>
            <sz val="9"/>
            <color indexed="81"/>
            <rFont val="宋体"/>
            <family val="3"/>
            <charset val="134"/>
          </rPr>
          <t>若选择</t>
        </r>
        <r>
          <rPr>
            <sz val="9"/>
            <color indexed="81"/>
            <rFont val="Tahoma"/>
            <family val="2"/>
          </rPr>
          <t>“</t>
        </r>
        <r>
          <rPr>
            <sz val="9"/>
            <color indexed="81"/>
            <rFont val="宋体"/>
            <family val="3"/>
            <charset val="134"/>
          </rPr>
          <t>分国（地区）不分项</t>
        </r>
        <r>
          <rPr>
            <sz val="9"/>
            <color indexed="81"/>
            <rFont val="Tahoma"/>
            <family val="2"/>
          </rPr>
          <t>”</t>
        </r>
        <r>
          <rPr>
            <sz val="9"/>
            <color indexed="81"/>
            <rFont val="宋体"/>
            <family val="3"/>
            <charset val="134"/>
          </rPr>
          <t>的境外所得抵免方式，第</t>
        </r>
        <r>
          <rPr>
            <sz val="9"/>
            <color indexed="81"/>
            <rFont val="Tahoma"/>
            <family val="2"/>
          </rPr>
          <t>4</t>
        </r>
        <r>
          <rPr>
            <sz val="9"/>
            <color indexed="81"/>
            <rFont val="宋体"/>
            <family val="3"/>
            <charset val="134"/>
          </rPr>
          <t>列各行</t>
        </r>
        <r>
          <rPr>
            <sz val="9"/>
            <color indexed="81"/>
            <rFont val="Tahoma"/>
            <family val="2"/>
          </rPr>
          <t>+</t>
        </r>
        <r>
          <rPr>
            <sz val="9"/>
            <color indexed="81"/>
            <rFont val="宋体"/>
            <family val="3"/>
            <charset val="134"/>
          </rPr>
          <t>第</t>
        </r>
        <r>
          <rPr>
            <sz val="9"/>
            <color indexed="81"/>
            <rFont val="Tahoma"/>
            <family val="2"/>
          </rPr>
          <t>13</t>
        </r>
        <r>
          <rPr>
            <sz val="9"/>
            <color indexed="81"/>
            <rFont val="宋体"/>
            <family val="3"/>
            <charset val="134"/>
          </rPr>
          <t>列各行＝表</t>
        </r>
        <r>
          <rPr>
            <sz val="9"/>
            <color indexed="81"/>
            <rFont val="Tahoma"/>
            <family val="2"/>
          </rPr>
          <t>A108000</t>
        </r>
        <r>
          <rPr>
            <sz val="9"/>
            <color indexed="81"/>
            <rFont val="宋体"/>
            <family val="3"/>
            <charset val="134"/>
          </rPr>
          <t>第</t>
        </r>
        <r>
          <rPr>
            <sz val="9"/>
            <color indexed="81"/>
            <rFont val="Tahoma"/>
            <family val="2"/>
          </rPr>
          <t>4</t>
        </r>
        <r>
          <rPr>
            <sz val="9"/>
            <color indexed="81"/>
            <rFont val="宋体"/>
            <family val="3"/>
            <charset val="134"/>
          </rPr>
          <t>列相应行次；若选择</t>
        </r>
        <r>
          <rPr>
            <sz val="9"/>
            <color indexed="81"/>
            <rFont val="Tahoma"/>
            <family val="2"/>
          </rPr>
          <t>“</t>
        </r>
        <r>
          <rPr>
            <sz val="9"/>
            <color indexed="81"/>
            <rFont val="宋体"/>
            <family val="3"/>
            <charset val="134"/>
          </rPr>
          <t>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4</t>
        </r>
        <r>
          <rPr>
            <sz val="9"/>
            <color indexed="81"/>
            <rFont val="宋体"/>
            <family val="3"/>
            <charset val="134"/>
          </rPr>
          <t>列合计</t>
        </r>
        <r>
          <rPr>
            <sz val="9"/>
            <color indexed="81"/>
            <rFont val="Tahoma"/>
            <family val="2"/>
          </rPr>
          <t>+</t>
        </r>
        <r>
          <rPr>
            <sz val="9"/>
            <color indexed="81"/>
            <rFont val="宋体"/>
            <family val="3"/>
            <charset val="134"/>
          </rPr>
          <t>第</t>
        </r>
        <r>
          <rPr>
            <sz val="9"/>
            <color indexed="81"/>
            <rFont val="Tahoma"/>
            <family val="2"/>
          </rPr>
          <t>13</t>
        </r>
        <r>
          <rPr>
            <sz val="9"/>
            <color indexed="81"/>
            <rFont val="宋体"/>
            <family val="3"/>
            <charset val="134"/>
          </rPr>
          <t>列合计＝表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4</t>
        </r>
        <r>
          <rPr>
            <sz val="9"/>
            <color indexed="81"/>
            <rFont val="宋体"/>
            <family val="3"/>
            <charset val="134"/>
          </rPr>
          <t>列。</t>
        </r>
        <r>
          <rPr>
            <sz val="9"/>
            <color indexed="81"/>
            <rFont val="Tahoma"/>
            <family val="2"/>
          </rPr>
          <t xml:space="preserve">
</t>
        </r>
      </text>
    </comment>
    <comment ref="N4" authorId="1">
      <text>
        <r>
          <rPr>
            <sz val="9"/>
            <color indexed="81"/>
            <rFont val="宋体"/>
            <family val="3"/>
            <charset val="134"/>
          </rPr>
          <t>若选择</t>
        </r>
        <r>
          <rPr>
            <sz val="9"/>
            <color indexed="81"/>
            <rFont val="Tahoma"/>
            <family val="2"/>
          </rPr>
          <t>“</t>
        </r>
        <r>
          <rPr>
            <sz val="9"/>
            <color indexed="81"/>
            <rFont val="宋体"/>
            <family val="3"/>
            <charset val="134"/>
          </rPr>
          <t>分国（地区）不分项</t>
        </r>
        <r>
          <rPr>
            <sz val="9"/>
            <color indexed="81"/>
            <rFont val="Tahoma"/>
            <family val="2"/>
          </rPr>
          <t>”</t>
        </r>
        <r>
          <rPr>
            <sz val="9"/>
            <color indexed="81"/>
            <rFont val="宋体"/>
            <family val="3"/>
            <charset val="134"/>
          </rPr>
          <t>的境外所得抵免方式，第</t>
        </r>
        <r>
          <rPr>
            <sz val="9"/>
            <color indexed="81"/>
            <rFont val="Tahoma"/>
            <family val="2"/>
          </rPr>
          <t>4</t>
        </r>
        <r>
          <rPr>
            <sz val="9"/>
            <color indexed="81"/>
            <rFont val="宋体"/>
            <family val="3"/>
            <charset val="134"/>
          </rPr>
          <t>列各行</t>
        </r>
        <r>
          <rPr>
            <sz val="9"/>
            <color indexed="81"/>
            <rFont val="Tahoma"/>
            <family val="2"/>
          </rPr>
          <t>+</t>
        </r>
        <r>
          <rPr>
            <sz val="9"/>
            <color indexed="81"/>
            <rFont val="宋体"/>
            <family val="3"/>
            <charset val="134"/>
          </rPr>
          <t>第</t>
        </r>
        <r>
          <rPr>
            <sz val="9"/>
            <color indexed="81"/>
            <rFont val="Tahoma"/>
            <family val="2"/>
          </rPr>
          <t>13</t>
        </r>
        <r>
          <rPr>
            <sz val="9"/>
            <color indexed="81"/>
            <rFont val="宋体"/>
            <family val="3"/>
            <charset val="134"/>
          </rPr>
          <t>列各行＝表</t>
        </r>
        <r>
          <rPr>
            <sz val="9"/>
            <color indexed="81"/>
            <rFont val="Tahoma"/>
            <family val="2"/>
          </rPr>
          <t>A108000</t>
        </r>
        <r>
          <rPr>
            <sz val="9"/>
            <color indexed="81"/>
            <rFont val="宋体"/>
            <family val="3"/>
            <charset val="134"/>
          </rPr>
          <t>第</t>
        </r>
        <r>
          <rPr>
            <sz val="9"/>
            <color indexed="81"/>
            <rFont val="Tahoma"/>
            <family val="2"/>
          </rPr>
          <t>4</t>
        </r>
        <r>
          <rPr>
            <sz val="9"/>
            <color indexed="81"/>
            <rFont val="宋体"/>
            <family val="3"/>
            <charset val="134"/>
          </rPr>
          <t>列相应行次；若选择</t>
        </r>
        <r>
          <rPr>
            <sz val="9"/>
            <color indexed="81"/>
            <rFont val="Tahoma"/>
            <family val="2"/>
          </rPr>
          <t>“</t>
        </r>
        <r>
          <rPr>
            <sz val="9"/>
            <color indexed="81"/>
            <rFont val="宋体"/>
            <family val="3"/>
            <charset val="134"/>
          </rPr>
          <t>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4</t>
        </r>
        <r>
          <rPr>
            <sz val="9"/>
            <color indexed="81"/>
            <rFont val="宋体"/>
            <family val="3"/>
            <charset val="134"/>
          </rPr>
          <t>列合计</t>
        </r>
        <r>
          <rPr>
            <sz val="9"/>
            <color indexed="81"/>
            <rFont val="Tahoma"/>
            <family val="2"/>
          </rPr>
          <t>+</t>
        </r>
        <r>
          <rPr>
            <sz val="9"/>
            <color indexed="81"/>
            <rFont val="宋体"/>
            <family val="3"/>
            <charset val="134"/>
          </rPr>
          <t>第</t>
        </r>
        <r>
          <rPr>
            <sz val="9"/>
            <color indexed="81"/>
            <rFont val="Tahoma"/>
            <family val="2"/>
          </rPr>
          <t>13</t>
        </r>
        <r>
          <rPr>
            <sz val="9"/>
            <color indexed="81"/>
            <rFont val="宋体"/>
            <family val="3"/>
            <charset val="134"/>
          </rPr>
          <t>列合计＝表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4</t>
        </r>
        <r>
          <rPr>
            <sz val="9"/>
            <color indexed="81"/>
            <rFont val="宋体"/>
            <family val="3"/>
            <charset val="134"/>
          </rPr>
          <t>列。</t>
        </r>
      </text>
    </comment>
  </commentList>
</comments>
</file>

<file path=xl/comments46.xml><?xml version="1.0" encoding="utf-8"?>
<comments xmlns="http://schemas.openxmlformats.org/spreadsheetml/2006/main">
  <authors>
    <author>Zhang, Dorothy</author>
    <author>Cindy Wang</author>
  </authors>
  <commentList>
    <comment ref="A2" authorId="0">
      <text>
        <r>
          <rPr>
            <sz val="9"/>
            <color indexed="81"/>
            <rFont val="Tahoma"/>
            <family val="2"/>
          </rPr>
          <t>本表适用于取得境外所得的纳税人填报。纳税人应根据税法、《财政部 国家税务总局关于企业境外所得税收抵免有关问题的通知》（财税〔2009〕125号）、《国家税务总局关于发布〈企业境外所得税收抵免操作指南〉的公告》（国家税务总局公告2010年第1号）、《财政部 国家税务总局关于我国石油企业从事油（气）资源开采所得税收抵免有关问题的通知》（财税〔2011〕23号）、《财政部 税务总局关于完善企业境外所得税收抵免政策问题的通知》（财税〔2017〕84号）规定，填报本年发生的来源于不同国家或地区的境外所得按照我国税收法律、法规的规定可以抵免的所得税额，并按国（地区）别逐行填报。</t>
        </r>
      </text>
    </comment>
    <comment ref="C3" authorId="1">
      <text>
        <r>
          <rPr>
            <sz val="9"/>
            <color indexed="81"/>
            <rFont val="宋体"/>
            <family val="3"/>
            <charset val="134"/>
          </rPr>
          <t>填报纳税人前五年境外所得已缴纳的企业所得税尚未抵免的余额。</t>
        </r>
      </text>
    </comment>
    <comment ref="I3" authorId="1">
      <text>
        <r>
          <rPr>
            <sz val="9"/>
            <color indexed="81"/>
            <rFont val="宋体"/>
            <family val="3"/>
            <charset val="134"/>
          </rPr>
          <t>填报纳税人用本年未超过境外所得税款抵免限额的余额抵免以前年度未抵免的境外已缴所得税额。</t>
        </r>
      </text>
    </comment>
    <comment ref="O3" authorId="0">
      <text>
        <r>
          <rPr>
            <sz val="9"/>
            <color indexed="81"/>
            <rFont val="Tahoma"/>
            <family val="2"/>
          </rPr>
          <t>填报纳税人以前年度和本年未能抵免并结转以后年度抵免的境外所得已缴所得税额。</t>
        </r>
      </text>
    </comment>
    <comment ref="N5" authorId="0">
      <text>
        <r>
          <rPr>
            <sz val="9"/>
            <color indexed="81"/>
            <rFont val="宋体"/>
            <family val="3"/>
            <charset val="134"/>
          </rPr>
          <t>若选择</t>
        </r>
        <r>
          <rPr>
            <sz val="9"/>
            <color indexed="81"/>
            <rFont val="Tahoma"/>
            <family val="2"/>
          </rPr>
          <t>“</t>
        </r>
        <r>
          <rPr>
            <sz val="9"/>
            <color indexed="81"/>
            <rFont val="宋体"/>
            <family val="3"/>
            <charset val="134"/>
          </rPr>
          <t>分国（地区）不分项</t>
        </r>
        <r>
          <rPr>
            <sz val="9"/>
            <color indexed="81"/>
            <rFont val="Tahoma"/>
            <family val="2"/>
          </rPr>
          <t>”</t>
        </r>
        <r>
          <rPr>
            <sz val="9"/>
            <color indexed="81"/>
            <rFont val="宋体"/>
            <family val="3"/>
            <charset val="134"/>
          </rPr>
          <t>的境外所得抵免方式，第</t>
        </r>
        <r>
          <rPr>
            <sz val="9"/>
            <color indexed="81"/>
            <rFont val="Tahoma"/>
            <family val="2"/>
          </rPr>
          <t>13</t>
        </r>
        <r>
          <rPr>
            <sz val="9"/>
            <color indexed="81"/>
            <rFont val="宋体"/>
            <family val="3"/>
            <charset val="134"/>
          </rPr>
          <t>列各行＝表</t>
        </r>
        <r>
          <rPr>
            <sz val="9"/>
            <color indexed="81"/>
            <rFont val="Tahoma"/>
            <family val="2"/>
          </rPr>
          <t>A108000</t>
        </r>
        <r>
          <rPr>
            <sz val="9"/>
            <color indexed="81"/>
            <rFont val="宋体"/>
            <family val="3"/>
            <charset val="134"/>
          </rPr>
          <t>第</t>
        </r>
        <r>
          <rPr>
            <sz val="9"/>
            <color indexed="81"/>
            <rFont val="Tahoma"/>
            <family val="2"/>
          </rPr>
          <t>14</t>
        </r>
        <r>
          <rPr>
            <sz val="9"/>
            <color indexed="81"/>
            <rFont val="宋体"/>
            <family val="3"/>
            <charset val="134"/>
          </rPr>
          <t>列相应行次；若选择</t>
        </r>
        <r>
          <rPr>
            <sz val="9"/>
            <color indexed="81"/>
            <rFont val="Tahoma"/>
            <family val="2"/>
          </rPr>
          <t>“</t>
        </r>
        <r>
          <rPr>
            <sz val="9"/>
            <color indexed="81"/>
            <rFont val="宋体"/>
            <family val="3"/>
            <charset val="134"/>
          </rPr>
          <t>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13</t>
        </r>
        <r>
          <rPr>
            <sz val="9"/>
            <color indexed="81"/>
            <rFont val="宋体"/>
            <family val="3"/>
            <charset val="134"/>
          </rPr>
          <t>列合计＝表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14</t>
        </r>
        <r>
          <rPr>
            <sz val="9"/>
            <color indexed="81"/>
            <rFont val="宋体"/>
            <family val="3"/>
            <charset val="134"/>
          </rPr>
          <t>列。</t>
        </r>
        <r>
          <rPr>
            <sz val="9"/>
            <color indexed="81"/>
            <rFont val="Tahoma"/>
            <family val="2"/>
          </rPr>
          <t xml:space="preserve">
</t>
        </r>
      </text>
    </comment>
    <comment ref="S5" authorId="0">
      <text>
        <r>
          <rPr>
            <sz val="9"/>
            <color indexed="81"/>
            <rFont val="宋体"/>
            <family val="3"/>
            <charset val="134"/>
          </rPr>
          <t>若选择</t>
        </r>
        <r>
          <rPr>
            <sz val="9"/>
            <color indexed="81"/>
            <rFont val="Tahoma"/>
            <family val="2"/>
          </rPr>
          <t>“</t>
        </r>
        <r>
          <rPr>
            <sz val="9"/>
            <color indexed="81"/>
            <rFont val="宋体"/>
            <family val="3"/>
            <charset val="134"/>
          </rPr>
          <t>分国（地区）不分项</t>
        </r>
        <r>
          <rPr>
            <sz val="9"/>
            <color indexed="81"/>
            <rFont val="Tahoma"/>
            <family val="2"/>
          </rPr>
          <t>”</t>
        </r>
        <r>
          <rPr>
            <sz val="9"/>
            <color indexed="81"/>
            <rFont val="宋体"/>
            <family val="3"/>
            <charset val="134"/>
          </rPr>
          <t>的境外所得抵免方式，第</t>
        </r>
        <r>
          <rPr>
            <sz val="9"/>
            <color indexed="81"/>
            <rFont val="Tahoma"/>
            <family val="2"/>
          </rPr>
          <t>18</t>
        </r>
        <r>
          <rPr>
            <sz val="9"/>
            <color indexed="81"/>
            <rFont val="宋体"/>
            <family val="3"/>
            <charset val="134"/>
          </rPr>
          <t>列各行＝表</t>
        </r>
        <r>
          <rPr>
            <sz val="9"/>
            <color indexed="81"/>
            <rFont val="Tahoma"/>
            <family val="2"/>
          </rPr>
          <t>A108000</t>
        </r>
        <r>
          <rPr>
            <sz val="9"/>
            <color indexed="81"/>
            <rFont val="宋体"/>
            <family val="3"/>
            <charset val="134"/>
          </rPr>
          <t>第</t>
        </r>
        <r>
          <rPr>
            <sz val="9"/>
            <color indexed="81"/>
            <rFont val="Tahoma"/>
            <family val="2"/>
          </rPr>
          <t>10</t>
        </r>
        <r>
          <rPr>
            <sz val="9"/>
            <color indexed="81"/>
            <rFont val="宋体"/>
            <family val="3"/>
            <charset val="134"/>
          </rPr>
          <t>列相应行次</t>
        </r>
        <r>
          <rPr>
            <sz val="9"/>
            <color indexed="81"/>
            <rFont val="Tahoma"/>
            <family val="2"/>
          </rPr>
          <t>-</t>
        </r>
        <r>
          <rPr>
            <sz val="9"/>
            <color indexed="81"/>
            <rFont val="宋体"/>
            <family val="3"/>
            <charset val="134"/>
          </rPr>
          <t>第</t>
        </r>
        <r>
          <rPr>
            <sz val="9"/>
            <color indexed="81"/>
            <rFont val="Tahoma"/>
            <family val="2"/>
          </rPr>
          <t>12</t>
        </r>
        <r>
          <rPr>
            <sz val="9"/>
            <color indexed="81"/>
            <rFont val="宋体"/>
            <family val="3"/>
            <charset val="134"/>
          </rPr>
          <t>列相应行次（当表</t>
        </r>
        <r>
          <rPr>
            <sz val="9"/>
            <color indexed="81"/>
            <rFont val="Tahoma"/>
            <family val="2"/>
          </rPr>
          <t>A108000</t>
        </r>
        <r>
          <rPr>
            <sz val="9"/>
            <color indexed="81"/>
            <rFont val="宋体"/>
            <family val="3"/>
            <charset val="134"/>
          </rPr>
          <t>第</t>
        </r>
        <r>
          <rPr>
            <sz val="9"/>
            <color indexed="81"/>
            <rFont val="Tahoma"/>
            <family val="2"/>
          </rPr>
          <t>10</t>
        </r>
        <r>
          <rPr>
            <sz val="9"/>
            <color indexed="81"/>
            <rFont val="宋体"/>
            <family val="3"/>
            <charset val="134"/>
          </rPr>
          <t>列相应行次大于第</t>
        </r>
        <r>
          <rPr>
            <sz val="9"/>
            <color indexed="81"/>
            <rFont val="Tahoma"/>
            <family val="2"/>
          </rPr>
          <t>12</t>
        </r>
        <r>
          <rPr>
            <sz val="9"/>
            <color indexed="81"/>
            <rFont val="宋体"/>
            <family val="3"/>
            <charset val="134"/>
          </rPr>
          <t>列相应行次时填报）；若选择</t>
        </r>
        <r>
          <rPr>
            <sz val="9"/>
            <color indexed="81"/>
            <rFont val="Tahoma"/>
            <family val="2"/>
          </rPr>
          <t>“</t>
        </r>
        <r>
          <rPr>
            <sz val="9"/>
            <color indexed="81"/>
            <rFont val="宋体"/>
            <family val="3"/>
            <charset val="134"/>
          </rPr>
          <t>不分国（地区）不分项</t>
        </r>
        <r>
          <rPr>
            <sz val="9"/>
            <color indexed="81"/>
            <rFont val="Tahoma"/>
            <family val="2"/>
          </rPr>
          <t xml:space="preserve">” </t>
        </r>
        <r>
          <rPr>
            <sz val="9"/>
            <color indexed="81"/>
            <rFont val="宋体"/>
            <family val="3"/>
            <charset val="134"/>
          </rPr>
          <t>的境外所得抵免方式，第</t>
        </r>
        <r>
          <rPr>
            <sz val="9"/>
            <color indexed="81"/>
            <rFont val="Tahoma"/>
            <family val="2"/>
          </rPr>
          <t>18</t>
        </r>
        <r>
          <rPr>
            <sz val="9"/>
            <color indexed="81"/>
            <rFont val="宋体"/>
            <family val="3"/>
            <charset val="134"/>
          </rPr>
          <t>列合计＝表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10</t>
        </r>
        <r>
          <rPr>
            <sz val="9"/>
            <color indexed="81"/>
            <rFont val="宋体"/>
            <family val="3"/>
            <charset val="134"/>
          </rPr>
          <t>列</t>
        </r>
        <r>
          <rPr>
            <sz val="9"/>
            <color indexed="81"/>
            <rFont val="Tahoma"/>
            <family val="2"/>
          </rPr>
          <t>-</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12</t>
        </r>
        <r>
          <rPr>
            <sz val="9"/>
            <color indexed="81"/>
            <rFont val="宋体"/>
            <family val="3"/>
            <charset val="134"/>
          </rPr>
          <t>列（当表</t>
        </r>
        <r>
          <rPr>
            <sz val="9"/>
            <color indexed="81"/>
            <rFont val="Tahoma"/>
            <family val="2"/>
          </rPr>
          <t>A108000</t>
        </r>
        <r>
          <rPr>
            <sz val="9"/>
            <color indexed="81"/>
            <rFont val="宋体"/>
            <family val="3"/>
            <charset val="134"/>
          </rPr>
          <t>第</t>
        </r>
        <r>
          <rPr>
            <sz val="9"/>
            <color indexed="81"/>
            <rFont val="Tahoma"/>
            <family val="2"/>
          </rPr>
          <t>1</t>
        </r>
        <r>
          <rPr>
            <sz val="9"/>
            <color indexed="81"/>
            <rFont val="宋体"/>
            <family val="3"/>
            <charset val="134"/>
          </rPr>
          <t>行第</t>
        </r>
        <r>
          <rPr>
            <sz val="9"/>
            <color indexed="81"/>
            <rFont val="Tahoma"/>
            <family val="2"/>
          </rPr>
          <t>10</t>
        </r>
        <r>
          <rPr>
            <sz val="9"/>
            <color indexed="81"/>
            <rFont val="宋体"/>
            <family val="3"/>
            <charset val="134"/>
          </rPr>
          <t>列次大于第</t>
        </r>
        <r>
          <rPr>
            <sz val="9"/>
            <color indexed="81"/>
            <rFont val="Tahoma"/>
            <family val="2"/>
          </rPr>
          <t>1</t>
        </r>
        <r>
          <rPr>
            <sz val="9"/>
            <color indexed="81"/>
            <rFont val="宋体"/>
            <family val="3"/>
            <charset val="134"/>
          </rPr>
          <t>行第</t>
        </r>
        <r>
          <rPr>
            <sz val="9"/>
            <color indexed="81"/>
            <rFont val="Tahoma"/>
            <family val="2"/>
          </rPr>
          <t>12</t>
        </r>
        <r>
          <rPr>
            <sz val="9"/>
            <color indexed="81"/>
            <rFont val="宋体"/>
            <family val="3"/>
            <charset val="134"/>
          </rPr>
          <t>列时填报）。</t>
        </r>
        <r>
          <rPr>
            <sz val="9"/>
            <color indexed="81"/>
            <rFont val="Tahoma"/>
            <family val="2"/>
          </rPr>
          <t xml:space="preserve">
</t>
        </r>
      </text>
    </comment>
  </commentList>
</comments>
</file>

<file path=xl/comments47.xml><?xml version="1.0" encoding="utf-8"?>
<comments xmlns="http://schemas.openxmlformats.org/spreadsheetml/2006/main">
  <authors>
    <author>Cindy Wang</author>
  </authors>
  <commentList>
    <comment ref="A2" authorId="0">
      <text>
        <r>
          <rPr>
            <sz val="9"/>
            <color indexed="81"/>
            <rFont val="宋体"/>
            <family val="3"/>
            <charset val="134"/>
          </rPr>
          <t>本表适用于跨地区经营汇总纳税的纳税人填报。</t>
        </r>
      </text>
    </comment>
    <comment ref="B4" authorId="0">
      <text>
        <r>
          <rPr>
            <sz val="9"/>
            <color indexed="81"/>
            <rFont val="宋体"/>
            <family val="3"/>
            <charset val="134"/>
          </rPr>
          <t>填报《企业所得税年度纳税申报表》（A100000）第31行的金额。</t>
        </r>
      </text>
    </comment>
    <comment ref="B5" authorId="0">
      <text>
        <r>
          <rPr>
            <sz val="9"/>
            <color indexed="81"/>
            <rFont val="宋体"/>
            <family val="3"/>
            <charset val="134"/>
          </rPr>
          <t>填报表A100000第29行的金额。</t>
        </r>
      </text>
    </comment>
    <comment ref="B6" authorId="0">
      <text>
        <r>
          <rPr>
            <sz val="9"/>
            <color indexed="81"/>
            <rFont val="宋体"/>
            <family val="3"/>
            <charset val="134"/>
          </rPr>
          <t>填报表A100000第30行的金额。</t>
        </r>
      </text>
    </comment>
    <comment ref="B7" authorId="0">
      <text>
        <r>
          <rPr>
            <sz val="9"/>
            <color indexed="81"/>
            <rFont val="宋体"/>
            <family val="3"/>
            <charset val="134"/>
          </rPr>
          <t>填报第1-2+3行的金额。</t>
        </r>
      </text>
    </comment>
    <comment ref="B8" authorId="0">
      <text>
        <r>
          <rPr>
            <sz val="9"/>
            <color indexed="81"/>
            <rFont val="宋体"/>
            <family val="3"/>
            <charset val="134"/>
          </rPr>
          <t>填报总机构按照税收规定计算的跨地区分支机构本年累计已分摊的所得税额、建筑企业总机构直接管理的跨地区项目部本年累计已预分并就地预缴的所得税额。填报第6+7+8+9行的金额。</t>
        </r>
      </text>
    </comment>
    <comment ref="B9" authorId="0">
      <text>
        <r>
          <rPr>
            <sz val="9"/>
            <color indexed="81"/>
            <rFont val="宋体"/>
            <family val="3"/>
            <charset val="134"/>
          </rPr>
          <t>填报建筑企业总机构按照规定在预缴纳税申报时，向其直接管理的项目部所在地按照项目收入的0.2%预分的所得税额。</t>
        </r>
      </text>
    </comment>
    <comment ref="C9" authorId="0">
      <text>
        <r>
          <rPr>
            <sz val="9"/>
            <color indexed="81"/>
            <rFont val="宋体"/>
            <family val="3"/>
            <charset val="134"/>
          </rPr>
          <t>根据缴款书确认</t>
        </r>
      </text>
    </comment>
    <comment ref="B10" authorId="0">
      <text>
        <r>
          <rPr>
            <sz val="9"/>
            <color indexed="81"/>
            <rFont val="宋体"/>
            <family val="3"/>
            <charset val="134"/>
          </rPr>
          <t>填报总机构在预缴申报时已按照规定比例计算缴纳的由总机构分摊的所得税额。</t>
        </r>
      </text>
    </comment>
    <comment ref="C10" authorId="0">
      <text>
        <r>
          <rPr>
            <sz val="9"/>
            <color indexed="81"/>
            <rFont val="宋体"/>
            <family val="3"/>
            <charset val="134"/>
          </rPr>
          <t>根据预缴分配表确认</t>
        </r>
      </text>
    </comment>
    <comment ref="B11" authorId="0">
      <text>
        <r>
          <rPr>
            <sz val="9"/>
            <color indexed="81"/>
            <rFont val="宋体"/>
            <family val="3"/>
            <charset val="134"/>
          </rPr>
          <t>填报总机构在预缴申报时已按照规定比例计算缴纳的由财政集中分配的所得税额。</t>
        </r>
      </text>
    </comment>
    <comment ref="C11" authorId="0">
      <text>
        <r>
          <rPr>
            <sz val="9"/>
            <color indexed="81"/>
            <rFont val="宋体"/>
            <family val="3"/>
            <charset val="134"/>
          </rPr>
          <t>根据预缴分配表确认</t>
        </r>
      </text>
    </comment>
    <comment ref="B12" authorId="0">
      <text>
        <r>
          <rPr>
            <sz val="9"/>
            <color indexed="81"/>
            <rFont val="宋体"/>
            <family val="3"/>
            <charset val="134"/>
          </rPr>
          <t>填报总机构在预缴申报时已按照规定比例计算缴纳的由所属分支机构分摊的所得税额。</t>
        </r>
      </text>
    </comment>
    <comment ref="C12" authorId="0">
      <text>
        <r>
          <rPr>
            <sz val="9"/>
            <color indexed="81"/>
            <rFont val="宋体"/>
            <family val="3"/>
            <charset val="134"/>
          </rPr>
          <t>根据预缴分配表确认</t>
        </r>
      </text>
    </comment>
    <comment ref="B13" authorId="0">
      <text>
        <r>
          <rPr>
            <sz val="9"/>
            <color indexed="81"/>
            <rFont val="宋体"/>
            <family val="3"/>
            <charset val="134"/>
          </rPr>
          <t>填报总机构在预缴申报时已按照规定比例计算缴纳的由总机构主体生产经营部门分摊的所得税额。</t>
        </r>
      </text>
    </comment>
    <comment ref="C13" authorId="0">
      <text>
        <r>
          <rPr>
            <sz val="9"/>
            <color indexed="81"/>
            <rFont val="宋体"/>
            <family val="3"/>
            <charset val="134"/>
          </rPr>
          <t>根据预缴分配表确认</t>
        </r>
      </text>
    </comment>
    <comment ref="B14" authorId="0">
      <text>
        <r>
          <rPr>
            <sz val="9"/>
            <color indexed="81"/>
            <rFont val="宋体"/>
            <family val="3"/>
            <charset val="134"/>
          </rPr>
          <t>填报总机构汇总计算本年度应补（退）的所得税额，不包括境外所得应纳所得税额。填报第4-5行的金额。</t>
        </r>
      </text>
    </comment>
    <comment ref="B15" authorId="0">
      <text>
        <r>
          <rPr>
            <sz val="9"/>
            <color indexed="81"/>
            <rFont val="宋体"/>
            <family val="3"/>
            <charset val="134"/>
          </rPr>
          <t>填报第11行×25%的金额。</t>
        </r>
      </text>
    </comment>
    <comment ref="B16" authorId="0">
      <text>
        <r>
          <rPr>
            <sz val="9"/>
            <color indexed="81"/>
            <rFont val="宋体"/>
            <family val="3"/>
            <charset val="134"/>
          </rPr>
          <t>填报第11行×25%的金额。</t>
        </r>
      </text>
    </comment>
    <comment ref="B17" authorId="0">
      <text>
        <r>
          <rPr>
            <sz val="9"/>
            <color indexed="81"/>
            <rFont val="宋体"/>
            <family val="3"/>
            <charset val="134"/>
          </rPr>
          <t>填报第11行×50%的金额。</t>
        </r>
      </text>
    </comment>
    <comment ref="B18" authorId="0">
      <text>
        <r>
          <rPr>
            <sz val="9"/>
            <color indexed="81"/>
            <rFont val="宋体"/>
            <family val="3"/>
            <charset val="134"/>
          </rPr>
          <t>填报第11行×总机构主体生产经营部门分摊比例的金额。</t>
        </r>
      </text>
    </comment>
    <comment ref="B19" authorId="0">
      <text>
        <r>
          <rPr>
            <sz val="9"/>
            <color indexed="81"/>
            <rFont val="宋体"/>
            <family val="3"/>
            <charset val="134"/>
          </rPr>
          <t>填报第2-3行的金额。</t>
        </r>
      </text>
    </comment>
    <comment ref="C19" authorId="0">
      <text>
        <r>
          <rPr>
            <sz val="9"/>
            <color indexed="81"/>
            <rFont val="宋体"/>
            <family val="3"/>
            <charset val="134"/>
          </rPr>
          <t>境外所得应纳税额</t>
        </r>
      </text>
    </comment>
    <comment ref="B20" authorId="0">
      <text>
        <r>
          <rPr>
            <sz val="9"/>
            <color indexed="81"/>
            <rFont val="宋体"/>
            <family val="3"/>
            <charset val="134"/>
          </rPr>
          <t>填报第12+13+15+16行的金额。</t>
        </r>
      </text>
    </comment>
    <comment ref="C20" authorId="0">
      <text>
        <r>
          <rPr>
            <sz val="9"/>
            <color indexed="81"/>
            <rFont val="宋体"/>
            <family val="3"/>
            <charset val="134"/>
          </rPr>
          <t>由总机构申报入库金额</t>
        </r>
      </text>
    </comment>
  </commentList>
</comments>
</file>

<file path=xl/comments48.xml><?xml version="1.0" encoding="utf-8"?>
<comments xmlns="http://schemas.openxmlformats.org/spreadsheetml/2006/main">
  <authors>
    <author>Cindy Wang</author>
    <author>Zhang, Dorothy</author>
  </authors>
  <commentList>
    <comment ref="A2" authorId="0">
      <text>
        <r>
          <rPr>
            <sz val="9"/>
            <color indexed="81"/>
            <rFont val="宋体"/>
            <family val="3"/>
            <charset val="134"/>
          </rPr>
          <t>本表适用于跨地区经营汇总纳税的总机构填报。纳税人应根据税法、《财政部 国家税务总局 中国人民银行关于印发〈跨省市总分机构企业所得税分配及预算管理办法〉的通知》（财预〔2012〕40号）、《国家税务总局关于印发〈跨地区经营汇总纳税企业所得税征收管理办法〉的公告》（国家税务总局公告2012年第57号）规定计算总分机构每一纳税年度应缴的企业所得税额、总机构和分支机构应分摊的企业所得税额。对于仅在同一省（自治区、直辖市和计划单列市）内设立不具有法人资格分支机构的企业，根据本省（自治区、直辖市和计划单列市）汇总纳税分配办法在总机构和各分支机构分配企业所得税额的，填报本表。</t>
        </r>
      </text>
    </comment>
    <comment ref="A3" authorId="0">
      <text>
        <r>
          <rPr>
            <sz val="9"/>
            <color indexed="81"/>
            <rFont val="宋体"/>
            <family val="3"/>
            <charset val="134"/>
          </rPr>
          <t>填报公历1月1日至12月31日。</t>
        </r>
      </text>
    </comment>
    <comment ref="A5" authorId="1">
      <text>
        <r>
          <rPr>
            <sz val="9"/>
            <color indexed="81"/>
            <rFont val="Tahoma"/>
            <family val="2"/>
          </rPr>
          <t>填报工商等部门核发的纳税人统一社会信用代码。未取得统一社会信用代码的，填报税务机关核发的纳税人识别号。</t>
        </r>
      </text>
    </comment>
    <comment ref="A6" authorId="0">
      <text>
        <r>
          <rPr>
            <sz val="9"/>
            <color indexed="81"/>
            <rFont val="宋体"/>
            <family val="3"/>
            <charset val="134"/>
          </rPr>
          <t>填报企业汇总计算的、且不包括境外所得应纳所得税额的本年应补（退）的所得税额。数据来源于《跨地区经营汇总纳税企业年度分摊企业所得税明细表》（A109000）第11行“本年度应分摊的应补（退）所得税额”。</t>
        </r>
      </text>
    </comment>
    <comment ref="C6" authorId="0">
      <text>
        <r>
          <rPr>
            <sz val="9"/>
            <color indexed="81"/>
            <rFont val="宋体"/>
            <family val="3"/>
            <charset val="134"/>
          </rPr>
          <t>对于跨省（自治区、直辖市、计划单列市）经营汇总纳税企业，填报企业本年应补（退）所得税额×25%后的金额；对于同一省（自治区、直辖市、计划单列市）内跨地区经营汇总纳税企业，填报企业本年应补（退）所得税额×规定比例后的金额。</t>
        </r>
      </text>
    </comment>
    <comment ref="D6" authorId="0">
      <text>
        <r>
          <rPr>
            <sz val="9"/>
            <color indexed="81"/>
            <rFont val="宋体"/>
            <family val="3"/>
            <charset val="134"/>
          </rPr>
          <t>对于跨省（自治区、直辖市、计划单列市）经营汇总纳税企业，填报企业本年应补（退）所得税额×25%后的金额；对于同一省（自治区、直辖市、计划单列市）内跨地区经营汇总纳税企业，填报企业本年应补（退）所得税额×规定比例后的金额。</t>
        </r>
      </text>
    </comment>
    <comment ref="G6" authorId="1">
      <text>
        <r>
          <rPr>
            <sz val="9"/>
            <color indexed="81"/>
            <rFont val="宋体"/>
            <family val="3"/>
            <charset val="134"/>
          </rPr>
          <t>对于跨省（自治区、直辖市、计划单列市）经营汇总纳税企业，填报企业本年应补（退）的所得税额</t>
        </r>
        <r>
          <rPr>
            <sz val="9"/>
            <color indexed="81"/>
            <rFont val="Tahoma"/>
            <family val="2"/>
          </rPr>
          <t>×50%</t>
        </r>
        <r>
          <rPr>
            <sz val="9"/>
            <color indexed="81"/>
            <rFont val="宋体"/>
            <family val="3"/>
            <charset val="134"/>
          </rPr>
          <t>后的金额；对于同一省（自治区、直辖市、计划单列市）内跨地区经营汇总纳税企业，填报企业本年应补（退）所得税额</t>
        </r>
        <r>
          <rPr>
            <sz val="9"/>
            <color indexed="81"/>
            <rFont val="Tahoma"/>
            <family val="2"/>
          </rPr>
          <t>×</t>
        </r>
        <r>
          <rPr>
            <sz val="9"/>
            <color indexed="81"/>
            <rFont val="宋体"/>
            <family val="3"/>
            <charset val="134"/>
          </rPr>
          <t>规定比例后的金额。</t>
        </r>
      </text>
    </comment>
    <comment ref="D7" authorId="0">
      <text>
        <r>
          <rPr>
            <sz val="9"/>
            <color indexed="81"/>
            <rFont val="宋体"/>
            <family val="3"/>
            <charset val="134"/>
          </rPr>
          <t>总机构分摊所得税额＝应纳所得税额×25%。</t>
        </r>
      </text>
    </comment>
    <comment ref="G8" authorId="0">
      <text>
        <r>
          <rPr>
            <sz val="9"/>
            <color indexed="81"/>
            <rFont val="宋体"/>
            <family val="3"/>
            <charset val="134"/>
          </rPr>
          <t>填报经总机构所在地主管税务机关审核确认的各分支机构分配比例，分配比例应保留小数点后十位。</t>
        </r>
      </text>
    </comment>
    <comment ref="H8" authorId="0">
      <text>
        <r>
          <rPr>
            <sz val="9"/>
            <color indexed="81"/>
            <rFont val="宋体"/>
            <family val="3"/>
            <charset val="134"/>
          </rPr>
          <t>填报分支机构按照分支机构分摊所得税额乘以相应的分配比例的金额。</t>
        </r>
      </text>
    </comment>
    <comment ref="D9" authorId="0">
      <text>
        <r>
          <rPr>
            <sz val="9"/>
            <color indexed="81"/>
            <rFont val="宋体"/>
            <family val="3"/>
            <charset val="134"/>
          </rPr>
          <t>填报上一年度各分支机构销售商品、提供劳务、让渡资产使用权等日常经营活动实现的全部收入的合计额。</t>
        </r>
      </text>
    </comment>
    <comment ref="E9" authorId="0">
      <text>
        <r>
          <rPr>
            <sz val="9"/>
            <color indexed="81"/>
            <rFont val="宋体"/>
            <family val="3"/>
            <charset val="134"/>
          </rPr>
          <t>填报上一年度各分支机构为获得职工提供的服务而给予各种形式的报酬以及其他相关支出的合计额。</t>
        </r>
      </text>
    </comment>
    <comment ref="F9" authorId="0">
      <text>
        <r>
          <rPr>
            <sz val="9"/>
            <color indexed="81"/>
            <rFont val="宋体"/>
            <family val="3"/>
            <charset val="134"/>
          </rPr>
          <t>填报上一年度各分支机构在经营活动中实际使用的应归属于该分支机构的资产合计额。</t>
        </r>
      </text>
    </comment>
    <comment ref="B24" authorId="0">
      <text>
        <r>
          <rPr>
            <sz val="9"/>
            <color indexed="81"/>
            <rFont val="宋体"/>
            <family val="3"/>
            <charset val="134"/>
          </rPr>
          <t>填报上一年度各分支机构的营业收入总额、职工薪酬总额和资产总额三项因素的合计金额及本年各分支机构分配比例和分配税额的合计金额。</t>
        </r>
      </text>
    </comment>
  </commentList>
</comments>
</file>

<file path=xl/comments49.xml><?xml version="1.0" encoding="utf-8"?>
<comments xmlns="http://schemas.openxmlformats.org/spreadsheetml/2006/main">
  <authors>
    <author>Microsoft Office User</author>
  </authors>
  <commentList>
    <comment ref="A2" authorId="0">
      <text>
        <r>
          <rPr>
            <sz val="10"/>
            <color indexed="81"/>
            <rFont val="宋体"/>
            <family val="3"/>
            <charset val="134"/>
          </rPr>
          <t>本表在企业所得税汇算清缴时随申报表一并报送</t>
        </r>
        <r>
          <rPr>
            <sz val="10"/>
            <color indexed="81"/>
            <rFont val="Calibri"/>
            <family val="2"/>
          </rPr>
          <t>;</t>
        </r>
        <r>
          <rPr>
            <sz val="10"/>
            <color indexed="81"/>
            <rFont val="宋体"/>
            <family val="3"/>
            <charset val="134"/>
          </rPr>
          <t>本表应当按照</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辅助账汇总表填报；</t>
        </r>
      </text>
    </comment>
    <comment ref="B6" authorId="0">
      <text>
        <r>
          <rPr>
            <sz val="10"/>
            <color indexed="81"/>
            <rFont val="宋体"/>
            <family val="3"/>
            <charset val="134"/>
          </rPr>
          <t>一、人员人工费用小计</t>
        </r>
        <r>
          <rPr>
            <sz val="10"/>
            <color indexed="81"/>
            <rFont val="Calibri"/>
            <family val="2"/>
          </rPr>
          <t>”</t>
        </r>
        <r>
          <rPr>
            <sz val="10"/>
            <color indexed="81"/>
            <rFont val="宋体"/>
            <family val="3"/>
            <charset val="134"/>
          </rPr>
          <t>：等于序号</t>
        </r>
        <r>
          <rPr>
            <sz val="10"/>
            <color indexed="81"/>
            <rFont val="Calibri"/>
            <family val="2"/>
          </rPr>
          <t>1.1</t>
        </r>
        <r>
          <rPr>
            <sz val="10"/>
            <color indexed="81"/>
            <rFont val="宋体"/>
            <family val="3"/>
            <charset val="134"/>
          </rPr>
          <t>至</t>
        </r>
        <r>
          <rPr>
            <sz val="10"/>
            <color indexed="81"/>
            <rFont val="Calibri"/>
            <family val="2"/>
          </rPr>
          <t>1.3</t>
        </r>
        <r>
          <rPr>
            <sz val="10"/>
            <color indexed="81"/>
            <rFont val="宋体"/>
            <family val="3"/>
            <charset val="134"/>
          </rPr>
          <t>的合计</t>
        </r>
      </text>
    </comment>
    <comment ref="C7" authorId="0">
      <text>
        <r>
          <rPr>
            <sz val="10"/>
            <color indexed="81"/>
            <rFont val="Calibri"/>
            <family val="2"/>
          </rPr>
          <t>“1.</t>
        </r>
        <r>
          <rPr>
            <sz val="10"/>
            <color indexed="81"/>
            <rFont val="宋体"/>
            <family val="3"/>
            <charset val="134"/>
          </rPr>
          <t>直接从事研发活动人员工资薪金</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1.1</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C8" authorId="0">
      <text>
        <r>
          <rPr>
            <sz val="10"/>
            <color indexed="81"/>
            <rFont val="Calibri"/>
            <family val="2"/>
          </rPr>
          <t>1.</t>
        </r>
        <r>
          <rPr>
            <sz val="10"/>
            <color indexed="81"/>
            <rFont val="宋体"/>
            <family val="3"/>
            <charset val="134"/>
          </rPr>
          <t>直接从事研发活动人员五险一金</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1.2</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9" authorId="0">
      <text>
        <r>
          <rPr>
            <sz val="10"/>
            <color indexed="81"/>
            <rFont val="Calibri"/>
            <family val="2"/>
          </rPr>
          <t>2.</t>
        </r>
        <r>
          <rPr>
            <sz val="10"/>
            <color indexed="81"/>
            <rFont val="宋体"/>
            <family val="3"/>
            <charset val="134"/>
          </rPr>
          <t>外聘研发人员的劳务费用</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1.3</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10" authorId="0">
      <text>
        <r>
          <rPr>
            <sz val="10"/>
            <color indexed="81"/>
            <rFont val="宋体"/>
            <family val="3"/>
            <charset val="134"/>
          </rPr>
          <t>二、直接投入费用小计</t>
        </r>
        <r>
          <rPr>
            <sz val="10"/>
            <color indexed="81"/>
            <rFont val="Calibri"/>
            <family val="2"/>
          </rPr>
          <t>”</t>
        </r>
        <r>
          <rPr>
            <sz val="10"/>
            <color indexed="81"/>
            <rFont val="宋体"/>
            <family val="3"/>
            <charset val="134"/>
          </rPr>
          <t>：等于序号</t>
        </r>
        <r>
          <rPr>
            <sz val="10"/>
            <color indexed="81"/>
            <rFont val="Calibri"/>
            <family val="2"/>
          </rPr>
          <t>2.1</t>
        </r>
        <r>
          <rPr>
            <sz val="10"/>
            <color indexed="81"/>
            <rFont val="宋体"/>
            <family val="3"/>
            <charset val="134"/>
          </rPr>
          <t>至</t>
        </r>
        <r>
          <rPr>
            <sz val="10"/>
            <color indexed="81"/>
            <rFont val="Calibri"/>
            <family val="2"/>
          </rPr>
          <t>2.8</t>
        </r>
        <r>
          <rPr>
            <sz val="10"/>
            <color indexed="81"/>
            <rFont val="宋体"/>
            <family val="3"/>
            <charset val="134"/>
          </rPr>
          <t>的合计</t>
        </r>
      </text>
    </comment>
    <comment ref="C11" authorId="0">
      <text>
        <r>
          <rPr>
            <sz val="10"/>
            <color indexed="81"/>
            <rFont val="宋体"/>
            <family val="3"/>
            <charset val="134"/>
          </rPr>
          <t>研发活动直接消耗材料</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2.1</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C12" authorId="0">
      <text>
        <r>
          <rPr>
            <sz val="10"/>
            <color indexed="81"/>
            <rFont val="宋体"/>
            <family val="3"/>
            <charset val="134"/>
          </rPr>
          <t>研发活动直接消耗燃料</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2.2</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C13" authorId="0">
      <text>
        <r>
          <rPr>
            <sz val="10"/>
            <color indexed="81"/>
            <rFont val="宋体"/>
            <family val="3"/>
            <charset val="134"/>
          </rPr>
          <t>研发活动直接消耗动力费用</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2.3</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14" authorId="0">
      <text>
        <r>
          <rPr>
            <sz val="10"/>
            <color indexed="81"/>
            <rFont val="宋体"/>
            <family val="3"/>
            <charset val="134"/>
          </rPr>
          <t>研发活动直接消耗材料用于中间试验和产品试制的模具、工艺装备开发及制造费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t>
        </r>
        <r>
          <rPr>
            <sz val="10"/>
            <color indexed="81"/>
            <rFont val="Calibri"/>
            <family val="2"/>
          </rPr>
          <t xml:space="preserve"> </t>
        </r>
        <r>
          <rPr>
            <sz val="10"/>
            <color indexed="81"/>
            <rFont val="宋体"/>
            <family val="3"/>
            <charset val="134"/>
          </rPr>
          <t>表》序号</t>
        </r>
        <r>
          <rPr>
            <sz val="10"/>
            <color indexed="81"/>
            <rFont val="Calibri"/>
            <family val="2"/>
          </rPr>
          <t>2.4</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15" authorId="0">
      <text>
        <r>
          <rPr>
            <sz val="10"/>
            <color indexed="81"/>
            <rFont val="宋体"/>
            <family val="3"/>
            <charset val="134"/>
          </rPr>
          <t>用于不构成固定资产的样品、样机及一般测试手段购置费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2.5</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16" authorId="0">
      <text>
        <r>
          <rPr>
            <sz val="10"/>
            <color indexed="81"/>
            <rFont val="宋体"/>
            <family val="3"/>
            <charset val="134"/>
          </rPr>
          <t>用于试制产品的检验费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2.6</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17" authorId="0">
      <text>
        <r>
          <rPr>
            <sz val="10"/>
            <color indexed="81"/>
            <rFont val="宋体"/>
            <family val="3"/>
            <charset val="134"/>
          </rPr>
          <t>用于研发活动的仪器、设备的运行维护、调整、检验、维修等费用</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2.7</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 xml:space="preserve">结转管理费用
</t>
        </r>
      </text>
    </comment>
    <comment ref="B18" authorId="0">
      <text>
        <r>
          <rPr>
            <sz val="10"/>
            <color indexed="81"/>
            <rFont val="宋体"/>
            <family val="3"/>
            <charset val="134"/>
          </rPr>
          <t>通过经营租赁方式租入的用于研发活动的仪器、设备租赁费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2.8</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 xml:space="preserve">结转管理费用
</t>
        </r>
      </text>
    </comment>
    <comment ref="B19" authorId="0">
      <text>
        <r>
          <rPr>
            <sz val="10"/>
            <color indexed="81"/>
            <rFont val="宋体"/>
            <family val="3"/>
            <charset val="134"/>
          </rPr>
          <t>三、折旧费用小计</t>
        </r>
        <r>
          <rPr>
            <sz val="10"/>
            <color indexed="81"/>
            <rFont val="Calibri"/>
            <family val="2"/>
          </rPr>
          <t>”</t>
        </r>
        <r>
          <rPr>
            <sz val="10"/>
            <color indexed="81"/>
            <rFont val="宋体"/>
            <family val="3"/>
            <charset val="134"/>
          </rPr>
          <t>：等于序号</t>
        </r>
        <r>
          <rPr>
            <sz val="10"/>
            <color indexed="81"/>
            <rFont val="Calibri"/>
            <family val="2"/>
          </rPr>
          <t>3.1</t>
        </r>
        <r>
          <rPr>
            <sz val="10"/>
            <color indexed="81"/>
            <rFont val="宋体"/>
            <family val="3"/>
            <charset val="134"/>
          </rPr>
          <t>加</t>
        </r>
        <r>
          <rPr>
            <sz val="10"/>
            <color indexed="81"/>
            <rFont val="Calibri"/>
            <family val="2"/>
          </rPr>
          <t>3.2</t>
        </r>
      </text>
    </comment>
    <comment ref="B20" authorId="0">
      <text>
        <r>
          <rPr>
            <sz val="10"/>
            <color indexed="81"/>
            <rFont val="宋体"/>
            <family val="3"/>
            <charset val="134"/>
          </rPr>
          <t>用于研发活动的仪器的折旧费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3.1</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21" authorId="0">
      <text>
        <r>
          <rPr>
            <sz val="10"/>
            <color indexed="81"/>
            <rFont val="宋体"/>
            <family val="3"/>
            <charset val="134"/>
          </rPr>
          <t>用于研发活动的设备的折旧费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3.2</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text>
    </comment>
    <comment ref="B22" authorId="0">
      <text>
        <r>
          <rPr>
            <sz val="10"/>
            <color indexed="81"/>
            <rFont val="宋体"/>
            <family val="3"/>
            <charset val="134"/>
          </rPr>
          <t>四、无形资产摊销小计</t>
        </r>
        <r>
          <rPr>
            <sz val="10"/>
            <color indexed="81"/>
            <rFont val="Calibri"/>
            <family val="2"/>
          </rPr>
          <t>”</t>
        </r>
        <r>
          <rPr>
            <sz val="10"/>
            <color indexed="81"/>
            <rFont val="宋体"/>
            <family val="3"/>
            <charset val="134"/>
          </rPr>
          <t>：等于序号</t>
        </r>
        <r>
          <rPr>
            <sz val="10"/>
            <color indexed="81"/>
            <rFont val="Calibri"/>
            <family val="2"/>
          </rPr>
          <t>4.1</t>
        </r>
        <r>
          <rPr>
            <sz val="10"/>
            <color indexed="81"/>
            <rFont val="宋体"/>
            <family val="3"/>
            <charset val="134"/>
          </rPr>
          <t>至</t>
        </r>
        <r>
          <rPr>
            <sz val="10"/>
            <color indexed="81"/>
            <rFont val="Calibri"/>
            <family val="2"/>
          </rPr>
          <t>4.3</t>
        </r>
        <r>
          <rPr>
            <sz val="10"/>
            <color indexed="81"/>
            <rFont val="宋体"/>
            <family val="3"/>
            <charset val="134"/>
          </rPr>
          <t>的合计</t>
        </r>
      </text>
    </comment>
    <comment ref="B23" authorId="0">
      <text>
        <r>
          <rPr>
            <sz val="10"/>
            <color indexed="81"/>
            <rFont val="Calibri"/>
            <family val="2"/>
          </rPr>
          <t>“</t>
        </r>
        <r>
          <rPr>
            <sz val="10"/>
            <color indexed="81"/>
            <rFont val="宋体"/>
            <family val="3"/>
            <charset val="134"/>
          </rPr>
          <t>用于研发活动的软件的摊销费用</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4.1</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24" authorId="0">
      <text>
        <r>
          <rPr>
            <sz val="10"/>
            <color indexed="81"/>
            <rFont val="Calibri"/>
            <family val="2"/>
          </rPr>
          <t>“</t>
        </r>
        <r>
          <rPr>
            <sz val="10"/>
            <color indexed="81"/>
            <rFont val="宋体"/>
            <family val="3"/>
            <charset val="134"/>
          </rPr>
          <t>用于研发活动的专利权的摊销费用</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4.2</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25" authorId="0">
      <text>
        <r>
          <rPr>
            <sz val="10"/>
            <color indexed="81"/>
            <rFont val="Calibri"/>
            <family val="2"/>
          </rPr>
          <t>“</t>
        </r>
        <r>
          <rPr>
            <sz val="10"/>
            <color indexed="81"/>
            <rFont val="宋体"/>
            <family val="3"/>
            <charset val="134"/>
          </rPr>
          <t>用于研发活动的非专利技术（包括许可证、专有技术、设计和计算方法等）的摊销费用</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4.3</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 xml:space="preserve">”
</t>
        </r>
      </text>
    </comment>
    <comment ref="B26" authorId="0">
      <text>
        <r>
          <rPr>
            <sz val="10"/>
            <color indexed="81"/>
            <rFont val="Calibri"/>
            <family val="2"/>
          </rPr>
          <t>“</t>
        </r>
        <r>
          <rPr>
            <sz val="10"/>
            <color indexed="81"/>
            <rFont val="宋体"/>
            <family val="3"/>
            <charset val="134"/>
          </rPr>
          <t>五、新产品设计费等小计</t>
        </r>
        <r>
          <rPr>
            <sz val="10"/>
            <color indexed="81"/>
            <rFont val="Calibri"/>
            <family val="2"/>
          </rPr>
          <t>”</t>
        </r>
        <r>
          <rPr>
            <sz val="10"/>
            <color indexed="81"/>
            <rFont val="宋体"/>
            <family val="3"/>
            <charset val="134"/>
          </rPr>
          <t>：等于序号</t>
        </r>
        <r>
          <rPr>
            <sz val="10"/>
            <color indexed="81"/>
            <rFont val="Calibri"/>
            <family val="2"/>
          </rPr>
          <t>5.1</t>
        </r>
        <r>
          <rPr>
            <sz val="10"/>
            <color indexed="81"/>
            <rFont val="宋体"/>
            <family val="3"/>
            <charset val="134"/>
          </rPr>
          <t>至</t>
        </r>
        <r>
          <rPr>
            <sz val="10"/>
            <color indexed="81"/>
            <rFont val="Calibri"/>
            <family val="2"/>
          </rPr>
          <t>5.4</t>
        </r>
        <r>
          <rPr>
            <sz val="10"/>
            <color indexed="81"/>
            <rFont val="宋体"/>
            <family val="3"/>
            <charset val="134"/>
          </rPr>
          <t>的合计</t>
        </r>
      </text>
    </comment>
    <comment ref="B27" authorId="0">
      <text>
        <r>
          <rPr>
            <sz val="10"/>
            <color indexed="81"/>
            <rFont val="Calibri"/>
            <family val="2"/>
          </rPr>
          <t>“</t>
        </r>
        <r>
          <rPr>
            <sz val="10"/>
            <color indexed="81"/>
            <rFont val="宋体"/>
            <family val="3"/>
            <charset val="134"/>
          </rPr>
          <t>新产品设计费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5.1</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28" authorId="0">
      <text>
        <r>
          <rPr>
            <sz val="10"/>
            <color indexed="81"/>
            <rFont val="Calibri"/>
            <family val="2"/>
          </rPr>
          <t>“</t>
        </r>
        <r>
          <rPr>
            <sz val="10"/>
            <color indexed="81"/>
            <rFont val="宋体"/>
            <family val="3"/>
            <charset val="134"/>
          </rPr>
          <t>新工艺规程制定费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5.2</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29" authorId="0">
      <text>
        <r>
          <rPr>
            <sz val="10"/>
            <color indexed="81"/>
            <rFont val="Calibri"/>
            <family val="2"/>
          </rPr>
          <t>“</t>
        </r>
        <r>
          <rPr>
            <sz val="10"/>
            <color indexed="81"/>
            <rFont val="宋体"/>
            <family val="3"/>
            <charset val="134"/>
          </rPr>
          <t>新药研制的临床试验费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5.3</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30" authorId="0">
      <text>
        <r>
          <rPr>
            <sz val="10"/>
            <color indexed="81"/>
            <rFont val="Calibri"/>
            <family val="2"/>
          </rPr>
          <t>“</t>
        </r>
        <r>
          <rPr>
            <sz val="10"/>
            <color indexed="81"/>
            <rFont val="宋体"/>
            <family val="3"/>
            <charset val="134"/>
          </rPr>
          <t>勘探开发技术的现场试验费</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5.4</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31" authorId="0">
      <text>
        <r>
          <rPr>
            <sz val="10"/>
            <color indexed="81"/>
            <rFont val="Calibri"/>
            <family val="2"/>
          </rPr>
          <t>“</t>
        </r>
        <r>
          <rPr>
            <sz val="10"/>
            <color indexed="81"/>
            <rFont val="宋体"/>
            <family val="3"/>
            <charset val="134"/>
          </rPr>
          <t>六、其他相关费用小计</t>
        </r>
        <r>
          <rPr>
            <sz val="10"/>
            <color indexed="81"/>
            <rFont val="Calibri"/>
            <family val="2"/>
          </rPr>
          <t>”</t>
        </r>
        <r>
          <rPr>
            <sz val="10"/>
            <color indexed="81"/>
            <rFont val="宋体"/>
            <family val="3"/>
            <charset val="134"/>
          </rPr>
          <t>：等于序号</t>
        </r>
        <r>
          <rPr>
            <sz val="10"/>
            <color indexed="81"/>
            <rFont val="Calibri"/>
            <family val="2"/>
          </rPr>
          <t>6</t>
        </r>
        <r>
          <rPr>
            <sz val="10"/>
            <color indexed="81"/>
            <rFont val="宋体"/>
            <family val="3"/>
            <charset val="134"/>
          </rPr>
          <t>明细的合计</t>
        </r>
      </text>
    </comment>
    <comment ref="B32" authorId="0">
      <text>
        <r>
          <rPr>
            <sz val="10"/>
            <color indexed="81"/>
            <rFont val="宋体"/>
            <family val="3"/>
            <charset val="134"/>
          </rPr>
          <t>明细：取自《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6</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r>
          <rPr>
            <sz val="10"/>
            <color indexed="81"/>
            <rFont val="宋体"/>
            <family val="3"/>
            <charset val="134"/>
          </rPr>
          <t>明细，应当将明细名称一并填入</t>
        </r>
      </text>
    </comment>
    <comment ref="B36" authorId="0">
      <text>
        <r>
          <rPr>
            <sz val="10"/>
            <color indexed="81"/>
            <rFont val="Calibri"/>
            <family val="2"/>
          </rPr>
          <t>“</t>
        </r>
        <r>
          <rPr>
            <sz val="10"/>
            <color indexed="81"/>
            <rFont val="宋体"/>
            <family val="3"/>
            <charset val="134"/>
          </rPr>
          <t>七、委托外部机构或个人进行研发活动所发生的费用</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7</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t>
        </r>
        <r>
          <rPr>
            <sz val="10"/>
            <color indexed="81"/>
            <rFont val="Calibri"/>
            <family val="2"/>
          </rPr>
          <t xml:space="preserve"> </t>
        </r>
        <r>
          <rPr>
            <sz val="10"/>
            <color indexed="81"/>
            <rFont val="宋体"/>
            <family val="3"/>
            <charset val="134"/>
          </rPr>
          <t>用</t>
        </r>
        <r>
          <rPr>
            <sz val="10"/>
            <color indexed="81"/>
            <rFont val="Calibri"/>
            <family val="2"/>
          </rPr>
          <t>”</t>
        </r>
      </text>
    </comment>
    <comment ref="B37" authorId="0">
      <text>
        <r>
          <rPr>
            <sz val="10"/>
            <color indexed="81"/>
            <rFont val="Calibri"/>
            <family val="2"/>
          </rPr>
          <t>“</t>
        </r>
        <r>
          <rPr>
            <sz val="10"/>
            <color indexed="81"/>
            <rFont val="宋体"/>
            <family val="3"/>
            <charset val="134"/>
          </rPr>
          <t>其中：委托境外进行研发活动所发生的费用（包括存在关联关系的委托研发）</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7.1</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t>
        </r>
        <r>
          <rPr>
            <sz val="10"/>
            <color indexed="81"/>
            <rFont val="Calibri"/>
            <family val="2"/>
          </rPr>
          <t xml:space="preserve"> </t>
        </r>
        <r>
          <rPr>
            <sz val="10"/>
            <color indexed="81"/>
            <rFont val="宋体"/>
            <family val="3"/>
            <charset val="134"/>
          </rPr>
          <t>用</t>
        </r>
        <r>
          <rPr>
            <sz val="10"/>
            <color indexed="81"/>
            <rFont val="Calibri"/>
            <family val="2"/>
          </rPr>
          <t xml:space="preserve">”
</t>
        </r>
      </text>
    </comment>
    <comment ref="B38" authorId="0">
      <text>
        <r>
          <rPr>
            <sz val="10"/>
            <color indexed="81"/>
            <rFont val="Calibri"/>
            <family val="2"/>
          </rPr>
          <t>“</t>
        </r>
        <r>
          <rPr>
            <sz val="10"/>
            <color indexed="81"/>
            <rFont val="宋体"/>
            <family val="3"/>
            <charset val="134"/>
          </rPr>
          <t>八、允许加计扣除的研发费用中的第</t>
        </r>
        <r>
          <rPr>
            <sz val="10"/>
            <color indexed="81"/>
            <rFont val="Calibri"/>
            <family val="2"/>
          </rPr>
          <t>1</t>
        </r>
        <r>
          <rPr>
            <sz val="10"/>
            <color indexed="81"/>
            <rFont val="宋体"/>
            <family val="3"/>
            <charset val="134"/>
          </rPr>
          <t>至</t>
        </r>
        <r>
          <rPr>
            <sz val="10"/>
            <color indexed="81"/>
            <rFont val="Calibri"/>
            <family val="2"/>
          </rPr>
          <t>5</t>
        </r>
        <r>
          <rPr>
            <sz val="10"/>
            <color indexed="81"/>
            <rFont val="宋体"/>
            <family val="3"/>
            <charset val="134"/>
          </rPr>
          <t>类费用合计（</t>
        </r>
        <r>
          <rPr>
            <sz val="10"/>
            <color indexed="81"/>
            <rFont val="Calibri"/>
            <family val="2"/>
          </rPr>
          <t>1+2+3+4+5</t>
        </r>
        <r>
          <rPr>
            <sz val="10"/>
            <color indexed="81"/>
            <rFont val="宋体"/>
            <family val="3"/>
            <charset val="134"/>
          </rPr>
          <t>）</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8</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40" authorId="0">
      <text>
        <r>
          <rPr>
            <sz val="10"/>
            <color indexed="81"/>
            <rFont val="Calibri"/>
            <family val="2"/>
          </rPr>
          <t>“</t>
        </r>
        <r>
          <rPr>
            <sz val="10"/>
            <color indexed="81"/>
            <rFont val="宋体"/>
            <family val="3"/>
            <charset val="134"/>
          </rPr>
          <t>九、当期费用化支出可加计扣除总额</t>
        </r>
        <r>
          <rPr>
            <sz val="10"/>
            <color indexed="81"/>
            <rFont val="Calibri"/>
            <family val="2"/>
          </rPr>
          <t>”</t>
        </r>
        <r>
          <rPr>
            <sz val="10"/>
            <color indexed="81"/>
            <rFont val="宋体"/>
            <family val="3"/>
            <charset val="134"/>
          </rPr>
          <t>：取自《</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辅助账汇总表》序号</t>
        </r>
        <r>
          <rPr>
            <sz val="10"/>
            <color indexed="81"/>
            <rFont val="Calibri"/>
            <family val="2"/>
          </rPr>
          <t>9</t>
        </r>
        <r>
          <rPr>
            <sz val="10"/>
            <color indexed="81"/>
            <rFont val="宋体"/>
            <family val="3"/>
            <charset val="134"/>
          </rPr>
          <t>第</t>
        </r>
        <r>
          <rPr>
            <sz val="10"/>
            <color indexed="81"/>
            <rFont val="Calibri"/>
            <family val="2"/>
          </rPr>
          <t>4</t>
        </r>
        <r>
          <rPr>
            <sz val="10"/>
            <color indexed="81"/>
            <rFont val="宋体"/>
            <family val="3"/>
            <charset val="134"/>
          </rPr>
          <t>行</t>
        </r>
        <r>
          <rPr>
            <sz val="10"/>
            <color indexed="81"/>
            <rFont val="Calibri"/>
            <family val="2"/>
          </rPr>
          <t>“</t>
        </r>
        <r>
          <rPr>
            <sz val="10"/>
            <color indexed="81"/>
            <rFont val="宋体"/>
            <family val="3"/>
            <charset val="134"/>
          </rPr>
          <t>结转管理费用</t>
        </r>
        <r>
          <rPr>
            <sz val="10"/>
            <color indexed="81"/>
            <rFont val="Calibri"/>
            <family val="2"/>
          </rPr>
          <t>”</t>
        </r>
      </text>
    </comment>
    <comment ref="B41" authorId="0">
      <text>
        <r>
          <rPr>
            <sz val="10"/>
            <color indexed="81"/>
            <rFont val="Calibri"/>
            <family val="2"/>
          </rPr>
          <t>“</t>
        </r>
        <r>
          <rPr>
            <sz val="10"/>
            <color indexed="81"/>
            <rFont val="宋体"/>
            <family val="3"/>
            <charset val="134"/>
          </rPr>
          <t>十、研发项目形成无形资产当期摊销额</t>
        </r>
        <r>
          <rPr>
            <sz val="10"/>
            <color indexed="81"/>
            <rFont val="Calibri"/>
            <family val="2"/>
          </rPr>
          <t>”</t>
        </r>
        <r>
          <rPr>
            <sz val="10"/>
            <color indexed="81"/>
            <rFont val="宋体"/>
            <family val="3"/>
            <charset val="134"/>
          </rPr>
          <t>：应当按照以前年度及当期形成无形资产的研发项目当期摊销额填报</t>
        </r>
      </text>
    </comment>
    <comment ref="B42" authorId="0">
      <text>
        <r>
          <rPr>
            <sz val="10"/>
            <color indexed="81"/>
            <rFont val="Calibri"/>
            <family val="2"/>
          </rPr>
          <t>“</t>
        </r>
        <r>
          <rPr>
            <sz val="10"/>
            <color indexed="81"/>
            <rFont val="宋体"/>
            <family val="3"/>
            <charset val="134"/>
          </rPr>
          <t>其中：准予加计扣除的摊销额</t>
        </r>
        <r>
          <rPr>
            <sz val="10"/>
            <color indexed="81"/>
            <rFont val="Calibri"/>
            <family val="2"/>
          </rPr>
          <t>”</t>
        </r>
        <r>
          <rPr>
            <sz val="10"/>
            <color indexed="81"/>
            <rFont val="宋体"/>
            <family val="3"/>
            <charset val="134"/>
          </rPr>
          <t>：应当按照以前年度及本年度对应项目的资本化可加计扣除的研发费用率乘以当年度摊销额合计数填报。</t>
        </r>
      </text>
    </comment>
  </commentList>
</comments>
</file>

<file path=xl/comments50.xml><?xml version="1.0" encoding="utf-8"?>
<comments xmlns="http://schemas.openxmlformats.org/spreadsheetml/2006/main">
  <authors>
    <author>Microsoft Office User</author>
  </authors>
  <commentList>
    <comment ref="A2" authorId="0">
      <text>
        <r>
          <rPr>
            <sz val="10"/>
            <color indexed="81"/>
            <rFont val="宋体"/>
            <family val="3"/>
            <charset val="134"/>
          </rPr>
          <t>本表属于年度财务会计报告附注之一，应当随同年度财务会计报告一并报送主管税务机关；本表是根据所有上年未完成及本年新设置的项目的</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辅助账汇总填报。</t>
        </r>
      </text>
    </comment>
    <comment ref="D4" authorId="0">
      <text>
        <r>
          <rPr>
            <sz val="10"/>
            <color indexed="81"/>
            <rFont val="宋体"/>
            <family val="3"/>
            <charset val="134"/>
          </rPr>
          <t>根据项目编号，将</t>
        </r>
        <r>
          <rPr>
            <sz val="10"/>
            <color indexed="81"/>
            <rFont val="Calibri"/>
            <family val="2"/>
          </rPr>
          <t>“</t>
        </r>
        <r>
          <rPr>
            <sz val="10"/>
            <color indexed="81"/>
            <rFont val="宋体"/>
            <family val="3"/>
            <charset val="134"/>
          </rPr>
          <t>项目名称</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项目编号</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项目实施状态选项</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委托方与受托方是否存在关联关系选项</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是否委托境外选项</t>
        </r>
        <r>
          <rPr>
            <sz val="10"/>
            <color indexed="81"/>
            <rFont val="Calibri"/>
            <family val="2"/>
          </rPr>
          <t>”</t>
        </r>
        <r>
          <rPr>
            <sz val="10"/>
            <color indexed="81"/>
            <rFont val="宋体"/>
            <family val="3"/>
            <charset val="134"/>
          </rPr>
          <t>和相关贷方发生额明细逐项目按序号一至七过入汇总表</t>
        </r>
        <r>
          <rPr>
            <sz val="10"/>
            <color indexed="81"/>
            <rFont val="Calibri"/>
            <family val="2"/>
          </rPr>
          <t>“</t>
        </r>
        <r>
          <rPr>
            <sz val="10"/>
            <color indexed="81"/>
            <rFont val="宋体"/>
            <family val="3"/>
            <charset val="134"/>
          </rPr>
          <t>项目明细</t>
        </r>
        <r>
          <rPr>
            <sz val="10"/>
            <color indexed="81"/>
            <rFont val="Calibri"/>
            <family val="2"/>
          </rPr>
          <t>”</t>
        </r>
        <r>
          <rPr>
            <sz val="10"/>
            <color indexed="81"/>
            <rFont val="宋体"/>
            <family val="3"/>
            <charset val="134"/>
          </rPr>
          <t>内。</t>
        </r>
      </text>
    </comment>
    <comment ref="E4" authorId="0">
      <text>
        <r>
          <rPr>
            <sz val="10"/>
            <color indexed="81"/>
            <rFont val="宋体"/>
            <family val="3"/>
            <charset val="134"/>
          </rPr>
          <t>自主研发</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填写为自主研发，《委托研发</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填写为委托研发，《合作研发</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填写为合作研发，《集中研发</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填写为集中研发</t>
        </r>
      </text>
    </comment>
    <comment ref="H4" authorId="0">
      <text>
        <r>
          <rPr>
            <sz val="10"/>
            <color indexed="81"/>
            <rFont val="宋体"/>
            <family val="3"/>
            <charset val="134"/>
          </rPr>
          <t>研发形式为</t>
        </r>
        <r>
          <rPr>
            <sz val="10"/>
            <color indexed="81"/>
            <rFont val="Calibri"/>
            <family val="2"/>
          </rPr>
          <t>“</t>
        </r>
        <r>
          <rPr>
            <sz val="10"/>
            <color indexed="81"/>
            <rFont val="宋体"/>
            <family val="3"/>
            <charset val="134"/>
          </rPr>
          <t>委托研发</t>
        </r>
        <r>
          <rPr>
            <sz val="10"/>
            <color indexed="81"/>
            <rFont val="Calibri"/>
            <family val="2"/>
          </rPr>
          <t>”</t>
        </r>
        <r>
          <rPr>
            <sz val="10"/>
            <color indexed="81"/>
            <rFont val="宋体"/>
            <family val="3"/>
            <charset val="134"/>
          </rPr>
          <t>填写</t>
        </r>
        <r>
          <rPr>
            <sz val="10"/>
            <color indexed="81"/>
            <rFont val="Calibri"/>
            <family val="2"/>
          </rPr>
          <t>“</t>
        </r>
        <r>
          <rPr>
            <sz val="10"/>
            <color indexed="81"/>
            <rFont val="宋体"/>
            <family val="3"/>
            <charset val="134"/>
          </rPr>
          <t>存在</t>
        </r>
        <r>
          <rPr>
            <sz val="10"/>
            <color indexed="81"/>
            <rFont val="Calibri"/>
            <family val="2"/>
          </rPr>
          <t>”</t>
        </r>
        <r>
          <rPr>
            <sz val="10"/>
            <color indexed="81"/>
            <rFont val="宋体"/>
            <family val="3"/>
            <charset val="134"/>
          </rPr>
          <t>或</t>
        </r>
        <r>
          <rPr>
            <sz val="10"/>
            <color indexed="81"/>
            <rFont val="Calibri"/>
            <family val="2"/>
          </rPr>
          <t>“</t>
        </r>
        <r>
          <rPr>
            <sz val="10"/>
            <color indexed="81"/>
            <rFont val="宋体"/>
            <family val="3"/>
            <charset val="134"/>
          </rPr>
          <t>不存在</t>
        </r>
        <r>
          <rPr>
            <sz val="10"/>
            <color indexed="81"/>
            <rFont val="Calibri"/>
            <family val="2"/>
          </rPr>
          <t>”</t>
        </r>
        <r>
          <rPr>
            <sz val="10"/>
            <color indexed="81"/>
            <rFont val="宋体"/>
            <family val="3"/>
            <charset val="134"/>
          </rPr>
          <t>，研发形式为</t>
        </r>
        <r>
          <rPr>
            <sz val="10"/>
            <color indexed="81"/>
            <rFont val="Calibri"/>
            <family val="2"/>
          </rPr>
          <t>“</t>
        </r>
        <r>
          <rPr>
            <sz val="10"/>
            <color indexed="81"/>
            <rFont val="宋体"/>
            <family val="3"/>
            <charset val="134"/>
          </rPr>
          <t>自主研发</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合作研发</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集中研发</t>
        </r>
        <r>
          <rPr>
            <sz val="10"/>
            <color indexed="81"/>
            <rFont val="Calibri"/>
            <family val="2"/>
          </rPr>
          <t>”</t>
        </r>
        <r>
          <rPr>
            <sz val="10"/>
            <color indexed="81"/>
            <rFont val="宋体"/>
            <family val="3"/>
            <charset val="134"/>
          </rPr>
          <t>不需填写本选项</t>
        </r>
      </text>
    </comment>
    <comment ref="I4" authorId="0">
      <text>
        <r>
          <rPr>
            <sz val="10"/>
            <color indexed="81"/>
            <rFont val="宋体"/>
            <family val="3"/>
            <charset val="134"/>
          </rPr>
          <t>研发形式为</t>
        </r>
        <r>
          <rPr>
            <sz val="10"/>
            <color indexed="81"/>
            <rFont val="Calibri"/>
            <family val="2"/>
          </rPr>
          <t>“</t>
        </r>
        <r>
          <rPr>
            <sz val="10"/>
            <color indexed="81"/>
            <rFont val="宋体"/>
            <family val="3"/>
            <charset val="134"/>
          </rPr>
          <t>委托研发</t>
        </r>
        <r>
          <rPr>
            <sz val="10"/>
            <color indexed="81"/>
            <rFont val="Calibri"/>
            <family val="2"/>
          </rPr>
          <t>”</t>
        </r>
        <r>
          <rPr>
            <sz val="10"/>
            <color indexed="81"/>
            <rFont val="宋体"/>
            <family val="3"/>
            <charset val="134"/>
          </rPr>
          <t>的填写</t>
        </r>
        <r>
          <rPr>
            <sz val="10"/>
            <color indexed="81"/>
            <rFont val="Calibri"/>
            <family val="2"/>
          </rPr>
          <t>“</t>
        </r>
        <r>
          <rPr>
            <sz val="10"/>
            <color indexed="81"/>
            <rFont val="宋体"/>
            <family val="3"/>
            <charset val="134"/>
          </rPr>
          <t>委托境内</t>
        </r>
        <r>
          <rPr>
            <sz val="10"/>
            <color indexed="81"/>
            <rFont val="Calibri"/>
            <family val="2"/>
          </rPr>
          <t>”</t>
        </r>
        <r>
          <rPr>
            <sz val="10"/>
            <color indexed="81"/>
            <rFont val="宋体"/>
            <family val="3"/>
            <charset val="134"/>
          </rPr>
          <t>或</t>
        </r>
        <r>
          <rPr>
            <sz val="10"/>
            <color indexed="81"/>
            <rFont val="Calibri"/>
            <family val="2"/>
          </rPr>
          <t>“</t>
        </r>
        <r>
          <rPr>
            <sz val="10"/>
            <color indexed="81"/>
            <rFont val="宋体"/>
            <family val="3"/>
            <charset val="134"/>
          </rPr>
          <t>委托境外</t>
        </r>
        <r>
          <rPr>
            <sz val="10"/>
            <color indexed="81"/>
            <rFont val="Calibri"/>
            <family val="2"/>
          </rPr>
          <t>”</t>
        </r>
        <r>
          <rPr>
            <sz val="10"/>
            <color indexed="81"/>
            <rFont val="宋体"/>
            <family val="3"/>
            <charset val="134"/>
          </rPr>
          <t>，研发形式为</t>
        </r>
        <r>
          <rPr>
            <sz val="10"/>
            <color indexed="81"/>
            <rFont val="Calibri"/>
            <family val="2"/>
          </rPr>
          <t>“</t>
        </r>
        <r>
          <rPr>
            <sz val="10"/>
            <color indexed="81"/>
            <rFont val="宋体"/>
            <family val="3"/>
            <charset val="134"/>
          </rPr>
          <t>自主研发</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合作研发</t>
        </r>
        <r>
          <rPr>
            <sz val="10"/>
            <color indexed="81"/>
            <rFont val="Calibri"/>
            <family val="2"/>
          </rPr>
          <t>”</t>
        </r>
        <r>
          <rPr>
            <sz val="10"/>
            <color indexed="81"/>
            <rFont val="宋体"/>
            <family val="3"/>
            <charset val="134"/>
          </rPr>
          <t>、</t>
        </r>
        <r>
          <rPr>
            <sz val="10"/>
            <color indexed="81"/>
            <rFont val="Calibri"/>
            <family val="2"/>
          </rPr>
          <t>“</t>
        </r>
        <r>
          <rPr>
            <sz val="10"/>
            <color indexed="81"/>
            <rFont val="宋体"/>
            <family val="3"/>
            <charset val="134"/>
          </rPr>
          <t>集中研发</t>
        </r>
        <r>
          <rPr>
            <sz val="10"/>
            <color indexed="81"/>
            <rFont val="Calibri"/>
            <family val="2"/>
          </rPr>
          <t>”</t>
        </r>
        <r>
          <rPr>
            <sz val="10"/>
            <color indexed="81"/>
            <rFont val="宋体"/>
            <family val="3"/>
            <charset val="134"/>
          </rPr>
          <t>不需填写本选项</t>
        </r>
      </text>
    </comment>
    <comment ref="K4" authorId="0">
      <text>
        <r>
          <rPr>
            <sz val="10"/>
            <color indexed="81"/>
            <rFont val="宋体"/>
            <family val="3"/>
            <charset val="134"/>
          </rPr>
          <t>项目实施状态为</t>
        </r>
        <r>
          <rPr>
            <sz val="10"/>
            <color indexed="81"/>
            <rFont val="Calibri"/>
            <family val="2"/>
          </rPr>
          <t>“</t>
        </r>
        <r>
          <rPr>
            <sz val="10"/>
            <color indexed="81"/>
            <rFont val="宋体"/>
            <family val="3"/>
            <charset val="134"/>
          </rPr>
          <t>已完成</t>
        </r>
        <r>
          <rPr>
            <sz val="10"/>
            <color indexed="81"/>
            <rFont val="Calibri"/>
            <family val="2"/>
          </rPr>
          <t>”</t>
        </r>
        <r>
          <rPr>
            <sz val="10"/>
            <color indexed="81"/>
            <rFont val="宋体"/>
            <family val="3"/>
            <charset val="134"/>
          </rPr>
          <t>的填写研发成果和研发成果证书号，项目实施状态为</t>
        </r>
        <r>
          <rPr>
            <sz val="10"/>
            <color indexed="81"/>
            <rFont val="Calibri"/>
            <family val="2"/>
          </rPr>
          <t>“</t>
        </r>
        <r>
          <rPr>
            <sz val="10"/>
            <color indexed="81"/>
            <rFont val="宋体"/>
            <family val="3"/>
            <charset val="134"/>
          </rPr>
          <t>未完成</t>
        </r>
        <r>
          <rPr>
            <sz val="10"/>
            <color indexed="81"/>
            <rFont val="Calibri"/>
            <family val="2"/>
          </rPr>
          <t>”</t>
        </r>
        <r>
          <rPr>
            <sz val="10"/>
            <color indexed="81"/>
            <rFont val="宋体"/>
            <family val="3"/>
            <charset val="134"/>
          </rPr>
          <t>的研发成果和研发成果证书号不需填写本选项</t>
        </r>
      </text>
    </comment>
    <comment ref="AR7" authorId="0">
      <text>
        <r>
          <rPr>
            <sz val="10"/>
            <color indexed="81"/>
            <rFont val="Calibri"/>
            <family val="2"/>
          </rPr>
          <t>“</t>
        </r>
        <r>
          <rPr>
            <sz val="10"/>
            <color indexed="81"/>
            <rFont val="宋体"/>
            <family val="3"/>
            <charset val="134"/>
          </rPr>
          <t>其中：委托境外进行研发活动所发生的费用（包括存在关联关系的委托研发）</t>
        </r>
        <r>
          <rPr>
            <sz val="10"/>
            <color indexed="81"/>
            <rFont val="Calibri"/>
            <family val="2"/>
          </rPr>
          <t>”</t>
        </r>
        <r>
          <rPr>
            <sz val="10"/>
            <color indexed="81"/>
            <rFont val="宋体"/>
            <family val="3"/>
            <charset val="134"/>
          </rPr>
          <t xml:space="preserve">：
</t>
        </r>
        <r>
          <rPr>
            <sz val="10"/>
            <color indexed="81"/>
            <rFont val="Calibri"/>
            <family val="2"/>
          </rPr>
          <t>(1)</t>
        </r>
        <r>
          <rPr>
            <sz val="10"/>
            <color indexed="81"/>
            <rFont val="宋体"/>
            <family val="3"/>
            <charset val="134"/>
          </rPr>
          <t>当</t>
        </r>
        <r>
          <rPr>
            <sz val="10"/>
            <color indexed="81"/>
            <rFont val="Calibri"/>
            <family val="2"/>
          </rPr>
          <t>“</t>
        </r>
        <r>
          <rPr>
            <sz val="10"/>
            <color indexed="81"/>
            <rFont val="宋体"/>
            <family val="3"/>
            <charset val="134"/>
          </rPr>
          <t>委托方与受托方是否存在关联关系选项</t>
        </r>
        <r>
          <rPr>
            <sz val="10"/>
            <color indexed="81"/>
            <rFont val="Calibri"/>
            <family val="2"/>
          </rPr>
          <t>”</t>
        </r>
        <r>
          <rPr>
            <sz val="10"/>
            <color indexed="81"/>
            <rFont val="宋体"/>
            <family val="3"/>
            <charset val="134"/>
          </rPr>
          <t>为不存在，且</t>
        </r>
        <r>
          <rPr>
            <sz val="10"/>
            <color indexed="81"/>
            <rFont val="Calibri"/>
            <family val="2"/>
          </rPr>
          <t>“</t>
        </r>
        <r>
          <rPr>
            <sz val="10"/>
            <color indexed="81"/>
            <rFont val="宋体"/>
            <family val="3"/>
            <charset val="134"/>
          </rPr>
          <t>是否委托境外选项</t>
        </r>
        <r>
          <rPr>
            <sz val="10"/>
            <color indexed="81"/>
            <rFont val="Calibri"/>
            <family val="2"/>
          </rPr>
          <t>”</t>
        </r>
        <r>
          <rPr>
            <sz val="10"/>
            <color indexed="81"/>
            <rFont val="宋体"/>
            <family val="3"/>
            <charset val="134"/>
          </rPr>
          <t>为委托境外时，序号</t>
        </r>
        <r>
          <rPr>
            <sz val="10"/>
            <color indexed="81"/>
            <rFont val="Calibri"/>
            <family val="2"/>
          </rPr>
          <t>7.1</t>
        </r>
        <r>
          <rPr>
            <sz val="10"/>
            <color indexed="81"/>
            <rFont val="宋体"/>
            <family val="3"/>
            <charset val="134"/>
          </rPr>
          <t>等于序号</t>
        </r>
        <r>
          <rPr>
            <sz val="10"/>
            <color indexed="81"/>
            <rFont val="Calibri"/>
            <family val="2"/>
          </rPr>
          <t>7</t>
        </r>
        <r>
          <rPr>
            <sz val="10"/>
            <color indexed="81"/>
            <rFont val="宋体"/>
            <family val="3"/>
            <charset val="134"/>
          </rPr>
          <t xml:space="preserve">；
</t>
        </r>
        <r>
          <rPr>
            <sz val="10"/>
            <color indexed="81"/>
            <rFont val="Calibri"/>
            <family val="2"/>
          </rPr>
          <t>(2)</t>
        </r>
        <r>
          <rPr>
            <sz val="10"/>
            <color indexed="81"/>
            <rFont val="宋体"/>
            <family val="3"/>
            <charset val="134"/>
          </rPr>
          <t>当</t>
        </r>
        <r>
          <rPr>
            <sz val="10"/>
            <color indexed="81"/>
            <rFont val="Calibri"/>
            <family val="2"/>
          </rPr>
          <t>“</t>
        </r>
        <r>
          <rPr>
            <sz val="10"/>
            <color indexed="81"/>
            <rFont val="宋体"/>
            <family val="3"/>
            <charset val="134"/>
          </rPr>
          <t>委托方与受托方是否存在关联关系选项</t>
        </r>
        <r>
          <rPr>
            <sz val="10"/>
            <color indexed="81"/>
            <rFont val="Calibri"/>
            <family val="2"/>
          </rPr>
          <t>”</t>
        </r>
        <r>
          <rPr>
            <sz val="10"/>
            <color indexed="81"/>
            <rFont val="宋体"/>
            <family val="3"/>
            <charset val="134"/>
          </rPr>
          <t>为存在，且</t>
        </r>
        <r>
          <rPr>
            <sz val="10"/>
            <color indexed="81"/>
            <rFont val="Calibri"/>
            <family val="2"/>
          </rPr>
          <t>“</t>
        </r>
        <r>
          <rPr>
            <sz val="10"/>
            <color indexed="81"/>
            <rFont val="宋体"/>
            <family val="3"/>
            <charset val="134"/>
          </rPr>
          <t>是否委托境外选项</t>
        </r>
        <r>
          <rPr>
            <sz val="10"/>
            <color indexed="81"/>
            <rFont val="Calibri"/>
            <family val="2"/>
          </rPr>
          <t>”</t>
        </r>
        <r>
          <rPr>
            <sz val="10"/>
            <color indexed="81"/>
            <rFont val="宋体"/>
            <family val="3"/>
            <charset val="134"/>
          </rPr>
          <t>为委托境外时，序号</t>
        </r>
        <r>
          <rPr>
            <sz val="10"/>
            <color indexed="81"/>
            <rFont val="Calibri"/>
            <family val="2"/>
          </rPr>
          <t>7.1</t>
        </r>
        <r>
          <rPr>
            <sz val="10"/>
            <color indexed="81"/>
            <rFont val="宋体"/>
            <family val="3"/>
            <charset val="134"/>
          </rPr>
          <t>等于序号一至六的合计；</t>
        </r>
      </text>
    </comment>
    <comment ref="AU7" authorId="0">
      <text>
        <r>
          <rPr>
            <sz val="10"/>
            <color indexed="81"/>
            <rFont val="宋体"/>
            <family val="3"/>
            <charset val="134"/>
          </rPr>
          <t>九、当期费用化支出可加计扣除总额</t>
        </r>
        <r>
          <rPr>
            <sz val="10"/>
            <color indexed="81"/>
            <rFont val="Calibri"/>
            <family val="2"/>
          </rPr>
          <t>”</t>
        </r>
        <r>
          <rPr>
            <sz val="10"/>
            <color indexed="81"/>
            <rFont val="宋体"/>
            <family val="3"/>
            <charset val="134"/>
          </rPr>
          <t>：
（</t>
        </r>
        <r>
          <rPr>
            <sz val="10"/>
            <color indexed="81"/>
            <rFont val="Calibri"/>
            <family val="2"/>
          </rPr>
          <t>1</t>
        </r>
        <r>
          <rPr>
            <sz val="10"/>
            <color indexed="81"/>
            <rFont val="宋体"/>
            <family val="3"/>
            <charset val="134"/>
          </rPr>
          <t>）当项目明细中</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为费用化且</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为委托研发、</t>
        </r>
        <r>
          <rPr>
            <sz val="10"/>
            <color indexed="81"/>
            <rFont val="Calibri"/>
            <family val="2"/>
          </rPr>
          <t>“</t>
        </r>
        <r>
          <rPr>
            <sz val="10"/>
            <color indexed="81"/>
            <rFont val="宋体"/>
            <family val="3"/>
            <charset val="134"/>
          </rPr>
          <t>委托方与受托方是否存在关联关系选项</t>
        </r>
        <r>
          <rPr>
            <sz val="10"/>
            <color indexed="81"/>
            <rFont val="Calibri"/>
            <family val="2"/>
          </rPr>
          <t>”</t>
        </r>
        <r>
          <rPr>
            <sz val="10"/>
            <color indexed="81"/>
            <rFont val="宋体"/>
            <family val="3"/>
            <charset val="134"/>
          </rPr>
          <t>为存在时</t>
        </r>
        <r>
          <rPr>
            <sz val="10"/>
            <color indexed="81"/>
            <rFont val="Calibri"/>
            <family val="2"/>
          </rPr>
          <t>=[</t>
        </r>
        <r>
          <rPr>
            <sz val="10"/>
            <color indexed="81"/>
            <rFont val="宋体"/>
            <family val="3"/>
            <charset val="134"/>
          </rPr>
          <t>序号</t>
        </r>
        <r>
          <rPr>
            <sz val="10"/>
            <color indexed="81"/>
            <rFont val="Calibri"/>
            <family val="2"/>
          </rPr>
          <t>8+</t>
        </r>
        <r>
          <rPr>
            <sz val="10"/>
            <color indexed="81"/>
            <rFont val="宋体"/>
            <family val="3"/>
            <charset val="134"/>
          </rPr>
          <t>最小值（其他相关费用序号</t>
        </r>
        <r>
          <rPr>
            <sz val="10"/>
            <color indexed="81"/>
            <rFont val="Calibri"/>
            <family val="2"/>
          </rPr>
          <t>6</t>
        </r>
        <r>
          <rPr>
            <sz val="10"/>
            <color indexed="81"/>
            <rFont val="宋体"/>
            <family val="3"/>
            <charset val="134"/>
          </rPr>
          <t>合计</t>
        </r>
        <r>
          <rPr>
            <sz val="10"/>
            <color indexed="81"/>
            <rFont val="Calibri"/>
            <family val="2"/>
          </rPr>
          <t>,</t>
        </r>
        <r>
          <rPr>
            <sz val="10"/>
            <color indexed="81"/>
            <rFont val="宋体"/>
            <family val="3"/>
            <charset val="134"/>
          </rPr>
          <t>序号</t>
        </r>
        <r>
          <rPr>
            <sz val="10"/>
            <color indexed="81"/>
            <rFont val="Calibri"/>
            <family val="2"/>
          </rPr>
          <t>8.1</t>
        </r>
        <r>
          <rPr>
            <sz val="10"/>
            <color indexed="81"/>
            <rFont val="宋体"/>
            <family val="3"/>
            <charset val="134"/>
          </rPr>
          <t>）</t>
        </r>
        <r>
          <rPr>
            <sz val="10"/>
            <color indexed="81"/>
            <rFont val="Calibri"/>
            <family val="2"/>
          </rPr>
          <t>-</t>
        </r>
        <r>
          <rPr>
            <sz val="10"/>
            <color indexed="81"/>
            <rFont val="宋体"/>
            <family val="3"/>
            <charset val="134"/>
          </rPr>
          <t>序号</t>
        </r>
        <r>
          <rPr>
            <sz val="10"/>
            <color indexed="81"/>
            <rFont val="Calibri"/>
            <family val="2"/>
          </rPr>
          <t>7.1]×80%</t>
        </r>
        <r>
          <rPr>
            <sz val="10"/>
            <color indexed="81"/>
            <rFont val="宋体"/>
            <family val="3"/>
            <charset val="134"/>
          </rPr>
          <t>，其中，</t>
        </r>
        <r>
          <rPr>
            <sz val="10"/>
            <color indexed="81"/>
            <rFont val="Calibri"/>
            <family val="2"/>
          </rPr>
          <t>“</t>
        </r>
        <r>
          <rPr>
            <sz val="10"/>
            <color indexed="81"/>
            <rFont val="宋体"/>
            <family val="3"/>
            <charset val="134"/>
          </rPr>
          <t>最小值</t>
        </r>
        <r>
          <rPr>
            <sz val="10"/>
            <color indexed="81"/>
            <rFont val="Calibri"/>
            <family val="2"/>
          </rPr>
          <t>”</t>
        </r>
        <r>
          <rPr>
            <sz val="10"/>
            <color indexed="81"/>
            <rFont val="宋体"/>
            <family val="3"/>
            <charset val="134"/>
          </rPr>
          <t>是指其他相关费用序号</t>
        </r>
        <r>
          <rPr>
            <sz val="10"/>
            <color indexed="81"/>
            <rFont val="Calibri"/>
            <family val="2"/>
          </rPr>
          <t>6</t>
        </r>
        <r>
          <rPr>
            <sz val="10"/>
            <color indexed="81"/>
            <rFont val="宋体"/>
            <family val="3"/>
            <charset val="134"/>
          </rPr>
          <t>合计与序号</t>
        </r>
        <r>
          <rPr>
            <sz val="10"/>
            <color indexed="81"/>
            <rFont val="Calibri"/>
            <family val="2"/>
          </rPr>
          <t>8.1</t>
        </r>
        <r>
          <rPr>
            <sz val="10"/>
            <color indexed="81"/>
            <rFont val="宋体"/>
            <family val="3"/>
            <charset val="134"/>
          </rPr>
          <t>相比的孰小值（下同）；
（</t>
        </r>
        <r>
          <rPr>
            <sz val="10"/>
            <color indexed="81"/>
            <rFont val="Calibri"/>
            <family val="2"/>
          </rPr>
          <t>2</t>
        </r>
        <r>
          <rPr>
            <sz val="10"/>
            <color indexed="81"/>
            <rFont val="宋体"/>
            <family val="3"/>
            <charset val="134"/>
          </rPr>
          <t>）当项目明细中</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为费用化且</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为委托研发、</t>
        </r>
        <r>
          <rPr>
            <sz val="10"/>
            <color indexed="81"/>
            <rFont val="Calibri"/>
            <family val="2"/>
          </rPr>
          <t>“</t>
        </r>
        <r>
          <rPr>
            <sz val="10"/>
            <color indexed="81"/>
            <rFont val="宋体"/>
            <family val="3"/>
            <charset val="134"/>
          </rPr>
          <t>委托方与受托方是否存在关联关系选项</t>
        </r>
        <r>
          <rPr>
            <sz val="10"/>
            <color indexed="81"/>
            <rFont val="Calibri"/>
            <family val="2"/>
          </rPr>
          <t>”</t>
        </r>
        <r>
          <rPr>
            <sz val="10"/>
            <color indexed="81"/>
            <rFont val="宋体"/>
            <family val="3"/>
            <charset val="134"/>
          </rPr>
          <t>为不存在时</t>
        </r>
        <r>
          <rPr>
            <sz val="10"/>
            <color indexed="81"/>
            <rFont val="Calibri"/>
            <family val="2"/>
          </rPr>
          <t>=</t>
        </r>
        <r>
          <rPr>
            <sz val="10"/>
            <color indexed="81"/>
            <rFont val="宋体"/>
            <family val="3"/>
            <charset val="134"/>
          </rPr>
          <t>（序号</t>
        </r>
        <r>
          <rPr>
            <sz val="10"/>
            <color indexed="81"/>
            <rFont val="Calibri"/>
            <family val="2"/>
          </rPr>
          <t>7-</t>
        </r>
        <r>
          <rPr>
            <sz val="10"/>
            <color indexed="81"/>
            <rFont val="宋体"/>
            <family val="3"/>
            <charset val="134"/>
          </rPr>
          <t>序号</t>
        </r>
        <r>
          <rPr>
            <sz val="10"/>
            <color indexed="81"/>
            <rFont val="Calibri"/>
            <family val="2"/>
          </rPr>
          <t>7.1</t>
        </r>
        <r>
          <rPr>
            <sz val="10"/>
            <color indexed="81"/>
            <rFont val="宋体"/>
            <family val="3"/>
            <charset val="134"/>
          </rPr>
          <t>）</t>
        </r>
        <r>
          <rPr>
            <sz val="10"/>
            <color indexed="81"/>
            <rFont val="Calibri"/>
            <family val="2"/>
          </rPr>
          <t>×80%</t>
        </r>
        <r>
          <rPr>
            <sz val="10"/>
            <color indexed="81"/>
            <rFont val="宋体"/>
            <family val="3"/>
            <charset val="134"/>
          </rPr>
          <t>；
（</t>
        </r>
        <r>
          <rPr>
            <sz val="10"/>
            <color indexed="81"/>
            <rFont val="Calibri"/>
            <family val="2"/>
          </rPr>
          <t>3</t>
        </r>
        <r>
          <rPr>
            <sz val="10"/>
            <color indexed="81"/>
            <rFont val="宋体"/>
            <family val="3"/>
            <charset val="134"/>
          </rPr>
          <t>）当项目明细中</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为费用化且</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为自主研发、合作研发和集中研发时</t>
        </r>
        <r>
          <rPr>
            <sz val="10"/>
            <color indexed="81"/>
            <rFont val="Calibri"/>
            <family val="2"/>
          </rPr>
          <t>=</t>
        </r>
        <r>
          <rPr>
            <sz val="10"/>
            <color indexed="81"/>
            <rFont val="宋体"/>
            <family val="3"/>
            <charset val="134"/>
          </rPr>
          <t>序号</t>
        </r>
        <r>
          <rPr>
            <sz val="10"/>
            <color indexed="81"/>
            <rFont val="Calibri"/>
            <family val="2"/>
          </rPr>
          <t>8+</t>
        </r>
        <r>
          <rPr>
            <sz val="10"/>
            <color indexed="81"/>
            <rFont val="宋体"/>
            <family val="3"/>
            <charset val="134"/>
          </rPr>
          <t>最小值（其他相关费用序号</t>
        </r>
        <r>
          <rPr>
            <sz val="10"/>
            <color indexed="81"/>
            <rFont val="Calibri"/>
            <family val="2"/>
          </rPr>
          <t>6</t>
        </r>
        <r>
          <rPr>
            <sz val="10"/>
            <color indexed="81"/>
            <rFont val="宋体"/>
            <family val="3"/>
            <charset val="134"/>
          </rPr>
          <t>合计</t>
        </r>
        <r>
          <rPr>
            <sz val="10"/>
            <color indexed="81"/>
            <rFont val="Calibri"/>
            <family val="2"/>
          </rPr>
          <t>,</t>
        </r>
        <r>
          <rPr>
            <sz val="10"/>
            <color indexed="81"/>
            <rFont val="宋体"/>
            <family val="3"/>
            <charset val="134"/>
          </rPr>
          <t>序号</t>
        </r>
        <r>
          <rPr>
            <sz val="10"/>
            <color indexed="81"/>
            <rFont val="Calibri"/>
            <family val="2"/>
          </rPr>
          <t>8.1</t>
        </r>
        <r>
          <rPr>
            <sz val="10"/>
            <color indexed="81"/>
            <rFont val="宋体"/>
            <family val="3"/>
            <charset val="134"/>
          </rPr>
          <t>）；
（</t>
        </r>
        <r>
          <rPr>
            <sz val="10"/>
            <color indexed="81"/>
            <rFont val="Calibri"/>
            <family val="2"/>
          </rPr>
          <t>4</t>
        </r>
        <r>
          <rPr>
            <sz val="10"/>
            <color indexed="81"/>
            <rFont val="宋体"/>
            <family val="3"/>
            <charset val="134"/>
          </rPr>
          <t>）其他情形不需填写本栏次</t>
        </r>
      </text>
    </comment>
    <comment ref="AV7" authorId="0">
      <text>
        <r>
          <rPr>
            <sz val="10"/>
            <color indexed="81"/>
            <rFont val="宋体"/>
            <family val="3"/>
            <charset val="134"/>
          </rPr>
          <t>当期资本化可加计扣除的研发费用率</t>
        </r>
        <r>
          <rPr>
            <sz val="10"/>
            <color indexed="81"/>
            <rFont val="Calibri"/>
            <family val="2"/>
          </rPr>
          <t>”</t>
        </r>
        <r>
          <rPr>
            <sz val="10"/>
            <color indexed="81"/>
            <rFont val="宋体"/>
            <family val="3"/>
            <charset val="134"/>
          </rPr>
          <t>：
（</t>
        </r>
        <r>
          <rPr>
            <sz val="10"/>
            <color indexed="81"/>
            <rFont val="Calibri"/>
            <family val="2"/>
          </rPr>
          <t>1</t>
        </r>
        <r>
          <rPr>
            <sz val="10"/>
            <color indexed="81"/>
            <rFont val="宋体"/>
            <family val="3"/>
            <charset val="134"/>
          </rPr>
          <t>）当项目明细中</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为资本化且</t>
        </r>
        <r>
          <rPr>
            <sz val="10"/>
            <color indexed="81"/>
            <rFont val="Calibri"/>
            <family val="2"/>
          </rPr>
          <t>“</t>
        </r>
        <r>
          <rPr>
            <sz val="10"/>
            <color indexed="81"/>
            <rFont val="宋体"/>
            <family val="3"/>
            <charset val="134"/>
          </rPr>
          <t>项目实施状态选项</t>
        </r>
        <r>
          <rPr>
            <sz val="10"/>
            <color indexed="81"/>
            <rFont val="Calibri"/>
            <family val="2"/>
          </rPr>
          <t>”</t>
        </r>
        <r>
          <rPr>
            <sz val="10"/>
            <color indexed="81"/>
            <rFont val="宋体"/>
            <family val="3"/>
            <charset val="134"/>
          </rPr>
          <t>为已完成、</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为委托研发、</t>
        </r>
        <r>
          <rPr>
            <sz val="10"/>
            <color indexed="81"/>
            <rFont val="Calibri"/>
            <family val="2"/>
          </rPr>
          <t>“</t>
        </r>
        <r>
          <rPr>
            <sz val="10"/>
            <color indexed="81"/>
            <rFont val="宋体"/>
            <family val="3"/>
            <charset val="134"/>
          </rPr>
          <t>委托方与受托方是否存在关联关系选项</t>
        </r>
        <r>
          <rPr>
            <sz val="10"/>
            <color indexed="81"/>
            <rFont val="Calibri"/>
            <family val="2"/>
          </rPr>
          <t>”</t>
        </r>
        <r>
          <rPr>
            <sz val="10"/>
            <color indexed="81"/>
            <rFont val="宋体"/>
            <family val="3"/>
            <charset val="134"/>
          </rPr>
          <t>为存在时</t>
        </r>
        <r>
          <rPr>
            <sz val="10"/>
            <color indexed="81"/>
            <rFont val="Calibri"/>
            <family val="2"/>
          </rPr>
          <t>={[</t>
        </r>
        <r>
          <rPr>
            <sz val="10"/>
            <color indexed="81"/>
            <rFont val="宋体"/>
            <family val="3"/>
            <charset val="134"/>
          </rPr>
          <t>序号</t>
        </r>
        <r>
          <rPr>
            <sz val="10"/>
            <color indexed="81"/>
            <rFont val="Calibri"/>
            <family val="2"/>
          </rPr>
          <t>8+</t>
        </r>
        <r>
          <rPr>
            <sz val="10"/>
            <color indexed="81"/>
            <rFont val="宋体"/>
            <family val="3"/>
            <charset val="134"/>
          </rPr>
          <t>最小值（其他相关费用序号</t>
        </r>
        <r>
          <rPr>
            <sz val="10"/>
            <color indexed="81"/>
            <rFont val="Calibri"/>
            <family val="2"/>
          </rPr>
          <t>6</t>
        </r>
        <r>
          <rPr>
            <sz val="10"/>
            <color indexed="81"/>
            <rFont val="宋体"/>
            <family val="3"/>
            <charset val="134"/>
          </rPr>
          <t>合计</t>
        </r>
        <r>
          <rPr>
            <sz val="10"/>
            <color indexed="81"/>
            <rFont val="Calibri"/>
            <family val="2"/>
          </rPr>
          <t>,</t>
        </r>
        <r>
          <rPr>
            <sz val="10"/>
            <color indexed="81"/>
            <rFont val="宋体"/>
            <family val="3"/>
            <charset val="134"/>
          </rPr>
          <t>序号</t>
        </r>
        <r>
          <rPr>
            <sz val="10"/>
            <color indexed="81"/>
            <rFont val="Calibri"/>
            <family val="2"/>
          </rPr>
          <t>8.1)-</t>
        </r>
        <r>
          <rPr>
            <sz val="10"/>
            <color indexed="81"/>
            <rFont val="宋体"/>
            <family val="3"/>
            <charset val="134"/>
          </rPr>
          <t>序号</t>
        </r>
        <r>
          <rPr>
            <sz val="10"/>
            <color indexed="81"/>
            <rFont val="Calibri"/>
            <family val="2"/>
          </rPr>
          <t>7.1]×80%}/</t>
        </r>
        <r>
          <rPr>
            <sz val="10"/>
            <color indexed="81"/>
            <rFont val="宋体"/>
            <family val="3"/>
            <charset val="134"/>
          </rPr>
          <t>序号一至六的合计</t>
        </r>
        <r>
          <rPr>
            <sz val="10"/>
            <color indexed="81"/>
            <rFont val="Calibri"/>
            <family val="2"/>
          </rPr>
          <t>×100%</t>
        </r>
        <r>
          <rPr>
            <sz val="10"/>
            <color indexed="81"/>
            <rFont val="宋体"/>
            <family val="3"/>
            <charset val="134"/>
          </rPr>
          <t>；
（</t>
        </r>
        <r>
          <rPr>
            <sz val="10"/>
            <color indexed="81"/>
            <rFont val="Calibri"/>
            <family val="2"/>
          </rPr>
          <t>2</t>
        </r>
        <r>
          <rPr>
            <sz val="10"/>
            <color indexed="81"/>
            <rFont val="宋体"/>
            <family val="3"/>
            <charset val="134"/>
          </rPr>
          <t>）当项目明细中</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为资本化且</t>
        </r>
        <r>
          <rPr>
            <sz val="10"/>
            <color indexed="81"/>
            <rFont val="Calibri"/>
            <family val="2"/>
          </rPr>
          <t>“</t>
        </r>
        <r>
          <rPr>
            <sz val="10"/>
            <color indexed="81"/>
            <rFont val="宋体"/>
            <family val="3"/>
            <charset val="134"/>
          </rPr>
          <t>项目实施状态选项</t>
        </r>
        <r>
          <rPr>
            <sz val="10"/>
            <color indexed="81"/>
            <rFont val="Calibri"/>
            <family val="2"/>
          </rPr>
          <t>”</t>
        </r>
        <r>
          <rPr>
            <sz val="10"/>
            <color indexed="81"/>
            <rFont val="宋体"/>
            <family val="3"/>
            <charset val="134"/>
          </rPr>
          <t>为已完成、</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为委托研发、</t>
        </r>
        <r>
          <rPr>
            <sz val="10"/>
            <color indexed="81"/>
            <rFont val="Calibri"/>
            <family val="2"/>
          </rPr>
          <t>“</t>
        </r>
        <r>
          <rPr>
            <sz val="10"/>
            <color indexed="81"/>
            <rFont val="宋体"/>
            <family val="3"/>
            <charset val="134"/>
          </rPr>
          <t>委托方与受托方是否存在关联关系选项</t>
        </r>
        <r>
          <rPr>
            <sz val="10"/>
            <color indexed="81"/>
            <rFont val="Calibri"/>
            <family val="2"/>
          </rPr>
          <t>”</t>
        </r>
        <r>
          <rPr>
            <sz val="10"/>
            <color indexed="81"/>
            <rFont val="宋体"/>
            <family val="3"/>
            <charset val="134"/>
          </rPr>
          <t>为不存在时</t>
        </r>
        <r>
          <rPr>
            <sz val="10"/>
            <color indexed="81"/>
            <rFont val="Calibri"/>
            <family val="2"/>
          </rPr>
          <t>=[</t>
        </r>
        <r>
          <rPr>
            <sz val="10"/>
            <color indexed="81"/>
            <rFont val="宋体"/>
            <family val="3"/>
            <charset val="134"/>
          </rPr>
          <t>（序号</t>
        </r>
        <r>
          <rPr>
            <sz val="10"/>
            <color indexed="81"/>
            <rFont val="Calibri"/>
            <family val="2"/>
          </rPr>
          <t>7-</t>
        </r>
        <r>
          <rPr>
            <sz val="10"/>
            <color indexed="81"/>
            <rFont val="宋体"/>
            <family val="3"/>
            <charset val="134"/>
          </rPr>
          <t>序号</t>
        </r>
        <r>
          <rPr>
            <sz val="10"/>
            <color indexed="81"/>
            <rFont val="Calibri"/>
            <family val="2"/>
          </rPr>
          <t>7.1</t>
        </r>
        <r>
          <rPr>
            <sz val="10"/>
            <color indexed="81"/>
            <rFont val="宋体"/>
            <family val="3"/>
            <charset val="134"/>
          </rPr>
          <t>）</t>
        </r>
        <r>
          <rPr>
            <sz val="10"/>
            <color indexed="81"/>
            <rFont val="Calibri"/>
            <family val="2"/>
          </rPr>
          <t>×80%]/</t>
        </r>
        <r>
          <rPr>
            <sz val="10"/>
            <color indexed="81"/>
            <rFont val="宋体"/>
            <family val="3"/>
            <charset val="134"/>
          </rPr>
          <t>序号</t>
        </r>
        <r>
          <rPr>
            <sz val="10"/>
            <color indexed="81"/>
            <rFont val="Calibri"/>
            <family val="2"/>
          </rPr>
          <t>7×100%</t>
        </r>
        <r>
          <rPr>
            <sz val="10"/>
            <color indexed="81"/>
            <rFont val="宋体"/>
            <family val="3"/>
            <charset val="134"/>
          </rPr>
          <t>；
（</t>
        </r>
        <r>
          <rPr>
            <sz val="10"/>
            <color indexed="81"/>
            <rFont val="Calibri"/>
            <family val="2"/>
          </rPr>
          <t>3</t>
        </r>
        <r>
          <rPr>
            <sz val="10"/>
            <color indexed="81"/>
            <rFont val="宋体"/>
            <family val="3"/>
            <charset val="134"/>
          </rPr>
          <t>）当项目明细中</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为资本化且</t>
        </r>
        <r>
          <rPr>
            <sz val="10"/>
            <color indexed="81"/>
            <rFont val="Calibri"/>
            <family val="2"/>
          </rPr>
          <t>“</t>
        </r>
        <r>
          <rPr>
            <sz val="10"/>
            <color indexed="81"/>
            <rFont val="宋体"/>
            <family val="3"/>
            <charset val="134"/>
          </rPr>
          <t>项目实施状态选项</t>
        </r>
        <r>
          <rPr>
            <sz val="10"/>
            <color indexed="81"/>
            <rFont val="Calibri"/>
            <family val="2"/>
          </rPr>
          <t>”</t>
        </r>
        <r>
          <rPr>
            <sz val="10"/>
            <color indexed="81"/>
            <rFont val="宋体"/>
            <family val="3"/>
            <charset val="134"/>
          </rPr>
          <t>为已完成、</t>
        </r>
        <r>
          <rPr>
            <sz val="10"/>
            <color indexed="81"/>
            <rFont val="Calibri"/>
            <family val="2"/>
          </rPr>
          <t>“</t>
        </r>
        <r>
          <rPr>
            <sz val="10"/>
            <color indexed="81"/>
            <rFont val="宋体"/>
            <family val="3"/>
            <charset val="134"/>
          </rPr>
          <t>研发形式</t>
        </r>
        <r>
          <rPr>
            <sz val="10"/>
            <color indexed="81"/>
            <rFont val="Calibri"/>
            <family val="2"/>
          </rPr>
          <t>”</t>
        </r>
        <r>
          <rPr>
            <sz val="10"/>
            <color indexed="81"/>
            <rFont val="宋体"/>
            <family val="3"/>
            <charset val="134"/>
          </rPr>
          <t>为自主研发、合作研发和集中研发时</t>
        </r>
        <r>
          <rPr>
            <sz val="10"/>
            <color indexed="81"/>
            <rFont val="Calibri"/>
            <family val="2"/>
          </rPr>
          <t>=[</t>
        </r>
        <r>
          <rPr>
            <sz val="10"/>
            <color indexed="81"/>
            <rFont val="宋体"/>
            <family val="3"/>
            <charset val="134"/>
          </rPr>
          <t>序号</t>
        </r>
        <r>
          <rPr>
            <sz val="10"/>
            <color indexed="81"/>
            <rFont val="Calibri"/>
            <family val="2"/>
          </rPr>
          <t>8+</t>
        </r>
        <r>
          <rPr>
            <sz val="10"/>
            <color indexed="81"/>
            <rFont val="宋体"/>
            <family val="3"/>
            <charset val="134"/>
          </rPr>
          <t>最小值（其他相关费用序号</t>
        </r>
        <r>
          <rPr>
            <sz val="10"/>
            <color indexed="81"/>
            <rFont val="Calibri"/>
            <family val="2"/>
          </rPr>
          <t>6</t>
        </r>
        <r>
          <rPr>
            <sz val="10"/>
            <color indexed="81"/>
            <rFont val="宋体"/>
            <family val="3"/>
            <charset val="134"/>
          </rPr>
          <t>合计</t>
        </r>
        <r>
          <rPr>
            <sz val="10"/>
            <color indexed="81"/>
            <rFont val="Calibri"/>
            <family val="2"/>
          </rPr>
          <t>,</t>
        </r>
        <r>
          <rPr>
            <sz val="10"/>
            <color indexed="81"/>
            <rFont val="宋体"/>
            <family val="3"/>
            <charset val="134"/>
          </rPr>
          <t>序号</t>
        </r>
        <r>
          <rPr>
            <sz val="10"/>
            <color indexed="81"/>
            <rFont val="Calibri"/>
            <family val="2"/>
          </rPr>
          <t>8.1</t>
        </r>
        <r>
          <rPr>
            <sz val="10"/>
            <color indexed="81"/>
            <rFont val="宋体"/>
            <family val="3"/>
            <charset val="134"/>
          </rPr>
          <t>）</t>
        </r>
        <r>
          <rPr>
            <sz val="10"/>
            <color indexed="81"/>
            <rFont val="Calibri"/>
            <family val="2"/>
          </rPr>
          <t>]/</t>
        </r>
        <r>
          <rPr>
            <sz val="10"/>
            <color indexed="81"/>
            <rFont val="宋体"/>
            <family val="3"/>
            <charset val="134"/>
          </rPr>
          <t>序号一至六的合计</t>
        </r>
        <r>
          <rPr>
            <sz val="10"/>
            <color indexed="81"/>
            <rFont val="Calibri"/>
            <family val="2"/>
          </rPr>
          <t>×100%</t>
        </r>
        <r>
          <rPr>
            <sz val="10"/>
            <color indexed="81"/>
            <rFont val="宋体"/>
            <family val="3"/>
            <charset val="134"/>
          </rPr>
          <t>；
（</t>
        </r>
        <r>
          <rPr>
            <sz val="10"/>
            <color indexed="81"/>
            <rFont val="Calibri"/>
            <family val="2"/>
          </rPr>
          <t>4</t>
        </r>
        <r>
          <rPr>
            <sz val="10"/>
            <color indexed="81"/>
            <rFont val="宋体"/>
            <family val="3"/>
            <charset val="134"/>
          </rPr>
          <t>）其他情形不需填写本栏次；
（</t>
        </r>
        <r>
          <rPr>
            <sz val="10"/>
            <color indexed="81"/>
            <rFont val="Calibri"/>
            <family val="2"/>
          </rPr>
          <t>5</t>
        </r>
        <r>
          <rPr>
            <sz val="10"/>
            <color indexed="81"/>
            <rFont val="宋体"/>
            <family val="3"/>
            <charset val="134"/>
          </rPr>
          <t>）</t>
        </r>
        <r>
          <rPr>
            <sz val="10"/>
            <color indexed="81"/>
            <rFont val="Calibri"/>
            <family val="2"/>
          </rPr>
          <t>“</t>
        </r>
        <r>
          <rPr>
            <sz val="10"/>
            <color indexed="81"/>
            <rFont val="宋体"/>
            <family val="3"/>
            <charset val="134"/>
          </rPr>
          <t>当期资本化可加计扣除的研发费用率</t>
        </r>
        <r>
          <rPr>
            <sz val="10"/>
            <color indexed="81"/>
            <rFont val="Calibri"/>
            <family val="2"/>
          </rPr>
          <t>”</t>
        </r>
        <r>
          <rPr>
            <sz val="10"/>
            <color indexed="81"/>
            <rFont val="宋体"/>
            <family val="3"/>
            <charset val="134"/>
          </rPr>
          <t>应当记录在对应的无形资产明细账上，以便用于计算归集《研发项目可加计扣除研究开发费用情况归集表》序号</t>
        </r>
        <r>
          <rPr>
            <sz val="10"/>
            <color indexed="81"/>
            <rFont val="Calibri"/>
            <family val="2"/>
          </rPr>
          <t>10.1“</t>
        </r>
        <r>
          <rPr>
            <sz val="10"/>
            <color indexed="81"/>
            <rFont val="宋体"/>
            <family val="3"/>
            <charset val="134"/>
          </rPr>
          <t>其中：准予加计扣除的摊销额</t>
        </r>
        <r>
          <rPr>
            <sz val="10"/>
            <color indexed="81"/>
            <rFont val="Calibri"/>
            <family val="2"/>
          </rPr>
          <t>”</t>
        </r>
      </text>
    </comment>
    <comment ref="B8" authorId="0">
      <text>
        <r>
          <rPr>
            <sz val="10"/>
            <color indexed="81"/>
            <rFont val="宋体"/>
            <family val="3"/>
            <charset val="134"/>
          </rPr>
          <t>应当按照所有上年资本化支出未完成项目的</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辅助账期初借方余额对应费用明细项目的汇总额填报</t>
        </r>
      </text>
    </comment>
    <comment ref="B9" authorId="0">
      <text>
        <r>
          <rPr>
            <sz val="10"/>
            <color indexed="81"/>
            <rFont val="宋体"/>
            <family val="3"/>
            <charset val="134"/>
          </rPr>
          <t>应当按照所有上年未完成、本年新设置的项目的</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辅助账借方发生额对应费用明细项目的汇总额填报</t>
        </r>
      </text>
    </comment>
    <comment ref="B10" authorId="0">
      <text>
        <r>
          <rPr>
            <sz val="10"/>
            <color indexed="81"/>
            <rFont val="宋体"/>
            <family val="3"/>
            <charset val="134"/>
          </rPr>
          <t>应当按照所有上年未完成、本年新设置的项目的</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辅助账贷方发生额对应费用明细项目的汇总额填报</t>
        </r>
      </text>
    </comment>
    <comment ref="B11" authorId="0">
      <text>
        <r>
          <rPr>
            <sz val="10"/>
            <color indexed="81"/>
            <rFont val="Calibri"/>
            <family val="2"/>
          </rPr>
          <t>“</t>
        </r>
        <r>
          <rPr>
            <sz val="10"/>
            <color indexed="81"/>
            <rFont val="宋体"/>
            <family val="3"/>
            <charset val="134"/>
          </rPr>
          <t>其中：结转管理费用</t>
        </r>
        <r>
          <rPr>
            <sz val="10"/>
            <color indexed="81"/>
            <rFont val="Calibri"/>
            <family val="2"/>
          </rPr>
          <t>”</t>
        </r>
        <r>
          <rPr>
            <sz val="10"/>
            <color indexed="81"/>
            <rFont val="宋体"/>
            <family val="3"/>
            <charset val="134"/>
          </rPr>
          <t>：当</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为费用化支出时，对应的项目明细合计，其中，对应的序号</t>
        </r>
        <r>
          <rPr>
            <sz val="10"/>
            <color indexed="81"/>
            <rFont val="Calibri"/>
            <family val="2"/>
          </rPr>
          <t>9“</t>
        </r>
        <r>
          <rPr>
            <sz val="10"/>
            <color indexed="81"/>
            <rFont val="宋体"/>
            <family val="3"/>
            <charset val="134"/>
          </rPr>
          <t>当期费用化支出可加计扣除总额</t>
        </r>
        <r>
          <rPr>
            <sz val="10"/>
            <color indexed="81"/>
            <rFont val="Calibri"/>
            <family val="2"/>
          </rPr>
          <t>”</t>
        </r>
        <r>
          <rPr>
            <sz val="10"/>
            <color indexed="81"/>
            <rFont val="宋体"/>
            <family val="3"/>
            <charset val="134"/>
          </rPr>
          <t>等于</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为费用化支出行次的合计</t>
        </r>
      </text>
    </comment>
    <comment ref="B12" authorId="0">
      <text>
        <r>
          <rPr>
            <sz val="10"/>
            <color indexed="81"/>
            <rFont val="宋体"/>
            <family val="3"/>
            <charset val="134"/>
          </rPr>
          <t>其中：结转无形资产</t>
        </r>
        <r>
          <rPr>
            <sz val="10"/>
            <color indexed="81"/>
            <rFont val="Calibri"/>
            <family val="2"/>
          </rPr>
          <t>”</t>
        </r>
        <r>
          <rPr>
            <sz val="10"/>
            <color indexed="81"/>
            <rFont val="宋体"/>
            <family val="3"/>
            <charset val="134"/>
          </rPr>
          <t>：当</t>
        </r>
        <r>
          <rPr>
            <sz val="10"/>
            <color indexed="81"/>
            <rFont val="Calibri"/>
            <family val="2"/>
          </rPr>
          <t>“</t>
        </r>
        <r>
          <rPr>
            <sz val="10"/>
            <color indexed="81"/>
            <rFont val="宋体"/>
            <family val="3"/>
            <charset val="134"/>
          </rPr>
          <t>资本化、费用化支出选项</t>
        </r>
        <r>
          <rPr>
            <sz val="10"/>
            <color indexed="81"/>
            <rFont val="Calibri"/>
            <family val="2"/>
          </rPr>
          <t>”</t>
        </r>
        <r>
          <rPr>
            <sz val="10"/>
            <color indexed="81"/>
            <rFont val="宋体"/>
            <family val="3"/>
            <charset val="134"/>
          </rPr>
          <t>为资本化支出且</t>
        </r>
        <r>
          <rPr>
            <sz val="10"/>
            <color indexed="81"/>
            <rFont val="Calibri"/>
            <family val="2"/>
          </rPr>
          <t>“</t>
        </r>
        <r>
          <rPr>
            <sz val="10"/>
            <color indexed="81"/>
            <rFont val="宋体"/>
            <family val="3"/>
            <charset val="134"/>
          </rPr>
          <t>项目实施状态选项</t>
        </r>
        <r>
          <rPr>
            <sz val="10"/>
            <color indexed="81"/>
            <rFont val="Calibri"/>
            <family val="2"/>
          </rPr>
          <t>”</t>
        </r>
        <r>
          <rPr>
            <sz val="10"/>
            <color indexed="81"/>
            <rFont val="宋体"/>
            <family val="3"/>
            <charset val="134"/>
          </rPr>
          <t>为已完成时，对应的项目明细合计</t>
        </r>
      </text>
    </comment>
    <comment ref="B13" authorId="0">
      <text>
        <r>
          <rPr>
            <sz val="10"/>
            <color indexed="81"/>
            <rFont val="宋体"/>
            <family val="3"/>
            <charset val="134"/>
          </rPr>
          <t>应当按照所有本年末资本化支出未完成项目的</t>
        </r>
        <r>
          <rPr>
            <sz val="10"/>
            <color indexed="81"/>
            <rFont val="Calibri"/>
            <family val="2"/>
          </rPr>
          <t>“</t>
        </r>
        <r>
          <rPr>
            <sz val="10"/>
            <color indexed="81"/>
            <rFont val="宋体"/>
            <family val="3"/>
            <charset val="134"/>
          </rPr>
          <t>研发支出</t>
        </r>
        <r>
          <rPr>
            <sz val="10"/>
            <color indexed="81"/>
            <rFont val="Calibri"/>
            <family val="2"/>
          </rPr>
          <t>”</t>
        </r>
        <r>
          <rPr>
            <sz val="10"/>
            <color indexed="81"/>
            <rFont val="宋体"/>
            <family val="3"/>
            <charset val="134"/>
          </rPr>
          <t>辅助账期末借方余额对应费用明细项目的汇总额填报</t>
        </r>
      </text>
    </comment>
  </commentList>
</comments>
</file>

<file path=xl/sharedStrings.xml><?xml version="1.0" encoding="utf-8"?>
<sst xmlns="http://schemas.openxmlformats.org/spreadsheetml/2006/main" count="12375" uniqueCount="8925">
  <si>
    <t>中华人民共和国企业所得税年度纳税申报表</t>
    <phoneticPr fontId="4" type="noConversion"/>
  </si>
  <si>
    <r>
      <t xml:space="preserve"> </t>
    </r>
    <r>
      <rPr>
        <sz val="10"/>
        <color theme="1"/>
        <rFont val="微软雅黑"/>
        <family val="2"/>
        <charset val="134"/>
      </rPr>
      <t xml:space="preserve">       </t>
    </r>
    <r>
      <rPr>
        <sz val="10"/>
        <color theme="1"/>
        <rFont val="微软雅黑"/>
        <family val="2"/>
        <charset val="134"/>
      </rPr>
      <t>金额单位：人民币元（列至角分）</t>
    </r>
    <phoneticPr fontId="4" type="noConversion"/>
  </si>
  <si>
    <t xml:space="preserve">    谨声明：此纳税申报表是根据《中华人民共和国企业所得税法》、《中华人民共和国企业所得税法实施条例》、有关税收政策以及国家统一会计制度的规定填报的，是真实的、可靠的、完整的。</t>
    <phoneticPr fontId="4" type="noConversion"/>
  </si>
  <si>
    <t xml:space="preserve">法定代表人（签章）:                   年  月  日   </t>
    <phoneticPr fontId="4" type="noConversion"/>
  </si>
  <si>
    <t>纳税人公章：</t>
  </si>
  <si>
    <t>代理申报中介机构公章：</t>
  </si>
  <si>
    <r>
      <t xml:space="preserve"> </t>
    </r>
    <r>
      <rPr>
        <sz val="10"/>
        <color theme="1"/>
        <rFont val="微软雅黑"/>
        <family val="2"/>
        <charset val="134"/>
      </rPr>
      <t xml:space="preserve"> 主管税务机关受理专用章：</t>
    </r>
    <phoneticPr fontId="4" type="noConversion"/>
  </si>
  <si>
    <t xml:space="preserve">会计主管：    </t>
  </si>
  <si>
    <t>经办人：</t>
    <phoneticPr fontId="4" type="noConversion"/>
  </si>
  <si>
    <r>
      <t xml:space="preserve"> </t>
    </r>
    <r>
      <rPr>
        <sz val="10"/>
        <color theme="1"/>
        <rFont val="微软雅黑"/>
        <family val="2"/>
        <charset val="134"/>
      </rPr>
      <t xml:space="preserve"> 受理人：</t>
    </r>
    <phoneticPr fontId="4" type="noConversion"/>
  </si>
  <si>
    <t>经办人执业证件号码：</t>
  </si>
  <si>
    <t>填表日期：    年  月  日</t>
    <phoneticPr fontId="4" type="noConversion"/>
  </si>
  <si>
    <r>
      <t xml:space="preserve">代理申报日期:  </t>
    </r>
    <r>
      <rPr>
        <sz val="10"/>
        <color theme="1"/>
        <rFont val="微软雅黑"/>
        <family val="2"/>
        <charset val="134"/>
      </rPr>
      <t xml:space="preserve"> 年  月  日</t>
    </r>
    <phoneticPr fontId="4" type="noConversion"/>
  </si>
  <si>
    <r>
      <t xml:space="preserve">  </t>
    </r>
    <r>
      <rPr>
        <sz val="10"/>
        <color theme="1"/>
        <rFont val="微软雅黑"/>
        <family val="2"/>
        <charset val="134"/>
      </rPr>
      <t>受理日期：    年  月  日</t>
    </r>
    <phoneticPr fontId="4" type="noConversion"/>
  </si>
  <si>
    <t>国家税务总局监制</t>
    <phoneticPr fontId="4" type="noConversion"/>
  </si>
  <si>
    <r>
      <t>（A类</t>
    </r>
    <r>
      <rPr>
        <sz val="10"/>
        <color theme="1"/>
        <rFont val="微软雅黑"/>
        <family val="2"/>
        <charset val="134"/>
      </rPr>
      <t xml:space="preserve"> , 2017年版）</t>
    </r>
    <phoneticPr fontId="4" type="noConversion"/>
  </si>
  <si>
    <t>企业所得税年度纳税申报表填报表单</t>
  </si>
  <si>
    <t>表单编号</t>
    <phoneticPr fontId="4" type="noConversion"/>
  </si>
  <si>
    <t>表单名称</t>
    <phoneticPr fontId="4" type="noConversion"/>
  </si>
  <si>
    <t>选择填报情况</t>
    <phoneticPr fontId="4" type="noConversion"/>
  </si>
  <si>
    <t>填 报</t>
    <phoneticPr fontId="4" type="noConversion"/>
  </si>
  <si>
    <t>不填报</t>
    <phoneticPr fontId="4" type="noConversion"/>
  </si>
  <si>
    <t>A000000</t>
    <phoneticPr fontId="4" type="noConversion"/>
  </si>
  <si>
    <t>企业基础信息表</t>
    <phoneticPr fontId="4" type="noConversion"/>
  </si>
  <si>
    <t>A100000</t>
    <phoneticPr fontId="4" type="noConversion"/>
  </si>
  <si>
    <t>中华人民共和国企业所得税年度纳税申报表（A类）</t>
    <phoneticPr fontId="4" type="noConversion"/>
  </si>
  <si>
    <t>总表</t>
    <phoneticPr fontId="4" type="noConversion"/>
  </si>
  <si>
    <t>A101010</t>
    <phoneticPr fontId="4" type="noConversion"/>
  </si>
  <si>
    <r>
      <t xml:space="preserve">    </t>
    </r>
    <r>
      <rPr>
        <sz val="10"/>
        <rFont val="宋体"/>
        <family val="3"/>
        <charset val="134"/>
      </rPr>
      <t>一般企业收入明细表</t>
    </r>
    <phoneticPr fontId="4" type="noConversion"/>
  </si>
  <si>
    <t>□</t>
  </si>
  <si>
    <t>收支明细表</t>
    <phoneticPr fontId="4" type="noConversion"/>
  </si>
  <si>
    <t>A101020</t>
    <phoneticPr fontId="4" type="noConversion"/>
  </si>
  <si>
    <t xml:space="preserve">    金融企业收入明细表</t>
    <phoneticPr fontId="4" type="noConversion"/>
  </si>
  <si>
    <t>A102010</t>
    <phoneticPr fontId="4" type="noConversion"/>
  </si>
  <si>
    <t xml:space="preserve">    一般企业成本支出明细表</t>
    <phoneticPr fontId="4" type="noConversion"/>
  </si>
  <si>
    <t>A102020</t>
    <phoneticPr fontId="4" type="noConversion"/>
  </si>
  <si>
    <t xml:space="preserve">    金融企业支出明细表</t>
    <phoneticPr fontId="4" type="noConversion"/>
  </si>
  <si>
    <t>A103000</t>
    <phoneticPr fontId="4" type="noConversion"/>
  </si>
  <si>
    <r>
      <t xml:space="preserve">    事业单位、民间非营利组织收入、</t>
    </r>
    <r>
      <rPr>
        <sz val="10"/>
        <rFont val="宋体"/>
        <family val="3"/>
        <charset val="134"/>
      </rPr>
      <t>支出明细表</t>
    </r>
    <phoneticPr fontId="4" type="noConversion"/>
  </si>
  <si>
    <t>A104000</t>
    <phoneticPr fontId="4" type="noConversion"/>
  </si>
  <si>
    <t xml:space="preserve">    期间费用明细表</t>
    <phoneticPr fontId="4" type="noConversion"/>
  </si>
  <si>
    <t>A105000</t>
    <phoneticPr fontId="4" type="noConversion"/>
  </si>
  <si>
    <t xml:space="preserve">    纳税调整项目明细表</t>
    <phoneticPr fontId="4" type="noConversion"/>
  </si>
  <si>
    <t>纳税调整项目明细表</t>
    <phoneticPr fontId="4" type="noConversion"/>
  </si>
  <si>
    <t>A105010</t>
    <phoneticPr fontId="4" type="noConversion"/>
  </si>
  <si>
    <r>
      <t xml:space="preserve">        视同销售和</t>
    </r>
    <r>
      <rPr>
        <sz val="10"/>
        <rFont val="宋体"/>
        <family val="3"/>
        <charset val="134"/>
      </rPr>
      <t>房地产开发企业特定业务纳税调整明细表</t>
    </r>
    <phoneticPr fontId="4" type="noConversion"/>
  </si>
  <si>
    <t>A105020</t>
    <phoneticPr fontId="4" type="noConversion"/>
  </si>
  <si>
    <t xml:space="preserve">        未按权责发生制确认收入纳税调整明细表</t>
    <phoneticPr fontId="4" type="noConversion"/>
  </si>
  <si>
    <t>A105030</t>
    <phoneticPr fontId="4" type="noConversion"/>
  </si>
  <si>
    <t xml:space="preserve">        投资收益纳税调整明细表</t>
    <phoneticPr fontId="4" type="noConversion"/>
  </si>
  <si>
    <t>A105040</t>
    <phoneticPr fontId="4" type="noConversion"/>
  </si>
  <si>
    <t xml:space="preserve">        专项用途财政性资金纳税调整明细表</t>
    <phoneticPr fontId="4" type="noConversion"/>
  </si>
  <si>
    <t>A105060</t>
    <phoneticPr fontId="4" type="noConversion"/>
  </si>
  <si>
    <r>
      <t xml:space="preserve"> </t>
    </r>
    <r>
      <rPr>
        <sz val="10"/>
        <rFont val="宋体"/>
        <family val="3"/>
        <charset val="134"/>
      </rPr>
      <t xml:space="preserve">       广告费和业务宣传费跨年度纳税调整明细表</t>
    </r>
    <phoneticPr fontId="4" type="noConversion"/>
  </si>
  <si>
    <t>A105070</t>
    <phoneticPr fontId="4" type="noConversion"/>
  </si>
  <si>
    <t>A105080</t>
    <phoneticPr fontId="4" type="noConversion"/>
  </si>
  <si>
    <r>
      <t xml:space="preserve">        资产折旧、摊销</t>
    </r>
    <r>
      <rPr>
        <sz val="10"/>
        <rFont val="宋体"/>
        <family val="3"/>
        <charset val="134"/>
      </rPr>
      <t>情况及纳税调整明细表</t>
    </r>
    <phoneticPr fontId="4" type="noConversion"/>
  </si>
  <si>
    <t>A105090</t>
    <phoneticPr fontId="4" type="noConversion"/>
  </si>
  <si>
    <t xml:space="preserve">        资产损失税前扣除及纳税调整明细表</t>
    <phoneticPr fontId="4" type="noConversion"/>
  </si>
  <si>
    <t>A105100</t>
    <phoneticPr fontId="4" type="noConversion"/>
  </si>
  <si>
    <t>A105110</t>
    <phoneticPr fontId="4" type="noConversion"/>
  </si>
  <si>
    <t xml:space="preserve">        政策性搬迁纳税调整明细表</t>
    <phoneticPr fontId="4" type="noConversion"/>
  </si>
  <si>
    <t>A105120</t>
    <phoneticPr fontId="4" type="noConversion"/>
  </si>
  <si>
    <t xml:space="preserve">        特殊行业准备金纳税调整明细表</t>
    <phoneticPr fontId="4" type="noConversion"/>
  </si>
  <si>
    <t>A106000</t>
    <phoneticPr fontId="4" type="noConversion"/>
  </si>
  <si>
    <t xml:space="preserve">    企业所得税弥补亏损明细表</t>
    <phoneticPr fontId="4" type="noConversion"/>
  </si>
  <si>
    <t>弥补亏损明细表</t>
    <phoneticPr fontId="4" type="noConversion"/>
  </si>
  <si>
    <t>A107010</t>
    <phoneticPr fontId="4" type="noConversion"/>
  </si>
  <si>
    <t xml:space="preserve">    免税、减计收入及加计扣除优惠明细表</t>
    <phoneticPr fontId="4" type="noConversion"/>
  </si>
  <si>
    <t>优惠明细表</t>
    <phoneticPr fontId="4" type="noConversion"/>
  </si>
  <si>
    <t>A107011</t>
    <phoneticPr fontId="4" type="noConversion"/>
  </si>
  <si>
    <t xml:space="preserve">        研发费用加计扣除优惠明细表</t>
    <phoneticPr fontId="4" type="noConversion"/>
  </si>
  <si>
    <t>A107020</t>
    <phoneticPr fontId="4" type="noConversion"/>
  </si>
  <si>
    <t xml:space="preserve">    所得减免优惠明细表</t>
    <phoneticPr fontId="4" type="noConversion"/>
  </si>
  <si>
    <t>A107030</t>
    <phoneticPr fontId="4" type="noConversion"/>
  </si>
  <si>
    <t xml:space="preserve">    抵扣应纳税所得额明细表</t>
    <phoneticPr fontId="4" type="noConversion"/>
  </si>
  <si>
    <t>A107040</t>
    <phoneticPr fontId="4" type="noConversion"/>
  </si>
  <si>
    <t xml:space="preserve">    减免所得税优惠明细表</t>
    <phoneticPr fontId="4" type="noConversion"/>
  </si>
  <si>
    <t>A107041</t>
    <phoneticPr fontId="4" type="noConversion"/>
  </si>
  <si>
    <t xml:space="preserve">        高新技术企业优惠情况及明细表</t>
    <phoneticPr fontId="4" type="noConversion"/>
  </si>
  <si>
    <t>A107042</t>
    <phoneticPr fontId="4" type="noConversion"/>
  </si>
  <si>
    <t xml:space="preserve">        软件、集成电路企业优惠情况及明细表</t>
    <phoneticPr fontId="4" type="noConversion"/>
  </si>
  <si>
    <t>A107050</t>
    <phoneticPr fontId="4" type="noConversion"/>
  </si>
  <si>
    <t xml:space="preserve">    税额抵免优惠明细表</t>
    <phoneticPr fontId="4" type="noConversion"/>
  </si>
  <si>
    <t>A108000</t>
    <phoneticPr fontId="4" type="noConversion"/>
  </si>
  <si>
    <r>
      <t xml:space="preserve">    境外所得税</t>
    </r>
    <r>
      <rPr>
        <sz val="10"/>
        <rFont val="宋体"/>
        <family val="3"/>
        <charset val="134"/>
      </rPr>
      <t>收抵免明细表</t>
    </r>
    <phoneticPr fontId="4" type="noConversion"/>
  </si>
  <si>
    <t>税收抵免明细表</t>
    <phoneticPr fontId="4" type="noConversion"/>
  </si>
  <si>
    <t>A108010</t>
    <phoneticPr fontId="4" type="noConversion"/>
  </si>
  <si>
    <r>
      <t xml:space="preserve">        境外所得纳税调整后所得</t>
    </r>
    <r>
      <rPr>
        <sz val="10"/>
        <rFont val="宋体"/>
        <family val="3"/>
        <charset val="134"/>
      </rPr>
      <t>明细表</t>
    </r>
    <phoneticPr fontId="4" type="noConversion"/>
  </si>
  <si>
    <t>A108020</t>
    <phoneticPr fontId="4" type="noConversion"/>
  </si>
  <si>
    <t xml:space="preserve">        境外分支机构弥补亏损明细表</t>
    <phoneticPr fontId="4" type="noConversion"/>
  </si>
  <si>
    <t>A108030</t>
    <phoneticPr fontId="4" type="noConversion"/>
  </si>
  <si>
    <r>
      <t xml:space="preserve">        跨年度结转抵免境外所得税</t>
    </r>
    <r>
      <rPr>
        <sz val="10"/>
        <rFont val="宋体"/>
        <family val="3"/>
        <charset val="134"/>
      </rPr>
      <t>明细表</t>
    </r>
    <phoneticPr fontId="4" type="noConversion"/>
  </si>
  <si>
    <t>A109000</t>
    <phoneticPr fontId="4" type="noConversion"/>
  </si>
  <si>
    <r>
      <t xml:space="preserve">    跨地区经营汇总纳税企业年度分摊企业所得税</t>
    </r>
    <r>
      <rPr>
        <sz val="10"/>
        <rFont val="宋体"/>
        <family val="3"/>
        <charset val="134"/>
      </rPr>
      <t>明细表</t>
    </r>
    <phoneticPr fontId="4" type="noConversion"/>
  </si>
  <si>
    <t>汇总纳税明细表</t>
    <phoneticPr fontId="4" type="noConversion"/>
  </si>
  <si>
    <t>A109010</t>
    <phoneticPr fontId="4" type="noConversion"/>
  </si>
  <si>
    <t xml:space="preserve">        企业所得税汇总纳税分支机构所得税分配表</t>
    <phoneticPr fontId="4" type="noConversion"/>
  </si>
  <si>
    <t>归集表</t>
  </si>
  <si>
    <t xml:space="preserve">    研发项目可加计扣除研究开发费用情况归集表</t>
  </si>
  <si>
    <t>辅助账汇总表</t>
  </si>
  <si>
    <t xml:space="preserve">       “研发支出”辅助账汇总表</t>
  </si>
  <si>
    <t>说明：企业应当根据实际情况选择需要填表的表单。</t>
  </si>
  <si>
    <t>A107012</t>
    <phoneticPr fontId="4" type="noConversion"/>
  </si>
  <si>
    <t xml:space="preserve">        企业重组及递延纳税事项纳税调整明细表</t>
    <phoneticPr fontId="4" type="noConversion"/>
  </si>
  <si>
    <t>企业基础信息表</t>
    <phoneticPr fontId="4" type="noConversion"/>
  </si>
  <si>
    <t>100基本信息</t>
    <phoneticPr fontId="4" type="noConversion"/>
  </si>
  <si>
    <t>101汇总纳税企业</t>
    <phoneticPr fontId="4" type="noConversion"/>
  </si>
  <si>
    <t>股东名称</t>
    <phoneticPr fontId="4" type="noConversion"/>
  </si>
  <si>
    <t>证件种类</t>
    <phoneticPr fontId="4" type="noConversion"/>
  </si>
  <si>
    <t>证件号码</t>
    <phoneticPr fontId="4" type="noConversion"/>
  </si>
  <si>
    <t>投资比例</t>
    <phoneticPr fontId="4" type="noConversion"/>
  </si>
  <si>
    <t>国籍（注册地址）</t>
    <phoneticPr fontId="4" type="noConversion"/>
  </si>
  <si>
    <t>102所属行业明细代码</t>
    <phoneticPr fontId="4" type="noConversion"/>
  </si>
  <si>
    <t>103资产总额（万元）</t>
    <phoneticPr fontId="4" type="noConversion"/>
  </si>
  <si>
    <t>104从业人数</t>
    <phoneticPr fontId="4" type="noConversion"/>
  </si>
  <si>
    <t>105国家限制或禁止行业</t>
    <phoneticPr fontId="4" type="noConversion"/>
  </si>
  <si>
    <t>106 非营利组织</t>
    <phoneticPr fontId="4" type="noConversion"/>
  </si>
  <si>
    <t>107存在境外关联交易</t>
    <phoneticPr fontId="4" type="noConversion"/>
  </si>
  <si>
    <t>108上市公司</t>
    <phoneticPr fontId="4" type="noConversion"/>
  </si>
  <si>
    <t>109从事股权投资业务</t>
    <phoneticPr fontId="4" type="noConversion"/>
  </si>
  <si>
    <t>110适用的会计准则或会计制度</t>
    <phoneticPr fontId="4" type="noConversion"/>
  </si>
  <si>
    <t>200企业重组及递延纳税事项</t>
    <phoneticPr fontId="1" type="noConversion"/>
  </si>
  <si>
    <t>201发生资产（股权）划转特殊性税务处理事项</t>
    <phoneticPr fontId="1" type="noConversion"/>
  </si>
  <si>
    <t>202发生非货币性资产投资递延纳税事项</t>
    <phoneticPr fontId="1" type="noConversion"/>
  </si>
  <si>
    <t>204发生企业重组事项</t>
    <phoneticPr fontId="1" type="noConversion"/>
  </si>
  <si>
    <t>是（□一般性税务处理   □特殊性税务处理）  □否</t>
    <phoneticPr fontId="1" type="noConversion"/>
  </si>
  <si>
    <t>204-1重组开始时间</t>
    <phoneticPr fontId="1" type="noConversion"/>
  </si>
  <si>
    <t xml:space="preserve">      年    月    日</t>
    <phoneticPr fontId="1" type="noConversion"/>
  </si>
  <si>
    <t>□法律形式改变</t>
    <phoneticPr fontId="1" type="noConversion"/>
  </si>
  <si>
    <t>□债务重组</t>
    <phoneticPr fontId="1" type="noConversion"/>
  </si>
  <si>
    <t>□债务人
□债权人</t>
    <phoneticPr fontId="1" type="noConversion"/>
  </si>
  <si>
    <t xml:space="preserve">   年    月    日</t>
    <phoneticPr fontId="1" type="noConversion"/>
  </si>
  <si>
    <t>*</t>
  </si>
  <si>
    <t>*</t>
    <phoneticPr fontId="1" type="noConversion"/>
  </si>
  <si>
    <t>□股权收购</t>
    <phoneticPr fontId="1" type="noConversion"/>
  </si>
  <si>
    <t>□资产收购</t>
    <phoneticPr fontId="1" type="noConversion"/>
  </si>
  <si>
    <t>□合并</t>
    <phoneticPr fontId="1" type="noConversion"/>
  </si>
  <si>
    <t>□分立</t>
    <phoneticPr fontId="1" type="noConversion"/>
  </si>
  <si>
    <t>□收购方
□转让方
□被收购企业</t>
    <phoneticPr fontId="1" type="noConversion"/>
  </si>
  <si>
    <t>□收购方
□转让方</t>
    <phoneticPr fontId="1" type="noConversion"/>
  </si>
  <si>
    <t>□合并企业
□被合并企业
□被合并企业股东</t>
    <phoneticPr fontId="1" type="noConversion"/>
  </si>
  <si>
    <t>□分立企业
□被分立企业
□被分立企业股东</t>
    <phoneticPr fontId="1" type="noConversion"/>
  </si>
  <si>
    <t>当年（决议日）分配的股息、红利等权益性投资收益金额</t>
    <phoneticPr fontId="1" type="noConversion"/>
  </si>
  <si>
    <t>其余股东合计</t>
    <phoneticPr fontId="1" type="noConversion"/>
  </si>
  <si>
    <t>——</t>
    <phoneticPr fontId="1" type="noConversion"/>
  </si>
  <si>
    <t>中华人民共和国企业所得税年度纳税申报表（A类）</t>
    <phoneticPr fontId="4" type="noConversion"/>
  </si>
  <si>
    <t>行次</t>
  </si>
  <si>
    <t>类别</t>
  </si>
  <si>
    <t>项        目</t>
    <phoneticPr fontId="4" type="noConversion"/>
  </si>
  <si>
    <t>金    额</t>
    <phoneticPr fontId="4" type="noConversion"/>
  </si>
  <si>
    <t>利润总额计算</t>
    <phoneticPr fontId="4" type="noConversion"/>
  </si>
  <si>
    <t>应纳税所得额计算</t>
  </si>
  <si>
    <t>应纳税额计算</t>
  </si>
  <si>
    <t>一、营业收入(填写A101010\101020\103000)</t>
    <phoneticPr fontId="1" type="noConversion"/>
  </si>
  <si>
    <t xml:space="preserve">   减：营业成本(填写A102010\102020\103000)</t>
    <phoneticPr fontId="1" type="noConversion"/>
  </si>
  <si>
    <t xml:space="preserve">   减：销售费用(填写A104000)</t>
    <phoneticPr fontId="1" type="noConversion"/>
  </si>
  <si>
    <t xml:space="preserve">   减：税金及附加</t>
    <phoneticPr fontId="1" type="noConversion"/>
  </si>
  <si>
    <t xml:space="preserve">   减：管理费用(填写A104000)</t>
    <phoneticPr fontId="1" type="noConversion"/>
  </si>
  <si>
    <t xml:space="preserve">   减：财务费用(填写A104000)</t>
    <phoneticPr fontId="1" type="noConversion"/>
  </si>
  <si>
    <t xml:space="preserve">   减：资产减值损失</t>
    <phoneticPr fontId="1" type="noConversion"/>
  </si>
  <si>
    <t xml:space="preserve">   加：公允价值变动收益</t>
    <phoneticPr fontId="1" type="noConversion"/>
  </si>
  <si>
    <t xml:space="preserve">   加：投资收益</t>
    <phoneticPr fontId="1" type="noConversion"/>
  </si>
  <si>
    <t>二、营业利润(1-2-3-4-5-6-7+8+9)</t>
    <phoneticPr fontId="1" type="noConversion"/>
  </si>
  <si>
    <t xml:space="preserve">   加：营业外收入(填写A101010\101020\103000)</t>
    <phoneticPr fontId="1" type="noConversion"/>
  </si>
  <si>
    <t xml:space="preserve">   减：营业外支出(填写A102010\102020\103000)</t>
    <phoneticPr fontId="1" type="noConversion"/>
  </si>
  <si>
    <t>三、利润总额（10+11-12）</t>
    <phoneticPr fontId="1" type="noConversion"/>
  </si>
  <si>
    <t xml:space="preserve">   减：境外所得（填写A108010）</t>
    <phoneticPr fontId="1" type="noConversion"/>
  </si>
  <si>
    <t xml:space="preserve">   加：纳税调整增加额（填写A105000）</t>
    <phoneticPr fontId="1" type="noConversion"/>
  </si>
  <si>
    <t xml:space="preserve">   减：纳税调整减少额（填写A105000）</t>
    <phoneticPr fontId="1" type="noConversion"/>
  </si>
  <si>
    <t xml:space="preserve">   减：免税、减计收入及加计扣除（填写A107010）</t>
    <phoneticPr fontId="1" type="noConversion"/>
  </si>
  <si>
    <t xml:space="preserve">   加：境外应税所得抵减境内亏损（填写A108000）</t>
    <phoneticPr fontId="1" type="noConversion"/>
  </si>
  <si>
    <t>四、纳税调整后所得（13-14+15-16-17+18）</t>
    <phoneticPr fontId="1" type="noConversion"/>
  </si>
  <si>
    <t xml:space="preserve">   减：所得减免（填写A107020）</t>
    <phoneticPr fontId="1" type="noConversion"/>
  </si>
  <si>
    <t xml:space="preserve">   减：弥补以前年度亏损（填写A106000）</t>
    <phoneticPr fontId="1" type="noConversion"/>
  </si>
  <si>
    <t xml:space="preserve">   减：抵扣应纳税所得额（填写A107030）</t>
    <phoneticPr fontId="1" type="noConversion"/>
  </si>
  <si>
    <t>五、应纳税所得额（19-20-21-22）</t>
    <phoneticPr fontId="1" type="noConversion"/>
  </si>
  <si>
    <t>税率（25%）</t>
    <phoneticPr fontId="1" type="noConversion"/>
  </si>
  <si>
    <t>六、应纳所得税额（23×24）</t>
    <phoneticPr fontId="1" type="noConversion"/>
  </si>
  <si>
    <t xml:space="preserve">   减：减免所得税额（填写A107040）</t>
    <phoneticPr fontId="1" type="noConversion"/>
  </si>
  <si>
    <t xml:space="preserve">   减：抵免所得税额（填写A107050）</t>
    <phoneticPr fontId="1" type="noConversion"/>
  </si>
  <si>
    <t>七、应纳税额（25-26-27）</t>
    <phoneticPr fontId="1" type="noConversion"/>
  </si>
  <si>
    <t xml:space="preserve">   加：境外所得应纳所得税额（填写A108000）</t>
    <phoneticPr fontId="1" type="noConversion"/>
  </si>
  <si>
    <t xml:space="preserve">   减：境外所得抵免所得税额（填写A108000）</t>
    <phoneticPr fontId="1" type="noConversion"/>
  </si>
  <si>
    <t>八、实际应纳所得税额（28+29-30）</t>
    <phoneticPr fontId="1" type="noConversion"/>
  </si>
  <si>
    <t xml:space="preserve">   减：本年累计实际已缴纳的所得税额</t>
    <phoneticPr fontId="1" type="noConversion"/>
  </si>
  <si>
    <t>九、本年应补（退）所得税额（31-32）</t>
    <phoneticPr fontId="1" type="noConversion"/>
  </si>
  <si>
    <t xml:space="preserve">   其中：总机构分摊本年应补（退）所得税额(填写A109000)</t>
    <phoneticPr fontId="1" type="noConversion"/>
  </si>
  <si>
    <t xml:space="preserve">   财政集中分配本年应补（退）所得税额(填写A109000)</t>
    <phoneticPr fontId="1" type="noConversion"/>
  </si>
  <si>
    <t>《中国税务合规实务指南—所得税》</t>
    <phoneticPr fontId="4" type="noConversion"/>
  </si>
  <si>
    <t xml:space="preserve">项        目 </t>
    <phoneticPr fontId="4" type="noConversion"/>
  </si>
  <si>
    <t>一、营业收入（2+9）</t>
    <phoneticPr fontId="4" type="noConversion"/>
  </si>
  <si>
    <t xml:space="preserve">   （一）主营业务收入（3+5+6+7+8）</t>
    <phoneticPr fontId="4" type="noConversion"/>
  </si>
  <si>
    <t xml:space="preserve">       1.销售商品收入</t>
    <phoneticPr fontId="4" type="noConversion"/>
  </si>
  <si>
    <r>
      <t xml:space="preserve">         其中：非货币</t>
    </r>
    <r>
      <rPr>
        <sz val="10"/>
        <rFont val="宋体"/>
        <family val="3"/>
        <charset val="134"/>
      </rPr>
      <t>性资产交换收入</t>
    </r>
    <phoneticPr fontId="4" type="noConversion"/>
  </si>
  <si>
    <t xml:space="preserve">       2.提供劳务收入</t>
    <phoneticPr fontId="4" type="noConversion"/>
  </si>
  <si>
    <t xml:space="preserve">       3.建造合同收入</t>
    <phoneticPr fontId="4" type="noConversion"/>
  </si>
  <si>
    <t xml:space="preserve">       4.让渡资产使用权收入</t>
    <phoneticPr fontId="4" type="noConversion"/>
  </si>
  <si>
    <t xml:space="preserve">       5.其他</t>
    <phoneticPr fontId="4" type="noConversion"/>
  </si>
  <si>
    <t xml:space="preserve">  （二）其他业务收入（10+12+13+14+15）</t>
    <phoneticPr fontId="4" type="noConversion"/>
  </si>
  <si>
    <t xml:space="preserve">       1.销售材料收入</t>
    <phoneticPr fontId="4" type="noConversion"/>
  </si>
  <si>
    <t xml:space="preserve">         其中：非货币性资产交换收入</t>
    <phoneticPr fontId="4" type="noConversion"/>
  </si>
  <si>
    <t xml:space="preserve">       2.出租固定资产收入</t>
    <phoneticPr fontId="4" type="noConversion"/>
  </si>
  <si>
    <t xml:space="preserve">       3.出租无形资产收入</t>
    <phoneticPr fontId="4" type="noConversion"/>
  </si>
  <si>
    <t xml:space="preserve">       4.出租包装物和商品收入</t>
    <phoneticPr fontId="4" type="noConversion"/>
  </si>
  <si>
    <t xml:space="preserve">       5.其他</t>
    <phoneticPr fontId="4" type="noConversion"/>
  </si>
  <si>
    <t>二、营业外收入（17+18+19+20+21+22+23+24+25+26）</t>
    <phoneticPr fontId="4" type="noConversion"/>
  </si>
  <si>
    <t xml:space="preserve">   （一）非流动资产处置利得</t>
    <phoneticPr fontId="4" type="noConversion"/>
  </si>
  <si>
    <t xml:space="preserve">   （二）非货币性资产交换利得</t>
    <phoneticPr fontId="4" type="noConversion"/>
  </si>
  <si>
    <t xml:space="preserve">   （三）债务重组利得</t>
    <phoneticPr fontId="4" type="noConversion"/>
  </si>
  <si>
    <t xml:space="preserve">   （四）政府补助利得</t>
    <phoneticPr fontId="4" type="noConversion"/>
  </si>
  <si>
    <t xml:space="preserve">   （五）盘盈利得</t>
    <phoneticPr fontId="4" type="noConversion"/>
  </si>
  <si>
    <t xml:space="preserve">   （六）捐赠利得</t>
    <phoneticPr fontId="4" type="noConversion"/>
  </si>
  <si>
    <t xml:space="preserve">   （七）罚没利得</t>
    <phoneticPr fontId="4" type="noConversion"/>
  </si>
  <si>
    <t xml:space="preserve">   （八）确实无法偿付的应付款项</t>
    <phoneticPr fontId="4" type="noConversion"/>
  </si>
  <si>
    <t xml:space="preserve">   （九）汇兑收益</t>
    <phoneticPr fontId="4" type="noConversion"/>
  </si>
  <si>
    <t xml:space="preserve">   （十）其他</t>
    <phoneticPr fontId="4" type="noConversion"/>
  </si>
  <si>
    <t xml:space="preserve">金    额 </t>
    <phoneticPr fontId="4" type="noConversion"/>
  </si>
  <si>
    <t>一、营业收入（2+18+27+32+33+34）</t>
    <phoneticPr fontId="4" type="noConversion"/>
  </si>
  <si>
    <t xml:space="preserve">   （一）银行业务收入（3+10）</t>
    <phoneticPr fontId="4" type="noConversion"/>
  </si>
  <si>
    <t xml:space="preserve">       1.利息收入（4+5+6+7+8+9）</t>
    <phoneticPr fontId="4" type="noConversion"/>
  </si>
  <si>
    <t xml:space="preserve">        （1）存放同业</t>
    <phoneticPr fontId="4" type="noConversion"/>
  </si>
  <si>
    <t xml:space="preserve">        （2）存放中央银行</t>
    <phoneticPr fontId="4" type="noConversion"/>
  </si>
  <si>
    <t xml:space="preserve">        （3）拆出资金</t>
    <phoneticPr fontId="4" type="noConversion"/>
  </si>
  <si>
    <t xml:space="preserve">        （4）发放贷款及垫资</t>
    <phoneticPr fontId="4" type="noConversion"/>
  </si>
  <si>
    <t xml:space="preserve">        （5）买入返售金融资产</t>
    <phoneticPr fontId="4" type="noConversion"/>
  </si>
  <si>
    <t xml:space="preserve">        （6）其他</t>
    <phoneticPr fontId="4" type="noConversion"/>
  </si>
  <si>
    <t xml:space="preserve">       2.手续费及佣金收入（11+12+13+14+15+16+17）</t>
    <phoneticPr fontId="4" type="noConversion"/>
  </si>
  <si>
    <t xml:space="preserve">        （1）结算与清算手续费</t>
    <phoneticPr fontId="4" type="noConversion"/>
  </si>
  <si>
    <t xml:space="preserve">        （2）代理业务手续费</t>
    <phoneticPr fontId="4" type="noConversion"/>
  </si>
  <si>
    <t xml:space="preserve">        （3）信用承诺手续费及佣金</t>
    <phoneticPr fontId="4" type="noConversion"/>
  </si>
  <si>
    <t xml:space="preserve">        （4）银行卡手续费</t>
    <phoneticPr fontId="4" type="noConversion"/>
  </si>
  <si>
    <t xml:space="preserve">        （5）顾问和咨询费</t>
    <phoneticPr fontId="4" type="noConversion"/>
  </si>
  <si>
    <t xml:space="preserve">        （6）托管及其他受托业务佣金</t>
    <phoneticPr fontId="4" type="noConversion"/>
  </si>
  <si>
    <t xml:space="preserve">        （7）其他</t>
    <phoneticPr fontId="4" type="noConversion"/>
  </si>
  <si>
    <t xml:space="preserve">   （二）证券业务收入（19+26）</t>
    <phoneticPr fontId="4" type="noConversion"/>
  </si>
  <si>
    <t xml:space="preserve">       1.证券业务手续费及佣金收入（20+21+22+23+24+25）</t>
    <phoneticPr fontId="4" type="noConversion"/>
  </si>
  <si>
    <t xml:space="preserve">        （1）证券承销业务</t>
    <phoneticPr fontId="4" type="noConversion"/>
  </si>
  <si>
    <t xml:space="preserve">        （2）证券经纪业务 </t>
    <phoneticPr fontId="4" type="noConversion"/>
  </si>
  <si>
    <t xml:space="preserve">        （3）受托客户资产管理业务 </t>
    <phoneticPr fontId="4" type="noConversion"/>
  </si>
  <si>
    <t xml:space="preserve">        （4）代理兑付证券 </t>
    <phoneticPr fontId="4" type="noConversion"/>
  </si>
  <si>
    <t xml:space="preserve">        （5）代理保管证券 </t>
    <phoneticPr fontId="4" type="noConversion"/>
  </si>
  <si>
    <t xml:space="preserve">       2.其他证券业务收入</t>
    <phoneticPr fontId="4" type="noConversion"/>
  </si>
  <si>
    <t xml:space="preserve">   （三）已赚保费（28-30-31）</t>
    <phoneticPr fontId="4" type="noConversion"/>
  </si>
  <si>
    <t xml:space="preserve">       1.保险业务收入</t>
    <phoneticPr fontId="4" type="noConversion"/>
  </si>
  <si>
    <t xml:space="preserve">         其中：分保费收入</t>
    <phoneticPr fontId="4" type="noConversion"/>
  </si>
  <si>
    <t xml:space="preserve">       2.分出保费</t>
    <phoneticPr fontId="4" type="noConversion"/>
  </si>
  <si>
    <t xml:space="preserve">       3.提取未到期责任准备金</t>
    <phoneticPr fontId="4" type="noConversion"/>
  </si>
  <si>
    <t xml:space="preserve">   （四）其他金融业务收入</t>
    <phoneticPr fontId="4" type="noConversion"/>
  </si>
  <si>
    <t xml:space="preserve">   （五）汇兑收益（损失以“-”号填列）</t>
    <phoneticPr fontId="4" type="noConversion"/>
  </si>
  <si>
    <t xml:space="preserve">   （六）其他业务收入</t>
    <phoneticPr fontId="4" type="noConversion"/>
  </si>
  <si>
    <t>二、营业外收入（36+37+38+39+40+41+42）</t>
    <phoneticPr fontId="4" type="noConversion"/>
  </si>
  <si>
    <t xml:space="preserve">   （七）其他</t>
    <phoneticPr fontId="4" type="noConversion"/>
  </si>
  <si>
    <t>《中国税务合规实务指南—所得税》</t>
    <phoneticPr fontId="4" type="noConversion"/>
  </si>
  <si>
    <t xml:space="preserve">项         目 </t>
    <phoneticPr fontId="4" type="noConversion"/>
  </si>
  <si>
    <t>一、营业成本（2+9）</t>
    <phoneticPr fontId="4" type="noConversion"/>
  </si>
  <si>
    <t xml:space="preserve">   （一）主营业务成本（3+5+6+7+8）</t>
    <phoneticPr fontId="4" type="noConversion"/>
  </si>
  <si>
    <t xml:space="preserve">       1.销售商品成本</t>
    <phoneticPr fontId="4" type="noConversion"/>
  </si>
  <si>
    <r>
      <t xml:space="preserve">         其中:非货币</t>
    </r>
    <r>
      <rPr>
        <sz val="10"/>
        <rFont val="宋体"/>
        <family val="3"/>
        <charset val="134"/>
      </rPr>
      <t>性资产交换成本</t>
    </r>
    <phoneticPr fontId="4" type="noConversion"/>
  </si>
  <si>
    <t xml:space="preserve">       2.提供劳务成本</t>
    <phoneticPr fontId="4" type="noConversion"/>
  </si>
  <si>
    <t xml:space="preserve">       3.建造合同成本</t>
    <phoneticPr fontId="4" type="noConversion"/>
  </si>
  <si>
    <t xml:space="preserve">       4.让渡资产使用权成本</t>
    <phoneticPr fontId="4" type="noConversion"/>
  </si>
  <si>
    <t xml:space="preserve">   （二）其他业务成本（10+12+13+14+15）</t>
    <phoneticPr fontId="4" type="noConversion"/>
  </si>
  <si>
    <t xml:space="preserve">       1.材料销售成本</t>
    <phoneticPr fontId="4" type="noConversion"/>
  </si>
  <si>
    <t xml:space="preserve">       2.出租固定资产成本</t>
    <phoneticPr fontId="4" type="noConversion"/>
  </si>
  <si>
    <t xml:space="preserve">       3.出租无形资产成本</t>
    <phoneticPr fontId="4" type="noConversion"/>
  </si>
  <si>
    <t xml:space="preserve">       4.包装物出租成本</t>
    <phoneticPr fontId="4" type="noConversion"/>
  </si>
  <si>
    <t>二、营业外支出（17+18+19+20+21+22+23+24+25+26）</t>
    <phoneticPr fontId="4" type="noConversion"/>
  </si>
  <si>
    <t xml:space="preserve">   （一）非流动资产处置损失</t>
    <phoneticPr fontId="4" type="noConversion"/>
  </si>
  <si>
    <t xml:space="preserve">   （二）非货币性资产交换损失</t>
    <phoneticPr fontId="4" type="noConversion"/>
  </si>
  <si>
    <t xml:space="preserve">   （三）债务重组损失</t>
    <phoneticPr fontId="4" type="noConversion"/>
  </si>
  <si>
    <t xml:space="preserve">   （四）非常损失</t>
    <phoneticPr fontId="4" type="noConversion"/>
  </si>
  <si>
    <t xml:space="preserve">   （五）捐赠支出</t>
    <phoneticPr fontId="4" type="noConversion"/>
  </si>
  <si>
    <t xml:space="preserve">   （六）赞助支出</t>
    <phoneticPr fontId="4" type="noConversion"/>
  </si>
  <si>
    <t xml:space="preserve">   （七）罚没支出</t>
    <phoneticPr fontId="4" type="noConversion"/>
  </si>
  <si>
    <t xml:space="preserve">   （八）坏账损失</t>
    <phoneticPr fontId="4" type="noConversion"/>
  </si>
  <si>
    <t xml:space="preserve">   （九）无法收回的债券股权投资损失</t>
    <phoneticPr fontId="4" type="noConversion"/>
  </si>
  <si>
    <t>项        目</t>
    <phoneticPr fontId="4" type="noConversion"/>
  </si>
  <si>
    <t xml:space="preserve">金    额 </t>
    <phoneticPr fontId="4" type="noConversion"/>
  </si>
  <si>
    <t>一、营业支出（2+15+25+31+32）</t>
    <phoneticPr fontId="4" type="noConversion"/>
  </si>
  <si>
    <t xml:space="preserve">   （一）银行业务支出（3+11）</t>
    <phoneticPr fontId="4" type="noConversion"/>
  </si>
  <si>
    <t xml:space="preserve">       1.银行利息支出（4+5+6+7+8+9+10）</t>
    <phoneticPr fontId="4" type="noConversion"/>
  </si>
  <si>
    <t xml:space="preserve">        （1）同业存放</t>
    <phoneticPr fontId="4" type="noConversion"/>
  </si>
  <si>
    <t xml:space="preserve">        （2）向中央银行借款</t>
    <phoneticPr fontId="4" type="noConversion"/>
  </si>
  <si>
    <t xml:space="preserve">        （3）拆入资金</t>
    <phoneticPr fontId="4" type="noConversion"/>
  </si>
  <si>
    <t xml:space="preserve">        （4）吸收存款</t>
    <phoneticPr fontId="4" type="noConversion"/>
  </si>
  <si>
    <t xml:space="preserve">        （5）卖出回购金融资产</t>
    <phoneticPr fontId="4" type="noConversion"/>
  </si>
  <si>
    <t xml:space="preserve">        （6）发行债券</t>
    <phoneticPr fontId="4" type="noConversion"/>
  </si>
  <si>
    <t xml:space="preserve">        （7）其他</t>
    <phoneticPr fontId="4" type="noConversion"/>
  </si>
  <si>
    <t xml:space="preserve">       2.银行手续费及佣金支出（12+13+14）</t>
    <phoneticPr fontId="4" type="noConversion"/>
  </si>
  <si>
    <t xml:space="preserve">        （1）手续费支出</t>
    <phoneticPr fontId="4" type="noConversion"/>
  </si>
  <si>
    <t xml:space="preserve">        （2）佣金支出</t>
    <phoneticPr fontId="4" type="noConversion"/>
  </si>
  <si>
    <t xml:space="preserve">        （3）其他</t>
    <phoneticPr fontId="4" type="noConversion"/>
  </si>
  <si>
    <t xml:space="preserve">   （二）保险业务支出（16+17-18+19-20+21+22-23+24）</t>
    <phoneticPr fontId="4" type="noConversion"/>
  </si>
  <si>
    <t xml:space="preserve">       1.退保金</t>
    <phoneticPr fontId="4" type="noConversion"/>
  </si>
  <si>
    <t xml:space="preserve">       2.赔付支出</t>
    <phoneticPr fontId="4" type="noConversion"/>
  </si>
  <si>
    <t xml:space="preserve">         减：摊回赔付支出</t>
    <phoneticPr fontId="4" type="noConversion"/>
  </si>
  <si>
    <t xml:space="preserve">       3.提取保险责任准备金</t>
    <phoneticPr fontId="4" type="noConversion"/>
  </si>
  <si>
    <t xml:space="preserve">         减：摊回保险责任准备金</t>
    <phoneticPr fontId="4" type="noConversion"/>
  </si>
  <si>
    <t xml:space="preserve">       4.保单红利支出</t>
    <phoneticPr fontId="4" type="noConversion"/>
  </si>
  <si>
    <t xml:space="preserve">       5.分保费用</t>
    <phoneticPr fontId="4" type="noConversion"/>
  </si>
  <si>
    <t xml:space="preserve">         减：摊回分保费用</t>
    <phoneticPr fontId="4" type="noConversion"/>
  </si>
  <si>
    <t xml:space="preserve">       6.保险业务手续费及佣金支出</t>
    <phoneticPr fontId="4" type="noConversion"/>
  </si>
  <si>
    <t xml:space="preserve">    （三）证券业务支出（26+30）</t>
    <phoneticPr fontId="4" type="noConversion"/>
  </si>
  <si>
    <t xml:space="preserve">       1.证券业务手续费及佣金支出（27+28+29）</t>
    <phoneticPr fontId="4" type="noConversion"/>
  </si>
  <si>
    <t xml:space="preserve">        （1）证券经纪业务手续费支出</t>
    <phoneticPr fontId="4" type="noConversion"/>
  </si>
  <si>
    <t xml:space="preserve">       2.其他证券业务支出</t>
    <phoneticPr fontId="4" type="noConversion"/>
  </si>
  <si>
    <t xml:space="preserve">   （四）其他金融业务支出</t>
    <phoneticPr fontId="4" type="noConversion"/>
  </si>
  <si>
    <t xml:space="preserve">   （五）其他业务成本</t>
    <phoneticPr fontId="4" type="noConversion"/>
  </si>
  <si>
    <t>二、营业外支出（34+35+36+37+38+39+40）</t>
    <phoneticPr fontId="4" type="noConversion"/>
  </si>
  <si>
    <t xml:space="preserve">   （四）捐赠支出</t>
    <phoneticPr fontId="4" type="noConversion"/>
  </si>
  <si>
    <t xml:space="preserve">   （五）非常损失</t>
    <phoneticPr fontId="4" type="noConversion"/>
  </si>
  <si>
    <t xml:space="preserve">   （六）其他</t>
    <phoneticPr fontId="4" type="noConversion"/>
  </si>
  <si>
    <t>项        目</t>
  </si>
  <si>
    <t>金    额</t>
  </si>
  <si>
    <t>一、事业单位收入（2+3+4+5+6+7）</t>
  </si>
  <si>
    <t xml:space="preserve">   （一）财政补助收入</t>
  </si>
  <si>
    <t xml:space="preserve">   （二）事业收入</t>
  </si>
  <si>
    <t xml:space="preserve">   （三）上级补助收入</t>
  </si>
  <si>
    <t xml:space="preserve">   （四）附属单位上缴收入 </t>
  </si>
  <si>
    <t xml:space="preserve">   （五）经营收入</t>
  </si>
  <si>
    <r>
      <t xml:space="preserve">   （六）其他收入（</t>
    </r>
    <r>
      <rPr>
        <sz val="10"/>
        <rFont val="宋体"/>
        <family val="3"/>
        <charset val="134"/>
      </rPr>
      <t>8+9）</t>
    </r>
    <phoneticPr fontId="4" type="noConversion"/>
  </si>
  <si>
    <t xml:space="preserve">        其中：投资收益</t>
  </si>
  <si>
    <r>
      <t xml:space="preserve">            </t>
    </r>
    <r>
      <rPr>
        <sz val="10"/>
        <rFont val="宋体"/>
        <family val="3"/>
        <charset val="134"/>
      </rPr>
      <t xml:space="preserve"> </t>
    </r>
    <r>
      <rPr>
        <sz val="10"/>
        <rFont val="宋体"/>
        <family val="3"/>
        <charset val="134"/>
      </rPr>
      <t xml:space="preserve"> 其他</t>
    </r>
    <phoneticPr fontId="4" type="noConversion"/>
  </si>
  <si>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</si>
  <si>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</si>
  <si>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</si>
  <si>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</si>
  <si>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</si>
  <si>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</si>
  <si>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</si>
  <si>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</si>
  <si>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phoneticPr fontId="4" type="noConversion"/>
  </si>
  <si>
    <t xml:space="preserve">   （一）事业支出</t>
  </si>
  <si>
    <t xml:space="preserve">   （二）上缴上级支出</t>
  </si>
  <si>
    <t xml:space="preserve">   （三）对附属单位补助</t>
  </si>
  <si>
    <t xml:space="preserve">   （四）经营支出</t>
  </si>
  <si>
    <t xml:space="preserve">   （五）其他支出</t>
  </si>
  <si>
    <t>四、民间非营利组织支出（25+26+27+28）</t>
    <phoneticPr fontId="4" type="noConversion"/>
  </si>
  <si>
    <t xml:space="preserve">   （一）业务活动成本</t>
  </si>
  <si>
    <t xml:space="preserve">   （二）管理费用</t>
  </si>
  <si>
    <t xml:space="preserve">   （三）筹资费用</t>
  </si>
  <si>
    <t xml:space="preserve">   （四）其他费用</t>
  </si>
  <si>
    <t>销售费用</t>
  </si>
  <si>
    <t>其中：境外支付</t>
  </si>
  <si>
    <t>管理费用</t>
  </si>
  <si>
    <t>财务费用</t>
  </si>
  <si>
    <t>一、职工薪酬</t>
    <phoneticPr fontId="4" type="noConversion"/>
  </si>
  <si>
    <t>二、劳务费</t>
    <phoneticPr fontId="4" type="noConversion"/>
  </si>
  <si>
    <t>三、咨询顾问费</t>
    <phoneticPr fontId="4" type="noConversion"/>
  </si>
  <si>
    <t>四、业务招待费</t>
    <phoneticPr fontId="4" type="noConversion"/>
  </si>
  <si>
    <t>五、广告费和业务宣传费</t>
    <phoneticPr fontId="4" type="noConversion"/>
  </si>
  <si>
    <t>六、佣金和手续费</t>
    <phoneticPr fontId="4" type="noConversion"/>
  </si>
  <si>
    <t>七、资产折旧摊销费</t>
    <phoneticPr fontId="4" type="noConversion"/>
  </si>
  <si>
    <t>八、财产损耗、盘亏及毁损损失</t>
    <phoneticPr fontId="4" type="noConversion"/>
  </si>
  <si>
    <t>九、办公费</t>
    <phoneticPr fontId="4" type="noConversion"/>
  </si>
  <si>
    <t>十、董事会费</t>
    <phoneticPr fontId="4" type="noConversion"/>
  </si>
  <si>
    <t>十一、租赁费</t>
    <phoneticPr fontId="4" type="noConversion"/>
  </si>
  <si>
    <t>十二、诉讼费</t>
    <phoneticPr fontId="4" type="noConversion"/>
  </si>
  <si>
    <t>十三、差旅费</t>
    <phoneticPr fontId="4" type="noConversion"/>
  </si>
  <si>
    <t>十四、保险费</t>
    <phoneticPr fontId="4" type="noConversion"/>
  </si>
  <si>
    <t>十五、运输、仓储费</t>
    <phoneticPr fontId="4" type="noConversion"/>
  </si>
  <si>
    <t>十六、修理费</t>
    <phoneticPr fontId="4" type="noConversion"/>
  </si>
  <si>
    <t>十七、包装费</t>
    <phoneticPr fontId="4" type="noConversion"/>
  </si>
  <si>
    <t>十八、技术转让费</t>
    <phoneticPr fontId="4" type="noConversion"/>
  </si>
  <si>
    <t>十九、研究费用</t>
    <phoneticPr fontId="4" type="noConversion"/>
  </si>
  <si>
    <t>二十、各项税费</t>
    <phoneticPr fontId="4" type="noConversion"/>
  </si>
  <si>
    <t>二十一、利息收支</t>
    <phoneticPr fontId="4" type="noConversion"/>
  </si>
  <si>
    <t>二十二、汇兑差额</t>
    <phoneticPr fontId="4" type="noConversion"/>
  </si>
  <si>
    <t>二十三、现金折扣</t>
    <phoneticPr fontId="4" type="noConversion"/>
  </si>
  <si>
    <t>账载金额</t>
  </si>
  <si>
    <t>税收金额</t>
  </si>
  <si>
    <t>调增金额</t>
  </si>
  <si>
    <t>调减金额</t>
  </si>
  <si>
    <t>　  （四）按权益法核算长期股权投资对初始投资成本调整确认收益</t>
    <phoneticPr fontId="4" type="noConversion"/>
  </si>
  <si>
    <t xml:space="preserve">    （五）交易性金融资产初始投资调整  </t>
    <phoneticPr fontId="4" type="noConversion"/>
  </si>
  <si>
    <t>　  （六）公允价值变动净损益</t>
    <phoneticPr fontId="4" type="noConversion"/>
  </si>
  <si>
    <t xml:space="preserve">    （七）不征税收入</t>
    <phoneticPr fontId="4" type="noConversion"/>
  </si>
  <si>
    <t xml:space="preserve">    （八）销售折扣、折让和退回</t>
    <phoneticPr fontId="4" type="noConversion"/>
  </si>
  <si>
    <t>　  （九）其他</t>
    <phoneticPr fontId="4" type="noConversion"/>
  </si>
  <si>
    <t>　  （六）利息支出</t>
    <phoneticPr fontId="4" type="noConversion"/>
  </si>
  <si>
    <t>　  （七）罚金、罚款和被没收财物的损失</t>
    <phoneticPr fontId="4" type="noConversion"/>
  </si>
  <si>
    <t>　  （八）税收滞纳金、加收利息</t>
    <phoneticPr fontId="4" type="noConversion"/>
  </si>
  <si>
    <t>　  （九）赞助支出</t>
    <phoneticPr fontId="4" type="noConversion"/>
  </si>
  <si>
    <t>　  （十）与未实现融资收益相关在当期确认的财务费用</t>
    <phoneticPr fontId="4" type="noConversion"/>
  </si>
  <si>
    <t xml:space="preserve">    （十一）佣金和手续费支出</t>
    <phoneticPr fontId="4" type="noConversion"/>
  </si>
  <si>
    <t xml:space="preserve">　  （十二）不征税收入用于支出所形成的费用 </t>
    <phoneticPr fontId="4" type="noConversion"/>
  </si>
  <si>
    <t xml:space="preserve">    （十三）跨期扣除项目</t>
    <phoneticPr fontId="4" type="noConversion"/>
  </si>
  <si>
    <t>　  （十四）与取得收入无关的支出</t>
    <phoneticPr fontId="4" type="noConversion"/>
  </si>
  <si>
    <t>　  （四）其他</t>
    <phoneticPr fontId="4" type="noConversion"/>
  </si>
  <si>
    <t>五、特别纳税调整应税所得</t>
    <phoneticPr fontId="4" type="noConversion"/>
  </si>
  <si>
    <t>六、其他</t>
    <phoneticPr fontId="4" type="noConversion"/>
  </si>
  <si>
    <r>
      <t>返回纳税调整项目明细表（A</t>
    </r>
    <r>
      <rPr>
        <u/>
        <sz val="12"/>
        <color indexed="12"/>
        <rFont val="宋体"/>
        <family val="3"/>
        <charset val="134"/>
      </rPr>
      <t>105000）</t>
    </r>
    <phoneticPr fontId="4" type="noConversion"/>
  </si>
  <si>
    <t>纳税调整金额</t>
    <phoneticPr fontId="4" type="noConversion"/>
  </si>
  <si>
    <t>一、视同销售（营业）收入（2+3+4+5+6+7+8+9+10）</t>
    <phoneticPr fontId="4" type="noConversion"/>
  </si>
  <si>
    <t xml:space="preserve">    （一）非货币性资产交换视同销售收入</t>
    <phoneticPr fontId="4" type="noConversion"/>
  </si>
  <si>
    <t xml:space="preserve">    （二）用于市场推广或销售视同销售收入</t>
    <phoneticPr fontId="4" type="noConversion"/>
  </si>
  <si>
    <t xml:space="preserve">    （三）用于交际应酬视同销售收入</t>
    <phoneticPr fontId="4" type="noConversion"/>
  </si>
  <si>
    <t xml:space="preserve">    （四）用于职工奖励或福利视同销售收入</t>
    <phoneticPr fontId="4" type="noConversion"/>
  </si>
  <si>
    <t xml:space="preserve">    （五）用于股息分配视同销售收入</t>
    <phoneticPr fontId="4" type="noConversion"/>
  </si>
  <si>
    <t xml:space="preserve">    （六）用于对外捐赠视同销售收入</t>
    <phoneticPr fontId="4" type="noConversion"/>
  </si>
  <si>
    <t xml:space="preserve">    （七）用于对外投资项目视同销售收入</t>
    <phoneticPr fontId="4" type="noConversion"/>
  </si>
  <si>
    <t xml:space="preserve">    （八）提供劳务视同销售收入</t>
    <phoneticPr fontId="4" type="noConversion"/>
  </si>
  <si>
    <t xml:space="preserve">    （九）其他</t>
    <phoneticPr fontId="4" type="noConversion"/>
  </si>
  <si>
    <t>二、视同销售（营业）成本（12+13+14+15+16+17+18+19+20）</t>
    <phoneticPr fontId="4" type="noConversion"/>
  </si>
  <si>
    <t xml:space="preserve">    （一）非货币性资产交换视同销售成本</t>
    <phoneticPr fontId="4" type="noConversion"/>
  </si>
  <si>
    <t xml:space="preserve">    （二）用于市场推广或销售视同销售成本</t>
    <phoneticPr fontId="4" type="noConversion"/>
  </si>
  <si>
    <t xml:space="preserve">    （三）用于交际应酬视同销售成本</t>
    <phoneticPr fontId="4" type="noConversion"/>
  </si>
  <si>
    <t xml:space="preserve">    （四）用于职工奖励或福利视同销售成本</t>
    <phoneticPr fontId="4" type="noConversion"/>
  </si>
  <si>
    <t xml:space="preserve">    （五）用于股息分配视同销售成本</t>
    <phoneticPr fontId="4" type="noConversion"/>
  </si>
  <si>
    <t xml:space="preserve">    （六）用于对外捐赠视同销售成本</t>
    <phoneticPr fontId="4" type="noConversion"/>
  </si>
  <si>
    <t xml:space="preserve">    （七）用于对外投资项目视同销售成本</t>
    <phoneticPr fontId="4" type="noConversion"/>
  </si>
  <si>
    <t xml:space="preserve">    （八）提供劳务视同销售成本</t>
    <phoneticPr fontId="4" type="noConversion"/>
  </si>
  <si>
    <t>三、房地产开发企业特定业务计算的纳税调整额（22-26）</t>
    <phoneticPr fontId="4" type="noConversion"/>
  </si>
  <si>
    <t xml:space="preserve">    （一）房地产企业销售未完工开发产品特定业务计算的纳税调整额（24-25）</t>
    <phoneticPr fontId="4" type="noConversion"/>
  </si>
  <si>
    <t xml:space="preserve">        1.销售未完工产品的收入</t>
    <phoneticPr fontId="4" type="noConversion"/>
  </si>
  <si>
    <t xml:space="preserve">        2.销售未完工产品预计毛利额</t>
    <phoneticPr fontId="4" type="noConversion"/>
  </si>
  <si>
    <r>
      <t xml:space="preserve">        3.</t>
    </r>
    <r>
      <rPr>
        <sz val="10"/>
        <rFont val="宋体"/>
        <family val="3"/>
        <charset val="134"/>
      </rPr>
      <t>实际发生的营业税金及附加、土地增值税</t>
    </r>
    <phoneticPr fontId="4" type="noConversion"/>
  </si>
  <si>
    <t xml:space="preserve">    （二）房地产企业销售的未完工产品转完工产品特定业务计算的纳税调整额（28-29）</t>
    <phoneticPr fontId="4" type="noConversion"/>
  </si>
  <si>
    <t xml:space="preserve">        1.销售未完工产品转完工产品确认的销售收入</t>
    <phoneticPr fontId="4" type="noConversion"/>
  </si>
  <si>
    <t xml:space="preserve">        2.转回的销售未完工产品预计毛利额</t>
    <phoneticPr fontId="4" type="noConversion"/>
  </si>
  <si>
    <r>
      <t xml:space="preserve">        3.</t>
    </r>
    <r>
      <rPr>
        <sz val="10"/>
        <rFont val="宋体"/>
        <family val="3"/>
        <charset val="134"/>
      </rPr>
      <t>转回实际发生的营业税金及附加、土地增值税</t>
    </r>
    <phoneticPr fontId="4" type="noConversion"/>
  </si>
  <si>
    <t>相关法规：</t>
    <phoneticPr fontId="4" type="noConversion"/>
  </si>
  <si>
    <t>《国家税务总局关于企业处置资产所得税处理问题的通知》（国税函〔2008〕828号）</t>
    <phoneticPr fontId="4" type="noConversion"/>
  </si>
  <si>
    <t>《国家税务总局关于印发〈房地产开发经营业务企业所得税处理办法〉的通知》（国税发〔2009〕31号）</t>
    <phoneticPr fontId="4" type="noConversion"/>
  </si>
  <si>
    <t>返回纳税调整项目明细表（A105000）</t>
    <phoneticPr fontId="4" type="noConversion"/>
  </si>
  <si>
    <t>合同金额（交易金额）</t>
    <phoneticPr fontId="4" type="noConversion"/>
  </si>
  <si>
    <t xml:space="preserve"> 纳税调整金额</t>
  </si>
  <si>
    <t>本年</t>
    <phoneticPr fontId="4" type="noConversion"/>
  </si>
  <si>
    <t>累计</t>
  </si>
  <si>
    <t>6（4-2）</t>
  </si>
  <si>
    <t>一、跨期收取的租金、利息、特许权使用费收入（2+3+4）</t>
    <phoneticPr fontId="4" type="noConversion"/>
  </si>
  <si>
    <t xml:space="preserve">   （一）租金</t>
    <phoneticPr fontId="4" type="noConversion"/>
  </si>
  <si>
    <t xml:space="preserve">   （二）利息</t>
    <phoneticPr fontId="4" type="noConversion"/>
  </si>
  <si>
    <t xml:space="preserve">   （三）特许权使用费</t>
    <phoneticPr fontId="4" type="noConversion"/>
  </si>
  <si>
    <t>二、分期确认收入（6+7+8）</t>
    <phoneticPr fontId="4" type="noConversion"/>
  </si>
  <si>
    <t xml:space="preserve">   （一）分期收款方式销售货物收入</t>
    <phoneticPr fontId="4" type="noConversion"/>
  </si>
  <si>
    <t xml:space="preserve">   （二）持续时间超过12个月的建造合同收入</t>
    <phoneticPr fontId="4" type="noConversion"/>
  </si>
  <si>
    <t xml:space="preserve">   （三）其他分期确认收入</t>
    <phoneticPr fontId="4" type="noConversion"/>
  </si>
  <si>
    <t>三、政府补助递延收入（10+11+12）</t>
    <phoneticPr fontId="4" type="noConversion"/>
  </si>
  <si>
    <t xml:space="preserve">   （一）与收益相关的政府补助</t>
    <phoneticPr fontId="4" type="noConversion"/>
  </si>
  <si>
    <t xml:space="preserve">   （二）与资产相关的政府补助</t>
    <phoneticPr fontId="4" type="noConversion"/>
  </si>
  <si>
    <t xml:space="preserve">   （三）其他</t>
    <phoneticPr fontId="4" type="noConversion"/>
  </si>
  <si>
    <t>四、其他未按权责发生制确认收入</t>
    <phoneticPr fontId="4" type="noConversion"/>
  </si>
  <si>
    <t>合计（1+5+9+13）</t>
  </si>
  <si>
    <t>相关法规：</t>
    <phoneticPr fontId="4" type="noConversion"/>
  </si>
  <si>
    <t>返回纳税调整项目明细表（A105000）</t>
    <phoneticPr fontId="4" type="noConversion"/>
  </si>
  <si>
    <t>持有收益</t>
  </si>
  <si>
    <t>处置收益</t>
  </si>
  <si>
    <t>会计确认的处置收入</t>
    <phoneticPr fontId="4" type="noConversion"/>
  </si>
  <si>
    <t>税收计算的处置收入</t>
  </si>
  <si>
    <t>处置投资的账面价值</t>
  </si>
  <si>
    <t>处置投资的计税基础</t>
  </si>
  <si>
    <t>会计确认的处置所得或损失</t>
  </si>
  <si>
    <t>税收计算的处置所得</t>
    <phoneticPr fontId="4" type="noConversion"/>
  </si>
  <si>
    <t>3（2-1）</t>
  </si>
  <si>
    <t>8（4-6）</t>
  </si>
  <si>
    <t>9（5-7）</t>
  </si>
  <si>
    <t>10（9-8）</t>
  </si>
  <si>
    <t>11（3+10）</t>
    <phoneticPr fontId="4" type="noConversion"/>
  </si>
  <si>
    <t xml:space="preserve">一、交易性金融资产     </t>
    <phoneticPr fontId="4" type="noConversion"/>
  </si>
  <si>
    <t xml:space="preserve">二、可供出售金融资产    </t>
    <phoneticPr fontId="4" type="noConversion"/>
  </si>
  <si>
    <t xml:space="preserve">三、持有至到期投资    </t>
    <phoneticPr fontId="4" type="noConversion"/>
  </si>
  <si>
    <t xml:space="preserve">四、衍生工具        </t>
    <phoneticPr fontId="4" type="noConversion"/>
  </si>
  <si>
    <t xml:space="preserve">五、交易性金融负债      </t>
    <phoneticPr fontId="4" type="noConversion"/>
  </si>
  <si>
    <t>六、长期股权投资</t>
    <phoneticPr fontId="4" type="noConversion"/>
  </si>
  <si>
    <t>七、短期投资</t>
    <phoneticPr fontId="4" type="noConversion"/>
  </si>
  <si>
    <t>八、长期债券投资</t>
    <phoneticPr fontId="4" type="noConversion"/>
  </si>
  <si>
    <t>九、其他</t>
    <phoneticPr fontId="4" type="noConversion"/>
  </si>
  <si>
    <t>合计(1+2+3+4+5+6+7+8+9)</t>
    <phoneticPr fontId="4" type="noConversion"/>
  </si>
  <si>
    <t>项目</t>
    <phoneticPr fontId="4" type="noConversion"/>
  </si>
  <si>
    <t>取得年度</t>
    <phoneticPr fontId="4" type="noConversion"/>
  </si>
  <si>
    <t>财政性资金</t>
    <phoneticPr fontId="4" type="noConversion"/>
  </si>
  <si>
    <t>其中：符合不征税收入条件的财政性资金</t>
    <phoneticPr fontId="4" type="noConversion"/>
  </si>
  <si>
    <t>以前年度支出情况</t>
  </si>
  <si>
    <t>本年支出情况</t>
  </si>
  <si>
    <t>本年结余情况</t>
  </si>
  <si>
    <t>前五年度</t>
    <phoneticPr fontId="4" type="noConversion"/>
  </si>
  <si>
    <t>前四年度</t>
    <phoneticPr fontId="4" type="noConversion"/>
  </si>
  <si>
    <t>前三年度</t>
    <phoneticPr fontId="4" type="noConversion"/>
  </si>
  <si>
    <t>前二年度</t>
    <phoneticPr fontId="4" type="noConversion"/>
  </si>
  <si>
    <t>前一年度</t>
    <phoneticPr fontId="4" type="noConversion"/>
  </si>
  <si>
    <t>支出金额</t>
    <phoneticPr fontId="4" type="noConversion"/>
  </si>
  <si>
    <t>其中：费用化支出金额</t>
    <phoneticPr fontId="4" type="noConversion"/>
  </si>
  <si>
    <t>结余金额</t>
    <phoneticPr fontId="4" type="noConversion"/>
  </si>
  <si>
    <t>其中：上缴财政金额</t>
    <phoneticPr fontId="4" type="noConversion"/>
  </si>
  <si>
    <t>应计入本年应税收入金额</t>
    <phoneticPr fontId="4" type="noConversion"/>
  </si>
  <si>
    <t>金额</t>
    <phoneticPr fontId="4" type="noConversion"/>
  </si>
  <si>
    <t>其中：计入本年损益的金额</t>
    <phoneticPr fontId="4" type="noConversion"/>
  </si>
  <si>
    <t>前五年度</t>
  </si>
  <si>
    <t>前四年度</t>
  </si>
  <si>
    <t>前三年度</t>
  </si>
  <si>
    <t>前二年度</t>
  </si>
  <si>
    <t>前一年度</t>
  </si>
  <si>
    <t>本    年</t>
    <phoneticPr fontId="4" type="noConversion"/>
  </si>
  <si>
    <t>合计（1+2+3+4+5+6）</t>
    <phoneticPr fontId="4" type="noConversion"/>
  </si>
  <si>
    <t>*</t>
    <phoneticPr fontId="4" type="noConversion"/>
  </si>
  <si>
    <t>二十四、党组织工作经费</t>
    <phoneticPr fontId="1" type="noConversion"/>
  </si>
  <si>
    <t>二十五、其他</t>
    <phoneticPr fontId="4" type="noConversion"/>
  </si>
  <si>
    <r>
      <t>合计(1+2+3+…2</t>
    </r>
    <r>
      <rPr>
        <sz val="10"/>
        <rFont val="宋体"/>
        <family val="3"/>
        <charset val="134"/>
      </rPr>
      <t>5</t>
    </r>
    <r>
      <rPr>
        <sz val="10"/>
        <rFont val="宋体"/>
        <family val="3"/>
        <charset val="134"/>
      </rPr>
      <t>)</t>
    </r>
    <phoneticPr fontId="4" type="noConversion"/>
  </si>
  <si>
    <t>　  （十七）其他</t>
    <phoneticPr fontId="4" type="noConversion"/>
  </si>
  <si>
    <t>　  （十六）党组织工作经费</t>
    <phoneticPr fontId="4" type="noConversion"/>
  </si>
  <si>
    <t xml:space="preserve">    （五）有限合伙企业法人合伙方应分得的应纳税所得额</t>
    <phoneticPr fontId="4" type="noConversion"/>
  </si>
  <si>
    <t xml:space="preserve">    （六）其他</t>
    <phoneticPr fontId="4" type="noConversion"/>
  </si>
  <si>
    <t>返回纳税调整项目明细表（A105000）</t>
    <phoneticPr fontId="24" type="noConversion"/>
  </si>
  <si>
    <t>《中国税务合规实务指南—所得税》</t>
    <phoneticPr fontId="24" type="noConversion"/>
  </si>
  <si>
    <t>项        目</t>
    <phoneticPr fontId="24" type="noConversion"/>
  </si>
  <si>
    <t>税收规定扣除率</t>
    <phoneticPr fontId="24" type="noConversion"/>
  </si>
  <si>
    <t>以前年度累计结转扣除额</t>
    <phoneticPr fontId="24" type="noConversion"/>
  </si>
  <si>
    <t>纳税调整金额</t>
  </si>
  <si>
    <t>累计结转以后年度扣除额</t>
    <phoneticPr fontId="24" type="noConversion"/>
  </si>
  <si>
    <t>一、工资薪金支出</t>
  </si>
  <si>
    <t xml:space="preserve">    其中：股权激励</t>
    <phoneticPr fontId="24" type="noConversion"/>
  </si>
  <si>
    <t>二、职工福利费支出</t>
  </si>
  <si>
    <t>三、职工教育经费支出</t>
    <phoneticPr fontId="24" type="noConversion"/>
  </si>
  <si>
    <t xml:space="preserve">          按税收规定全额扣除的职工培训费用</t>
    <phoneticPr fontId="24" type="noConversion"/>
  </si>
  <si>
    <t>四、工会经费支出</t>
  </si>
  <si>
    <t>五、各类基本社会保障性缴款</t>
  </si>
  <si>
    <t>六、住房公积金</t>
  </si>
  <si>
    <t>八、补充医疗保险</t>
  </si>
  <si>
    <t>九、其他</t>
  </si>
  <si>
    <t>合计（1+3+4+7+8+9+10+11+12）</t>
    <phoneticPr fontId="24" type="noConversion"/>
  </si>
  <si>
    <t xml:space="preserve">        职工薪酬支出及纳税调整明细表</t>
    <phoneticPr fontId="4" type="noConversion"/>
  </si>
  <si>
    <t>实际发生额</t>
    <phoneticPr fontId="24" type="noConversion"/>
  </si>
  <si>
    <t>6（1-5）</t>
    <phoneticPr fontId="24" type="noConversion"/>
  </si>
  <si>
    <t>7（1+4-5）</t>
    <phoneticPr fontId="24" type="noConversion"/>
  </si>
  <si>
    <r>
      <t xml:space="preserve">项 </t>
    </r>
    <r>
      <rPr>
        <sz val="10"/>
        <rFont val="宋体"/>
        <family val="3"/>
        <charset val="134"/>
      </rPr>
      <t xml:space="preserve">       目</t>
    </r>
    <phoneticPr fontId="24" type="noConversion"/>
  </si>
  <si>
    <t>金    额</t>
    <phoneticPr fontId="24" type="noConversion"/>
  </si>
  <si>
    <t>一、本年广告费和业务宣传费支出</t>
  </si>
  <si>
    <t xml:space="preserve">    减：不允许扣除的广告费和业务宣传费支出</t>
    <phoneticPr fontId="24" type="noConversion"/>
  </si>
  <si>
    <t xml:space="preserve">二、本年符合条件的广告费和业务宣传费支出（1-2） </t>
    <phoneticPr fontId="24" type="noConversion"/>
  </si>
  <si>
    <t>三、本年计算广告费和业务宣传费扣除限额的销售（营业）收入</t>
    <phoneticPr fontId="24" type="noConversion"/>
  </si>
  <si>
    <t>四、本企业计算的广告费和业务宣传费扣除限额（4×5）</t>
    <phoneticPr fontId="24" type="noConversion"/>
  </si>
  <si>
    <t>五、本年结转以后年度扣除额（3＞6，本行=3-6；3≤6，本行=0）</t>
    <phoneticPr fontId="24" type="noConversion"/>
  </si>
  <si>
    <t xml:space="preserve">    加：以前年度累计结转扣除额</t>
    <phoneticPr fontId="24" type="noConversion"/>
  </si>
  <si>
    <t xml:space="preserve">    减：本年扣除的以前年度结转额[3＞6，本行=0；3≤6，本行=8或（6-3）孰小值]</t>
    <phoneticPr fontId="24" type="noConversion"/>
  </si>
  <si>
    <t>六、按照分摊协议归集至其他关联方的广告费和业务宣传费（10≤3或6孰小值）</t>
    <phoneticPr fontId="24" type="noConversion"/>
  </si>
  <si>
    <t xml:space="preserve">    按照分摊协议从其他关联方归集至本企业的广告费和业务宣传费</t>
    <phoneticPr fontId="24" type="noConversion"/>
  </si>
  <si>
    <r>
      <t>七、本年广告费和业务宣传费支出纳税调整金额（3＞6，本行=2</t>
    </r>
    <r>
      <rPr>
        <sz val="10"/>
        <rFont val="宋体"/>
        <family val="3"/>
        <charset val="134"/>
      </rPr>
      <t>+3-6</t>
    </r>
    <r>
      <rPr>
        <sz val="10"/>
        <rFont val="宋体"/>
        <family val="3"/>
        <charset val="134"/>
      </rPr>
      <t>+10-11；3≤6，本行=2+10-11-9）</t>
    </r>
    <phoneticPr fontId="24" type="noConversion"/>
  </si>
  <si>
    <t>八、累计结转以后年度扣除额（7+8-9）</t>
    <phoneticPr fontId="24" type="noConversion"/>
  </si>
  <si>
    <t xml:space="preserve">    乘：税收规定扣除率</t>
    <phoneticPr fontId="24" type="noConversion"/>
  </si>
  <si>
    <t>返回纳税调整项目明细表（A105000）</t>
    <phoneticPr fontId="24" type="noConversion"/>
  </si>
  <si>
    <t xml:space="preserve">        捐赠支出及纳税调整明细表</t>
    <phoneticPr fontId="4" type="noConversion"/>
  </si>
  <si>
    <t>以前年度结转可扣除的捐赠额</t>
  </si>
  <si>
    <t>项   目</t>
  </si>
  <si>
    <t>按税收规定计算的扣除限额</t>
  </si>
  <si>
    <t>纳税调增金额</t>
  </si>
  <si>
    <t>纳税调减金额</t>
  </si>
  <si>
    <t>可结转以后年度扣除的捐赠额</t>
  </si>
  <si>
    <t>一、非公益性捐赠</t>
  </si>
  <si>
    <t>二、全额扣除的公益性捐赠</t>
  </si>
  <si>
    <t>三、限额扣除的公益性捐赠(4+5+6+7)</t>
  </si>
  <si>
    <t>合计（1+2+3）</t>
  </si>
  <si>
    <t>资产的税务处理[¶30-680]-[¶30-812]</t>
    <phoneticPr fontId="24" type="noConversion"/>
  </si>
  <si>
    <t>本年折旧、摊销额</t>
    <phoneticPr fontId="24" type="noConversion"/>
  </si>
  <si>
    <t>累计折旧、摊销额</t>
    <phoneticPr fontId="24" type="noConversion"/>
  </si>
  <si>
    <t>资产计税基础</t>
    <phoneticPr fontId="24" type="noConversion"/>
  </si>
  <si>
    <t>固定资产[¶30-710]-[¶30-723]</t>
    <phoneticPr fontId="24" type="noConversion"/>
  </si>
  <si>
    <t>一、固定资产（2+3+4+5+6+7）</t>
    <phoneticPr fontId="24" type="noConversion"/>
  </si>
  <si>
    <t>二、生产性生物资产（9+10）</t>
    <phoneticPr fontId="24" type="noConversion"/>
  </si>
  <si>
    <t>生产性生物资产[¶30-725]-[¶30-738]</t>
    <phoneticPr fontId="24" type="noConversion"/>
  </si>
  <si>
    <t xml:space="preserve">   （一）林木类</t>
    <phoneticPr fontId="24" type="noConversion"/>
  </si>
  <si>
    <t xml:space="preserve">   （二）畜类</t>
    <phoneticPr fontId="24" type="noConversion"/>
  </si>
  <si>
    <t>无形资产[¶30-740]-[¶30-754]</t>
    <phoneticPr fontId="24" type="noConversion"/>
  </si>
  <si>
    <t xml:space="preserve">   （一）专利权</t>
    <phoneticPr fontId="24" type="noConversion"/>
  </si>
  <si>
    <t xml:space="preserve">   （二）商标权</t>
    <phoneticPr fontId="24" type="noConversion"/>
  </si>
  <si>
    <t xml:space="preserve">   （三）著作权</t>
    <phoneticPr fontId="24" type="noConversion"/>
  </si>
  <si>
    <t xml:space="preserve">   （四）土地使用权</t>
    <phoneticPr fontId="24" type="noConversion"/>
  </si>
  <si>
    <t xml:space="preserve">   （五）非专利技术</t>
    <phoneticPr fontId="24" type="noConversion"/>
  </si>
  <si>
    <t xml:space="preserve">   （六）特许权使用费</t>
    <phoneticPr fontId="24" type="noConversion"/>
  </si>
  <si>
    <t>长期待摊费用[¶30-770]-[¶30-782]</t>
    <phoneticPr fontId="24" type="noConversion"/>
  </si>
  <si>
    <t xml:space="preserve">   （一）已足额提取折旧的固定资产的改建支出</t>
    <phoneticPr fontId="24" type="noConversion"/>
  </si>
  <si>
    <t xml:space="preserve">   （二）租入固定资产的改建支出</t>
    <phoneticPr fontId="24" type="noConversion"/>
  </si>
  <si>
    <t xml:space="preserve">   （三）固定资产的大修理支出</t>
    <phoneticPr fontId="24" type="noConversion"/>
  </si>
  <si>
    <t xml:space="preserve">   （四）开办费</t>
    <phoneticPr fontId="24" type="noConversion"/>
  </si>
  <si>
    <t xml:space="preserve">   （五）其他</t>
    <phoneticPr fontId="24" type="noConversion"/>
  </si>
  <si>
    <t>五、油气勘探投资</t>
    <phoneticPr fontId="24" type="noConversion"/>
  </si>
  <si>
    <t>六、油气开发投资</t>
  </si>
  <si>
    <t>所有固定资产</t>
    <phoneticPr fontId="33" type="noConversion"/>
  </si>
  <si>
    <t>其中：享受固定资产加速折旧及一次性扣除政策的资产加速折旧额大于一般折旧额的部分</t>
    <phoneticPr fontId="33" type="noConversion"/>
  </si>
  <si>
    <t>（一）重要行业固定资产加速折旧（不含一次性扣除）</t>
    <phoneticPr fontId="33" type="noConversion"/>
  </si>
  <si>
    <t>（二）其他行业研发设备加速折旧</t>
    <phoneticPr fontId="33" type="noConversion"/>
  </si>
  <si>
    <t>（三）允许一次性扣除的固定资产（11+12+13）</t>
    <phoneticPr fontId="33" type="noConversion"/>
  </si>
  <si>
    <t>（四）技术进步、更新换代固定资产</t>
    <phoneticPr fontId="33" type="noConversion"/>
  </si>
  <si>
    <t>（五）常年强震动、高腐蚀固定资产</t>
    <phoneticPr fontId="33" type="noConversion"/>
  </si>
  <si>
    <t>（六）外购软件折旧</t>
    <phoneticPr fontId="33" type="noConversion"/>
  </si>
  <si>
    <t>（七）集成电路企业生产设备</t>
    <phoneticPr fontId="33" type="noConversion"/>
  </si>
  <si>
    <t>（一）房屋、建筑物</t>
    <phoneticPr fontId="24" type="noConversion"/>
  </si>
  <si>
    <t>（二）飞机、火车、轮船、机器、机械和其他生产设备</t>
    <phoneticPr fontId="24" type="noConversion"/>
  </si>
  <si>
    <t>（三）与生产经营活动有关的器具、工具、家具等</t>
    <phoneticPr fontId="24" type="noConversion"/>
  </si>
  <si>
    <t>（四）飞机、火车、轮船以外的运输工具</t>
    <phoneticPr fontId="24" type="noConversion"/>
  </si>
  <si>
    <t>（六）其他</t>
    <phoneticPr fontId="24" type="noConversion"/>
  </si>
  <si>
    <t>（五）电子设备</t>
    <phoneticPr fontId="24" type="noConversion"/>
  </si>
  <si>
    <t xml:space="preserve">   （七）软件</t>
    <phoneticPr fontId="24" type="noConversion"/>
  </si>
  <si>
    <t xml:space="preserve">   （八）其他</t>
    <phoneticPr fontId="33" type="noConversion"/>
  </si>
  <si>
    <t>合计（1+18+21+31+37+38）</t>
    <phoneticPr fontId="24" type="noConversion"/>
  </si>
  <si>
    <t>资产原值</t>
    <phoneticPr fontId="24" type="noConversion"/>
  </si>
  <si>
    <t>税收折旧额</t>
    <phoneticPr fontId="33" type="noConversion"/>
  </si>
  <si>
    <t>享受加速折旧政策的资产按税收一般规定计算的折旧、摊销额</t>
    <phoneticPr fontId="33" type="noConversion"/>
  </si>
  <si>
    <t>加速折旧统计额</t>
    <phoneticPr fontId="33" type="noConversion"/>
  </si>
  <si>
    <t>累计折旧摊销额</t>
    <phoneticPr fontId="33" type="noConversion"/>
  </si>
  <si>
    <r>
      <t>7</t>
    </r>
    <r>
      <rPr>
        <sz val="10"/>
        <rFont val="宋体"/>
        <family val="3"/>
        <charset val="134"/>
      </rPr>
      <t>=5-6</t>
    </r>
    <phoneticPr fontId="33" type="noConversion"/>
  </si>
  <si>
    <r>
      <t>9（</t>
    </r>
    <r>
      <rPr>
        <sz val="10"/>
        <rFont val="宋体"/>
        <family val="3"/>
        <charset val="134"/>
      </rPr>
      <t>2-5）</t>
    </r>
    <phoneticPr fontId="33" type="noConversion"/>
  </si>
  <si>
    <t>纳税调整金额</t>
    <phoneticPr fontId="33" type="noConversion"/>
  </si>
  <si>
    <t>*</t>
    <phoneticPr fontId="33" type="noConversion"/>
  </si>
  <si>
    <t>附列资料</t>
    <phoneticPr fontId="33" type="noConversion"/>
  </si>
  <si>
    <t>全民所有制改制资产评估增值政策资产</t>
    <phoneticPr fontId="33" type="noConversion"/>
  </si>
  <si>
    <r>
      <t xml:space="preserve"> </t>
    </r>
    <r>
      <rPr>
        <sz val="10"/>
        <rFont val="宋体"/>
        <family val="3"/>
        <charset val="134"/>
      </rPr>
      <t xml:space="preserve">    </t>
    </r>
    <r>
      <rPr>
        <sz val="10"/>
        <rFont val="宋体"/>
        <family val="3"/>
        <charset val="134"/>
      </rPr>
      <t>1.单价不超过100万元专用研发设备</t>
    </r>
    <phoneticPr fontId="33" type="noConversion"/>
  </si>
  <si>
    <r>
      <t xml:space="preserve"> </t>
    </r>
    <r>
      <rPr>
        <sz val="10"/>
        <rFont val="宋体"/>
        <family val="3"/>
        <charset val="134"/>
      </rPr>
      <t xml:space="preserve">    </t>
    </r>
    <r>
      <rPr>
        <sz val="10"/>
        <rFont val="宋体"/>
        <family val="3"/>
        <charset val="134"/>
      </rPr>
      <t>2.重要行业小型微利企业单价不超过100万元研发生产共用设备</t>
    </r>
    <phoneticPr fontId="33" type="noConversion"/>
  </si>
  <si>
    <r>
      <t xml:space="preserve"> </t>
    </r>
    <r>
      <rPr>
        <sz val="10"/>
        <rFont val="宋体"/>
        <family val="3"/>
        <charset val="134"/>
      </rPr>
      <t xml:space="preserve">    </t>
    </r>
    <r>
      <rPr>
        <sz val="10"/>
        <rFont val="宋体"/>
        <family val="3"/>
        <charset val="134"/>
      </rPr>
      <t>3.5000元以下固定资产</t>
    </r>
    <phoneticPr fontId="33" type="noConversion"/>
  </si>
  <si>
    <r>
      <t xml:space="preserve"> </t>
    </r>
    <r>
      <rPr>
        <sz val="10"/>
        <rFont val="宋体"/>
        <family val="3"/>
        <charset val="134"/>
      </rPr>
      <t xml:space="preserve">   </t>
    </r>
    <r>
      <rPr>
        <sz val="10"/>
        <rFont val="宋体"/>
        <family val="3"/>
        <charset val="134"/>
      </rPr>
      <t>其中：享受企业外购软件加速摊销政策</t>
    </r>
    <phoneticPr fontId="33" type="noConversion"/>
  </si>
  <si>
    <r>
      <t>三、无形资产（22+</t>
    </r>
    <r>
      <rPr>
        <sz val="10"/>
        <rFont val="宋体"/>
        <family val="3"/>
        <charset val="134"/>
      </rPr>
      <t>2</t>
    </r>
    <r>
      <rPr>
        <sz val="10"/>
        <rFont val="宋体"/>
        <family val="3"/>
        <charset val="134"/>
      </rPr>
      <t>3+</t>
    </r>
    <r>
      <rPr>
        <sz val="10"/>
        <rFont val="宋体"/>
        <family val="3"/>
        <charset val="134"/>
      </rPr>
      <t>2</t>
    </r>
    <r>
      <rPr>
        <sz val="10"/>
        <rFont val="宋体"/>
        <family val="3"/>
        <charset val="134"/>
      </rPr>
      <t>4+</t>
    </r>
    <r>
      <rPr>
        <sz val="10"/>
        <rFont val="宋体"/>
        <family val="3"/>
        <charset val="134"/>
      </rPr>
      <t>2</t>
    </r>
    <r>
      <rPr>
        <sz val="10"/>
        <rFont val="宋体"/>
        <family val="3"/>
        <charset val="134"/>
      </rPr>
      <t>5+</t>
    </r>
    <r>
      <rPr>
        <sz val="10"/>
        <rFont val="宋体"/>
        <family val="3"/>
        <charset val="134"/>
      </rPr>
      <t>2</t>
    </r>
    <r>
      <rPr>
        <sz val="10"/>
        <rFont val="宋体"/>
        <family val="3"/>
        <charset val="134"/>
      </rPr>
      <t>6+</t>
    </r>
    <r>
      <rPr>
        <sz val="10"/>
        <rFont val="宋体"/>
        <family val="3"/>
        <charset val="134"/>
      </rPr>
      <t>2</t>
    </r>
    <r>
      <rPr>
        <sz val="10"/>
        <rFont val="宋体"/>
        <family val="3"/>
        <charset val="134"/>
      </rPr>
      <t>7+</t>
    </r>
    <r>
      <rPr>
        <sz val="10"/>
        <rFont val="宋体"/>
        <family val="3"/>
        <charset val="134"/>
      </rPr>
      <t>2</t>
    </r>
    <r>
      <rPr>
        <sz val="10"/>
        <rFont val="宋体"/>
        <family val="3"/>
        <charset val="134"/>
      </rPr>
      <t>8</t>
    </r>
    <r>
      <rPr>
        <sz val="10"/>
        <rFont val="宋体"/>
        <family val="3"/>
        <charset val="134"/>
      </rPr>
      <t>+30</t>
    </r>
    <r>
      <rPr>
        <sz val="10"/>
        <rFont val="宋体"/>
        <family val="3"/>
        <charset val="134"/>
      </rPr>
      <t>）</t>
    </r>
    <phoneticPr fontId="24" type="noConversion"/>
  </si>
  <si>
    <r>
      <t>四、长期待摊费用（3</t>
    </r>
    <r>
      <rPr>
        <sz val="10"/>
        <rFont val="宋体"/>
        <family val="3"/>
        <charset val="134"/>
      </rPr>
      <t>2</t>
    </r>
    <r>
      <rPr>
        <sz val="10"/>
        <rFont val="宋体"/>
        <family val="3"/>
        <charset val="134"/>
      </rPr>
      <t>+</t>
    </r>
    <r>
      <rPr>
        <sz val="10"/>
        <rFont val="宋体"/>
        <family val="3"/>
        <charset val="134"/>
      </rPr>
      <t>33</t>
    </r>
    <r>
      <rPr>
        <sz val="10"/>
        <rFont val="宋体"/>
        <family val="3"/>
        <charset val="134"/>
      </rPr>
      <t>+</t>
    </r>
    <r>
      <rPr>
        <sz val="10"/>
        <rFont val="宋体"/>
        <family val="3"/>
        <charset val="134"/>
      </rPr>
      <t>34</t>
    </r>
    <r>
      <rPr>
        <sz val="10"/>
        <rFont val="宋体"/>
        <family val="3"/>
        <charset val="134"/>
      </rPr>
      <t>+</t>
    </r>
    <r>
      <rPr>
        <sz val="10"/>
        <rFont val="宋体"/>
        <family val="3"/>
        <charset val="134"/>
      </rPr>
      <t>35</t>
    </r>
    <r>
      <rPr>
        <sz val="10"/>
        <rFont val="宋体"/>
        <family val="3"/>
        <charset val="134"/>
      </rPr>
      <t>+</t>
    </r>
    <r>
      <rPr>
        <sz val="10"/>
        <rFont val="宋体"/>
        <family val="3"/>
        <charset val="134"/>
      </rPr>
      <t>36</t>
    </r>
    <r>
      <rPr>
        <sz val="10"/>
        <rFont val="宋体"/>
        <family val="3"/>
        <charset val="134"/>
      </rPr>
      <t>）</t>
    </r>
    <phoneticPr fontId="24" type="noConversion"/>
  </si>
  <si>
    <t>返回纳税调整项目明细表（A105000）</t>
    <phoneticPr fontId="38" type="noConversion"/>
  </si>
  <si>
    <t>《中国税务合规实务指南—所得税》</t>
    <phoneticPr fontId="38" type="noConversion"/>
  </si>
  <si>
    <t>项        目</t>
    <phoneticPr fontId="38" type="noConversion"/>
  </si>
  <si>
    <t>纳税调整金额</t>
    <phoneticPr fontId="38" type="noConversion"/>
  </si>
  <si>
    <t>损失[¶30-5601]-[¶30-5690]</t>
    <phoneticPr fontId="38" type="noConversion"/>
  </si>
  <si>
    <t>一、清单申报资产损失（2+3+4+5+6+7+8）</t>
    <phoneticPr fontId="38" type="noConversion"/>
  </si>
  <si>
    <t xml:space="preserve">资产损失的申报管理[¶30-5676] </t>
    <phoneticPr fontId="38" type="noConversion"/>
  </si>
  <si>
    <t xml:space="preserve">   （一）正常经营管理活动中，按照公允价格销售、转让、变卖非货币资产的损失</t>
    <phoneticPr fontId="38" type="noConversion"/>
  </si>
  <si>
    <t xml:space="preserve">   （二）存货发生的正常损耗</t>
    <phoneticPr fontId="38" type="noConversion"/>
  </si>
  <si>
    <t xml:space="preserve">   （三）固定资产达到或超过使用年限而正常报废清理的损失</t>
    <phoneticPr fontId="38" type="noConversion"/>
  </si>
  <si>
    <t xml:space="preserve">   （四）生产性生物资产达到或超过使用年限而正常死亡发生的资产损失</t>
    <phoneticPr fontId="38" type="noConversion"/>
  </si>
  <si>
    <t xml:space="preserve">   （五）按照市场公平交易原则，通过各种交易场所、市场等买卖债券、股票、期货、基金以及金融衍生产品等发生的损失</t>
    <phoneticPr fontId="38" type="noConversion"/>
  </si>
  <si>
    <t xml:space="preserve">   （六）分支机构上报的资产损失</t>
    <phoneticPr fontId="38" type="noConversion"/>
  </si>
  <si>
    <t xml:space="preserve">   （七）其他</t>
    <phoneticPr fontId="38" type="noConversion"/>
  </si>
  <si>
    <t>合计（1+9）</t>
    <phoneticPr fontId="38" type="noConversion"/>
  </si>
  <si>
    <t>资产损失的账载金额</t>
    <phoneticPr fontId="37" type="noConversion"/>
  </si>
  <si>
    <t>资产处置收入</t>
    <phoneticPr fontId="37" type="noConversion"/>
  </si>
  <si>
    <t>赔偿收入</t>
    <phoneticPr fontId="37" type="noConversion"/>
  </si>
  <si>
    <t>资产计税基础</t>
    <phoneticPr fontId="37" type="noConversion"/>
  </si>
  <si>
    <t>资产损失的税收金额</t>
    <phoneticPr fontId="37" type="noConversion"/>
  </si>
  <si>
    <t>5(4-2-3)</t>
    <phoneticPr fontId="37" type="noConversion"/>
  </si>
  <si>
    <t>6（1-5）</t>
    <phoneticPr fontId="38" type="noConversion"/>
  </si>
  <si>
    <t xml:space="preserve">   （一）货币资产损失</t>
    <phoneticPr fontId="38" type="noConversion"/>
  </si>
  <si>
    <t xml:space="preserve">   （二）非货币资产损失</t>
    <phoneticPr fontId="38" type="noConversion"/>
  </si>
  <si>
    <t xml:space="preserve">   （三）投资损失</t>
    <phoneticPr fontId="38" type="noConversion"/>
  </si>
  <si>
    <t xml:space="preserve">   （四）其他</t>
    <phoneticPr fontId="38" type="noConversion"/>
  </si>
  <si>
    <t>二、专项申报资产损失(10+11+12+13)</t>
    <phoneticPr fontId="38" type="noConversion"/>
  </si>
  <si>
    <t>返回纳税调整项目明细表（A105000）</t>
    <phoneticPr fontId="38" type="noConversion"/>
  </si>
  <si>
    <r>
      <t xml:space="preserve">项 </t>
    </r>
    <r>
      <rPr>
        <sz val="10"/>
        <rFont val="宋体"/>
        <family val="3"/>
        <charset val="134"/>
      </rPr>
      <t xml:space="preserve">       </t>
    </r>
    <r>
      <rPr>
        <sz val="10"/>
        <rFont val="宋体"/>
        <family val="3"/>
        <charset val="134"/>
      </rPr>
      <t>目</t>
    </r>
    <phoneticPr fontId="38" type="noConversion"/>
  </si>
  <si>
    <t>一般性税务处理</t>
    <phoneticPr fontId="38" type="noConversion"/>
  </si>
  <si>
    <t>特殊性税务处理</t>
    <phoneticPr fontId="38" type="noConversion"/>
  </si>
  <si>
    <t>企业重组[¶100-850]-[¶100-930]</t>
    <phoneticPr fontId="38" type="noConversion"/>
  </si>
  <si>
    <t>账载金额</t>
    <phoneticPr fontId="38" type="noConversion"/>
  </si>
  <si>
    <t>3(2-1)</t>
    <phoneticPr fontId="38" type="noConversion"/>
  </si>
  <si>
    <t>6(5-4)</t>
    <phoneticPr fontId="38" type="noConversion"/>
  </si>
  <si>
    <t>7(3+6)</t>
    <phoneticPr fontId="38" type="noConversion"/>
  </si>
  <si>
    <t>一、债务重组</t>
  </si>
  <si>
    <t xml:space="preserve">债务重组[¶100-870] </t>
    <phoneticPr fontId="38" type="noConversion"/>
  </si>
  <si>
    <t xml:space="preserve">    其中：以非货币性资产清偿债务</t>
  </si>
  <si>
    <t xml:space="preserve">          债转股</t>
    <phoneticPr fontId="38" type="noConversion"/>
  </si>
  <si>
    <t>二、股权收购</t>
  </si>
  <si>
    <t xml:space="preserve">股权收购[¶100-880] </t>
    <phoneticPr fontId="38" type="noConversion"/>
  </si>
  <si>
    <t xml:space="preserve">    其中：涉及跨境重组的股权收购</t>
    <phoneticPr fontId="38" type="noConversion"/>
  </si>
  <si>
    <t>三、资产收购</t>
  </si>
  <si>
    <t xml:space="preserve">资产收购[¶100-885] </t>
    <phoneticPr fontId="38" type="noConversion"/>
  </si>
  <si>
    <t xml:space="preserve">    其中：涉及跨境重组的资产收购</t>
    <phoneticPr fontId="38" type="noConversion"/>
  </si>
  <si>
    <t>四、企业合并（9+10）</t>
    <phoneticPr fontId="38" type="noConversion"/>
  </si>
  <si>
    <t xml:space="preserve">企业合并[¶100-890] </t>
    <phoneticPr fontId="38" type="noConversion"/>
  </si>
  <si>
    <t>五、企业分立</t>
    <phoneticPr fontId="38" type="noConversion"/>
  </si>
  <si>
    <t xml:space="preserve">企业分立[¶100-900] </t>
    <phoneticPr fontId="38" type="noConversion"/>
  </si>
  <si>
    <t xml:space="preserve">非货币性资产交换[¶30-368] </t>
    <phoneticPr fontId="38" type="noConversion"/>
  </si>
  <si>
    <t xml:space="preserve">   （一）同一控制下企业合并</t>
    <phoneticPr fontId="38" type="noConversion"/>
  </si>
  <si>
    <t xml:space="preserve">   （二）非同一控制下企业合并</t>
    <phoneticPr fontId="38" type="noConversion"/>
  </si>
  <si>
    <t>六、非货币性资产对外投资</t>
    <phoneticPr fontId="37" type="noConversion"/>
  </si>
  <si>
    <t>七、技术入股</t>
    <phoneticPr fontId="37" type="noConversion"/>
  </si>
  <si>
    <t>八、股权划转、资产划转</t>
    <phoneticPr fontId="37" type="noConversion"/>
  </si>
  <si>
    <t>九、其他</t>
    <phoneticPr fontId="37" type="noConversion"/>
  </si>
  <si>
    <t>合计（1+4+6+8+11+12+13+14+15）</t>
    <phoneticPr fontId="38" type="noConversion"/>
  </si>
  <si>
    <t>返回纳税调整项目明细表（A105000）</t>
    <phoneticPr fontId="38" type="noConversion"/>
  </si>
  <si>
    <t>金额</t>
    <phoneticPr fontId="38" type="noConversion"/>
  </si>
  <si>
    <t>一、搬迁收入(2+8)</t>
    <phoneticPr fontId="38" type="noConversion"/>
  </si>
  <si>
    <t xml:space="preserve">   （一）搬迁补偿收入（3+4+5+6+7）</t>
    <phoneticPr fontId="38" type="noConversion"/>
  </si>
  <si>
    <t xml:space="preserve">       1.对被征用资产价值的补偿</t>
    <phoneticPr fontId="38" type="noConversion"/>
  </si>
  <si>
    <r>
      <t xml:space="preserve">   </t>
    </r>
    <r>
      <rPr>
        <sz val="10"/>
        <rFont val="宋体"/>
        <family val="3"/>
        <charset val="134"/>
      </rPr>
      <t xml:space="preserve">    2.因搬迁、安置而给予的补偿</t>
    </r>
    <phoneticPr fontId="38" type="noConversion"/>
  </si>
  <si>
    <t xml:space="preserve">       3.对停产停业形成的损失而给予的补偿</t>
    <phoneticPr fontId="38" type="noConversion"/>
  </si>
  <si>
    <t xml:space="preserve">       4.资产搬迁过程中遭到毁损而取得的保险赔款</t>
    <phoneticPr fontId="38" type="noConversion"/>
  </si>
  <si>
    <r>
      <t xml:space="preserve">   </t>
    </r>
    <r>
      <rPr>
        <sz val="10"/>
        <rFont val="宋体"/>
        <family val="3"/>
        <charset val="134"/>
      </rPr>
      <t xml:space="preserve">    5.其他补偿收入</t>
    </r>
    <phoneticPr fontId="38" type="noConversion"/>
  </si>
  <si>
    <t xml:space="preserve">   （二）搬迁资产处置收入</t>
    <phoneticPr fontId="38" type="noConversion"/>
  </si>
  <si>
    <t>二、搬迁支出(10+16)</t>
    <phoneticPr fontId="38" type="noConversion"/>
  </si>
  <si>
    <t xml:space="preserve">   （一）搬迁费用支出(11+12+13+14+15)</t>
    <phoneticPr fontId="38" type="noConversion"/>
  </si>
  <si>
    <r>
      <t xml:space="preserve">       </t>
    </r>
    <r>
      <rPr>
        <sz val="10"/>
        <rFont val="宋体"/>
        <family val="3"/>
        <charset val="134"/>
      </rPr>
      <t>1.安置职工实际发生的费用</t>
    </r>
    <phoneticPr fontId="38" type="noConversion"/>
  </si>
  <si>
    <t xml:space="preserve">       2.停工期间支付给职工的工资及福利费</t>
    <phoneticPr fontId="38" type="noConversion"/>
  </si>
  <si>
    <r>
      <t xml:space="preserve">       3.</t>
    </r>
    <r>
      <rPr>
        <sz val="10"/>
        <rFont val="宋体"/>
        <family val="3"/>
        <charset val="134"/>
      </rPr>
      <t>临时存放搬迁资产而发生的费用</t>
    </r>
    <phoneticPr fontId="38" type="noConversion"/>
  </si>
  <si>
    <r>
      <t xml:space="preserve">       4.</t>
    </r>
    <r>
      <rPr>
        <sz val="10"/>
        <rFont val="宋体"/>
        <family val="3"/>
        <charset val="134"/>
      </rPr>
      <t>各类资产搬迁安装费用</t>
    </r>
    <phoneticPr fontId="38" type="noConversion"/>
  </si>
  <si>
    <t xml:space="preserve">       5.其他与搬迁相关的费用</t>
    <phoneticPr fontId="38" type="noConversion"/>
  </si>
  <si>
    <r>
      <t xml:space="preserve">   （</t>
    </r>
    <r>
      <rPr>
        <sz val="10"/>
        <rFont val="宋体"/>
        <family val="3"/>
        <charset val="134"/>
      </rPr>
      <t>二）搬迁资产处置支出</t>
    </r>
    <phoneticPr fontId="38" type="noConversion"/>
  </si>
  <si>
    <t>三、搬迁所得或损失（1-9）</t>
    <phoneticPr fontId="38" type="noConversion"/>
  </si>
  <si>
    <t>四、应计入本年应纳税所得额的搬迁所得或损失（19+20+21）</t>
    <phoneticPr fontId="38" type="noConversion"/>
  </si>
  <si>
    <t xml:space="preserve">    其中：搬迁所得</t>
    <phoneticPr fontId="38" type="noConversion"/>
  </si>
  <si>
    <t xml:space="preserve">          搬迁损失一次性扣除</t>
    <phoneticPr fontId="38" type="noConversion"/>
  </si>
  <si>
    <t xml:space="preserve">          搬迁损失分期扣除</t>
    <phoneticPr fontId="38" type="noConversion"/>
  </si>
  <si>
    <t>五、计入当期损益的搬迁收益或损失</t>
    <phoneticPr fontId="38" type="noConversion"/>
  </si>
  <si>
    <t>六、以前年度搬迁损失当期扣除金额</t>
    <phoneticPr fontId="38" type="noConversion"/>
  </si>
  <si>
    <t>七、纳税调整金额（18-22-23）</t>
    <phoneticPr fontId="38" type="noConversion"/>
  </si>
  <si>
    <t>《中国税务合规实务指南—所得税》</t>
    <phoneticPr fontId="38" type="noConversion"/>
  </si>
  <si>
    <t>行次</t>
    <phoneticPr fontId="38" type="noConversion"/>
  </si>
  <si>
    <t>项        目</t>
    <phoneticPr fontId="38" type="noConversion"/>
  </si>
  <si>
    <t>3（1-2）</t>
    <phoneticPr fontId="38" type="noConversion"/>
  </si>
  <si>
    <t xml:space="preserve">保险公司准备金支出[¶30-664] </t>
    <phoneticPr fontId="38" type="noConversion"/>
  </si>
  <si>
    <t xml:space="preserve">证券行业准备金支出[¶30-663] </t>
    <phoneticPr fontId="38" type="noConversion"/>
  </si>
  <si>
    <t xml:space="preserve">   （一）证券交易所风险基金</t>
    <phoneticPr fontId="38" type="noConversion"/>
  </si>
  <si>
    <t xml:space="preserve">   （二）证券结算风险基金</t>
    <phoneticPr fontId="38" type="noConversion"/>
  </si>
  <si>
    <t xml:space="preserve">   （三）证券投资者保护基金</t>
    <phoneticPr fontId="38" type="noConversion"/>
  </si>
  <si>
    <t xml:space="preserve">   （四）其他</t>
    <phoneticPr fontId="38" type="noConversion"/>
  </si>
  <si>
    <t xml:space="preserve">准备金支出[¶30-637] </t>
    <phoneticPr fontId="38" type="noConversion"/>
  </si>
  <si>
    <t xml:space="preserve">   （一）期货交易所风险准备金</t>
    <phoneticPr fontId="38" type="noConversion"/>
  </si>
  <si>
    <t xml:space="preserve">   （二）期货公司风险准备金</t>
    <phoneticPr fontId="38" type="noConversion"/>
  </si>
  <si>
    <t xml:space="preserve">   （三）期货投资者保障基金</t>
    <phoneticPr fontId="38" type="noConversion"/>
  </si>
  <si>
    <t xml:space="preserve">金融企业贷款损失准备金[¶30-662] </t>
    <phoneticPr fontId="38" type="noConversion"/>
  </si>
  <si>
    <t xml:space="preserve">   （一）涉农和中小企业贷款损失准备金</t>
    <phoneticPr fontId="38" type="noConversion"/>
  </si>
  <si>
    <t xml:space="preserve">   （二）贷款损失准备金</t>
    <phoneticPr fontId="38" type="noConversion"/>
  </si>
  <si>
    <t xml:space="preserve">   （三）其他</t>
    <phoneticPr fontId="38" type="noConversion"/>
  </si>
  <si>
    <t xml:space="preserve">中小企业信用担保机构准备金支出[¶30-671] </t>
    <phoneticPr fontId="38" type="noConversion"/>
  </si>
  <si>
    <t xml:space="preserve">   （一）担保赔偿准备</t>
    <phoneticPr fontId="38" type="noConversion"/>
  </si>
  <si>
    <t xml:space="preserve">   （二）未到期责任准备</t>
    <phoneticPr fontId="38" type="noConversion"/>
  </si>
  <si>
    <t xml:space="preserve">   （一）保险保障基金（3+4+5+…+12）</t>
    <phoneticPr fontId="37" type="noConversion"/>
  </si>
  <si>
    <t>投资型</t>
    <phoneticPr fontId="37" type="noConversion"/>
  </si>
  <si>
    <t>保证收益</t>
    <phoneticPr fontId="37" type="noConversion"/>
  </si>
  <si>
    <t>无保证收益</t>
    <phoneticPr fontId="37" type="noConversion"/>
  </si>
  <si>
    <t xml:space="preserve">  非投资型</t>
    <phoneticPr fontId="37" type="noConversion"/>
  </si>
  <si>
    <t xml:space="preserve">  保证收益</t>
    <phoneticPr fontId="37" type="noConversion"/>
  </si>
  <si>
    <t xml:space="preserve">  无保证收益</t>
    <phoneticPr fontId="37" type="noConversion"/>
  </si>
  <si>
    <t xml:space="preserve">  短期</t>
    <phoneticPr fontId="37" type="noConversion"/>
  </si>
  <si>
    <t xml:space="preserve">  长期</t>
    <phoneticPr fontId="37" type="noConversion"/>
  </si>
  <si>
    <t xml:space="preserve"> 1.财产保险业务  </t>
    <phoneticPr fontId="37" type="noConversion"/>
  </si>
  <si>
    <t xml:space="preserve">2.人寿保险业务  </t>
    <phoneticPr fontId="37" type="noConversion"/>
  </si>
  <si>
    <t xml:space="preserve">3.健康保险业务  </t>
    <phoneticPr fontId="37" type="noConversion"/>
  </si>
  <si>
    <t xml:space="preserve">4.意外伤害保险业务  </t>
    <phoneticPr fontId="37" type="noConversion"/>
  </si>
  <si>
    <t xml:space="preserve">   （二）未到期责任准备金</t>
    <phoneticPr fontId="38" type="noConversion"/>
  </si>
  <si>
    <t xml:space="preserve">   （三）寿险责任准备金</t>
    <phoneticPr fontId="38" type="noConversion"/>
  </si>
  <si>
    <t xml:space="preserve">   （四）长期健康险责任准备金</t>
    <phoneticPr fontId="37" type="noConversion"/>
  </si>
  <si>
    <t xml:space="preserve">   （五）未决赔款准备金（17+18）</t>
    <phoneticPr fontId="37" type="noConversion"/>
  </si>
  <si>
    <t xml:space="preserve">       1.已发生已报案未决赔款准备金</t>
    <phoneticPr fontId="37" type="noConversion"/>
  </si>
  <si>
    <t xml:space="preserve">       2.已发生未报案未决赔款准备金</t>
    <phoneticPr fontId="37" type="noConversion"/>
  </si>
  <si>
    <t xml:space="preserve">   （六）大灾风险准备金</t>
    <phoneticPr fontId="37" type="noConversion"/>
  </si>
  <si>
    <t xml:space="preserve">   （七）其他</t>
    <phoneticPr fontId="37" type="noConversion"/>
  </si>
  <si>
    <t>二、证券行业（22+23+24+25）</t>
    <phoneticPr fontId="38" type="noConversion"/>
  </si>
  <si>
    <t>三、期货行业（27+28+29+30）</t>
    <phoneticPr fontId="38" type="noConversion"/>
  </si>
  <si>
    <t>四、金融企业（32+33+34)</t>
    <phoneticPr fontId="38" type="noConversion"/>
  </si>
  <si>
    <t>五、中小企业融资（信用）担保机构(36+37+38)</t>
    <phoneticPr fontId="38" type="noConversion"/>
  </si>
  <si>
    <t>六、小额贷款公司(40+41)</t>
    <phoneticPr fontId="37" type="noConversion"/>
  </si>
  <si>
    <t xml:space="preserve">   （一）贷款损失准备金</t>
    <phoneticPr fontId="37" type="noConversion"/>
  </si>
  <si>
    <t xml:space="preserve">   （二）其他</t>
    <phoneticPr fontId="37" type="noConversion"/>
  </si>
  <si>
    <t>七、其他</t>
    <phoneticPr fontId="37" type="noConversion"/>
  </si>
  <si>
    <t>合计(1+21+26+31+35+39+42)</t>
    <phoneticPr fontId="38" type="noConversion"/>
  </si>
  <si>
    <t xml:space="preserve">农村金融 [¶60-459] </t>
    <phoneticPr fontId="37" type="noConversion"/>
  </si>
  <si>
    <t>一、保险公司（2+13+14+15+16+19+20）</t>
    <phoneticPr fontId="38" type="noConversion"/>
  </si>
  <si>
    <t>项目</t>
  </si>
  <si>
    <t>年度</t>
  </si>
  <si>
    <t>合并、分立转入（转出）可弥补的亏损额</t>
    <phoneticPr fontId="38" type="noConversion"/>
  </si>
  <si>
    <t>当年可弥补的亏损额</t>
    <phoneticPr fontId="38" type="noConversion"/>
  </si>
  <si>
    <t>以前年度亏损已弥补额</t>
  </si>
  <si>
    <t>本年度实际弥补的以前年度亏损额</t>
    <phoneticPr fontId="38" type="noConversion"/>
  </si>
  <si>
    <t>可结转以后年度弥补的亏损额</t>
  </si>
  <si>
    <t>合计</t>
  </si>
  <si>
    <t>本年度</t>
  </si>
  <si>
    <t>可结转以后年度弥补的亏损额合计</t>
  </si>
  <si>
    <t>可弥补亏损所得</t>
    <phoneticPr fontId="38" type="noConversion"/>
  </si>
  <si>
    <t>项          目</t>
  </si>
  <si>
    <t>一、免税收入（2+3+6+7+…+16）</t>
    <phoneticPr fontId="38" type="noConversion"/>
  </si>
  <si>
    <t xml:space="preserve">   （一）国债利息收入免征企业所得税</t>
    <phoneticPr fontId="38" type="noConversion"/>
  </si>
  <si>
    <t xml:space="preserve">   （二）符合条件的居民企业之间的股息、红利等权益性投资收益免征企业所得税（填写A107011）</t>
    <phoneticPr fontId="38" type="noConversion"/>
  </si>
  <si>
    <t xml:space="preserve">        其中：内地居民企业通过沪港通投资且连续持有H股满12个月取得的股息红利所得免征企业所得税（填写A107011）</t>
    <phoneticPr fontId="38" type="noConversion"/>
  </si>
  <si>
    <t xml:space="preserve">        内地居民企业通过深港通投资且连续持有H股满12个月取得的股息红利所得免征企业所得税（填写A107011）</t>
    <phoneticPr fontId="38" type="noConversion"/>
  </si>
  <si>
    <t xml:space="preserve">   （三）符合条件的非营利组织的收入免征企业所得税</t>
    <phoneticPr fontId="38" type="noConversion"/>
  </si>
  <si>
    <t xml:space="preserve">   （四）符合条件的非营利组织（科技企业孵化器）的收入免征企业所得税</t>
    <phoneticPr fontId="38" type="noConversion"/>
  </si>
  <si>
    <t xml:space="preserve">   （五）符合条件的非营利组织（国家大学科技园）的收入免征企业所得税</t>
    <phoneticPr fontId="37" type="noConversion"/>
  </si>
  <si>
    <t xml:space="preserve">   （六）中国清洁发展机制基金取得的收入免征企业所得税</t>
    <phoneticPr fontId="37" type="noConversion"/>
  </si>
  <si>
    <t xml:space="preserve">   （七）投资者从证券投资基金分配中取得的收入免征企业所得税</t>
    <phoneticPr fontId="37" type="noConversion"/>
  </si>
  <si>
    <t xml:space="preserve">   （八）取得的地方政府债券利息收入免征企业所得税</t>
    <phoneticPr fontId="37" type="noConversion"/>
  </si>
  <si>
    <t xml:space="preserve">   （九）中国保险保障基金有限责任公司取得的保险保障基金等收入免征企业所得税</t>
    <phoneticPr fontId="37" type="noConversion"/>
  </si>
  <si>
    <t xml:space="preserve">   （十）中央电视台的广告费和有线电视费收入免征企业所得税</t>
    <phoneticPr fontId="37" type="noConversion"/>
  </si>
  <si>
    <t xml:space="preserve">   （十一）中国奥委会取得北京冬奥组委支付的收入免征企业所得税</t>
    <phoneticPr fontId="37" type="noConversion"/>
  </si>
  <si>
    <t xml:space="preserve">   （十二）中国残奥委会取得北京冬奥组委分期支付的收入免征企业所得税</t>
    <phoneticPr fontId="37" type="noConversion"/>
  </si>
  <si>
    <t xml:space="preserve">   （十三）其他</t>
    <phoneticPr fontId="37" type="noConversion"/>
  </si>
  <si>
    <t>二、减计收入（18+19+23+24）</t>
    <phoneticPr fontId="38" type="noConversion"/>
  </si>
  <si>
    <t xml:space="preserve">   （一）综合利用资源生产产品取得的收入在计算应纳税所得额时减计收入</t>
    <phoneticPr fontId="37" type="noConversion"/>
  </si>
  <si>
    <t xml:space="preserve">   （二）金融、保险等机构取得的涉农利息、保费减计收入（20+21+22）</t>
    <phoneticPr fontId="37" type="noConversion"/>
  </si>
  <si>
    <t xml:space="preserve">        1.金融机构取得的涉农贷款利息收入在计算应纳税所得额时减计收入</t>
    <phoneticPr fontId="37" type="noConversion"/>
  </si>
  <si>
    <t xml:space="preserve">        2.保险机构取得的涉农保费收入在计算应纳税所得额时减计收入</t>
    <phoneticPr fontId="37" type="noConversion"/>
  </si>
  <si>
    <t xml:space="preserve">        3.小额贷款公司取得的农户小额贷款利息收入在计算应纳税所得额时减计收入</t>
    <phoneticPr fontId="37" type="noConversion"/>
  </si>
  <si>
    <t xml:space="preserve">   （三）取得铁路债券利息收入减半征收企业所得税</t>
    <phoneticPr fontId="37" type="noConversion"/>
  </si>
  <si>
    <t xml:space="preserve">   （四）其他</t>
    <phoneticPr fontId="37" type="noConversion"/>
  </si>
  <si>
    <t>三、加计扣除（26+27+28+29+30）</t>
    <phoneticPr fontId="38" type="noConversion"/>
  </si>
  <si>
    <t xml:space="preserve">   （一）开发新技术、新产品、新工艺发生的研究开发费用加计扣除（填写A107012）</t>
    <phoneticPr fontId="37" type="noConversion"/>
  </si>
  <si>
    <t xml:space="preserve">   （二）科技型中小企业开发新技术、新产品、新工艺发生的研究开发费用加计扣除（填写A107012）</t>
    <phoneticPr fontId="37" type="noConversion"/>
  </si>
  <si>
    <t xml:space="preserve">   （三）企业为获得创新性、创意性、突破性的产品进行创意设计活动而发生的相关费用加计扣除</t>
    <phoneticPr fontId="37" type="noConversion"/>
  </si>
  <si>
    <t xml:space="preserve">   （四）安置残疾人员所支付的工资加计扣除</t>
    <phoneticPr fontId="37" type="noConversion"/>
  </si>
  <si>
    <t xml:space="preserve">   （五）其他</t>
    <phoneticPr fontId="37" type="noConversion"/>
  </si>
  <si>
    <t>合计（1+17+25）</t>
    <phoneticPr fontId="38" type="noConversion"/>
  </si>
  <si>
    <t>行次</t>
    <phoneticPr fontId="48" type="noConversion"/>
  </si>
  <si>
    <t>被投资企业</t>
    <phoneticPr fontId="48" type="noConversion"/>
  </si>
  <si>
    <t>投资性质</t>
    <phoneticPr fontId="48" type="noConversion"/>
  </si>
  <si>
    <t>投资成本</t>
    <phoneticPr fontId="48" type="noConversion"/>
  </si>
  <si>
    <t>投资比例</t>
    <phoneticPr fontId="48" type="noConversion"/>
  </si>
  <si>
    <t>被投资企业利润分配确认金额</t>
    <phoneticPr fontId="48" type="noConversion"/>
  </si>
  <si>
    <t>被投资企业清算确认金额</t>
    <phoneticPr fontId="48" type="noConversion"/>
  </si>
  <si>
    <t>撤回或减少投资确认金额</t>
    <phoneticPr fontId="48" type="noConversion"/>
  </si>
  <si>
    <t>合计</t>
    <phoneticPr fontId="48" type="noConversion"/>
  </si>
  <si>
    <r>
      <t>被投资企业做出利润分配</t>
    </r>
    <r>
      <rPr>
        <sz val="10"/>
        <rFont val="宋体"/>
        <family val="3"/>
        <charset val="134"/>
      </rPr>
      <t>或转股决定时间</t>
    </r>
    <phoneticPr fontId="48" type="noConversion"/>
  </si>
  <si>
    <r>
      <t>依</t>
    </r>
    <r>
      <rPr>
        <sz val="10"/>
        <rFont val="宋体"/>
        <family val="3"/>
        <charset val="134"/>
      </rPr>
      <t>决定归属于本公司的股息、红利等权益性投资收益金额</t>
    </r>
    <phoneticPr fontId="48" type="noConversion"/>
  </si>
  <si>
    <t>分得的被投资企业清算剩余资产</t>
    <phoneticPr fontId="48" type="noConversion"/>
  </si>
  <si>
    <t>被清算企业累计未分配利润和累计盈余公积应享有部分</t>
    <phoneticPr fontId="48" type="noConversion"/>
  </si>
  <si>
    <t>应确认的股息所得</t>
    <phoneticPr fontId="48" type="noConversion"/>
  </si>
  <si>
    <t>从被投资企业撤回或减少投资取得的资产</t>
    <phoneticPr fontId="48" type="noConversion"/>
  </si>
  <si>
    <t>减少投资比例</t>
    <phoneticPr fontId="48" type="noConversion"/>
  </si>
  <si>
    <t>收回初始投资成本</t>
    <phoneticPr fontId="48" type="noConversion"/>
  </si>
  <si>
    <t>取得资产中超过收回初始投资成本部分</t>
    <phoneticPr fontId="48" type="noConversion"/>
  </si>
  <si>
    <t>撤回或减少投资应享有被投资企业累计未分配利润和累计盈余公积</t>
    <phoneticPr fontId="48" type="noConversion"/>
  </si>
  <si>
    <t>被投资企业统一社会信用代码（纳税人识别号）</t>
    <phoneticPr fontId="46" type="noConversion"/>
  </si>
  <si>
    <t>10（8与9孰小)</t>
    <phoneticPr fontId="48" type="noConversion"/>
  </si>
  <si>
    <t>13（4×12）</t>
    <phoneticPr fontId="48" type="noConversion"/>
  </si>
  <si>
    <t>14（11-13）</t>
    <phoneticPr fontId="48" type="noConversion"/>
  </si>
  <si>
    <t>16(14与15孰小)</t>
    <phoneticPr fontId="48" type="noConversion"/>
  </si>
  <si>
    <t>17（7+10+16）</t>
    <phoneticPr fontId="48" type="noConversion"/>
  </si>
  <si>
    <t xml:space="preserve">      其中：股票投资—沪港通H股</t>
    <phoneticPr fontId="46" type="noConversion"/>
  </si>
  <si>
    <t xml:space="preserve">            股票投资—深港通H股</t>
    <phoneticPr fontId="46" type="noConversion"/>
  </si>
  <si>
    <t>基本信息</t>
  </si>
  <si>
    <t xml:space="preserve"> 科技型中小企业登记编号</t>
  </si>
  <si>
    <t>本年可享受研发费用加计扣除项目数量</t>
  </si>
  <si>
    <t>研发活动费用明细</t>
  </si>
  <si>
    <t>一、自主研发、合作研发、集中研发（4+8+17+20+24+35）</t>
  </si>
  <si>
    <t>（一）人员人工费用（5+6+7）</t>
  </si>
  <si>
    <t>1.直接从事研发活动人员工资薪金</t>
  </si>
  <si>
    <t>2.直接从事研发活动人员五险一金</t>
  </si>
  <si>
    <t>3.外聘研发人员的劳务费用</t>
  </si>
  <si>
    <t>（二）直接投入费用（9+10+…+16）</t>
  </si>
  <si>
    <t>1.研发活动直接消耗材料</t>
  </si>
  <si>
    <t>2.研发活动直接消耗燃料</t>
  </si>
  <si>
    <t>3.研发活动直接消耗动力费用</t>
  </si>
  <si>
    <t>4.用于中间试验和产品试制的模具、工艺装备开发及制造费</t>
  </si>
  <si>
    <t>5.用于不构成固定资产的样品、样机及一般测试手段购置费</t>
  </si>
  <si>
    <t>6.用于试制产品的检验费</t>
  </si>
  <si>
    <t>7.用于研发活动的仪器、设备的运行维护、调整、检验、维修等费用</t>
  </si>
  <si>
    <t>8.通过经营租赁方式租入的用于研发活动的仪器、设备租赁费</t>
  </si>
  <si>
    <t>（三）折旧费用（18+19）</t>
  </si>
  <si>
    <t>1.用于研发活动的仪器的折旧费</t>
  </si>
  <si>
    <t>2.用于研发活动的设备的折旧费</t>
  </si>
  <si>
    <t>（四）无形资产摊销（21+22+23）</t>
  </si>
  <si>
    <t>1.用于研发活动的软件的摊销费用</t>
  </si>
  <si>
    <t>2.用于研发活动的专利权的摊销费用</t>
  </si>
  <si>
    <t>3.用于研发活动的非专利技术（包括许可证、专有技术、设计和计算方法等）的摊销费用</t>
  </si>
  <si>
    <t>（五）新产品设计费等（25+26+27+28）</t>
  </si>
  <si>
    <t>1.新产品设计费</t>
  </si>
  <si>
    <t>2.新工艺规程制定费</t>
  </si>
  <si>
    <t>3.新药研制的临床试验费</t>
  </si>
  <si>
    <t>4.勘探开发技术的现场试验费</t>
  </si>
  <si>
    <t>（六）其他相关费用(30+31+32+33+34)</t>
  </si>
  <si>
    <t>1.技术图书资料费、资料翻译费、专家咨询费、高新科技研发保险费</t>
  </si>
  <si>
    <t>2.研发成果的检索、分析、评议、论证、鉴定、评审、评估、验收费用</t>
  </si>
  <si>
    <t>3.知识产权的申请费、注册费、代理费</t>
  </si>
  <si>
    <t>4.职工福利费、补充养老保险费、补充医疗保险费</t>
  </si>
  <si>
    <t>5.差旅费、会议费</t>
  </si>
  <si>
    <t>（七）经限额调整后的其他相关费用</t>
  </si>
  <si>
    <t>二、委托研发[(37-38)×80%]</t>
  </si>
  <si>
    <t>委托外部机构或个人进行研发活动所发生的费用</t>
  </si>
  <si>
    <t>其中：委托境外进行研发活动所发生的费用</t>
  </si>
  <si>
    <t>三、年度研发费用小计(3+36)</t>
  </si>
  <si>
    <t>（一）本年费用化金额</t>
  </si>
  <si>
    <t>（二）本年资本化金额</t>
  </si>
  <si>
    <t>四、本年形成无形资产摊销额</t>
  </si>
  <si>
    <t>五、以前年度形成无形资产本年摊销额</t>
  </si>
  <si>
    <t>六、允许扣除的研发费用合计（40+42+43）</t>
  </si>
  <si>
    <t>减：特殊收入部分</t>
  </si>
  <si>
    <t>七、允许扣除的研发费用抵减特殊收入后的金额(44-45)</t>
  </si>
  <si>
    <t>减：当年销售研发活动直接形成产品（包括组成部分）对应的材料部分</t>
  </si>
  <si>
    <t>减：以前年度销售研发活动直接形成产品（包括组成部分）对应材料部分结转金额</t>
  </si>
  <si>
    <t>八、加计扣除比例</t>
  </si>
  <si>
    <t>九、本年研发费用加计扣除总额（46-47-48）×49</t>
  </si>
  <si>
    <t>十、销售研发活动直接形成产品（包括组成部分）对应材料部分结转以后年度扣减金额（当46-47-48≥0，本行=0；当46-47-48&lt;0，本行=46-47-48的绝对值)</t>
  </si>
  <si>
    <t>项目收入</t>
    <phoneticPr fontId="48" type="noConversion"/>
  </si>
  <si>
    <t>项目成本</t>
    <phoneticPr fontId="48" type="noConversion"/>
  </si>
  <si>
    <t>相关税费</t>
    <phoneticPr fontId="48" type="noConversion"/>
  </si>
  <si>
    <t>应分摊期间费用</t>
    <phoneticPr fontId="48" type="noConversion"/>
  </si>
  <si>
    <t>纳税调整额</t>
    <phoneticPr fontId="48" type="noConversion"/>
  </si>
  <si>
    <t>项目所得额</t>
    <phoneticPr fontId="48" type="noConversion"/>
  </si>
  <si>
    <t>减免所得额</t>
    <phoneticPr fontId="48" type="noConversion"/>
  </si>
  <si>
    <t>减免项目</t>
    <phoneticPr fontId="48" type="noConversion"/>
  </si>
  <si>
    <t>项目名称</t>
    <phoneticPr fontId="48" type="noConversion"/>
  </si>
  <si>
    <t>优惠事项名称</t>
    <phoneticPr fontId="48" type="noConversion"/>
  </si>
  <si>
    <t>优惠方式</t>
    <phoneticPr fontId="48" type="noConversion"/>
  </si>
  <si>
    <t>免税项目</t>
    <phoneticPr fontId="46" type="noConversion"/>
  </si>
  <si>
    <t>减半项目</t>
    <phoneticPr fontId="46" type="noConversion"/>
  </si>
  <si>
    <t>11（9+10×50%）</t>
    <phoneticPr fontId="46" type="noConversion"/>
  </si>
  <si>
    <t>一、农、林、牧、渔业项目</t>
    <phoneticPr fontId="46" type="noConversion"/>
  </si>
  <si>
    <t>二、国家重点扶持的公共基础设施项目</t>
    <phoneticPr fontId="46" type="noConversion"/>
  </si>
  <si>
    <t>三、符合条件的环境保护、节能节水项目</t>
    <phoneticPr fontId="46" type="noConversion"/>
  </si>
  <si>
    <t>四、符合条件的技术转让项目</t>
    <phoneticPr fontId="46" type="noConversion"/>
  </si>
  <si>
    <t>五、实施清洁机制发展项目</t>
    <phoneticPr fontId="46" type="noConversion"/>
  </si>
  <si>
    <t>六、符合条件的节能服务公司实施合同能源管理项目</t>
    <phoneticPr fontId="46" type="noConversion"/>
  </si>
  <si>
    <t>七、其他</t>
    <phoneticPr fontId="46" type="noConversion"/>
  </si>
  <si>
    <t>合计</t>
    <phoneticPr fontId="46" type="noConversion"/>
  </si>
  <si>
    <t>小计</t>
  </si>
  <si>
    <t>合计金额</t>
  </si>
  <si>
    <t>投资于未上市中小高新技术企业</t>
  </si>
  <si>
    <t>投资于种子期、初创期科技型企业</t>
  </si>
  <si>
    <t>1=2+3</t>
  </si>
  <si>
    <t>一、创业投资企业直接投资按投资额一定比例抵扣应纳税所得额</t>
  </si>
  <si>
    <t>本年新增的符合条件的股权投资额</t>
  </si>
  <si>
    <t>税收规定的抵扣率</t>
  </si>
  <si>
    <t>本年新增的可抵扣的股权投资额（1×2）</t>
  </si>
  <si>
    <t>以前年度结转的尚未抵扣的股权投资余额</t>
  </si>
  <si>
    <t>本年可抵扣的股权投资额（3+4）</t>
  </si>
  <si>
    <t>本年可用于抵扣的应纳税所得额</t>
  </si>
  <si>
    <t>本年实际抵扣应纳税所得额</t>
  </si>
  <si>
    <t>结转以后年度抵扣的股权投资余额</t>
  </si>
  <si>
    <t>二、通过有限合伙制创业投资企业投资按一定比例抵扣分得的应纳税所得额</t>
  </si>
  <si>
    <t>本年从有限合伙创投企业应分得的应纳税所得额</t>
  </si>
  <si>
    <t>本年新增的可抵扣投资额</t>
  </si>
  <si>
    <t>以前年度结转的可抵扣投资额余额</t>
  </si>
  <si>
    <t>本年可抵扣投资额（10+11）</t>
  </si>
  <si>
    <t>本年实际抵扣应分得的应纳税所得额</t>
  </si>
  <si>
    <t>结转以后年度抵扣的投资额余额</t>
  </si>
  <si>
    <t>三、抵扣应纳税所得额合计</t>
  </si>
  <si>
    <t>合计（7+13）</t>
  </si>
  <si>
    <t>一、符合条件的小型微利企业减免企业所得税</t>
  </si>
  <si>
    <t>二、国家需要重点扶持的高新技术企业减按15%的税率征收企业所得税（填写A107041）</t>
  </si>
  <si>
    <t>三、经济特区和上海浦东新区新设立的高新技术企业在区内取得的所得定期减免企业所得税（填写A107041）</t>
  </si>
  <si>
    <t>四、受灾地区农村信用社免征企业所得税（4.1+4.2）</t>
  </si>
  <si>
    <t>五、动漫企业自主开发、生产动漫产品定期减免企业所得税</t>
  </si>
  <si>
    <t>六、线宽小于0.8微米（含）的集成电路生产企业减免企业所得税（填写A107042）</t>
  </si>
  <si>
    <t>七、线宽小于0.25微米的集成电路生产企业减按15%税率征收企业所得税（填写A107042）</t>
  </si>
  <si>
    <t>八、投资额超过80亿元的集成电路生产企业减按15%税率征收企业所得税（填写A107042）</t>
  </si>
  <si>
    <t>九、线宽小于0.25微米的集成电路生产企业减免企业所得税（填写A107042）</t>
  </si>
  <si>
    <t>十、投资额超过80亿元的集成电路生产企业减免企业所得税（填写A107042）</t>
  </si>
  <si>
    <t>十一、新办集成电路设计企业减免企业所得税（填写A107042）</t>
  </si>
  <si>
    <t>十二、国家规划布局内集成电路设计企业可减按10%的税率征收企业所得税（填写A107042）</t>
  </si>
  <si>
    <t>十三、符合条件的软件企业减免企业所得税（填写A107042）</t>
  </si>
  <si>
    <t>十四、国家规划布局内重点软件企业可减按10%的税率征收企业所得税（填写A107042）</t>
  </si>
  <si>
    <t>十五、符合条件的集成电路封装、测试企业定期减免企业所得税（填写A107042）</t>
  </si>
  <si>
    <t>十六、符合条件的集成电路关键专用材料生产企业、集成电路专用设备生产企业定期减免企业所得税（填写A107042）</t>
  </si>
  <si>
    <t>十七、经营性文化事业单位转制为企业的免征企业所得税</t>
  </si>
  <si>
    <t>十八、符合条件的生产和装配伤残人员专门用品企业免征企业所得税</t>
  </si>
  <si>
    <t>十九、技术先进型服务企业减按15%的税率征收企业所得税</t>
  </si>
  <si>
    <t>二十、服务贸易创新发展试点地区符合条件的技术先进型服务企业减按15%的税率征收企业所得税</t>
  </si>
  <si>
    <t>二十一、设在西部地区的鼓励类产业企业减按15%的税率征收企业所得税</t>
  </si>
  <si>
    <t>二十二、新疆困难地区新办企业定期减免企业所得税</t>
  </si>
  <si>
    <t>二十三、新疆喀什、霍尔果斯特殊经济开发区新办企业定期免征企业所得税</t>
  </si>
  <si>
    <t>二十四、广东横琴、福建平潭、深圳前海等地区的鼓励类产业企业减按15%税率征收企业所得税</t>
  </si>
  <si>
    <t>二十五、北京冬奥组委、北京冬奥会测试赛赛事组委会免征企业所得税</t>
  </si>
  <si>
    <t>二十六、享受过渡期税收优惠定期减免企业所得税</t>
  </si>
  <si>
    <t>二十七、其他</t>
  </si>
  <si>
    <t>二十八、减：项目所得额按法定税率减半征收企业所得税叠加享受减免税优惠</t>
  </si>
  <si>
    <t>二十九、支持和促进重点群体创业就业企业限额减征企业所得税(29.1+29.2)</t>
  </si>
  <si>
    <t>三十、扶持自主就业退役士兵创业就业企业限额减征企业所得税</t>
  </si>
  <si>
    <t>合计（1+2+…+26+27-28+29+30+31）</t>
  </si>
  <si>
    <t>三十一、民族自治地方的自治机关对本民族自治地方的企业应缴纳的企业所得税中属于地方分享的部分减征或免征（£免征     £减征:减征幅度____%  ）</t>
  </si>
  <si>
    <t xml:space="preserve">   （一）芦山受灾地区农村信用社免征企业所得税</t>
    <phoneticPr fontId="46" type="noConversion"/>
  </si>
  <si>
    <t xml:space="preserve">   （二）鲁甸受灾地区农村信用社免征企业所得税</t>
    <phoneticPr fontId="46" type="noConversion"/>
  </si>
  <si>
    <t xml:space="preserve">    （一）下岗失业人员再就业</t>
    <phoneticPr fontId="46" type="noConversion"/>
  </si>
  <si>
    <t xml:space="preserve">    （二）高校毕业生就业</t>
    <phoneticPr fontId="46" type="noConversion"/>
  </si>
  <si>
    <t>高新技术企业证书编号</t>
  </si>
  <si>
    <t>高新技术企业证书取得时间</t>
  </si>
  <si>
    <t>对企业主要产品（服务）发挥核心支持作用的技术所属范围</t>
  </si>
  <si>
    <t>国家重点支持的高新技术领域</t>
  </si>
  <si>
    <t>一级领域</t>
  </si>
  <si>
    <t>二级领域</t>
  </si>
  <si>
    <t>三级领域</t>
  </si>
  <si>
    <t>关键指标情况</t>
  </si>
  <si>
    <t>收入指标</t>
  </si>
  <si>
    <t>一、本年高新技术产品（服务）收入（5+6）</t>
  </si>
  <si>
    <t>其中：产品（服务）收入</t>
  </si>
  <si>
    <t>技术性收入</t>
  </si>
  <si>
    <t>二、本年企业总收入(8-9)</t>
  </si>
  <si>
    <t>其中：收入总额</t>
  </si>
  <si>
    <t>不征税收入</t>
  </si>
  <si>
    <t>三、本年高新技术产品（服务）收入占企业总收入的比例（4÷7）</t>
  </si>
  <si>
    <t>人员指标</t>
  </si>
  <si>
    <t>四、本年科技人员数</t>
  </si>
  <si>
    <t>五、本年职工总数</t>
  </si>
  <si>
    <t>六、本年科技人员占企业当年职工总数的比例（11÷12）</t>
  </si>
  <si>
    <t>研发费用指标</t>
  </si>
  <si>
    <t>高新研发费用归集年度</t>
  </si>
  <si>
    <t>七、归集的高新研发费用金额（16+25）</t>
  </si>
  <si>
    <t>（一）内部研究开发投入(17+…+22+24)</t>
  </si>
  <si>
    <t>1.人员人工费用</t>
  </si>
  <si>
    <t>2.直接投入费用</t>
  </si>
  <si>
    <t>3.折旧费用与长期待摊费用</t>
  </si>
  <si>
    <t>4.无形资产摊销费用</t>
  </si>
  <si>
    <t>5.设计费用</t>
  </si>
  <si>
    <t>6.装备调试费与实验费用</t>
  </si>
  <si>
    <t>7.其他费用</t>
  </si>
  <si>
    <t>其中：可计入研发费用的其他费用</t>
  </si>
  <si>
    <t>（二）委托外部研发费用[(26+28)×80%]</t>
  </si>
  <si>
    <t>1.境内的外部研发费</t>
  </si>
  <si>
    <t>2.境外的外部研发费</t>
  </si>
  <si>
    <t>其中：可计入研发费用的境外的外部研发费</t>
  </si>
  <si>
    <t>八、销售（营业）收入</t>
  </si>
  <si>
    <t>九、三年研发费用占销售（营业）收入的比例（15行4列÷29行4列）</t>
  </si>
  <si>
    <t>减免税额</t>
  </si>
  <si>
    <t>十、国家需要重点扶持的高新技术企业减征企业所得税</t>
  </si>
  <si>
    <t>十一、经济特区和上海浦东新区新设立的高新技术企业定期减免税额</t>
  </si>
  <si>
    <t>《科技部 财政部 国家税务总局关于修订印发〈高新技术企业认定管理办法〉的通知》（国科发火〔2016〕32号）</t>
  </si>
  <si>
    <t>《科学技术部 财政部 国家税务总局关于修订印发〈高新技术企业认定管理工作指引〉的通知》（国科发火〔2016〕195号）</t>
  </si>
  <si>
    <t>《国家税务总局关于实施高新技术企业所得税优惠政策有关问题的公告》（国家税务总局公告2017年第24号）</t>
  </si>
  <si>
    <t>行次</t>
    <phoneticPr fontId="3" type="noConversion"/>
  </si>
  <si>
    <t>企业类型及减免方式</t>
  </si>
  <si>
    <t>行号</t>
  </si>
  <si>
    <t>　企业类型</t>
  </si>
  <si>
    <t>减免方式</t>
  </si>
  <si>
    <t>一、集成电路生产企业</t>
  </si>
  <si>
    <t>（一）线宽小于0.8微米（含）</t>
  </si>
  <si>
    <t>（二）线宽小于0.25微米</t>
  </si>
  <si>
    <t>（三）投资额超过80亿元</t>
  </si>
  <si>
    <t>二、集成电路设计企业</t>
  </si>
  <si>
    <t>（一）新办符合条件</t>
  </si>
  <si>
    <t>四、集成电路封装测试企业</t>
  </si>
  <si>
    <t>获利年度/开始计算优惠期年度</t>
  </si>
  <si>
    <t>一、企业本年月平均职工总人数</t>
  </si>
  <si>
    <t xml:space="preserve">    其中：签订劳动合同关系且具有大学专科以上学历的职工人数</t>
  </si>
  <si>
    <t xml:space="preserve">          研究开发人员人数</t>
  </si>
  <si>
    <t>二、大学专科以上职工占企业本年月平均职工总人数的比例（12÷11）</t>
  </si>
  <si>
    <t>三、研究开发人员占企业本年月平均职工总人数的比例（13÷11）</t>
  </si>
  <si>
    <t>四、研发费用总额</t>
  </si>
  <si>
    <t xml:space="preserve">   其中：企业在中国境内发生的研发费用金额</t>
  </si>
  <si>
    <t>五、研发费用占销售（营业）收入的比例</t>
  </si>
  <si>
    <t>六、境内研发费用占研发费用总额的比例（17÷16）</t>
  </si>
  <si>
    <t>七、企业收入总额</t>
  </si>
  <si>
    <t>八、符合条件的销售（营业）收入</t>
  </si>
  <si>
    <t>九、符合条件的收入占收入总额的比例（21÷20）</t>
  </si>
  <si>
    <t>十、集成电路设计企业、软件企业填报</t>
  </si>
  <si>
    <t>（一）自主设计/开发销售（营业）收入</t>
  </si>
  <si>
    <t>（二）自主设计/开发收入占企业收入总额的比例（23÷20）</t>
  </si>
  <si>
    <t>十一、重点软件企业或重点集成电路设计企业符合“领域”的填报</t>
  </si>
  <si>
    <t>（一）适用的领域</t>
  </si>
  <si>
    <t>（二）选择备案领域的销售（营业）收入</t>
  </si>
  <si>
    <t>（三）领域内的销售收入占符合条件的销售收入的比例（26÷21）</t>
  </si>
  <si>
    <t>十二、重点软件企业符合“出口”的填报</t>
  </si>
  <si>
    <t>（一）年度软件出口收入总额（美元）</t>
  </si>
  <si>
    <t>（二）年度软件出口收入总额（人民币）</t>
  </si>
  <si>
    <t>（三）软件出口收入总额占本企业年度收入总额的比例（29÷20）</t>
  </si>
  <si>
    <t>十三、集成电路关键专用材料或专用设备生产企业填报</t>
  </si>
  <si>
    <t>产品适用目录</t>
  </si>
  <si>
    <t>《财政部 国家税务总局 发展改革委 工业和信息化部关于软件和集成电路产业企业所得税优惠政策有关问题的通知》（财税〔2016〕49号）</t>
  </si>
  <si>
    <t>《国家发展和改革委员会 工业和信息化部 财政部 国家税务总局关于印发国家规划布局内重点软件和集成电路设计领域的通知》（发改高技〔2016〕1056号）</t>
  </si>
  <si>
    <t>《财政部 国家税务总局 发展改革委 工业和信息化部关于进一步鼓励集成电路产业发展企业所得税政策的通知》（财税〔2015〕6号）</t>
  </si>
  <si>
    <t>本年
抵免前
应纳税额</t>
    <phoneticPr fontId="3" type="noConversion"/>
  </si>
  <si>
    <t>本年允许抵免的专用设备投资额</t>
    <phoneticPr fontId="3" type="noConversion"/>
  </si>
  <si>
    <t>本年
可抵免
税额</t>
    <phoneticPr fontId="3" type="noConversion"/>
  </si>
  <si>
    <t>以前年度已抵免额</t>
    <phoneticPr fontId="3" type="noConversion"/>
  </si>
  <si>
    <t>可结转以后年度抵免的税额</t>
    <phoneticPr fontId="3" type="noConversion"/>
  </si>
  <si>
    <t>前五年度</t>
    <phoneticPr fontId="3" type="noConversion"/>
  </si>
  <si>
    <t>小计</t>
    <phoneticPr fontId="3" type="noConversion"/>
  </si>
  <si>
    <t>4=3×10%</t>
    <phoneticPr fontId="3" type="noConversion"/>
  </si>
  <si>
    <t>10（5+6+7+8+9）</t>
    <phoneticPr fontId="3" type="noConversion"/>
  </si>
  <si>
    <r>
      <t>12（</t>
    </r>
    <r>
      <rPr>
        <sz val="10"/>
        <rFont val="宋体"/>
        <family val="3"/>
        <charset val="134"/>
      </rPr>
      <t>4-10-11）</t>
    </r>
  </si>
  <si>
    <t>*</t>
    <phoneticPr fontId="3" type="noConversion"/>
  </si>
  <si>
    <t>本年实际抵免税额合计</t>
    <phoneticPr fontId="3" type="noConversion"/>
  </si>
  <si>
    <t>可结转以后年度抵免的税额合计</t>
    <phoneticPr fontId="3" type="noConversion"/>
  </si>
  <si>
    <t>专用设备
投资情况</t>
    <phoneticPr fontId="3" type="noConversion"/>
  </si>
  <si>
    <t>本年允许抵免的环境保护专用设备投资额</t>
    <phoneticPr fontId="3" type="noConversion"/>
  </si>
  <si>
    <t>本年允许抵免节能节水的专用设备投资额</t>
    <phoneticPr fontId="3" type="noConversion"/>
  </si>
  <si>
    <t>本年允许抵免的安全生产专用设备投资额</t>
    <phoneticPr fontId="3" type="noConversion"/>
  </si>
  <si>
    <t>本年实际抵免的各年度税额</t>
  </si>
  <si>
    <t>《财政部 税务总局 国家发展改革委 工业和信息化部 环境保护部关于印发节能节水和环境保护专用设备企业所得税优惠目录（2017年版）的通知》（财税〔2017〕71号）</t>
  </si>
  <si>
    <t>国家
（地区）</t>
  </si>
  <si>
    <t>境外税前所得</t>
    <phoneticPr fontId="3" type="noConversion"/>
  </si>
  <si>
    <t>境外所得纳税调整后所得</t>
    <phoneticPr fontId="3" type="noConversion"/>
  </si>
  <si>
    <t>弥补境外以前年度亏损</t>
  </si>
  <si>
    <t>境外应纳税所得额</t>
  </si>
  <si>
    <t>抵减境内亏损</t>
    <phoneticPr fontId="3" type="noConversion"/>
  </si>
  <si>
    <t>抵减境内亏损后的境外应纳税所得额</t>
    <phoneticPr fontId="3" type="noConversion"/>
  </si>
  <si>
    <t>税率</t>
  </si>
  <si>
    <t>境外所得应纳税额</t>
    <phoneticPr fontId="3" type="noConversion"/>
  </si>
  <si>
    <t>境外所得可抵免税额</t>
  </si>
  <si>
    <t>境外所得抵免限额</t>
  </si>
  <si>
    <t>本年可抵免境外所得税额</t>
    <phoneticPr fontId="3" type="noConversion"/>
  </si>
  <si>
    <t>未超过境外所得税抵免限额的余额</t>
    <phoneticPr fontId="3" type="noConversion"/>
  </si>
  <si>
    <t>本年可抵免以前年度未抵免境外所得税额</t>
    <phoneticPr fontId="3" type="noConversion"/>
  </si>
  <si>
    <t>按简易办法计算</t>
    <phoneticPr fontId="3" type="noConversion"/>
  </si>
  <si>
    <t>境外所得抵免所得税额合计</t>
    <phoneticPr fontId="3" type="noConversion"/>
  </si>
  <si>
    <t>按12.5%计算的抵免额</t>
    <phoneticPr fontId="3" type="noConversion"/>
  </si>
  <si>
    <t>5（3-4）</t>
    <phoneticPr fontId="3" type="noConversion"/>
  </si>
  <si>
    <t>7（5-6）</t>
    <phoneticPr fontId="3" type="noConversion"/>
  </si>
  <si>
    <t>9（7×8）</t>
    <phoneticPr fontId="3" type="noConversion"/>
  </si>
  <si>
    <t>13（11-12）</t>
    <phoneticPr fontId="3" type="noConversion"/>
  </si>
  <si>
    <t>18（15+16+17）</t>
    <phoneticPr fontId="3" type="noConversion"/>
  </si>
  <si>
    <t>19（12+14+18）</t>
    <phoneticPr fontId="3" type="noConversion"/>
  </si>
  <si>
    <t>合计</t>
    <phoneticPr fontId="3" type="noConversion"/>
  </si>
  <si>
    <t>按25%计算的抵免额</t>
  </si>
  <si>
    <t>按低于12.5%的实际税率计算的抵免额</t>
  </si>
  <si>
    <t>《财政部 税务总局关于完善企业境外所得税收抵免政策问题的通知》（财税〔2017〕84号）</t>
  </si>
  <si>
    <t>境外所得可抵免的所得税额</t>
    <phoneticPr fontId="3" type="noConversion"/>
  </si>
  <si>
    <t>境外分支机构收入与支出纳税调整额</t>
    <phoneticPr fontId="3" type="noConversion"/>
  </si>
  <si>
    <t>境外所得对应调整的相关成本费用支出</t>
    <phoneticPr fontId="3" type="noConversion"/>
  </si>
  <si>
    <t>分支机构机构营业利润所得</t>
    <phoneticPr fontId="3" type="noConversion"/>
  </si>
  <si>
    <t>股息、红利等权益性投资所得</t>
    <phoneticPr fontId="3" type="noConversion"/>
  </si>
  <si>
    <t>利息所得</t>
    <phoneticPr fontId="3" type="noConversion"/>
  </si>
  <si>
    <t>租金所得</t>
    <phoneticPr fontId="3" type="noConversion"/>
  </si>
  <si>
    <t>特许权使用费所得</t>
    <phoneticPr fontId="3" type="noConversion"/>
  </si>
  <si>
    <t>财产转让所得</t>
    <phoneticPr fontId="3" type="noConversion"/>
  </si>
  <si>
    <t>其他所得</t>
    <phoneticPr fontId="3" type="noConversion"/>
  </si>
  <si>
    <t>直接缴纳的所得税额</t>
    <phoneticPr fontId="3" type="noConversion"/>
  </si>
  <si>
    <t>间接负担的所得税额</t>
    <phoneticPr fontId="3" type="noConversion"/>
  </si>
  <si>
    <t>享受税收饶让抵免税额</t>
    <phoneticPr fontId="3" type="noConversion"/>
  </si>
  <si>
    <t>9（2+3+4+5+6+7+8）</t>
    <phoneticPr fontId="3" type="noConversion"/>
  </si>
  <si>
    <t>13（10+11+12）</t>
    <phoneticPr fontId="3" type="noConversion"/>
  </si>
  <si>
    <t>14（9+10+11）</t>
    <phoneticPr fontId="3" type="noConversion"/>
  </si>
  <si>
    <t>18（14+15-16-17）</t>
    <phoneticPr fontId="3" type="noConversion"/>
  </si>
  <si>
    <t>境外税后所得</t>
  </si>
  <si>
    <t>境外分支机构调整分摊扣除的有关成本费用</t>
  </si>
  <si>
    <t>境外所得纳税调整后所得</t>
  </si>
  <si>
    <t>非实际亏损额的弥补</t>
  </si>
  <si>
    <t>实际亏损额的弥补</t>
  </si>
  <si>
    <t>以前年度结转尚未弥补的非实际亏损额</t>
  </si>
  <si>
    <t>本年发生的非实际亏损额</t>
  </si>
  <si>
    <t>本年弥补的以前年度非实际亏损额</t>
    <phoneticPr fontId="3" type="noConversion"/>
  </si>
  <si>
    <t>结转以后年度弥补的非实际亏损额</t>
  </si>
  <si>
    <t>以前年度结转尚未弥补的实际亏损额</t>
    <phoneticPr fontId="3" type="noConversion"/>
  </si>
  <si>
    <t>本年发生的实际亏损额</t>
  </si>
  <si>
    <t>本年弥补的以前年度实际亏损额</t>
    <phoneticPr fontId="3" type="noConversion"/>
  </si>
  <si>
    <t>结转以后年度弥补的实际亏损额</t>
  </si>
  <si>
    <t>前五年</t>
  </si>
  <si>
    <t>前四年</t>
  </si>
  <si>
    <t>前三年</t>
  </si>
  <si>
    <t>前二年</t>
  </si>
  <si>
    <t>前一年</t>
  </si>
  <si>
    <t>本年</t>
  </si>
  <si>
    <t>5（2+3-4）</t>
    <phoneticPr fontId="3" type="noConversion"/>
  </si>
  <si>
    <t>11（6+7+8+9+10）</t>
    <phoneticPr fontId="3" type="noConversion"/>
  </si>
  <si>
    <t>19（14+15+16+17+18）</t>
    <phoneticPr fontId="3" type="noConversion"/>
  </si>
  <si>
    <t>前五年境外所得已缴所得税未抵免余额</t>
  </si>
  <si>
    <t>本年实际抵免以前年度未抵免的境外已缴所得税额</t>
    <phoneticPr fontId="3" type="noConversion"/>
  </si>
  <si>
    <t>结转以后年度抵免的境外所得已缴所得税额</t>
  </si>
  <si>
    <t>7（2+3+4+5+6）</t>
    <phoneticPr fontId="3" type="noConversion"/>
  </si>
  <si>
    <t>13（8+9+10+11+12）</t>
    <phoneticPr fontId="3" type="noConversion"/>
  </si>
  <si>
    <t>14（3-9）</t>
    <phoneticPr fontId="3" type="noConversion"/>
  </si>
  <si>
    <t>15（4-10）</t>
    <phoneticPr fontId="3" type="noConversion"/>
  </si>
  <si>
    <t>16（5-11）</t>
    <phoneticPr fontId="3" type="noConversion"/>
  </si>
  <si>
    <t>17（6-12）</t>
    <phoneticPr fontId="3" type="noConversion"/>
  </si>
  <si>
    <t>项        目</t>
    <phoneticPr fontId="3" type="noConversion"/>
  </si>
  <si>
    <t>金    额</t>
    <phoneticPr fontId="3" type="noConversion"/>
  </si>
  <si>
    <t>一、总机构实际应纳所得税额</t>
    <phoneticPr fontId="3" type="noConversion"/>
  </si>
  <si>
    <t xml:space="preserve">   减：境外所得应纳所得税额</t>
    <phoneticPr fontId="3" type="noConversion"/>
  </si>
  <si>
    <t xml:space="preserve">   加：境外所得抵免所得税额</t>
    <phoneticPr fontId="3" type="noConversion"/>
  </si>
  <si>
    <t>二、总机构用于分摊的本年实际应纳所得税（1-2+3）</t>
    <phoneticPr fontId="3" type="noConversion"/>
  </si>
  <si>
    <t>三、本年累计已预分、已分摊所得税（6+7+8+9）</t>
    <phoneticPr fontId="3" type="noConversion"/>
  </si>
  <si>
    <t xml:space="preserve">   （一）总机构向其直接管理的建筑项目部所在地预分的所得税额</t>
    <phoneticPr fontId="3" type="noConversion"/>
  </si>
  <si>
    <t xml:space="preserve">   （二）总机构已分摊所得税额</t>
    <phoneticPr fontId="3" type="noConversion"/>
  </si>
  <si>
    <t xml:space="preserve">   （三）财政集中已分配所得税额</t>
    <phoneticPr fontId="3" type="noConversion"/>
  </si>
  <si>
    <t xml:space="preserve">   （四）总机构所属分支机构已分摊所得税额</t>
    <phoneticPr fontId="3" type="noConversion"/>
  </si>
  <si>
    <t xml:space="preserve">         其中：总机构主体生产经营部门已分摊所得税额</t>
    <phoneticPr fontId="3" type="noConversion"/>
  </si>
  <si>
    <t>四、总机构本年度应分摊的应补（退）的所得税（4-5）</t>
    <phoneticPr fontId="3" type="noConversion"/>
  </si>
  <si>
    <t xml:space="preserve">   （一）总机构分摊本年应补（退）的所得税额（11×25%）</t>
    <phoneticPr fontId="3" type="noConversion"/>
  </si>
  <si>
    <t xml:space="preserve">   （二）财政集中分配本年应补（退）的所得税额（11×25%）</t>
    <phoneticPr fontId="3" type="noConversion"/>
  </si>
  <si>
    <t xml:space="preserve">   （三）总机构所属分支机构分摊本年应补（退）的所得税额（11×50%）</t>
    <phoneticPr fontId="3" type="noConversion"/>
  </si>
  <si>
    <t xml:space="preserve">         其中：总机构主体生产经营部门分摊本年应补（退）的所得税额</t>
    <phoneticPr fontId="3" type="noConversion"/>
  </si>
  <si>
    <t>五、总机构境外所得抵免后的应纳所得税额（2-3）</t>
    <phoneticPr fontId="3" type="noConversion"/>
  </si>
  <si>
    <t>六、总机构本年应补（退）的所得税额（12+13+15+16）</t>
    <phoneticPr fontId="3" type="noConversion"/>
  </si>
  <si>
    <r>
      <t>总机构名称（盖章）</t>
    </r>
    <r>
      <rPr>
        <sz val="10"/>
        <rFont val="Times New Roman"/>
        <family val="1"/>
      </rPr>
      <t xml:space="preserve">:                                                                   </t>
    </r>
    <r>
      <rPr>
        <sz val="9"/>
        <rFont val="宋体"/>
        <family val="3"/>
        <charset val="134"/>
      </rPr>
      <t/>
    </r>
  </si>
  <si>
    <t>金额单位: 元（列至角分）</t>
    <phoneticPr fontId="3" type="noConversion"/>
  </si>
  <si>
    <t>应纳所得税额</t>
  </si>
  <si>
    <t>总机构分摊所得税额</t>
  </si>
  <si>
    <t xml:space="preserve"> 总机构财政集中分配所得税额</t>
  </si>
  <si>
    <t>分支机构分摊所得税额</t>
  </si>
  <si>
    <t>分支机构情况</t>
  </si>
  <si>
    <t>分支机构纳税人识别号</t>
  </si>
  <si>
    <t>分支机构名称</t>
  </si>
  <si>
    <t>三项因素</t>
  </si>
  <si>
    <t>分配
比例</t>
    <phoneticPr fontId="3" type="noConversion"/>
  </si>
  <si>
    <t>分配所得税额</t>
  </si>
  <si>
    <t>营业收入</t>
  </si>
  <si>
    <t>职工薪酬</t>
  </si>
  <si>
    <t>资产总额</t>
  </si>
  <si>
    <t>—</t>
  </si>
  <si>
    <t>总机构统一社会信用代码（纳税人识别号）：</t>
  </si>
  <si>
    <t xml:space="preserve">    符合条件的居民企业之间的股息、红利等权益性投资收益优惠明细表</t>
  </si>
  <si>
    <t>A101010 一般企业收入明细表</t>
  </si>
  <si>
    <t>返回主表（A100000）</t>
  </si>
  <si>
    <t>A101020   金融企业收入明细表</t>
  </si>
  <si>
    <t>A102010   一般企业成本支出明细表</t>
  </si>
  <si>
    <t>A102020    金融企业支出明细表</t>
  </si>
  <si>
    <t>A103000    事业单位、民间非营利组织收入、支出明细表</t>
  </si>
  <si>
    <t xml:space="preserve">   总机构主体生产经营部门分摊本年应补（退）所得税额(填写A109000)</t>
  </si>
  <si>
    <t>返回主表（A100000）</t>
    <phoneticPr fontId="4" type="noConversion"/>
  </si>
  <si>
    <t>A105000    纳税调整项目明细表</t>
    <phoneticPr fontId="4" type="noConversion"/>
  </si>
  <si>
    <r>
      <t xml:space="preserve">A104000   </t>
    </r>
    <r>
      <rPr>
        <b/>
        <sz val="14"/>
        <rFont val="宋体"/>
        <family val="3"/>
        <charset val="134"/>
      </rPr>
      <t xml:space="preserve"> </t>
    </r>
    <r>
      <rPr>
        <b/>
        <sz val="14"/>
        <rFont val="宋体"/>
        <family val="3"/>
        <charset val="134"/>
      </rPr>
      <t>期间费用明细表</t>
    </r>
    <phoneticPr fontId="1" type="noConversion"/>
  </si>
  <si>
    <t>返回主表（A100000）</t>
    <phoneticPr fontId="4" type="noConversion"/>
  </si>
  <si>
    <t>A105020    未按权责发生制确认收入纳税调整明细表</t>
    <phoneticPr fontId="4" type="noConversion"/>
  </si>
  <si>
    <t>A105030    投资收益纳税调整明细表</t>
    <phoneticPr fontId="1" type="noConversion"/>
  </si>
  <si>
    <r>
      <t xml:space="preserve">A105040   </t>
    </r>
    <r>
      <rPr>
        <b/>
        <sz val="14"/>
        <rFont val="宋体"/>
        <family val="3"/>
        <charset val="134"/>
      </rPr>
      <t xml:space="preserve"> </t>
    </r>
    <r>
      <rPr>
        <b/>
        <sz val="14"/>
        <rFont val="宋体"/>
        <family val="3"/>
        <charset val="134"/>
      </rPr>
      <t>专项用途财政性资金纳税调整明细表</t>
    </r>
    <phoneticPr fontId="4" type="noConversion"/>
  </si>
  <si>
    <t>返回主表（A100000）</t>
    <phoneticPr fontId="24" type="noConversion"/>
  </si>
  <si>
    <t>A105050    职工薪酬支出及纳税调整明细表</t>
    <phoneticPr fontId="24" type="noConversion"/>
  </si>
  <si>
    <t>A105060    广告费和业务宣传费跨年度纳税调整明细表</t>
    <phoneticPr fontId="24" type="noConversion"/>
  </si>
  <si>
    <t>A105070    捐赠支出及纳税调整明细表</t>
    <phoneticPr fontId="33" type="noConversion"/>
  </si>
  <si>
    <t xml:space="preserve">A105080    资产折旧、摊销情况及纳税调整明细表              </t>
    <phoneticPr fontId="24" type="noConversion"/>
  </si>
  <si>
    <t>返回主表（A100000）</t>
    <phoneticPr fontId="38" type="noConversion"/>
  </si>
  <si>
    <t>A105090    资产损失税前扣除及纳税调整明细表</t>
    <phoneticPr fontId="38" type="noConversion"/>
  </si>
  <si>
    <t>返回主表（A100000）</t>
    <phoneticPr fontId="38" type="noConversion"/>
  </si>
  <si>
    <t>A105100    企业重组及递延纳税事项调整明细表</t>
    <phoneticPr fontId="38" type="noConversion"/>
  </si>
  <si>
    <t>A105110   政策性搬迁纳税调整明细表</t>
    <phoneticPr fontId="38" type="noConversion"/>
  </si>
  <si>
    <t>A105120    特殊行业准备金及纳税调整明细表</t>
    <phoneticPr fontId="38" type="noConversion"/>
  </si>
  <si>
    <t>返回主表（A100000）</t>
    <phoneticPr fontId="38" type="noConversion"/>
  </si>
  <si>
    <t>A106000   企业所得税弥补亏损明细表</t>
    <phoneticPr fontId="38" type="noConversion"/>
  </si>
  <si>
    <t>返回主表（A100000）</t>
    <phoneticPr fontId="38" type="noConversion"/>
  </si>
  <si>
    <t>A107010    免税、减计收入及加计扣除优惠明细表</t>
    <phoneticPr fontId="38" type="noConversion"/>
  </si>
  <si>
    <t xml:space="preserve">返回主表（A100000） </t>
    <phoneticPr fontId="48" type="noConversion"/>
  </si>
  <si>
    <t>A107011    符合条件的居民企业之间的股息、红利等权益性投资收益优惠明细表</t>
    <phoneticPr fontId="48" type="noConversion"/>
  </si>
  <si>
    <t>A107012    研发费用加计扣除优惠明细表</t>
    <phoneticPr fontId="46" type="noConversion"/>
  </si>
  <si>
    <t>返回主表（A100000）</t>
    <phoneticPr fontId="48" type="noConversion"/>
  </si>
  <si>
    <t>A107020    所得减免优惠明细表</t>
    <phoneticPr fontId="48" type="noConversion"/>
  </si>
  <si>
    <t>A107030    抵扣应纳税所得额明细表</t>
    <phoneticPr fontId="46" type="noConversion"/>
  </si>
  <si>
    <t>A107040    减免所得税优惠明细表</t>
    <phoneticPr fontId="48" type="noConversion"/>
  </si>
  <si>
    <t>返回主表（A100000）</t>
    <phoneticPr fontId="46" type="noConversion"/>
  </si>
  <si>
    <t>A107041    高新技术企业优惠情况及明细表</t>
    <phoneticPr fontId="46" type="noConversion"/>
  </si>
  <si>
    <t>A107042    软件、集成电路企业优惠情况及明细表</t>
    <phoneticPr fontId="3" type="noConversion"/>
  </si>
  <si>
    <t>返回主表（A100000）</t>
    <phoneticPr fontId="61" type="noConversion"/>
  </si>
  <si>
    <t>A107050    税额抵免优惠明细表</t>
    <phoneticPr fontId="3" type="noConversion"/>
  </si>
  <si>
    <t>A108000    境外所得税收抵免明细表</t>
    <phoneticPr fontId="61" type="noConversion"/>
  </si>
  <si>
    <r>
      <t xml:space="preserve">A108010    </t>
    </r>
    <r>
      <rPr>
        <b/>
        <sz val="14"/>
        <rFont val="宋体"/>
        <family val="3"/>
        <charset val="134"/>
      </rPr>
      <t xml:space="preserve"> </t>
    </r>
    <r>
      <rPr>
        <b/>
        <sz val="14"/>
        <rFont val="宋体"/>
        <family val="3"/>
        <charset val="134"/>
      </rPr>
      <t>境外所得纳税调整后所得明细表</t>
    </r>
    <phoneticPr fontId="61" type="noConversion"/>
  </si>
  <si>
    <t>A108020    境外分支机构弥补亏损明细表</t>
    <phoneticPr fontId="3" type="noConversion"/>
  </si>
  <si>
    <t>A108030    跨年度结转抵免境外所得税明细表</t>
    <phoneticPr fontId="61" type="noConversion"/>
  </si>
  <si>
    <t>A109000    跨地区经营汇总纳税企业年度分摊企业所得税明细表</t>
    <phoneticPr fontId="3" type="noConversion"/>
  </si>
  <si>
    <t>A109010    企业所得税汇总纳税分支机构所得税分配表</t>
    <phoneticPr fontId="3" type="noConversion"/>
  </si>
  <si>
    <t>纳税人名称（盖章）：</t>
    <phoneticPr fontId="63" type="noConversion"/>
  </si>
  <si>
    <t>纳税人识别号：</t>
    <phoneticPr fontId="63" type="noConversion"/>
  </si>
  <si>
    <r>
      <t xml:space="preserve">20XX  </t>
    </r>
    <r>
      <rPr>
        <b/>
        <sz val="10"/>
        <rFont val="宋体"/>
        <family val="3"/>
        <charset val="134"/>
      </rPr>
      <t>年度</t>
    </r>
  </si>
  <si>
    <t>金额单位：元(列至角分）</t>
    <phoneticPr fontId="63" type="noConversion"/>
  </si>
  <si>
    <t>序号</t>
    <phoneticPr fontId="63" type="noConversion"/>
  </si>
  <si>
    <t>项目</t>
    <phoneticPr fontId="63" type="noConversion"/>
  </si>
  <si>
    <t>发生额</t>
    <phoneticPr fontId="63" type="noConversion"/>
  </si>
  <si>
    <t>一、人员人工费用小计</t>
    <phoneticPr fontId="63" type="noConversion"/>
  </si>
  <si>
    <t>直接从事研发活动人员</t>
    <phoneticPr fontId="63" type="noConversion"/>
  </si>
  <si>
    <t>工资薪金</t>
    <phoneticPr fontId="63" type="noConversion"/>
  </si>
  <si>
    <t>五险一金</t>
    <phoneticPr fontId="63" type="noConversion"/>
  </si>
  <si>
    <t>外聘研发人员的劳务费用</t>
    <phoneticPr fontId="63" type="noConversion"/>
  </si>
  <si>
    <t>二、直接投入费用小计</t>
    <phoneticPr fontId="63" type="noConversion"/>
  </si>
  <si>
    <t>研发活动直接消耗</t>
    <phoneticPr fontId="63" type="noConversion"/>
  </si>
  <si>
    <t>材料</t>
    <phoneticPr fontId="63" type="noConversion"/>
  </si>
  <si>
    <t>燃料</t>
    <phoneticPr fontId="63" type="noConversion"/>
  </si>
  <si>
    <t>动力费用</t>
    <phoneticPr fontId="63" type="noConversion"/>
  </si>
  <si>
    <t>用于中间试验和产品试制的模具、工艺装备开发及制造费</t>
    <phoneticPr fontId="63" type="noConversion"/>
  </si>
  <si>
    <t>用于不构成固定资产的样品、样机及一般测试手段购置费</t>
    <phoneticPr fontId="63" type="noConversion"/>
  </si>
  <si>
    <t>用于试制产品的检验费</t>
  </si>
  <si>
    <t>用于研发活动的仪器、设备的运行维护、调整、检验、维修等费用</t>
    <phoneticPr fontId="63" type="noConversion"/>
  </si>
  <si>
    <t>通过经营租赁方式租入的用于研发活动的仪器、设备租赁费</t>
    <phoneticPr fontId="63" type="noConversion"/>
  </si>
  <si>
    <t>三、折旧费用小计</t>
  </si>
  <si>
    <t>用于研发活动的仪器的折旧费</t>
    <phoneticPr fontId="63" type="noConversion"/>
  </si>
  <si>
    <t>用于研发活动的设备的折旧费</t>
    <phoneticPr fontId="63" type="noConversion"/>
  </si>
  <si>
    <t>四、无形资产摊销小计</t>
    <phoneticPr fontId="63" type="noConversion"/>
  </si>
  <si>
    <t>用于研发活动的软件的摊销费用</t>
    <phoneticPr fontId="63" type="noConversion"/>
  </si>
  <si>
    <t>用于研发活动的专利权的摊销费用</t>
    <phoneticPr fontId="63" type="noConversion"/>
  </si>
  <si>
    <t>用于研发活动的非专利技术（包括许可证、专有技术、设计和计算方法等）的摊销费用</t>
    <phoneticPr fontId="63" type="noConversion"/>
  </si>
  <si>
    <t>五、新产品设计费等小计</t>
    <phoneticPr fontId="63" type="noConversion"/>
  </si>
  <si>
    <t>新产品设计费</t>
    <phoneticPr fontId="63" type="noConversion"/>
  </si>
  <si>
    <t>新工艺规程制定费</t>
    <phoneticPr fontId="63" type="noConversion"/>
  </si>
  <si>
    <t>新药研制的临床试验费</t>
    <phoneticPr fontId="63" type="noConversion"/>
  </si>
  <si>
    <t>勘探开发技术的现场试验费</t>
    <phoneticPr fontId="63" type="noConversion"/>
  </si>
  <si>
    <t>六、其他相关费用小计</t>
    <phoneticPr fontId="63" type="noConversion"/>
  </si>
  <si>
    <t>…</t>
    <phoneticPr fontId="63" type="noConversion"/>
  </si>
  <si>
    <t>七、委托外部机构或个人进行研发活动所发生的费用</t>
    <phoneticPr fontId="63" type="noConversion"/>
  </si>
  <si>
    <t>其中：委托境外进行研发活动所发生的费用（包括存在关联关系的委托研发）</t>
    <phoneticPr fontId="63" type="noConversion"/>
  </si>
  <si>
    <t>八、允许加计扣除的研发费用中的第1至5类费用合计（1+2+3+4+5）</t>
    <phoneticPr fontId="63" type="noConversion"/>
  </si>
  <si>
    <t>其他相关费用限额=序号8×10％/(1-10％)</t>
    <phoneticPr fontId="63" type="noConversion"/>
  </si>
  <si>
    <t>九、当期费用化支出可加计扣除总额</t>
    <phoneticPr fontId="63" type="noConversion"/>
  </si>
  <si>
    <t>十、研发项目形成无形资产当期摊销额</t>
    <phoneticPr fontId="63" type="noConversion"/>
  </si>
  <si>
    <t>其中：准予加计扣除的摊销额</t>
  </si>
  <si>
    <t>十一、当期实际加计扣除总额（9+10.1）×50％</t>
    <phoneticPr fontId="63" type="noConversion"/>
  </si>
  <si>
    <t>填表说明：</t>
  </si>
  <si>
    <t>1.本表在企业所得税汇算清缴时随申报表一并报送；</t>
  </si>
  <si>
    <t>2.本表应当按照“研发支出”辅助账汇总表填报；</t>
  </si>
  <si>
    <t>“研发支出”辅助账汇总表</t>
  </si>
  <si>
    <t>20XX 年度</t>
    <phoneticPr fontId="63" type="noConversion"/>
  </si>
  <si>
    <t>金额单位：元（列至角分）</t>
    <phoneticPr fontId="63" type="noConversion"/>
  </si>
  <si>
    <t>项目名称</t>
    <phoneticPr fontId="63" type="noConversion"/>
  </si>
  <si>
    <t>项目编号</t>
    <phoneticPr fontId="63" type="noConversion"/>
  </si>
  <si>
    <t>研发形式</t>
    <phoneticPr fontId="63" type="noConversion"/>
  </si>
  <si>
    <t>资本化、费用化支出选项</t>
    <phoneticPr fontId="63" type="noConversion"/>
  </si>
  <si>
    <t>项目实施状态选项</t>
    <phoneticPr fontId="63" type="noConversion"/>
  </si>
  <si>
    <t>委托方与受托方是否存在关联关系选项</t>
    <phoneticPr fontId="63" type="noConversion"/>
  </si>
  <si>
    <t>是否委托境外选项</t>
    <phoneticPr fontId="63" type="noConversion"/>
  </si>
  <si>
    <t>研发成果</t>
    <phoneticPr fontId="63" type="noConversion"/>
  </si>
  <si>
    <t>研发成果证书号</t>
    <phoneticPr fontId="63" type="noConversion"/>
  </si>
  <si>
    <t>一、人员人工费用</t>
    <phoneticPr fontId="63" type="noConversion"/>
  </si>
  <si>
    <t>二、直接投入费用</t>
    <phoneticPr fontId="63" type="noConversion"/>
  </si>
  <si>
    <t>三、折旧费用</t>
    <phoneticPr fontId="63" type="noConversion"/>
  </si>
  <si>
    <t>四、无形资产摊销</t>
    <phoneticPr fontId="63" type="noConversion"/>
  </si>
  <si>
    <t>五、新产品设计费等</t>
    <phoneticPr fontId="63" type="noConversion"/>
  </si>
  <si>
    <t>六、其他相关费用</t>
    <phoneticPr fontId="63" type="noConversion"/>
  </si>
  <si>
    <t>当期资本化可加计扣除的研发费用率</t>
    <phoneticPr fontId="63" type="noConversion"/>
  </si>
  <si>
    <t>用于试制产品的检验费</t>
    <phoneticPr fontId="63" type="noConversion"/>
  </si>
  <si>
    <t>行次、序号</t>
    <phoneticPr fontId="63" type="noConversion"/>
  </si>
  <si>
    <t>1.1</t>
    <phoneticPr fontId="63" type="noConversion"/>
  </si>
  <si>
    <t>1.2</t>
    <phoneticPr fontId="63" type="noConversion"/>
  </si>
  <si>
    <r>
      <t>1.3</t>
    </r>
    <r>
      <rPr>
        <sz val="11"/>
        <color indexed="8"/>
        <rFont val="宋体"/>
        <family val="3"/>
        <charset val="134"/>
      </rPr>
      <t/>
    </r>
  </si>
  <si>
    <t>2.1</t>
    <phoneticPr fontId="63" type="noConversion"/>
  </si>
  <si>
    <t>2.2</t>
    <phoneticPr fontId="63" type="noConversion"/>
  </si>
  <si>
    <t>2.3</t>
  </si>
  <si>
    <t>2.4</t>
  </si>
  <si>
    <t>2.5</t>
  </si>
  <si>
    <t>2.6</t>
  </si>
  <si>
    <t>2.7</t>
  </si>
  <si>
    <t>2.8</t>
  </si>
  <si>
    <t>3.1</t>
    <phoneticPr fontId="63" type="noConversion"/>
  </si>
  <si>
    <t>3.2</t>
    <phoneticPr fontId="63" type="noConversion"/>
  </si>
  <si>
    <t>4.1</t>
    <phoneticPr fontId="63" type="noConversion"/>
  </si>
  <si>
    <t>4.2</t>
    <phoneticPr fontId="63" type="noConversion"/>
  </si>
  <si>
    <t>4.3</t>
    <phoneticPr fontId="63" type="noConversion"/>
  </si>
  <si>
    <t>5.1</t>
    <phoneticPr fontId="63" type="noConversion"/>
  </si>
  <si>
    <t>5.2</t>
    <phoneticPr fontId="63" type="noConversion"/>
  </si>
  <si>
    <t>5.3</t>
  </si>
  <si>
    <t>5.4</t>
  </si>
  <si>
    <t>6.1</t>
    <phoneticPr fontId="63" type="noConversion"/>
  </si>
  <si>
    <t>6.2</t>
    <phoneticPr fontId="63" type="noConversion"/>
  </si>
  <si>
    <t>6.3</t>
  </si>
  <si>
    <t>期初余额</t>
    <phoneticPr fontId="63" type="noConversion"/>
  </si>
  <si>
    <t>本期借方发生额</t>
    <phoneticPr fontId="63" type="noConversion"/>
  </si>
  <si>
    <t>本期贷方发生额</t>
    <phoneticPr fontId="63" type="noConversion"/>
  </si>
  <si>
    <t>其中：结转管理费用</t>
    <phoneticPr fontId="63" type="noConversion"/>
  </si>
  <si>
    <t>结转无形资产</t>
    <phoneticPr fontId="63" type="noConversion"/>
  </si>
  <si>
    <t>期末余额</t>
    <phoneticPr fontId="63" type="noConversion"/>
  </si>
  <si>
    <t>项目明细
（填写项目贷方发生额）</t>
    <phoneticPr fontId="63" type="noConversion"/>
  </si>
  <si>
    <t>…</t>
    <phoneticPr fontId="67" type="noConversion"/>
  </si>
  <si>
    <t>法定代表人（签章）：</t>
    <phoneticPr fontId="63" type="noConversion"/>
  </si>
  <si>
    <t>财务负责人：</t>
    <phoneticPr fontId="63" type="noConversion"/>
  </si>
  <si>
    <t>填报说明：</t>
  </si>
  <si>
    <t>1.本表属于年度财务会计报告附注之一，应当随同年度财务会计报告一并报送主管税务机关；</t>
  </si>
  <si>
    <t>2.本表是根据所有上年未完成及本年新设置的项目的“研发支出”辅助账汇总填报；</t>
  </si>
  <si>
    <t>基础信息表</t>
    <phoneticPr fontId="4" type="noConversion"/>
  </si>
  <si>
    <t>*</t>
    <phoneticPr fontId="1" type="noConversion"/>
  </si>
  <si>
    <t>通过经营租赁方式租入的用于研发活动的仪器、设备租赁费</t>
    <phoneticPr fontId="63" type="noConversion"/>
  </si>
  <si>
    <t>研发项目可加计扣除研究开发费用情况归集表</t>
    <phoneticPr fontId="61" type="noConversion"/>
  </si>
  <si>
    <t>一、收入类调整项目（2+3+4+5+6+7+8+10+11）</t>
    <phoneticPr fontId="4" type="noConversion"/>
  </si>
  <si>
    <t>二、扣除类调整项目
    （13+14+15+16+17+18+19+20+21+22+23+24+26+27+28+29+30）</t>
    <phoneticPr fontId="4" type="noConversion"/>
  </si>
  <si>
    <t>　   （三）业务招待费支出</t>
    <phoneticPr fontId="4" type="noConversion"/>
  </si>
  <si>
    <t xml:space="preserve">    （十五）境外所得分摊的共同支出</t>
    <phoneticPr fontId="4" type="noConversion"/>
  </si>
  <si>
    <t>三、资产类调整项目（32+33+34+35）</t>
    <phoneticPr fontId="4" type="noConversion"/>
  </si>
  <si>
    <t xml:space="preserve">     （二）资产减值准备金</t>
    <phoneticPr fontId="4" type="noConversion"/>
  </si>
  <si>
    <t>四、特殊事项调整项目（37+38+39+40+41+42）</t>
    <phoneticPr fontId="4" type="noConversion"/>
  </si>
  <si>
    <t>合计（1+12+31+36+43+44）</t>
    <phoneticPr fontId="4" type="noConversion"/>
  </si>
  <si>
    <t>销售货物收入[¶30-255]-[¶30-278]</t>
    <phoneticPr fontId="80" type="noConversion"/>
  </si>
  <si>
    <t>非货币性资产交换[¶30-368]</t>
    <phoneticPr fontId="80" type="noConversion"/>
  </si>
  <si>
    <t>提供劳务收入[¶30-280]-[¶30-294]</t>
    <phoneticPr fontId="80" type="noConversion"/>
  </si>
  <si>
    <t xml:space="preserve">建造合同的会计处理与税务处理[¶30-399] </t>
    <phoneticPr fontId="80" type="noConversion"/>
  </si>
  <si>
    <t>租金收入[¶30-330]-[¶30-332]</t>
    <phoneticPr fontId="80" type="noConversion"/>
  </si>
  <si>
    <t>其他收入[¶30-360]-[¶30-362]</t>
    <phoneticPr fontId="80" type="noConversion"/>
  </si>
  <si>
    <t xml:space="preserve">销售商品收入[¶30-392] </t>
    <phoneticPr fontId="80" type="noConversion"/>
  </si>
  <si>
    <t>非货币性资产交换[¶30-368]</t>
    <phoneticPr fontId="80" type="noConversion"/>
  </si>
  <si>
    <t>租金收入[¶30-330]-[¶30-332]</t>
    <phoneticPr fontId="80" type="noConversion"/>
  </si>
  <si>
    <t>其他收入[¶30-360]-[¶30-362]</t>
    <phoneticPr fontId="80" type="noConversion"/>
  </si>
  <si>
    <t>处置资产收入的确认[¶30-380]-[¶30-382]</t>
    <phoneticPr fontId="80" type="noConversion"/>
  </si>
  <si>
    <t>盘盈收入[¶10-430]</t>
    <phoneticPr fontId="80" type="noConversion"/>
  </si>
  <si>
    <t>接受捐赠收入[¶30-350]-[¶30-352]</t>
    <phoneticPr fontId="80" type="noConversion"/>
  </si>
  <si>
    <t>其他收入[¶30-360]-[¶30-362]</t>
    <phoneticPr fontId="80" type="noConversion"/>
  </si>
  <si>
    <t xml:space="preserve">销售成本[¶30-531] </t>
    <phoneticPr fontId="80" type="noConversion"/>
  </si>
  <si>
    <t xml:space="preserve">非货币性资产交换[¶30-368] </t>
    <phoneticPr fontId="80" type="noConversion"/>
  </si>
  <si>
    <t xml:space="preserve">业务支出[¶30-533] </t>
    <phoneticPr fontId="80" type="noConversion"/>
  </si>
  <si>
    <t xml:space="preserve">建造合同的会计处理与税务处理[¶30-399] </t>
    <phoneticPr fontId="80" type="noConversion"/>
  </si>
  <si>
    <t xml:space="preserve">让渡资产使用权收入的会计处理与税务处理[¶30-396] </t>
    <phoneticPr fontId="80" type="noConversion"/>
  </si>
  <si>
    <t xml:space="preserve">其他耗费[¶30-534] </t>
    <phoneticPr fontId="80" type="noConversion"/>
  </si>
  <si>
    <t xml:space="preserve">税法与会计的成本概念比较[¶30-537] </t>
    <phoneticPr fontId="80" type="noConversion"/>
  </si>
  <si>
    <t xml:space="preserve">资产的处置[¶30-692] </t>
    <phoneticPr fontId="80" type="noConversion"/>
  </si>
  <si>
    <t xml:space="preserve">非货币性资产交换[¶30-368] </t>
    <phoneticPr fontId="80" type="noConversion"/>
  </si>
  <si>
    <t xml:space="preserve">债务重组的所得税处理[¶100-750] </t>
    <phoneticPr fontId="80" type="noConversion"/>
  </si>
  <si>
    <t xml:space="preserve">自然灾害等不可抗力因素造成的损失[¶30-5648] </t>
    <phoneticPr fontId="80" type="noConversion"/>
  </si>
  <si>
    <t>公益性捐赠支出[¶30-6580]</t>
    <phoneticPr fontId="80" type="noConversion"/>
  </si>
  <si>
    <t xml:space="preserve">不得扣除的项目[¶30-580] </t>
    <phoneticPr fontId="80" type="noConversion"/>
  </si>
  <si>
    <t xml:space="preserve">坏账[¶30-5614] </t>
    <phoneticPr fontId="80" type="noConversion"/>
  </si>
  <si>
    <t xml:space="preserve">债权投资损失[¶30-5650] </t>
    <phoneticPr fontId="80" type="noConversion"/>
  </si>
  <si>
    <t xml:space="preserve">其他支出的扣除范围[¶30-570] </t>
    <phoneticPr fontId="80" type="noConversion"/>
  </si>
  <si>
    <t xml:space="preserve">工资薪金[¶30-600] </t>
    <phoneticPr fontId="80" type="noConversion"/>
  </si>
  <si>
    <t xml:space="preserve">管理费用[¶30-542] </t>
    <phoneticPr fontId="80" type="noConversion"/>
  </si>
  <si>
    <t xml:space="preserve">业务招待费[¶30-625] </t>
    <phoneticPr fontId="80" type="noConversion"/>
  </si>
  <si>
    <t>广告费和业务宣传费[¶30-630]</t>
    <phoneticPr fontId="80" type="noConversion"/>
  </si>
  <si>
    <t xml:space="preserve">企业手续费及佣金支出[¶30-661] </t>
    <phoneticPr fontId="80" type="noConversion"/>
  </si>
  <si>
    <t>损失[¶30-5601]-[¶30-5690]</t>
    <phoneticPr fontId="80" type="noConversion"/>
  </si>
  <si>
    <t xml:space="preserve">销售费用[¶30-541] </t>
    <phoneticPr fontId="80" type="noConversion"/>
  </si>
  <si>
    <t>与技术有关的特许权使用费[¶80-625]</t>
    <phoneticPr fontId="80" type="noConversion"/>
  </si>
  <si>
    <t>企业研发费用加计扣除[¶60-320]-[¶60-339]</t>
    <phoneticPr fontId="80" type="noConversion"/>
  </si>
  <si>
    <t>税金[¶30-550]-[¶30-554]</t>
    <phoneticPr fontId="80" type="noConversion"/>
  </si>
  <si>
    <t xml:space="preserve">借款费用[¶30-610] </t>
    <phoneticPr fontId="80" type="noConversion"/>
  </si>
  <si>
    <t xml:space="preserve">汇兑损失[¶30-615] </t>
    <phoneticPr fontId="80" type="noConversion"/>
  </si>
  <si>
    <t xml:space="preserve">财务费用[¶30-543] </t>
    <phoneticPr fontId="80" type="noConversion"/>
  </si>
  <si>
    <t>费用[¶30-540]-[¶30-544]</t>
    <phoneticPr fontId="80" type="noConversion"/>
  </si>
  <si>
    <t xml:space="preserve">将货物、财产、劳务用于捐赠、偿债、赞助、集资、广告、样品、职工福利或利润分配[¶30-369] </t>
    <phoneticPr fontId="80" type="noConversion"/>
  </si>
  <si>
    <t>投资资产[¶30-755]-[¶30-768]</t>
    <phoneticPr fontId="80" type="noConversion"/>
  </si>
  <si>
    <t xml:space="preserve">与会计准则的差异[¶30-768] </t>
    <phoneticPr fontId="80" type="noConversion"/>
  </si>
  <si>
    <t>资产的计税基础[¶30-686]</t>
    <phoneticPr fontId="80" type="noConversion"/>
  </si>
  <si>
    <t>不征税收入[¶30-400]-[¶30-425]</t>
    <phoneticPr fontId="80" type="noConversion"/>
  </si>
  <si>
    <t xml:space="preserve">财政性资金[¶30-422] </t>
    <phoneticPr fontId="80" type="noConversion"/>
  </si>
  <si>
    <t xml:space="preserve">销售商品收入[¶30-392] </t>
    <phoneticPr fontId="80" type="noConversion"/>
  </si>
  <si>
    <t xml:space="preserve">将货物、财产、劳务用于捐赠、偿债、赞助、集资、广告、样品、职工福利或利润分配[¶30-369] </t>
    <phoneticPr fontId="80" type="noConversion"/>
  </si>
  <si>
    <t xml:space="preserve">工资薪金[¶30-600] </t>
    <phoneticPr fontId="80" type="noConversion"/>
  </si>
  <si>
    <t xml:space="preserve">业务招待费[¶30-625] </t>
    <phoneticPr fontId="80" type="noConversion"/>
  </si>
  <si>
    <t xml:space="preserve">广告费和业务宣传费[¶30-630] </t>
    <phoneticPr fontId="80" type="noConversion"/>
  </si>
  <si>
    <t xml:space="preserve">公益性捐赠支出[¶30-6580]-[¶30-6600] </t>
    <phoneticPr fontId="80" type="noConversion"/>
  </si>
  <si>
    <t xml:space="preserve">借款费用[¶30-610] </t>
    <phoneticPr fontId="80" type="noConversion"/>
  </si>
  <si>
    <t xml:space="preserve">企业手续费及佣金支出[¶30-661] </t>
    <phoneticPr fontId="80" type="noConversion"/>
  </si>
  <si>
    <t xml:space="preserve">不征税收入用于支出所形成的费用[¶30-668] </t>
    <phoneticPr fontId="80" type="noConversion"/>
  </si>
  <si>
    <t>资产的税务处理[¶30-680]-[¶30-694]</t>
    <phoneticPr fontId="80" type="noConversion"/>
  </si>
  <si>
    <t>企业重组[¶100-850]-[¶100-930]</t>
    <phoneticPr fontId="80" type="noConversion"/>
  </si>
  <si>
    <t>企业政策性搬迁[¶100-530]-[¶100-537]</t>
    <phoneticPr fontId="80" type="noConversion"/>
  </si>
  <si>
    <t>准备金支出[¶30-637]</t>
    <phoneticPr fontId="80" type="noConversion"/>
  </si>
  <si>
    <t>房地产业[¶100-100]-[¶100-336]</t>
    <phoneticPr fontId="80" type="noConversion"/>
  </si>
  <si>
    <t xml:space="preserve">非货币性资产交换[¶30-368] </t>
    <phoneticPr fontId="80" type="noConversion"/>
  </si>
  <si>
    <t xml:space="preserve">将货物、财产、劳务用于捐赠、偿债、赞助、集资、广告、样品、职工福利或利润分配[¶30-369] </t>
    <phoneticPr fontId="80" type="noConversion"/>
  </si>
  <si>
    <t>新税法下房地产开发经营业务企业所得税处理[¶100-200]-[¶100-336]</t>
    <phoneticPr fontId="80" type="noConversion"/>
  </si>
  <si>
    <t xml:space="preserve">销售未完工开发产品的收入确认[¶100-228] </t>
    <phoneticPr fontId="80" type="noConversion"/>
  </si>
  <si>
    <t xml:space="preserve">销售未完工开发产品的收入确认[¶100-228] </t>
    <phoneticPr fontId="80" type="noConversion"/>
  </si>
  <si>
    <t xml:space="preserve">营业税金及附加[¶100-254] </t>
    <phoneticPr fontId="80" type="noConversion"/>
  </si>
  <si>
    <t xml:space="preserve">土地增值税[¶100-256] </t>
    <phoneticPr fontId="80" type="noConversion"/>
  </si>
  <si>
    <t>利息收入[¶30-320]-[¶30-324]</t>
    <phoneticPr fontId="80" type="noConversion"/>
  </si>
  <si>
    <t>特许权使用费收入[¶30-340]-[¶30-342]</t>
    <phoneticPr fontId="80" type="noConversion"/>
  </si>
  <si>
    <t xml:space="preserve">分期收款[¶30-267] </t>
    <phoneticPr fontId="80" type="noConversion"/>
  </si>
  <si>
    <t xml:space="preserve">提供劳务收入的会计处理与税务处理[¶30-394] </t>
    <phoneticPr fontId="80" type="noConversion"/>
  </si>
  <si>
    <t>《国家税务总局关于贯彻落实企业所得税法若干税收问题的通知》（国税函〔2010〕79号）</t>
    <phoneticPr fontId="80" type="noConversion"/>
  </si>
  <si>
    <t>《国家税务总局关于确认企业所得税收入若干问题的通知》（国税函〔2008〕875号）</t>
    <phoneticPr fontId="80" type="noConversion"/>
  </si>
  <si>
    <t>实务指南：</t>
    <phoneticPr fontId="80" type="noConversion"/>
  </si>
  <si>
    <t xml:space="preserve"> 《中国税务合规实务指南—所得税》 投资资产[¶30-755]-[¶30-768]</t>
    <phoneticPr fontId="80" type="noConversion"/>
  </si>
  <si>
    <t>相关法规：</t>
    <phoneticPr fontId="80" type="noConversion"/>
  </si>
  <si>
    <t>《国家税务总局关于贯彻落实企业所得税法若干税收问题的通知》（国税函〔2010〕79号）</t>
    <phoneticPr fontId="80" type="noConversion"/>
  </si>
  <si>
    <t>实务指南：</t>
    <phoneticPr fontId="80" type="noConversion"/>
  </si>
  <si>
    <t xml:space="preserve"> 《中国税务合规实务指南—所得税》  广告费和业务宣传费[¶30-630] </t>
    <phoneticPr fontId="80" type="noConversion"/>
  </si>
  <si>
    <t>相关法规：</t>
    <phoneticPr fontId="80" type="noConversion"/>
  </si>
  <si>
    <t>《财政部、国家税务总局关于专项用途财政性资金企业所得税处理问题的通知》（财税〔2011〕70号）</t>
    <phoneticPr fontId="80" type="noConversion"/>
  </si>
  <si>
    <t>相关法规：</t>
    <phoneticPr fontId="80" type="noConversion"/>
  </si>
  <si>
    <t>《国家税务总局关于企业工资薪金及职工福利费扣除问题的通知》（国税函〔2009〕3号）</t>
    <phoneticPr fontId="80" type="noConversion"/>
  </si>
  <si>
    <t>《财政部、国家税务总局关于扶持动漫产业发展有关税收政策问题的通知》（财税〔2009〕65号）</t>
    <phoneticPr fontId="80" type="noConversion"/>
  </si>
  <si>
    <t>《财政部、国家税务总局、商务部、科技部、国家发展改革委关于完善技术先进型服务企业有关企业所得税政策问题的通知》（财税(2014)59号）</t>
    <phoneticPr fontId="80" type="noConversion"/>
  </si>
  <si>
    <t>《财政部、国家税务总局关于进一步鼓励软件产业和集成电路产业发展企业所得税政策的通知》（财税〔2012〕27号）</t>
    <phoneticPr fontId="80" type="noConversion"/>
  </si>
  <si>
    <t>《国家税务总局关于企业工资薪金和职工福利费等支出税前扣除问题的公告》（国家税务总局公告2015年第34号）</t>
    <phoneticPr fontId="80" type="noConversion"/>
  </si>
  <si>
    <t>《财政部 国家税务总局关于高新技术企业职工教育经费税前扣除政策的通知》（财税〔2015〕63号）</t>
    <phoneticPr fontId="80" type="noConversion"/>
  </si>
  <si>
    <t xml:space="preserve">工会经费、职工福利费、职工教育经费[¶30-620] </t>
    <phoneticPr fontId="80" type="noConversion"/>
  </si>
  <si>
    <t xml:space="preserve">社会保险费和住房公积金[¶30-605] </t>
    <phoneticPr fontId="80" type="noConversion"/>
  </si>
  <si>
    <t xml:space="preserve">商业保险费[¶30-607] </t>
    <phoneticPr fontId="80" type="noConversion"/>
  </si>
  <si>
    <r>
      <rPr>
        <sz val="10"/>
        <color indexed="8"/>
        <rFont val="宋体"/>
        <family val="3"/>
        <charset val="134"/>
      </rPr>
      <t xml:space="preserve"> 《中国税务合规实务指南—所得税》  </t>
    </r>
    <r>
      <rPr>
        <u/>
        <sz val="10"/>
        <color indexed="12"/>
        <rFont val="宋体"/>
        <family val="3"/>
        <charset val="134"/>
      </rPr>
      <t xml:space="preserve">广告费和业务宣传费[¶30-630] </t>
    </r>
    <phoneticPr fontId="80" type="noConversion"/>
  </si>
  <si>
    <t>《财政部、国家税务总局关于广告费和业务宣传费支出税前扣除政策的通知》（财税〔2012〕48号）</t>
    <phoneticPr fontId="80" type="noConversion"/>
  </si>
  <si>
    <r>
      <rPr>
        <sz val="10"/>
        <color indexed="8"/>
        <rFont val="宋体"/>
        <family val="3"/>
        <charset val="134"/>
      </rPr>
      <t xml:space="preserve"> 《中国税务合规实务指南—所得税》  </t>
    </r>
    <r>
      <rPr>
        <u/>
        <sz val="10"/>
        <color indexed="12"/>
        <rFont val="宋体"/>
        <family val="3"/>
        <charset val="134"/>
      </rPr>
      <t>固定资产[¶30-710]-[¶30-723]</t>
    </r>
    <phoneticPr fontId="80" type="noConversion"/>
  </si>
  <si>
    <t>《财政部、国家税务总局关于公益性捐赠税前扣除有关问题的通知》（财税〔2008〕160号）</t>
    <phoneticPr fontId="80" type="noConversion"/>
  </si>
  <si>
    <t>《国家税务总局关于企业固定资产加速折旧所得税处理有关问题的通知》（国税发〔2009〕81号）</t>
    <phoneticPr fontId="80" type="noConversion"/>
  </si>
  <si>
    <t>《国家税务总局关于融资性售后回租业务中承租方出售资产行为有关税收问题的公告》（国家税务总局公告2010年第13号）</t>
    <phoneticPr fontId="80" type="noConversion"/>
  </si>
  <si>
    <t>《国家税务总局关于企业所得税若干问题的公告》（国家税务总局公告2011年第34号）</t>
    <phoneticPr fontId="80" type="noConversion"/>
  </si>
  <si>
    <t>《国家税务总局关于发布〈企业所得税政策性搬迁所得税管理办法〉的公告》（国家税务总局公告2012年第40号）</t>
    <phoneticPr fontId="80" type="noConversion"/>
  </si>
  <si>
    <t>《国家税务总局关于企业所得税应纳税所得额若干问题的公告》（国家税务总局公告2014年第29号）</t>
    <phoneticPr fontId="80" type="noConversion"/>
  </si>
  <si>
    <t>《财政部 国家税务总局关于完善固定资产加速折旧税收政策有关问题的通知》（财税〔2014〕75号）</t>
    <phoneticPr fontId="80" type="noConversion"/>
  </si>
  <si>
    <t>《财政部 国家税务总局关于进一步完善固定资产加速折旧企业所得税政策的通知》（财税〔2015〕106号）</t>
    <phoneticPr fontId="80" type="noConversion"/>
  </si>
  <si>
    <t>《国家税务总局关于全民所有制企业公司制改制企业所得税处理问题的公告》（国家税务总局公告2017年第34号）</t>
    <phoneticPr fontId="80" type="noConversion"/>
  </si>
  <si>
    <t>《财政部、国家税务总局关于企业资产损失税前扣除政策的通知》（财税〔2009〕57号）</t>
    <phoneticPr fontId="80" type="noConversion"/>
  </si>
  <si>
    <t>《国家税务总局关于发布〈企业资产损失所得税税前扣除管理办法〉的公告》（国家税务总局公告2011年第25号）</t>
    <phoneticPr fontId="80" type="noConversion"/>
  </si>
  <si>
    <t>《国家税务总局关于企业因国务院决定事项形成的资产损失税前扣除问题的公告》（国家税务总局公告2014年第18号）</t>
    <phoneticPr fontId="80" type="noConversion"/>
  </si>
  <si>
    <t>《财政部、国家税务总局关于企业重组业务企业所得税处理若干问题的通知》（财税〔2009〕59号）</t>
    <phoneticPr fontId="80" type="noConversion"/>
  </si>
  <si>
    <t>《国家税务总局关于发布〈企业重组业务企业所得税管理办法〉的公告》（国家税务总局公告2010年第4号）</t>
    <phoneticPr fontId="80" type="noConversion"/>
  </si>
  <si>
    <t>《财政部、国家税务总局关于中国（上海）自由贸易试验区内企业以非货币性资产对外投资等资产重组行为有关企业所得税政策问题的通知》（财税〔2013〕91号）</t>
    <phoneticPr fontId="80" type="noConversion"/>
  </si>
  <si>
    <t>《财政部 国家税务总局关于非货币性资产投资企业所得税政策问题的通知》（财税〔2014〕116号）</t>
    <phoneticPr fontId="80" type="noConversion"/>
  </si>
  <si>
    <t>《财政部 国家税务总局关于促进企业重组有关企业所得税处理问题的通知》（财税〔2014〕109号）</t>
    <phoneticPr fontId="80" type="noConversion"/>
  </si>
  <si>
    <t>《国家税务总局关于非货币性资产投资企业所得税有关征管问题的公告》（国家税务总局公告2015年第33号）</t>
    <phoneticPr fontId="80" type="noConversion"/>
  </si>
  <si>
    <t>《国家税务总局关于资产（股权）划转企业所得税征管问题的公告》（国家税务总局公告2015年第40号）</t>
    <phoneticPr fontId="80" type="noConversion"/>
  </si>
  <si>
    <t>《国家税务总局关于企业重组业务企业所得税征收管理若干问题的公告》（国家税务总局公告2015年第48号）</t>
    <phoneticPr fontId="80" type="noConversion"/>
  </si>
  <si>
    <t>《财政部 国家税务总局关于完善股权激励和技术入股有关所得税政策的通知》（财税〔2016〕101号）</t>
    <phoneticPr fontId="80" type="noConversion"/>
  </si>
  <si>
    <t>《国家税务总局关于股权激励和技术入股所得税征管问题的公告》（国家税务总局公告2016年第62号）</t>
    <phoneticPr fontId="80" type="noConversion"/>
  </si>
  <si>
    <r>
      <rPr>
        <sz val="10"/>
        <color indexed="8"/>
        <rFont val="宋体"/>
        <family val="3"/>
        <charset val="134"/>
      </rPr>
      <t xml:space="preserve">《中国税务合规实务指南—所得税》  </t>
    </r>
    <r>
      <rPr>
        <u/>
        <sz val="10"/>
        <color indexed="12"/>
        <rFont val="宋体"/>
        <family val="3"/>
        <charset val="134"/>
      </rPr>
      <t>企业政策性搬迁[¶100-530]-[¶100-537]</t>
    </r>
    <phoneticPr fontId="80" type="noConversion"/>
  </si>
  <si>
    <t>《国家税务总局关于发布〈企业政策性搬迁所得税管理办法〉的公告》（国家税务总局公告2012年第40号）</t>
    <phoneticPr fontId="80" type="noConversion"/>
  </si>
  <si>
    <t>《国家税务总局关于企业政策性搬迁所得税有关问题的公告》（国家税务总局公告2013年第11号）</t>
    <phoneticPr fontId="80" type="noConversion"/>
  </si>
  <si>
    <t>《关于证券行业准备金支出企业所得税税前扣除有关政策问题的通知》（ 财税〔2017〕23号）</t>
    <phoneticPr fontId="80" type="noConversion"/>
  </si>
  <si>
    <t>《关于中小企业融资（信用）担保机构有关准备金企业所得税税前扣除政策的通知》（财税〔2017〕22号）</t>
    <phoneticPr fontId="80" type="noConversion"/>
  </si>
  <si>
    <t>《关于小额贷款公司有关税收政策的通知》（ 财税〔2017〕48号）</t>
    <phoneticPr fontId="80" type="noConversion"/>
  </si>
  <si>
    <t>《关于保险公司准备金支出企业所得税税前扣除有关政策问题的通知》（财税[2016]114号）</t>
    <phoneticPr fontId="80" type="noConversion"/>
  </si>
  <si>
    <t>《关于金融企业贷款损失准备金企业所得税税前扣除有关政策的通知》（财税[2015]9号）</t>
    <phoneticPr fontId="80" type="noConversion"/>
  </si>
  <si>
    <t>相关实务指南：</t>
    <phoneticPr fontId="80" type="noConversion"/>
  </si>
  <si>
    <r>
      <rPr>
        <sz val="10"/>
        <color indexed="8"/>
        <rFont val="宋体"/>
        <family val="3"/>
        <charset val="134"/>
      </rPr>
      <t xml:space="preserve">《中国税务合规实务指南—所得税》  </t>
    </r>
    <r>
      <rPr>
        <u/>
        <sz val="10"/>
        <color indexed="12"/>
        <rFont val="宋体"/>
        <family val="3"/>
        <charset val="134"/>
      </rPr>
      <t>亏损的结转弥补[¶30-820]-[¶30-840]</t>
    </r>
    <phoneticPr fontId="80" type="noConversion"/>
  </si>
  <si>
    <t>《国家税务总局关于企业国债投资业务企业所得税处理问题的公告》（国家税务总局公告2011年第36号）</t>
    <phoneticPr fontId="80" type="noConversion"/>
  </si>
  <si>
    <t>《财政部、国家税务总局关于非营利组织企业所得税免税收入问题的通知》（财税〔2009〕122号）</t>
    <phoneticPr fontId="80" type="noConversion"/>
  </si>
  <si>
    <t>《财政部、国家税务总局关于非营利组织免税资格认定管理有关问题的通知》（财税〔2014〕13号）</t>
    <phoneticPr fontId="80" type="noConversion"/>
  </si>
  <si>
    <t>《财政部、国家税务总局关于中国清洁发展机制基金及清洁发展机制项目实施企业有关企业所得税政策问题的通知》（财税〔2009〕30号）</t>
    <phoneticPr fontId="80" type="noConversion"/>
  </si>
  <si>
    <t>《财政部、国家税务总局关于企业所得税若干优惠政策的通知》（财税〔2008〕1号）</t>
    <phoneticPr fontId="80" type="noConversion"/>
  </si>
  <si>
    <t>《财政部、国家税务总局关于地方政府债券利息所得免征所得税问题的通知》（财税〔2011〕76号）</t>
    <phoneticPr fontId="80" type="noConversion"/>
  </si>
  <si>
    <t>《财政部、国家税务总局关于地方政府债券利息免征所得税问题的通知》（财税〔2013〕5号）</t>
    <phoneticPr fontId="80" type="noConversion"/>
  </si>
  <si>
    <t>《财政部、海关总署、国家税务总局关于支持芦山地震灾后恢复重建有关税收政策问题的通知》（财税〔2013〕58号）</t>
    <phoneticPr fontId="80" type="noConversion"/>
  </si>
  <si>
    <t>《财政部、国家税务总局关于期货投资者保障基金有关税收政策继续执行的通知》（财税〔2013〕80号）</t>
    <phoneticPr fontId="80" type="noConversion"/>
  </si>
  <si>
    <t>《财政部、国家税务总局关于保险保障基金有关税收政策继续执行的通知》（财税〔2013〕81号）</t>
    <phoneticPr fontId="80" type="noConversion"/>
  </si>
  <si>
    <t>《保险保障基金管理办法》</t>
    <phoneticPr fontId="80" type="noConversion"/>
  </si>
  <si>
    <t>《财政部、国家税务总局关于铁路建设债券利息收入企业所得税政策的通知》（财税〔2011〕99号）</t>
    <phoneticPr fontId="80" type="noConversion"/>
  </si>
  <si>
    <t>《财政部、国家税务总局关于2014 2015年铁路建设债券利息收入企业所得税政策的通知》（财税〔2014〕2号）</t>
    <phoneticPr fontId="80" type="noConversion"/>
  </si>
  <si>
    <t>《财政部、国家税务总局关于安置残疾人员就业有关企业所得税优惠政策问题的通知》（财税〔2009〕70号）</t>
    <phoneticPr fontId="80" type="noConversion"/>
  </si>
  <si>
    <r>
      <rPr>
        <sz val="10"/>
        <color indexed="8"/>
        <rFont val="宋体"/>
        <family val="3"/>
        <charset val="134"/>
      </rPr>
      <t>《中国税务合规实务指南—所得税》</t>
    </r>
    <r>
      <rPr>
        <u/>
        <sz val="10"/>
        <color indexed="12"/>
        <rFont val="宋体"/>
        <family val="3"/>
        <charset val="134"/>
      </rPr>
      <t xml:space="preserve">  符合条件的居民企业之间的股息、红利所得[¶60-170] </t>
    </r>
    <phoneticPr fontId="80" type="noConversion"/>
  </si>
  <si>
    <t>《财政部、国家税务总局关于企业清算业务企业所得税处理若干问题的通知》（财税〔2009〕60号）</t>
    <phoneticPr fontId="80" type="noConversion"/>
  </si>
  <si>
    <t>《财政部、国家税务总局关于执行企业所得税优惠政策若干问题的通知》（财税〔2009〕69号）</t>
    <phoneticPr fontId="80" type="noConversion"/>
  </si>
  <si>
    <t>《财政部 国家税务总局 证监会关于沪港股票市场交易互联互通机制试点有关税收政策的通知》（财税〔2014〕81号）</t>
    <phoneticPr fontId="80" type="noConversion"/>
  </si>
  <si>
    <t>《财政部 国家税务总局 证监会关于深港股票市场交易互联互通机制试点有关税收政策的通知》（财税〔2016〕127号）</t>
    <phoneticPr fontId="80" type="noConversion"/>
  </si>
  <si>
    <r>
      <rPr>
        <sz val="10"/>
        <color indexed="8"/>
        <rFont val="宋体"/>
        <family val="3"/>
        <charset val="134"/>
      </rPr>
      <t>《中国税务合规实务指南—所得税》</t>
    </r>
    <r>
      <rPr>
        <sz val="10"/>
        <color indexed="12"/>
        <rFont val="宋体"/>
        <family val="3"/>
        <charset val="134"/>
      </rPr>
      <t xml:space="preserve">   </t>
    </r>
    <r>
      <rPr>
        <u/>
        <sz val="10"/>
        <color indexed="12"/>
        <rFont val="宋体"/>
        <family val="3"/>
        <charset val="134"/>
      </rPr>
      <t>企业研发费用加计扣除[¶60-320]-[¶60-339]</t>
    </r>
    <phoneticPr fontId="80" type="noConversion"/>
  </si>
  <si>
    <t>《财政部 国家税务总局 科技部关于完善研究开发费用税前加计扣除政策的通知》（财税〔2015〕119号）</t>
    <phoneticPr fontId="80" type="noConversion"/>
  </si>
  <si>
    <t>《国家税务总局关于企业研究开发费用税前加计扣除政策有关问题的公告》（国家税务总局公告2015年第97号）</t>
    <phoneticPr fontId="80" type="noConversion"/>
  </si>
  <si>
    <t>《财政部 税务总局 科技部关于提高科技型中小企业研究开发费用税前加计扣除比例的通知》（财税〔2017〕34号）</t>
    <phoneticPr fontId="80" type="noConversion"/>
  </si>
  <si>
    <t>《科技部 财政部 国家税务总局关于印发〈科技型中小企业评价办法〉的通知》（国科发政〔2017〕115号）</t>
    <phoneticPr fontId="80" type="noConversion"/>
  </si>
  <si>
    <t>《国家税务总局关于提高科技型中小企业研究开发费用税前加计扣除比例有关问题的公告》（国家税务总局公告2017年第18号）</t>
    <phoneticPr fontId="80" type="noConversion"/>
  </si>
  <si>
    <t>《国家税务总局关于研发费用税前加计扣除归集范围有关问题的公告》（国家税务总局公告2017年第40号）</t>
    <phoneticPr fontId="80" type="noConversion"/>
  </si>
  <si>
    <t>一、农、林、牧、渔业项目</t>
    <phoneticPr fontId="80" type="noConversion"/>
  </si>
  <si>
    <t>《财政部 国家税务总局关于发布享受企业所得税优惠政策的农产品初加工范围（试行）的通知》（财税〔2008〕149号）</t>
    <phoneticPr fontId="80" type="noConversion"/>
  </si>
  <si>
    <t>《国家税务总局关于黑龙江垦区国有农场土地承包费缴纳企业所得税问题的批复》（国税函〔2009〕779号）</t>
    <phoneticPr fontId="80" type="noConversion"/>
  </si>
  <si>
    <t>《国家税务总局关于“公司＋农户”经营模式企业所得税优惠问题的公告》（国家税务总局公告2010年第2号）</t>
    <phoneticPr fontId="80" type="noConversion"/>
  </si>
  <si>
    <t>《财政部 国家税务总局关于享受企业所得税优惠的农产品初加工有关范围的补充通知》（财税〔2011〕26号）</t>
    <phoneticPr fontId="80" type="noConversion"/>
  </si>
  <si>
    <t>《国家税务总局关于实施农林牧渔业项目企业所得税优惠问题的公告》（国家税务总局公告2011年第48号）</t>
    <phoneticPr fontId="80" type="noConversion"/>
  </si>
  <si>
    <t>二、国家重点扶持的公共基础设施项目</t>
    <phoneticPr fontId="80" type="noConversion"/>
  </si>
  <si>
    <t>《财政部 国家税务总局关于执行公共基础设施项目企业所得税优惠目录有关问题的通知》（财税〔2008〕46号）</t>
    <phoneticPr fontId="80" type="noConversion"/>
  </si>
  <si>
    <t>《财政部 国家税务总局 国家发展改革委关于公布公共基础设施项目企业所得税优惠目录(2008年版)的通知》（财税〔2008〕116号）</t>
    <phoneticPr fontId="80" type="noConversion"/>
  </si>
  <si>
    <t>《国家税务总局关于实施国家重点扶持的公共基础设施项目企业所得税优惠问题的通知》（国税发〔2009〕80号）</t>
    <phoneticPr fontId="80" type="noConversion"/>
  </si>
  <si>
    <t>《财政部 国家税务总局关于公共基础设施项目和环境保护 节能节水项目企业所得税优惠政策问题的通知》（财税〔2012〕10号）</t>
    <phoneticPr fontId="80" type="noConversion"/>
  </si>
  <si>
    <t>《财政部 国家税务总局关于支持农村饮水安全工程建设运营税收政策的通知》（财税〔2012〕30号）第五条</t>
    <phoneticPr fontId="80" type="noConversion"/>
  </si>
  <si>
    <t>《国家税务总局关于电网企业电网新建项目享受所得税优惠政策问题的公告》（国家税务总局公告2013年第26号）</t>
    <phoneticPr fontId="80" type="noConversion"/>
  </si>
  <si>
    <t>《财政部 国家税务总局关于公共基础设施项目享受企业所得税优惠政策问题的补充通知》（财税〔2014〕55号）</t>
    <phoneticPr fontId="80" type="noConversion"/>
  </si>
  <si>
    <t>三、符合条件的环境保护、节能节水项目</t>
    <phoneticPr fontId="80" type="noConversion"/>
  </si>
  <si>
    <t>《财政部 国家税务总局 国家发展改革委关于公布环境保护节能节水项目企业所得税优惠目录（试行）的通知》（财税〔2009〕166号）</t>
    <phoneticPr fontId="80" type="noConversion"/>
  </si>
  <si>
    <t>《财政部 国家税务总局关于公共基础设施项目和环境保护 节能节水项目企业所得税优惠政策问题的通知》（财税〔2012〕10号）</t>
    <phoneticPr fontId="80" type="noConversion"/>
  </si>
  <si>
    <t>四、符合条件的技术转让项目</t>
    <phoneticPr fontId="80" type="noConversion"/>
  </si>
  <si>
    <t>《国家税务总局关于技术转让所得减免企业所得税有关问题的通知》（国税函〔2009〕212号）</t>
    <phoneticPr fontId="80" type="noConversion"/>
  </si>
  <si>
    <t>《财政部 国家税务总局关于居民企业技术转让有关企业所得税政策问题的通知》（财税〔2010〕111号）</t>
    <phoneticPr fontId="80" type="noConversion"/>
  </si>
  <si>
    <t>《国家税务总局关于技术转让所得减免企业所得税有关问题的公告》（国家税务总局公告2013年第62号）</t>
    <phoneticPr fontId="80" type="noConversion"/>
  </si>
  <si>
    <t>《国家税务总局关于许可使用权技术转让所得企业所得税有关问题的公告》（国家税务总局公告2015年第82号）</t>
    <phoneticPr fontId="80" type="noConversion"/>
  </si>
  <si>
    <t>五、实施清洁机制发展项目</t>
    <phoneticPr fontId="80" type="noConversion"/>
  </si>
  <si>
    <t>《财政部 国家税务总局关于中国清洁发展机制基金及清洁发展机制项目实施企业有关企业所得税政策问题的通知》（财税〔2009〕30号）</t>
    <phoneticPr fontId="80" type="noConversion"/>
  </si>
  <si>
    <t>六、符合条件的节能服务公司实施合同能源管理项目</t>
    <phoneticPr fontId="80" type="noConversion"/>
  </si>
  <si>
    <t>《财政部 国家税务总局关于促进节能服务产业发展增值税营业税和企业所得税政策问题的通知》（财税〔2010〕110号）</t>
    <phoneticPr fontId="80" type="noConversion"/>
  </si>
  <si>
    <t>《国家税务总局 国家发展改革委关于落实节能服务企业合同能源管理项目企业所得税优惠政策有关征收管理问题的公告》（国家税务总局 国家发展改革委公告2013年第77号）</t>
    <phoneticPr fontId="80" type="noConversion"/>
  </si>
  <si>
    <r>
      <rPr>
        <sz val="10"/>
        <color indexed="8"/>
        <rFont val="宋体"/>
        <family val="3"/>
        <charset val="134"/>
      </rPr>
      <t xml:space="preserve">《中国税务合规实务指南—所得税》  </t>
    </r>
    <r>
      <rPr>
        <u/>
        <sz val="10"/>
        <color indexed="12"/>
        <rFont val="宋体"/>
        <family val="3"/>
        <charset val="134"/>
      </rPr>
      <t>创业投资企业[¶60-440]-[¶60-446]</t>
    </r>
    <phoneticPr fontId="80" type="noConversion"/>
  </si>
  <si>
    <t>《国家税务总局关于实施创业投资企业所得税优惠问题的通知》（国税发〔2009〕87号）</t>
    <phoneticPr fontId="80" type="noConversion"/>
  </si>
  <si>
    <t>《财政部、国家税务总局关于执行企业所得税优惠政策若干问题的通知》（财税〔2009〕69号）</t>
    <phoneticPr fontId="80" type="noConversion"/>
  </si>
  <si>
    <t>《财政部、国家税务总局关于将国家自主创新示范区有关税收试点政策推广到全国范围实施的通知》（财税〔2015〕116号）</t>
    <phoneticPr fontId="80" type="noConversion"/>
  </si>
  <si>
    <t>《国家税务总局关于有限合伙制创业投资企业法人合伙人企业所得税有关问题的公告》（国家税务总局公告2015年第81号）</t>
    <phoneticPr fontId="80" type="noConversion"/>
  </si>
  <si>
    <t>《财政部 税务总局关于创业投资企业和天使投资个人有关税收试点政策的通知》（财税〔2017〕38号）</t>
    <phoneticPr fontId="80" type="noConversion"/>
  </si>
  <si>
    <t>《国家税务总局关于创业投资企业和天使投资个人税收试点政策有关问题的公告》（国家税务总局公告2017年第20号）</t>
    <phoneticPr fontId="80" type="noConversion"/>
  </si>
  <si>
    <t>一、符合条件的小型微利企业减免所得税：</t>
    <phoneticPr fontId="80" type="noConversion"/>
  </si>
  <si>
    <t>《财政部 国家税务总局关于扩大小型微利企业所得税优惠政策范围的通知》（财税〔2017〕43号）</t>
    <phoneticPr fontId="80" type="noConversion"/>
  </si>
  <si>
    <t>《国家税务总局关于贯彻落实扩大小型微利企业所得税优惠政策范围有关征管问题的公告》（国家税务总局公告2017年第23号）</t>
    <phoneticPr fontId="80" type="noConversion"/>
  </si>
  <si>
    <t>三、经济特区和上海浦东新区新设立的高新技术企业在区内取得的所得定期减免企业所得税：</t>
    <phoneticPr fontId="80" type="noConversion"/>
  </si>
  <si>
    <t>《国务院关于经济特区和上海浦东新区新设立高新技术企业实行过渡性税收优惠的通知》（国发〔2007〕40号）</t>
    <phoneticPr fontId="80" type="noConversion"/>
  </si>
  <si>
    <t>《财政部 国家税务总局关于贯彻落实国务院关于实施企业所得税过渡优惠政策有关问题的通知》（财税〔2008〕21号）</t>
    <phoneticPr fontId="80" type="noConversion"/>
  </si>
  <si>
    <t>四、受灾地区农村信用社免征企业所得税：</t>
    <phoneticPr fontId="80" type="noConversion"/>
  </si>
  <si>
    <t>《财政部 海关总署 国家税务总局关于支持芦山地震灾后恢复重建有关税收政策问题的通知》（财税〔2013〕58号）</t>
    <phoneticPr fontId="80" type="noConversion"/>
  </si>
  <si>
    <t>《财政部 海关总署 国家税务总局关于支持鲁甸地震灾后恢复重建有关税收政策问题的通知》（财税〔2015〕27号）</t>
    <phoneticPr fontId="80" type="noConversion"/>
  </si>
  <si>
    <t>五、动漫企业自主开发、生产动漫产品定期减免企业所得税：</t>
    <phoneticPr fontId="80" type="noConversion"/>
  </si>
  <si>
    <t>《财政部 国家税务总局关于扶持动漫产业发展有关税收政策问题的通知》（财税〔2009〕65号）</t>
    <phoneticPr fontId="80" type="noConversion"/>
  </si>
  <si>
    <t>《文化部 财政部 国家税务总局关于印发&lt;动漫企业认定管理办法（试行）&gt;的通知》（文市发〔2008〕51号）</t>
    <phoneticPr fontId="80" type="noConversion"/>
  </si>
  <si>
    <t>《文化部 财政部 国家税务总局关于实施&lt;动漫企业认定管理办法（试行）&gt;有关问题的通知》（文产发〔2009〕18号）</t>
    <phoneticPr fontId="80" type="noConversion"/>
  </si>
  <si>
    <t>六、线宽小于0.8微米（含）的集成电路生产企业减免企业所得税：</t>
    <phoneticPr fontId="80" type="noConversion"/>
  </si>
  <si>
    <t>《财政部 国家税务总局关于进一步鼓励软件产业和集成电路产业发展企业所得税政策的通知》（财税〔2012〕27号）</t>
    <phoneticPr fontId="80" type="noConversion"/>
  </si>
  <si>
    <t>《财政部 国家税务总局 发展改革委 工业和信息化部关于软件和集成电路产业企业所得税优惠政策有关问题的通知》（财税〔2016〕49号）</t>
    <phoneticPr fontId="80" type="noConversion"/>
  </si>
  <si>
    <t>七、线宽小于0.25微米的集成电路生产企业减按15%税率征收企业所得税：</t>
    <phoneticPr fontId="80" type="noConversion"/>
  </si>
  <si>
    <t>八、投资额超过80亿元的集成电路生产企业减按15%税率征收企业所得税：</t>
    <phoneticPr fontId="80" type="noConversion"/>
  </si>
  <si>
    <t>九、线宽小于0.25微米的集成电路生产企业减免企业所得税：</t>
    <phoneticPr fontId="80" type="noConversion"/>
  </si>
  <si>
    <t>十、投资额超过80亿元的集成电路生产企业减免企业所得税：</t>
    <phoneticPr fontId="80" type="noConversion"/>
  </si>
  <si>
    <t>十一、新办集成电路设计企业减免企业所得税：</t>
    <phoneticPr fontId="80" type="noConversion"/>
  </si>
  <si>
    <t>十二、国家规划布局内集成电路设计企业可减按10%的税率征收企业所得税：</t>
    <phoneticPr fontId="80" type="noConversion"/>
  </si>
  <si>
    <t>十三、符合条件的软件企业减免企业所得税：</t>
    <phoneticPr fontId="80" type="noConversion"/>
  </si>
  <si>
    <t>十四、国家规划布局内重点软件企业可减按10%的税率征收企业所得税：</t>
    <phoneticPr fontId="80" type="noConversion"/>
  </si>
  <si>
    <t>十五、符合条件的集成电路封装、测试企业定期减免企业所得税：</t>
    <phoneticPr fontId="80" type="noConversion"/>
  </si>
  <si>
    <t>《财政部 国家税务总局 发展改革委工业和信息化部关于进一步鼓励集成电路产业发展企业所得税政策的通知》（财税〔2015〕6号）</t>
    <phoneticPr fontId="80" type="noConversion"/>
  </si>
  <si>
    <t>十六、符合条件的集成电路关键专用材料生产企业、集成电路专用设备生产企业定期减免企业所得税：</t>
    <phoneticPr fontId="80" type="noConversion"/>
  </si>
  <si>
    <t>《财政部 国家税务总局 发展改革委工业和信息化部关于进一步鼓励集成电路产业发展企业所得税政策的通知》（财税〔2015〕6号）</t>
    <phoneticPr fontId="80" type="noConversion"/>
  </si>
  <si>
    <t>十七、经营性文化事业单位转制为企业的免征企业所得税：</t>
    <phoneticPr fontId="80" type="noConversion"/>
  </si>
  <si>
    <t>《财政部 国家税务总局 中宣部关于继续实施文化体制改革中经营性文化事业单位转制为企业若干税收政策的通知》（财税〔2014〕84号）</t>
    <phoneticPr fontId="80" type="noConversion"/>
  </si>
  <si>
    <t>十八、符合条件的生产和装配伤残人员专门用品企业免征企业所得税：</t>
    <phoneticPr fontId="80" type="noConversion"/>
  </si>
  <si>
    <t>《财政部 国家税务总局 民政部关于生产和装配伤残人员专门用品企业免征企业所得税的通知》（财税〔2016〕111号）</t>
    <phoneticPr fontId="80" type="noConversion"/>
  </si>
  <si>
    <t>十九、技术先进型服务企业减按15%的税率征收企业所得：</t>
    <phoneticPr fontId="80" type="noConversion"/>
  </si>
  <si>
    <t>《财政部 国家税务总局 商务部 科技部 国家发展改革委关于完善技术先进型服务企业有关企业所得税政策问题的通知》（财税〔2014〕59号）</t>
    <phoneticPr fontId="80" type="noConversion"/>
  </si>
  <si>
    <t>《财政部 国家税务总局 商务部 科学技术部 国家发展和改革委员会关于新增中国服务外包示范城市适用技术先进型服务企业所得税政策的通知》（财税〔2016〕108号）</t>
    <phoneticPr fontId="80" type="noConversion"/>
  </si>
  <si>
    <t>《财政部 税务总局 商务部 科技部 国家发展改革委关于将技术先进型服务企业所得税政策推广至全国实施的通知》（财税〔2017〕79号）</t>
    <phoneticPr fontId="80" type="noConversion"/>
  </si>
  <si>
    <t>二十、服务贸易创新发展试点地区符合条件的技术先进型服务企业减按15%的税率征收企业所得税：</t>
    <phoneticPr fontId="80" type="noConversion"/>
  </si>
  <si>
    <t>《财政部 国家税务总局 商务部 科技部 国家发展改革委关于在服务贸易创新发展试点地区推广技术先进型服务企业所得税优惠政策的通知》（财税〔2016〕122号）</t>
    <phoneticPr fontId="80" type="noConversion"/>
  </si>
  <si>
    <t>二十一、设在西部地区的鼓励类产业企业减按15%的税率征收企业所得税：</t>
    <phoneticPr fontId="80" type="noConversion"/>
  </si>
  <si>
    <t>《财政部 海关总署 国家税务总局关于深入实施西部大开发战略有关税收政策问题的通知》（财税〔2011〕58号）</t>
    <phoneticPr fontId="80" type="noConversion"/>
  </si>
  <si>
    <t>《国家税务总局关于深入实施西部大开发战略有关企业所得税问题的公告》（国家税务总局公告2012年第12号）</t>
    <phoneticPr fontId="80" type="noConversion"/>
  </si>
  <si>
    <t>《财政部 海关总署 国家税务总局关于赣州市执行西部大开发税收政策问题的通知》（财税〔2013〕4号）</t>
    <phoneticPr fontId="80" type="noConversion"/>
  </si>
  <si>
    <t>《西部地区鼓励类产业目录》(中华人民共和国国家发展和改革委员会令第15号)</t>
    <phoneticPr fontId="80" type="noConversion"/>
  </si>
  <si>
    <t>《国家税务总局关于执行&lt;西部地区鼓励类产业目录&gt;有关企业所得税问题的公告》（国家税务总局公告2015年第14号）</t>
    <phoneticPr fontId="80" type="noConversion"/>
  </si>
  <si>
    <t>二十二、新疆困难地区新办企业定期减免企业所得税：</t>
    <phoneticPr fontId="80" type="noConversion"/>
  </si>
  <si>
    <t>《财政部 国家税务总局关于新疆困难地区新办企业所得税优惠政策的通知》（财税〔2011〕53号）</t>
    <phoneticPr fontId="80" type="noConversion"/>
  </si>
  <si>
    <t>《财政部 国家税务总局 国家发展改革委 工业和信息化部关于完善新疆困难地区重点鼓励发展产业企业所得税优惠目录的通知》（财税〔2016〕85号）</t>
    <phoneticPr fontId="80" type="noConversion"/>
  </si>
  <si>
    <t>二十三、新疆喀什、霍尔果斯特殊经济开发区新办企业定期免征企业所得税：</t>
    <phoneticPr fontId="80" type="noConversion"/>
  </si>
  <si>
    <t>《财政部 国家税务总局关于新疆喀什 霍尔果斯两个特殊经济开发区企业所得税优惠政策的通知》（财税〔2011〕112号）</t>
    <phoneticPr fontId="80" type="noConversion"/>
  </si>
  <si>
    <t>二十四、广东横琴、福建平潭、深圳前海等地区的鼓励类产业企业减按15%税率征收企业所得税：</t>
    <phoneticPr fontId="80" type="noConversion"/>
  </si>
  <si>
    <t>《财政部 国家税务总局关于广东横琴新区、福建平潭综合实验区、深圳前海深港现代化服务业合作区企业所得税优惠政策及优惠目录的通知》（财税〔2014〕26号）</t>
    <phoneticPr fontId="80" type="noConversion"/>
  </si>
  <si>
    <t>二十五、北京冬奥组委、北京冬奥会测试赛赛事组委会免征企业所得税：</t>
    <phoneticPr fontId="80" type="noConversion"/>
  </si>
  <si>
    <t>《财政部 税务总局 海关总署关于北京2022年冬奥会和冬残奥会税收政策的通知》（财税〔2017〕60号）</t>
    <phoneticPr fontId="80" type="noConversion"/>
  </si>
  <si>
    <t>二十六、享受过渡期税收优惠定期减免企业所得税：</t>
    <phoneticPr fontId="80" type="noConversion"/>
  </si>
  <si>
    <t>《国务院关于实施企业所得税过渡优惠政策的通知》(国发〔2007〕39号)</t>
    <phoneticPr fontId="80" type="noConversion"/>
  </si>
  <si>
    <t>二十九、支持和促进重点群体创业就业企业限额减征企业所得税：</t>
    <phoneticPr fontId="80" type="noConversion"/>
  </si>
  <si>
    <t>《财政部 税务总局 人力资源社会保障部关于继续实施支持和促进重点群体创业就业有关税收政策的通知》（财税〔2017〕49号）</t>
    <phoneticPr fontId="80" type="noConversion"/>
  </si>
  <si>
    <t>三十、扶持自主就业退役士兵创业就业企业限额减征企业所得税：</t>
    <phoneticPr fontId="80" type="noConversion"/>
  </si>
  <si>
    <t>《财政部 税务总局 民政部关于继续实施扶持自主就业退役士兵创业就业有关税收政策的通知》（财税〔2017〕46号）</t>
    <phoneticPr fontId="80" type="noConversion"/>
  </si>
  <si>
    <t>三十一、民族自治地方的自治机关对本民族自治地方的企业应缴纳的企业所得税中属于地方分享的部分减征或免征（免征 减征:减征幅度____%）：</t>
    <phoneticPr fontId="80" type="noConversion"/>
  </si>
  <si>
    <t>《财政部 国家税务总局关于贯彻落实国务院关于实施企业所得税过渡优惠政策有关问题的通知》（财税〔2008〕21号）</t>
    <phoneticPr fontId="80" type="noConversion"/>
  </si>
  <si>
    <t>《中华人民共和国民族区域自治法》(主席令第四十六号)</t>
    <phoneticPr fontId="80" type="noConversion"/>
  </si>
  <si>
    <t>实务指南：</t>
    <phoneticPr fontId="86" type="noConversion"/>
  </si>
  <si>
    <r>
      <rPr>
        <sz val="10"/>
        <color indexed="8"/>
        <rFont val="宋体"/>
        <family val="3"/>
        <charset val="134"/>
      </rPr>
      <t xml:space="preserve">《中国税务合规实务指南—所得税》 </t>
    </r>
    <r>
      <rPr>
        <u/>
        <sz val="10"/>
        <color indexed="12"/>
        <rFont val="宋体"/>
        <family val="3"/>
        <charset val="134"/>
      </rPr>
      <t xml:space="preserve"> 高新技术企业[¶60-355]-[¶60-376]</t>
    </r>
    <phoneticPr fontId="80" type="noConversion"/>
  </si>
  <si>
    <t>相关法规：</t>
    <phoneticPr fontId="86" type="noConversion"/>
  </si>
  <si>
    <r>
      <rPr>
        <sz val="10"/>
        <color indexed="8"/>
        <rFont val="宋体"/>
        <family val="3"/>
        <charset val="134"/>
      </rPr>
      <t xml:space="preserve">《中国税务合规实务指南—所得税》 </t>
    </r>
    <r>
      <rPr>
        <u/>
        <sz val="10"/>
        <color indexed="12"/>
        <rFont val="宋体"/>
        <family val="3"/>
        <charset val="134"/>
      </rPr>
      <t xml:space="preserve"> 软件企业[¶60-378]-[¶60-380]</t>
    </r>
    <phoneticPr fontId="80" type="noConversion"/>
  </si>
  <si>
    <r>
      <rPr>
        <sz val="10"/>
        <color indexed="12"/>
        <rFont val="宋体"/>
        <family val="3"/>
        <charset val="134"/>
      </rPr>
      <t xml:space="preserve">                                </t>
    </r>
    <r>
      <rPr>
        <u/>
        <sz val="10"/>
        <color indexed="12"/>
        <rFont val="宋体"/>
        <family val="3"/>
        <charset val="134"/>
      </rPr>
      <t>集成电路企业[¶60-381]-[¶60-384]</t>
    </r>
    <phoneticPr fontId="80" type="noConversion"/>
  </si>
  <si>
    <t>《财政部、国家税务总局关于进一步鼓励软件产业和集成电路产业发展企业所得税政策的通知》（财税〔2012〕27号）</t>
    <phoneticPr fontId="86" type="noConversion"/>
  </si>
  <si>
    <r>
      <rPr>
        <sz val="10"/>
        <color indexed="8"/>
        <rFont val="宋体"/>
        <family val="3"/>
        <charset val="134"/>
      </rPr>
      <t xml:space="preserve">《中国税务合规实务指南—所得税》  </t>
    </r>
    <r>
      <rPr>
        <u/>
        <sz val="10"/>
        <color indexed="12"/>
        <rFont val="宋体"/>
        <family val="3"/>
        <charset val="134"/>
      </rPr>
      <t>环保节能等专用设备的投资抵免[¶60-260]-[¶60-274]</t>
    </r>
    <phoneticPr fontId="80" type="noConversion"/>
  </si>
  <si>
    <t>《财政部、国家税务总局关于执行环境保护专用设备企业所得税优惠目录、节能节水专用设备企业所得税优惠目录和安全生产专用设备企业所得税优惠目录有关问题的通知》（财税〔2008〕48号）</t>
    <phoneticPr fontId="86" type="noConversion"/>
  </si>
  <si>
    <t>《财政部、国家税务总局、国家发展改革委关于公布节能节水专用设备企业所得税优惠目录（2008年版）和环境保护专用设备企业所得税优惠目录（2008年版）的通知》（财税〔2008〕115号）</t>
    <phoneticPr fontId="86" type="noConversion"/>
  </si>
  <si>
    <t>《财政部、国家税务总局、安全监管总局关于公布〈安全生产专用设备企业所得税优惠目录（2008年版）〉的通知》（财税〔2008〕118号）</t>
    <phoneticPr fontId="86" type="noConversion"/>
  </si>
  <si>
    <t>《财政部、国家税务总局关于执行企业所得税优惠政策若干问题的通知》（财税〔2009〕69号）</t>
    <phoneticPr fontId="86" type="noConversion"/>
  </si>
  <si>
    <t>《国家税务总局关于环境保护、节能节水、安全生产等专用设备投资抵免企业所得税有关问题的通知》（国税函〔2010〕256号）</t>
    <phoneticPr fontId="86" type="noConversion"/>
  </si>
  <si>
    <t>实务指南：</t>
    <phoneticPr fontId="86"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</si>
  <si>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80" type="noConversion"/>
  </si>
  <si>
    <t>《财政部、国家税务总局关于企业境外所得税收抵免有关问题的通知》（财税〔2009〕125号）</t>
    <phoneticPr fontId="86" type="noConversion"/>
  </si>
  <si>
    <t>《国家税务总局关于发布〈企业境外所得税收抵免操作指南〉的公告》（国家税务总局公告2010年第1号）</t>
    <phoneticPr fontId="86" type="noConversion"/>
  </si>
  <si>
    <t>《财政部、国家税务总局关于我国石油企业从事油（气）资源开采所得税收抵免有关问题的通知》（财税〔2011〕23号）</t>
    <phoneticPr fontId="86" type="noConversion"/>
  </si>
  <si>
    <t>《受控外国企业信息报告表》（国家税务总局公告2014年第38号附件2）</t>
    <phoneticPr fontId="86"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</si>
  <si>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80" type="noConversion"/>
  </si>
  <si>
    <t>《财政部、国家税务总局、中国人民银行关于印发〈跨省市总分机构企业所得税分配及预算管理办法〉的通知》（财预[2012]40号）</t>
    <phoneticPr fontId="86" type="noConversion"/>
  </si>
  <si>
    <t>《国家税务总局关于印发〈跨地区经营汇总纳税企业所得税征收管理办法〉的公告》（国家税务总局公告2012年第57号）</t>
    <phoneticPr fontId="86" type="noConversion"/>
  </si>
  <si>
    <t>《中国税务合规实务指南—所得税》  汇总（合并）纳税[¶90-500]-[¶90-651]</t>
  </si>
  <si>
    <r>
      <rPr>
        <sz val="10"/>
        <color indexed="8"/>
        <rFont val="宋体"/>
        <family val="3"/>
        <charset val="134"/>
      </rPr>
      <t>《中国税务合规实务指南—所得税》</t>
    </r>
    <r>
      <rPr>
        <sz val="12"/>
        <color indexed="12"/>
        <rFont val="宋体"/>
        <family val="3"/>
        <charset val="134"/>
      </rPr>
      <t xml:space="preserve">  </t>
    </r>
    <r>
      <rPr>
        <u/>
        <sz val="10"/>
        <color indexed="12"/>
        <rFont val="宋体"/>
        <family val="3"/>
        <charset val="134"/>
      </rPr>
      <t>汇总（合并）纳税[¶90-500]-[¶90-651]</t>
    </r>
    <phoneticPr fontId="80" type="noConversion"/>
  </si>
  <si>
    <t>参考法规：</t>
    <phoneticPr fontId="80" type="noConversion"/>
  </si>
  <si>
    <t>国家税务总局所得税司关于2016年度企业研究开发费用税前加计扣除企业所得税纳税申报有关问题的通知</t>
    <phoneticPr fontId="80" type="noConversion"/>
  </si>
  <si>
    <t>《国家税务总局关于企业研究开发费用税前加计扣除政策有关问题的公告》（国家税务总局公告2015年第97号）</t>
    <phoneticPr fontId="80" type="noConversion"/>
  </si>
  <si>
    <t>参考法规</t>
    <phoneticPr fontId="80" type="noConversion"/>
  </si>
  <si>
    <t>国家税务总局所得税司关于2016年度企业研究开发费用税前加计扣除企业所得税纳税申报有关问题的通知</t>
    <phoneticPr fontId="80" type="noConversion"/>
  </si>
  <si>
    <t>A105050</t>
    <phoneticPr fontId="4" type="noConversion"/>
  </si>
  <si>
    <t xml:space="preserve">    其中：按税收规定比例扣除的职工教育经费</t>
    <phoneticPr fontId="24" type="noConversion"/>
  </si>
  <si>
    <t>返回主表（A100000）</t>
    <phoneticPr fontId="1" type="noConversion"/>
  </si>
  <si>
    <t>300企业主要股东及分红情况</t>
    <phoneticPr fontId="4" type="noConversion"/>
  </si>
  <si>
    <t xml:space="preserve">            其中：专项用途财政性资金用于支出所形成的费用（填写A105040）</t>
    <phoneticPr fontId="4" type="noConversion"/>
  </si>
  <si>
    <t xml:space="preserve">    （四）房地产开发企业特定业务计算的纳税调整额(填写A105010)</t>
    <phoneticPr fontId="4" type="noConversion"/>
  </si>
  <si>
    <r>
      <t xml:space="preserve">　  </t>
    </r>
    <r>
      <rPr>
        <sz val="10"/>
        <rFont val="宋体"/>
        <family val="3"/>
        <charset val="134"/>
      </rPr>
      <t>（一）视同销售收入</t>
    </r>
    <r>
      <rPr>
        <sz val="10"/>
        <color indexed="12"/>
        <rFont val="宋体"/>
        <family val="3"/>
        <charset val="134"/>
      </rPr>
      <t>（填写A105010）</t>
    </r>
    <phoneticPr fontId="4" type="noConversion"/>
  </si>
  <si>
    <t>返回主表（A100000）</t>
    <phoneticPr fontId="4" type="noConversion"/>
  </si>
  <si>
    <r>
      <t xml:space="preserve">　 </t>
    </r>
    <r>
      <rPr>
        <sz val="10"/>
        <rFont val="宋体"/>
        <family val="3"/>
        <charset val="134"/>
      </rPr>
      <t xml:space="preserve"> （二）未按权责发生制原则确认的收入</t>
    </r>
    <r>
      <rPr>
        <sz val="10"/>
        <color indexed="12"/>
        <rFont val="宋体"/>
        <family val="3"/>
        <charset val="134"/>
      </rPr>
      <t>（填写A105020）</t>
    </r>
    <phoneticPr fontId="4" type="noConversion"/>
  </si>
  <si>
    <r>
      <t xml:space="preserve">    </t>
    </r>
    <r>
      <rPr>
        <sz val="10"/>
        <rFont val="宋体"/>
        <family val="3"/>
        <charset val="134"/>
      </rPr>
      <t>（三）投资收益</t>
    </r>
    <r>
      <rPr>
        <sz val="10"/>
        <color indexed="12"/>
        <rFont val="宋体"/>
        <family val="3"/>
        <charset val="134"/>
      </rPr>
      <t>（填写A105030）</t>
    </r>
    <phoneticPr fontId="4" type="noConversion"/>
  </si>
  <si>
    <r>
      <t xml:space="preserve">          </t>
    </r>
    <r>
      <rPr>
        <sz val="10"/>
        <rFont val="宋体"/>
        <family val="3"/>
        <charset val="134"/>
      </rPr>
      <t>其中：专项用途财政性资金</t>
    </r>
    <r>
      <rPr>
        <sz val="10"/>
        <color indexed="12"/>
        <rFont val="宋体"/>
        <family val="3"/>
        <charset val="134"/>
      </rPr>
      <t>（填写A105040）</t>
    </r>
    <phoneticPr fontId="4" type="noConversion"/>
  </si>
  <si>
    <t>A105010    视同销售和房地产开发企业特定业务纳税调整明细表</t>
    <phoneticPr fontId="4" type="noConversion"/>
  </si>
  <si>
    <r>
      <t xml:space="preserve">　  </t>
    </r>
    <r>
      <rPr>
        <sz val="10"/>
        <rFont val="宋体"/>
        <family val="3"/>
        <charset val="134"/>
      </rPr>
      <t>（一）视同销售成本</t>
    </r>
    <r>
      <rPr>
        <sz val="10"/>
        <color indexed="12"/>
        <rFont val="宋体"/>
        <family val="3"/>
        <charset val="134"/>
      </rPr>
      <t>（填写A105010）</t>
    </r>
    <phoneticPr fontId="4" type="noConversion"/>
  </si>
  <si>
    <t>七、补充养老保险</t>
    <phoneticPr fontId="24" type="noConversion"/>
  </si>
  <si>
    <r>
      <t xml:space="preserve">　  </t>
    </r>
    <r>
      <rPr>
        <sz val="10"/>
        <rFont val="宋体"/>
        <family val="3"/>
        <charset val="134"/>
      </rPr>
      <t>（二）职工薪酬</t>
    </r>
    <r>
      <rPr>
        <sz val="10"/>
        <color indexed="12"/>
        <rFont val="宋体"/>
        <family val="3"/>
        <charset val="134"/>
      </rPr>
      <t>（填写A105050）</t>
    </r>
    <phoneticPr fontId="4" type="noConversion"/>
  </si>
  <si>
    <r>
      <t xml:space="preserve">　  </t>
    </r>
    <r>
      <rPr>
        <sz val="10"/>
        <rFont val="宋体"/>
        <family val="3"/>
        <charset val="134"/>
      </rPr>
      <t>（四）广告费和业务宣传费支出</t>
    </r>
    <r>
      <rPr>
        <sz val="10"/>
        <color indexed="12"/>
        <rFont val="宋体"/>
        <family val="3"/>
        <charset val="134"/>
      </rPr>
      <t>（填写A105060）</t>
    </r>
    <phoneticPr fontId="4" type="noConversion"/>
  </si>
  <si>
    <r>
      <t xml:space="preserve">　  </t>
    </r>
    <r>
      <rPr>
        <sz val="10"/>
        <rFont val="宋体"/>
        <family val="3"/>
        <charset val="134"/>
      </rPr>
      <t>（五）捐赠支出</t>
    </r>
    <r>
      <rPr>
        <sz val="10"/>
        <color indexed="12"/>
        <rFont val="宋体"/>
        <family val="3"/>
        <charset val="134"/>
      </rPr>
      <t>（填写A105070）</t>
    </r>
    <phoneticPr fontId="4" type="noConversion"/>
  </si>
  <si>
    <r>
      <t xml:space="preserve">    </t>
    </r>
    <r>
      <rPr>
        <sz val="10"/>
        <rFont val="宋体"/>
        <family val="3"/>
        <charset val="134"/>
      </rPr>
      <t xml:space="preserve">（一）资产折旧、摊销 </t>
    </r>
    <r>
      <rPr>
        <sz val="10"/>
        <color indexed="12"/>
        <rFont val="宋体"/>
        <family val="3"/>
        <charset val="134"/>
      </rPr>
      <t>（填写A105080）</t>
    </r>
    <phoneticPr fontId="4" type="noConversion"/>
  </si>
  <si>
    <r>
      <t xml:space="preserve">　 </t>
    </r>
    <r>
      <rPr>
        <sz val="10"/>
        <rFont val="宋体"/>
        <family val="3"/>
        <charset val="134"/>
      </rPr>
      <t xml:space="preserve"> （三）资产损失</t>
    </r>
    <r>
      <rPr>
        <sz val="10"/>
        <color indexed="12"/>
        <rFont val="宋体"/>
        <family val="3"/>
        <charset val="134"/>
      </rPr>
      <t>（填写A105090）</t>
    </r>
    <phoneticPr fontId="4" type="noConversion"/>
  </si>
  <si>
    <r>
      <t xml:space="preserve">　  </t>
    </r>
    <r>
      <rPr>
        <sz val="10"/>
        <rFont val="宋体"/>
        <family val="3"/>
        <charset val="134"/>
      </rPr>
      <t>（一）企业重组及递延纳税事项</t>
    </r>
    <r>
      <rPr>
        <sz val="10"/>
        <color indexed="12"/>
        <rFont val="宋体"/>
        <family val="3"/>
        <charset val="134"/>
      </rPr>
      <t>（填写A105100）</t>
    </r>
    <phoneticPr fontId="4" type="noConversion"/>
  </si>
  <si>
    <r>
      <t xml:space="preserve">   </t>
    </r>
    <r>
      <rPr>
        <sz val="10"/>
        <rFont val="宋体"/>
        <family val="3"/>
        <charset val="134"/>
      </rPr>
      <t xml:space="preserve"> （二）政策性搬迁</t>
    </r>
    <r>
      <rPr>
        <sz val="10"/>
        <color indexed="12"/>
        <rFont val="宋体"/>
        <family val="3"/>
        <charset val="134"/>
      </rPr>
      <t>（填写A105110）</t>
    </r>
    <phoneticPr fontId="4" type="noConversion"/>
  </si>
  <si>
    <r>
      <t xml:space="preserve">   </t>
    </r>
    <r>
      <rPr>
        <sz val="10"/>
        <rFont val="宋体"/>
        <family val="3"/>
        <charset val="134"/>
      </rPr>
      <t xml:space="preserve"> （三）特殊行业准备金</t>
    </r>
    <r>
      <rPr>
        <sz val="10"/>
        <color indexed="12"/>
        <rFont val="宋体"/>
        <family val="3"/>
        <charset val="134"/>
      </rPr>
      <t>（填写A105120）</t>
    </r>
    <phoneticPr fontId="4" type="noConversion"/>
  </si>
  <si>
    <t>欢迎使用 税审底稿</t>
    <phoneticPr fontId="128" type="noConversion"/>
  </si>
  <si>
    <t>IN-01</t>
    <phoneticPr fontId="128" type="noConversion"/>
  </si>
  <si>
    <t>IN-02</t>
  </si>
  <si>
    <t>IN-03</t>
  </si>
  <si>
    <t>IN-04</t>
  </si>
  <si>
    <t>IN-05</t>
  </si>
  <si>
    <t>IN-06</t>
  </si>
  <si>
    <t>IN-07</t>
  </si>
  <si>
    <t>IN-08</t>
  </si>
  <si>
    <r>
      <rPr>
        <b/>
        <sz val="11"/>
        <color theme="1"/>
        <rFont val="Microsoft YaHei UI"/>
        <family val="2"/>
        <charset val="134"/>
      </rPr>
      <t>De</t>
    </r>
    <r>
      <rPr>
        <sz val="11"/>
        <color theme="1"/>
        <rFont val="Microsoft YaHei UI"/>
        <family val="2"/>
        <charset val="134"/>
      </rPr>
      <t>claration
报告及申报表</t>
    </r>
    <phoneticPr fontId="128" type="noConversion"/>
  </si>
  <si>
    <t>BA-01</t>
    <phoneticPr fontId="128" type="noConversion"/>
  </si>
  <si>
    <t>AS-01</t>
    <phoneticPr fontId="128" type="noConversion"/>
  </si>
  <si>
    <t>AS-02</t>
  </si>
  <si>
    <t>AS-03</t>
  </si>
  <si>
    <t>AS-04</t>
  </si>
  <si>
    <t>AS-05</t>
  </si>
  <si>
    <t>AS-06</t>
  </si>
  <si>
    <t>AS-07</t>
  </si>
  <si>
    <t>AS-08</t>
  </si>
  <si>
    <t>GL-01</t>
    <phoneticPr fontId="128" type="noConversion"/>
  </si>
  <si>
    <t>AD-01</t>
    <phoneticPr fontId="128" type="noConversion"/>
  </si>
  <si>
    <t>DE-01</t>
    <phoneticPr fontId="128" type="noConversion"/>
  </si>
  <si>
    <t>DE-02</t>
  </si>
  <si>
    <t>DE-03</t>
  </si>
  <si>
    <t>DE-04</t>
  </si>
  <si>
    <t>DE-05</t>
  </si>
  <si>
    <t>DE-06</t>
  </si>
  <si>
    <t>DE-07</t>
  </si>
  <si>
    <t>DE-08</t>
  </si>
  <si>
    <t>PE-01</t>
    <phoneticPr fontId="128" type="noConversion"/>
  </si>
  <si>
    <t>货币资金审核表</t>
  </si>
  <si>
    <t>银行存款余额调节表</t>
  </si>
  <si>
    <t>应收账款审核表</t>
  </si>
  <si>
    <t>预付账款审核表</t>
  </si>
  <si>
    <t>其他应收款审核表</t>
  </si>
  <si>
    <t>在建工程审核表</t>
  </si>
  <si>
    <t>应付账款审核表</t>
  </si>
  <si>
    <t>预收账款审核表</t>
  </si>
  <si>
    <t>其他应付款审核表</t>
  </si>
  <si>
    <t>未分配利润审核表</t>
  </si>
  <si>
    <t>DE-09</t>
  </si>
  <si>
    <t>DE-10</t>
  </si>
  <si>
    <t>DE-11</t>
  </si>
  <si>
    <t>DE-12</t>
  </si>
  <si>
    <t>DE-13</t>
  </si>
  <si>
    <t>DE-14</t>
  </si>
  <si>
    <t>DE-15</t>
  </si>
  <si>
    <t>DE-16</t>
  </si>
  <si>
    <t>DE-17</t>
  </si>
  <si>
    <t>DE-18</t>
  </si>
  <si>
    <t>DE-19</t>
  </si>
  <si>
    <t>DE-20</t>
  </si>
  <si>
    <t>DE-21</t>
  </si>
  <si>
    <t>DE-22</t>
  </si>
  <si>
    <t>DE-23</t>
  </si>
  <si>
    <t>DE-24</t>
  </si>
  <si>
    <t>DE-25</t>
  </si>
  <si>
    <t>DE-26</t>
  </si>
  <si>
    <t>DE-27</t>
  </si>
  <si>
    <t>DE-28</t>
  </si>
  <si>
    <t>DE-29</t>
  </si>
  <si>
    <t>DE-30</t>
  </si>
  <si>
    <t>DE-31</t>
  </si>
  <si>
    <t>DE-32</t>
  </si>
  <si>
    <t>DE-33</t>
  </si>
  <si>
    <t>DE-34</t>
  </si>
  <si>
    <t>DE-35</t>
  </si>
  <si>
    <t>DE-36</t>
  </si>
  <si>
    <t>DE-37</t>
  </si>
  <si>
    <t>DE-38</t>
  </si>
  <si>
    <t>DE-39</t>
  </si>
  <si>
    <t>DE-40</t>
  </si>
  <si>
    <t>DE-41</t>
  </si>
  <si>
    <t>DE-42</t>
  </si>
  <si>
    <t>待办事项</t>
  </si>
  <si>
    <t>与客户交换意见记录</t>
  </si>
  <si>
    <t>资产负债表</t>
  </si>
  <si>
    <t>无形资产、长期待摊费用审核表</t>
  </si>
  <si>
    <t>纳税人名称</t>
  </si>
  <si>
    <t>可来源于营业执照或地税纳税人基本信息核对表</t>
  </si>
  <si>
    <t>委托项目</t>
  </si>
  <si>
    <t>企业所得税年度纳税申报审核</t>
    <phoneticPr fontId="133" type="noConversion"/>
  </si>
  <si>
    <t>审核年度</t>
  </si>
  <si>
    <t>审核起始日</t>
  </si>
  <si>
    <t>审核年度止</t>
  </si>
  <si>
    <t>税款所属期间</t>
  </si>
  <si>
    <t>中介机构名称</t>
  </si>
  <si>
    <t>中汇（厦门）税务师事务所有限公司</t>
  </si>
  <si>
    <t>主任税务师</t>
  </si>
  <si>
    <t>相关链接：</t>
  </si>
  <si>
    <t>总审师</t>
  </si>
  <si>
    <t>资产负债!A1</t>
  </si>
  <si>
    <t>项目负责人</t>
  </si>
  <si>
    <t>企业情况表</t>
  </si>
  <si>
    <t>底稿编制人</t>
  </si>
  <si>
    <t>B29“会计制度”单元格 必填</t>
  </si>
  <si>
    <t>收费金额</t>
    <phoneticPr fontId="133" type="noConversion"/>
  </si>
  <si>
    <t>报告文号</t>
  </si>
  <si>
    <t>签约日期</t>
  </si>
  <si>
    <t>报告日期</t>
  </si>
  <si>
    <t>编制日期</t>
  </si>
  <si>
    <t>复核日期</t>
  </si>
  <si>
    <t>0592-5881033</t>
  </si>
  <si>
    <t>是否重分类往来款</t>
  </si>
  <si>
    <t>否</t>
  </si>
  <si>
    <t>审核报告意见</t>
    <phoneticPr fontId="133" type="noConversion"/>
  </si>
  <si>
    <t>注册资本</t>
  </si>
  <si>
    <t>所占比例</t>
  </si>
  <si>
    <t>实收资本</t>
  </si>
  <si>
    <t>占注册资本比例</t>
  </si>
  <si>
    <t>合   计</t>
  </si>
  <si>
    <t xml:space="preserve">项目   </t>
  </si>
  <si>
    <t>是/否</t>
  </si>
  <si>
    <t>简要描述</t>
  </si>
  <si>
    <t>金额（单位：元）</t>
  </si>
  <si>
    <t xml:space="preserve">备注     </t>
  </si>
  <si>
    <t>是否享受及享受税收优惠类型</t>
  </si>
  <si>
    <t>否</t>
    <phoneticPr fontId="133" type="noConversion"/>
  </si>
  <si>
    <t>对享受税收优惠情况进行简要描述并填报减免企业应纳税所得额。</t>
  </si>
  <si>
    <t>是否发生日常经营业务以外的法律结构或经济结构重大改变的交易，如债务重组、股权收购等</t>
  </si>
  <si>
    <t>否</t>
    <phoneticPr fontId="133" type="noConversion"/>
  </si>
  <si>
    <t>对债务重组、股权收购等事项进行简要描述并填报相应事项的损益金额。</t>
  </si>
  <si>
    <t>是否发生资产损失</t>
  </si>
  <si>
    <t>否</t>
    <phoneticPr fontId="133" type="noConversion"/>
  </si>
  <si>
    <t>对资产损失情况进行简要描述并填报资产损失金额。</t>
  </si>
  <si>
    <t>是否取得不征税收入</t>
  </si>
  <si>
    <t>对取得不征税收入情况进行简要描述并填报不征税收入金额。</t>
  </si>
  <si>
    <t>其他事项</t>
  </si>
  <si>
    <t>是</t>
    <phoneticPr fontId="133" type="noConversion"/>
  </si>
  <si>
    <t>1、本报告仅供贵单位向主管税务机关办理企业所得税年度纳税申报时使用，不作其他用途。因使用不当造成的后果，与执行本审核业务的税务师事务所及其注册税务师无关。</t>
    <phoneticPr fontId="133" type="noConversion"/>
  </si>
  <si>
    <t>对需要披露的其他事项进行简要描述并填报相应金额。</t>
  </si>
  <si>
    <t>前事务所名称</t>
  </si>
  <si>
    <t>前事务所审核报告编号</t>
  </si>
  <si>
    <t>企业类型代码对照表</t>
  </si>
  <si>
    <t>行业类型代码表</t>
  </si>
  <si>
    <t>A</t>
  </si>
  <si>
    <t>B</t>
  </si>
  <si>
    <t>C</t>
  </si>
  <si>
    <t>D</t>
  </si>
  <si>
    <t>E</t>
  </si>
  <si>
    <t>F</t>
  </si>
  <si>
    <t>G</t>
  </si>
  <si>
    <t>H</t>
  </si>
  <si>
    <t>I</t>
  </si>
  <si>
    <t>J</t>
  </si>
  <si>
    <t>K</t>
  </si>
  <si>
    <t>L</t>
  </si>
  <si>
    <t>M</t>
  </si>
  <si>
    <t>N</t>
  </si>
  <si>
    <t>O</t>
  </si>
  <si>
    <t>P</t>
  </si>
  <si>
    <t>Q</t>
  </si>
  <si>
    <t>R</t>
  </si>
  <si>
    <t>S</t>
  </si>
  <si>
    <t>T</t>
  </si>
  <si>
    <t>厦中汇专税（2017）第Z   号</t>
    <phoneticPr fontId="133" type="noConversion"/>
  </si>
  <si>
    <t>厦中汇税审（2017）第DS/DSX/GS/GSX   号</t>
    <phoneticPr fontId="133" type="noConversion"/>
  </si>
  <si>
    <t>2018年5月4日</t>
    <phoneticPr fontId="133" type="noConversion"/>
  </si>
  <si>
    <t>2018年3月16日</t>
    <phoneticPr fontId="133" type="noConversion"/>
  </si>
  <si>
    <t>主要股东</t>
    <phoneticPr fontId="128" type="noConversion"/>
  </si>
  <si>
    <t>其他股东</t>
    <phoneticPr fontId="128" type="noConversion"/>
  </si>
  <si>
    <t>汇总纳税企业</t>
    <phoneticPr fontId="133" type="noConversion"/>
  </si>
  <si>
    <t>分公司企业所得税就地缴纳比例</t>
    <phoneticPr fontId="133" type="noConversion"/>
  </si>
  <si>
    <t>是</t>
  </si>
  <si>
    <t>法律形式改变</t>
  </si>
  <si>
    <t>债务重组</t>
  </si>
  <si>
    <t>股权收购</t>
  </si>
  <si>
    <t>资产收购</t>
  </si>
  <si>
    <t>合并</t>
  </si>
  <si>
    <t>分立</t>
  </si>
  <si>
    <t>重组交易类型</t>
    <phoneticPr fontId="135" type="noConversion"/>
  </si>
  <si>
    <t>债务人</t>
    <phoneticPr fontId="135" type="noConversion"/>
  </si>
  <si>
    <t>债权人</t>
    <phoneticPr fontId="135" type="noConversion"/>
  </si>
  <si>
    <t>转让方</t>
    <phoneticPr fontId="135" type="noConversion"/>
  </si>
  <si>
    <t>被收购企业</t>
    <phoneticPr fontId="135" type="noConversion"/>
  </si>
  <si>
    <t>收购方</t>
    <phoneticPr fontId="135" type="noConversion"/>
  </si>
  <si>
    <t>转让方</t>
    <phoneticPr fontId="135" type="noConversion"/>
  </si>
  <si>
    <t>被合并企业</t>
    <phoneticPr fontId="135" type="noConversion"/>
  </si>
  <si>
    <t>合并企业</t>
    <phoneticPr fontId="135" type="noConversion"/>
  </si>
  <si>
    <t>被合并企业股东</t>
    <phoneticPr fontId="135" type="noConversion"/>
  </si>
  <si>
    <t>被分立企业</t>
    <phoneticPr fontId="135" type="noConversion"/>
  </si>
  <si>
    <t>分立企业</t>
    <phoneticPr fontId="135" type="noConversion"/>
  </si>
  <si>
    <t>被分立企业股东</t>
    <phoneticPr fontId="135" type="noConversion"/>
  </si>
  <si>
    <t>否</t>
    <phoneticPr fontId="128" type="noConversion"/>
  </si>
  <si>
    <t>否</t>
    <phoneticPr fontId="128" type="noConversion"/>
  </si>
  <si>
    <t>国税用户名</t>
    <phoneticPr fontId="128" type="noConversion"/>
  </si>
  <si>
    <t>地税用户名</t>
    <phoneticPr fontId="128" type="noConversion"/>
  </si>
  <si>
    <t>203发生技术入股递延纳税事项</t>
    <phoneticPr fontId="1" type="noConversion"/>
  </si>
  <si>
    <t>204-2重组完成时间</t>
    <phoneticPr fontId="1" type="noConversion"/>
  </si>
  <si>
    <t>204-3重组交易类型</t>
    <phoneticPr fontId="1" type="noConversion"/>
  </si>
  <si>
    <t>204-4企业在重组业务中所属当事方类型</t>
    <phoneticPr fontId="1" type="noConversion"/>
  </si>
  <si>
    <t>*</t>
    <phoneticPr fontId="135" type="noConversion"/>
  </si>
  <si>
    <t>国家限制或禁止行业</t>
    <phoneticPr fontId="133" type="noConversion"/>
  </si>
  <si>
    <t>非营利组织</t>
    <phoneticPr fontId="133" type="noConversion"/>
  </si>
  <si>
    <t>存在境外关联交易</t>
    <phoneticPr fontId="133" type="noConversion"/>
  </si>
  <si>
    <t>上市公司</t>
    <phoneticPr fontId="133" type="noConversion"/>
  </si>
  <si>
    <t>从事股权投资业务</t>
    <phoneticPr fontId="133" type="noConversion"/>
  </si>
  <si>
    <t>注册地址</t>
    <phoneticPr fontId="133" type="noConversion"/>
  </si>
  <si>
    <t>经营地址</t>
    <phoneticPr fontId="133" type="noConversion"/>
  </si>
  <si>
    <t>邮政编码</t>
    <phoneticPr fontId="133" type="noConversion"/>
  </si>
  <si>
    <t>联系电话</t>
    <phoneticPr fontId="133" type="noConversion"/>
  </si>
  <si>
    <t>企业负责人</t>
    <phoneticPr fontId="133" type="noConversion"/>
  </si>
  <si>
    <t>财务负责人</t>
    <phoneticPr fontId="133" type="noConversion"/>
  </si>
  <si>
    <t>联系人</t>
    <phoneticPr fontId="133" type="noConversion"/>
  </si>
  <si>
    <t>会计制度</t>
    <phoneticPr fontId="133" type="noConversion"/>
  </si>
  <si>
    <t>开户银行</t>
    <phoneticPr fontId="133" type="noConversion"/>
  </si>
  <si>
    <t>银行账号</t>
    <phoneticPr fontId="133" type="noConversion"/>
  </si>
  <si>
    <t>经济类型</t>
    <phoneticPr fontId="133" type="noConversion"/>
  </si>
  <si>
    <t>所属行业</t>
    <phoneticPr fontId="133" type="noConversion"/>
  </si>
  <si>
    <t>统一社会信用代码</t>
    <phoneticPr fontId="133" type="noConversion"/>
  </si>
  <si>
    <t>企业登记日期</t>
    <phoneticPr fontId="133" type="noConversion"/>
  </si>
  <si>
    <t>经营范围</t>
    <phoneticPr fontId="133" type="noConversion"/>
  </si>
  <si>
    <t>经营期限</t>
    <phoneticPr fontId="133" type="noConversion"/>
  </si>
  <si>
    <t>税务登记证号</t>
    <phoneticPr fontId="133" type="noConversion"/>
  </si>
  <si>
    <t>发生资产（股权）划转特殊性税务处理事项</t>
    <phoneticPr fontId="133" type="noConversion"/>
  </si>
  <si>
    <t>发生非货币性资产投资递延纳税事项</t>
    <phoneticPr fontId="133" type="noConversion"/>
  </si>
  <si>
    <t>发生技术入股递延纳税事项</t>
    <phoneticPr fontId="133" type="noConversion"/>
  </si>
  <si>
    <t>发生企业重组事项</t>
    <phoneticPr fontId="133" type="noConversion"/>
  </si>
  <si>
    <t>重组开始时间</t>
    <phoneticPr fontId="133" type="noConversion"/>
  </si>
  <si>
    <t>重组完成时间</t>
    <phoneticPr fontId="133" type="noConversion"/>
  </si>
  <si>
    <t>重组交易类型</t>
    <phoneticPr fontId="133" type="noConversion"/>
  </si>
  <si>
    <t>企业在重组业务中所属当事方类型</t>
    <phoneticPr fontId="133" type="noConversion"/>
  </si>
  <si>
    <t>否</t>
    <phoneticPr fontId="128" type="noConversion"/>
  </si>
  <si>
    <t>国税密码</t>
    <phoneticPr fontId="128" type="noConversion"/>
  </si>
  <si>
    <t>地税密码</t>
    <phoneticPr fontId="128" type="noConversion"/>
  </si>
  <si>
    <t>内资企业</t>
  </si>
  <si>
    <t>国有企业</t>
  </si>
  <si>
    <t>集体企业</t>
  </si>
  <si>
    <t>股份合作企业</t>
  </si>
  <si>
    <t>联营企业</t>
  </si>
  <si>
    <t>国有联营企业</t>
  </si>
  <si>
    <t>集体联营企业</t>
  </si>
  <si>
    <t>国有与集体联营企业</t>
  </si>
  <si>
    <t>其他联营企业</t>
  </si>
  <si>
    <t>有限责任公司</t>
  </si>
  <si>
    <t>国有独资公司</t>
  </si>
  <si>
    <t>其他有限责任公司</t>
  </si>
  <si>
    <t>股份有限公司</t>
  </si>
  <si>
    <t>私营企业</t>
  </si>
  <si>
    <t>私营独资企业</t>
  </si>
  <si>
    <t>私营合伙企业</t>
  </si>
  <si>
    <t>私营有限责任公司</t>
  </si>
  <si>
    <t>私营股份有限公司</t>
  </si>
  <si>
    <t>个人独资及合伙企业</t>
  </si>
  <si>
    <t>其他内资企业</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</si>
  <si>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</si>
  <si>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</si>
  <si>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</si>
  <si>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</si>
  <si>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</si>
  <si>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</si>
  <si>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</si>
  <si>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</si>
  <si>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</si>
  <si>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</si>
  <si>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</si>
  <si>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</si>
  <si>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</si>
  <si>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</si>
  <si>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</si>
  <si>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</si>
  <si>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</si>
  <si>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</si>
  <si>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</si>
  <si>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</si>
  <si>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</si>
  <si>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</si>
  <si>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</si>
  <si>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</si>
  <si>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</si>
  <si>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</si>
  <si>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</si>
  <si>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</si>
  <si>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</si>
  <si>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</si>
  <si>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</si>
  <si>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个人</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</si>
  <si>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</si>
  <si>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</si>
  <si>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</si>
  <si>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</si>
  <si>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</si>
  <si>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</si>
  <si>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</si>
  <si>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</si>
  <si>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</si>
  <si>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</si>
  <si>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</si>
  <si>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</si>
  <si>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</si>
  <si>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100</t>
  </si>
  <si>
    <t>110</t>
  </si>
  <si>
    <t>120</t>
  </si>
  <si>
    <t>130</t>
  </si>
  <si>
    <t>140</t>
  </si>
  <si>
    <t>141</t>
  </si>
  <si>
    <t>142</t>
  </si>
  <si>
    <t>143</t>
  </si>
  <si>
    <t>149</t>
  </si>
  <si>
    <t>150</t>
  </si>
  <si>
    <t>151</t>
  </si>
  <si>
    <t>159</t>
  </si>
  <si>
    <t>160</t>
  </si>
  <si>
    <t>170</t>
  </si>
  <si>
    <t>171</t>
  </si>
  <si>
    <t>172</t>
  </si>
  <si>
    <t>173</t>
  </si>
  <si>
    <t>174</t>
  </si>
  <si>
    <t>175</t>
  </si>
  <si>
    <t>190</t>
  </si>
  <si>
    <t>200</t>
  </si>
  <si>
    <t>210</t>
  </si>
  <si>
    <t>220</t>
  </si>
  <si>
    <t>230</t>
  </si>
  <si>
    <t>240</t>
  </si>
  <si>
    <t>250</t>
  </si>
  <si>
    <t>251</t>
  </si>
  <si>
    <t>252</t>
  </si>
  <si>
    <t>253</t>
  </si>
  <si>
    <t>254</t>
  </si>
  <si>
    <t>259</t>
  </si>
  <si>
    <t>300</t>
  </si>
  <si>
    <t>310</t>
  </si>
  <si>
    <t>320</t>
  </si>
  <si>
    <t>330</t>
  </si>
  <si>
    <t>340</t>
  </si>
  <si>
    <t>350</t>
  </si>
  <si>
    <t>351</t>
  </si>
  <si>
    <t>352</t>
  </si>
  <si>
    <t>353</t>
  </si>
  <si>
    <t>354</t>
  </si>
  <si>
    <t>359</t>
  </si>
  <si>
    <t>400</t>
  </si>
  <si>
    <t>410</t>
  </si>
  <si>
    <t>411</t>
  </si>
  <si>
    <t>412</t>
  </si>
  <si>
    <t>413</t>
  </si>
  <si>
    <t>420</t>
  </si>
  <si>
    <t>421</t>
  </si>
  <si>
    <t>422</t>
  </si>
  <si>
    <t>423</t>
  </si>
  <si>
    <t>430</t>
  </si>
  <si>
    <t>431</t>
  </si>
  <si>
    <t>432</t>
  </si>
  <si>
    <t>433</t>
  </si>
  <si>
    <t>500</t>
  </si>
  <si>
    <t>510</t>
  </si>
  <si>
    <t>520</t>
  </si>
  <si>
    <t>521</t>
  </si>
  <si>
    <t>522</t>
  </si>
  <si>
    <t>523</t>
  </si>
  <si>
    <t>530</t>
  </si>
  <si>
    <t>540</t>
  </si>
  <si>
    <t>550</t>
  </si>
  <si>
    <t>560</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</si>
  <si>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</si>
  <si>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</si>
  <si>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</si>
  <si>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</si>
  <si>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</si>
  <si>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</si>
  <si>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</si>
  <si>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</si>
  <si>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</si>
  <si>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</si>
  <si>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</si>
  <si>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</si>
  <si>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</si>
  <si>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</si>
  <si>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</si>
  <si>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</si>
  <si>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</si>
  <si>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</si>
  <si>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</si>
  <si>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</si>
  <si>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</si>
  <si>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</si>
  <si>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</si>
  <si>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</si>
  <si>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</si>
  <si>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</si>
  <si>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</si>
  <si>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</si>
  <si>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</si>
  <si>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</si>
  <si>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</si>
  <si>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</si>
  <si>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</si>
  <si>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</si>
  <si>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</si>
  <si>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</si>
  <si>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</si>
  <si>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</si>
  <si>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</si>
  <si>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</si>
  <si>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</si>
  <si>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</si>
  <si>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</si>
  <si>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</si>
  <si>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</si>
  <si>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</si>
  <si>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</si>
  <si>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</si>
  <si>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</si>
  <si>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</si>
  <si>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</si>
  <si>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</si>
  <si>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</si>
  <si>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</si>
  <si>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</si>
  <si>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</si>
  <si>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</si>
  <si>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</si>
  <si>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</si>
  <si>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</si>
  <si>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</si>
  <si>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</si>
  <si>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</si>
  <si>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</si>
  <si>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</si>
  <si>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</si>
  <si>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</si>
  <si>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</si>
  <si>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</si>
  <si>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</si>
  <si>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</si>
  <si>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</si>
  <si>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</si>
  <si>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</si>
  <si>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</si>
  <si>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</si>
  <si>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</si>
  <si>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</si>
  <si>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</si>
  <si>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</si>
  <si>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</si>
  <si>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</si>
  <si>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</si>
  <si>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</si>
  <si>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</si>
  <si>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</si>
  <si>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</si>
  <si>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</si>
  <si>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</si>
  <si>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</si>
  <si>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</si>
  <si>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</si>
  <si>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</si>
  <si>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</si>
  <si>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</si>
  <si>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</si>
  <si>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</si>
  <si>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</si>
  <si>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</si>
  <si>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</si>
  <si>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0511</t>
  </si>
  <si>
    <t>农业机械服务</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</si>
  <si>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</si>
  <si>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</si>
  <si>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</si>
  <si>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</si>
  <si>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</si>
  <si>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</si>
  <si>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</si>
  <si>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</si>
  <si>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</si>
  <si>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</si>
  <si>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</si>
  <si>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</si>
  <si>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</si>
  <si>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</si>
  <si>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</si>
  <si>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</si>
  <si>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</si>
  <si>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</si>
  <si>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</si>
  <si>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</si>
  <si>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</si>
  <si>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</si>
  <si>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</si>
  <si>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</si>
  <si>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</si>
  <si>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</si>
  <si>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</si>
  <si>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</si>
  <si>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</si>
  <si>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</si>
  <si>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</si>
  <si>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</si>
  <si>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</si>
  <si>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</si>
  <si>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</si>
  <si>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</si>
  <si>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</si>
  <si>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</si>
  <si>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</si>
  <si>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</si>
  <si>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</si>
  <si>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</si>
  <si>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</si>
  <si>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</si>
  <si>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</si>
  <si>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</si>
  <si>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</si>
  <si>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</si>
  <si>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</si>
  <si>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</si>
  <si>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</si>
  <si>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</si>
  <si>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</si>
  <si>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</si>
  <si>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</si>
  <si>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</si>
  <si>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</si>
  <si>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</si>
  <si>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</si>
  <si>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</si>
  <si>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</si>
  <si>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</si>
  <si>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</si>
  <si>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</si>
  <si>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</si>
  <si>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</si>
  <si>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</si>
  <si>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</si>
  <si>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</si>
  <si>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</si>
  <si>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</si>
  <si>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</si>
  <si>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</si>
  <si>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</si>
  <si>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</si>
  <si>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</si>
  <si>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</si>
  <si>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</si>
  <si>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</si>
  <si>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</si>
  <si>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</si>
  <si>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</si>
  <si>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</si>
  <si>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</si>
  <si>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</si>
  <si>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</si>
  <si>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</si>
  <si>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</si>
  <si>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</si>
  <si>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</si>
  <si>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</si>
  <si>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</si>
  <si>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</si>
  <si>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</si>
  <si>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</si>
  <si>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</si>
  <si>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</si>
  <si>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</si>
  <si>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</si>
  <si>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</si>
  <si>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</si>
  <si>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</si>
  <si>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</si>
  <si>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</si>
  <si>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</si>
  <si>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</si>
  <si>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</si>
  <si>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</si>
  <si>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</si>
  <si>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</si>
  <si>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</si>
  <si>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</si>
  <si>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</si>
  <si>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</si>
  <si>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</si>
  <si>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</si>
  <si>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</si>
  <si>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</si>
  <si>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</si>
  <si>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</si>
  <si>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</si>
  <si>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</si>
  <si>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</si>
  <si>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</si>
  <si>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</si>
  <si>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</si>
  <si>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</si>
  <si>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</si>
  <si>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</si>
  <si>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</si>
  <si>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</si>
  <si>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</si>
  <si>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</si>
  <si>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</si>
  <si>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</si>
  <si>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</si>
  <si>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</si>
  <si>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</si>
  <si>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</si>
  <si>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</si>
  <si>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</si>
  <si>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</si>
  <si>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</si>
  <si>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</si>
  <si>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</si>
  <si>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</si>
  <si>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</si>
  <si>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</si>
  <si>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</si>
  <si>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</si>
  <si>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</si>
  <si>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</si>
  <si>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</si>
  <si>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</si>
  <si>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</si>
  <si>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</si>
  <si>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</si>
  <si>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</si>
  <si>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</si>
  <si>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</si>
  <si>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</si>
  <si>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</si>
  <si>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</si>
  <si>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</si>
  <si>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</si>
  <si>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</si>
  <si>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</si>
  <si>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</si>
  <si>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</si>
  <si>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</si>
  <si>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</si>
  <si>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</si>
  <si>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</si>
  <si>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</si>
  <si>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</si>
  <si>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</si>
  <si>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</si>
  <si>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</si>
  <si>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</si>
  <si>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</si>
  <si>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</si>
  <si>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</si>
  <si>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</si>
  <si>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</si>
  <si>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</si>
  <si>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</si>
  <si>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</si>
  <si>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</si>
  <si>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</si>
  <si>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</si>
  <si>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</si>
  <si>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</si>
  <si>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</si>
  <si>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</si>
  <si>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</si>
  <si>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</si>
  <si>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</si>
  <si>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</si>
  <si>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</si>
  <si>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</si>
  <si>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</si>
  <si>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</si>
  <si>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</si>
  <si>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</si>
  <si>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</si>
  <si>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</si>
  <si>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</si>
  <si>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</si>
  <si>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</si>
  <si>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</si>
  <si>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</si>
  <si>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</si>
  <si>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</si>
  <si>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</si>
  <si>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</si>
  <si>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</si>
  <si>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</si>
  <si>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</si>
  <si>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</si>
  <si>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</si>
  <si>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</si>
  <si>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</si>
  <si>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</si>
  <si>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</si>
  <si>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</si>
  <si>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</si>
  <si>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</si>
  <si>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</si>
  <si>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</si>
  <si>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</si>
  <si>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</si>
  <si>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</si>
  <si>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</si>
  <si>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</si>
  <si>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</si>
  <si>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</si>
  <si>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</si>
  <si>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</si>
  <si>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</si>
  <si>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</si>
  <si>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</si>
  <si>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</si>
  <si>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</si>
  <si>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</si>
  <si>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</si>
  <si>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</si>
  <si>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</si>
  <si>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</si>
  <si>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</si>
  <si>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</si>
  <si>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</si>
  <si>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</si>
  <si>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</si>
  <si>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</si>
  <si>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</si>
  <si>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</si>
  <si>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</si>
  <si>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</si>
  <si>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</si>
  <si>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</si>
  <si>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</si>
  <si>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</si>
  <si>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</si>
  <si>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</si>
  <si>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</si>
  <si>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</si>
  <si>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</si>
  <si>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</si>
  <si>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</si>
  <si>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</si>
  <si>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1929</t>
  </si>
  <si>
    <t>其他皮革制品制造</t>
  </si>
  <si>
    <t>1931</t>
  </si>
  <si>
    <t>毛皮鞣制加工</t>
  </si>
  <si>
    <t>1932</t>
  </si>
  <si>
    <t>毛皮服装加工</t>
  </si>
  <si>
    <t>1939</t>
  </si>
  <si>
    <t>其他毛皮制品加工</t>
  </si>
  <si>
    <t>1941</t>
  </si>
  <si>
    <t>羽毛（绒）加工</t>
  </si>
  <si>
    <t>1942</t>
  </si>
  <si>
    <t>羽毛（绒）制品加工</t>
  </si>
  <si>
    <t>1951</t>
  </si>
  <si>
    <t>纺织面料鞋制造</t>
  </si>
  <si>
    <t>1952</t>
  </si>
  <si>
    <t>皮鞋制造</t>
  </si>
  <si>
    <t>1953</t>
  </si>
  <si>
    <t>塑料鞋制造</t>
  </si>
  <si>
    <t>1954</t>
  </si>
  <si>
    <t>橡胶鞋制造</t>
  </si>
  <si>
    <t>1959</t>
  </si>
  <si>
    <t>其他制鞋业</t>
  </si>
  <si>
    <t>2011</t>
  </si>
  <si>
    <t>锯材加工</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</si>
  <si>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</si>
  <si>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</si>
  <si>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</si>
  <si>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</si>
  <si>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</si>
  <si>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</si>
  <si>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</si>
  <si>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</si>
  <si>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</si>
  <si>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</si>
  <si>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</si>
  <si>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</si>
  <si>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</si>
  <si>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</si>
  <si>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</si>
  <si>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</si>
  <si>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</si>
  <si>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</si>
  <si>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</si>
  <si>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</si>
  <si>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</si>
  <si>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</si>
  <si>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2039</t>
  </si>
  <si>
    <t>软木制品及其他木制品制造</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</si>
  <si>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</si>
  <si>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</si>
  <si>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</si>
  <si>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</si>
  <si>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</si>
  <si>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</si>
  <si>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</si>
  <si>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</si>
  <si>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</si>
  <si>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</si>
  <si>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</si>
  <si>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</si>
  <si>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</si>
  <si>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</si>
  <si>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</si>
  <si>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</si>
  <si>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</si>
  <si>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</si>
  <si>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</si>
  <si>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</si>
  <si>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</si>
  <si>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</si>
  <si>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</si>
  <si>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</si>
  <si>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</si>
  <si>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</si>
  <si>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</si>
  <si>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</si>
  <si>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</si>
  <si>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</si>
  <si>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</si>
  <si>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</si>
  <si>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</si>
  <si>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</si>
  <si>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</si>
  <si>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</si>
  <si>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</si>
  <si>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</si>
  <si>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</si>
  <si>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</si>
  <si>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</si>
  <si>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</si>
  <si>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</si>
  <si>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</si>
  <si>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</si>
  <si>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</si>
  <si>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</si>
  <si>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</si>
  <si>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</si>
  <si>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</si>
  <si>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</si>
  <si>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</si>
  <si>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2421</t>
  </si>
  <si>
    <t>中乐器制造</t>
  </si>
  <si>
    <t>2422</t>
  </si>
  <si>
    <t>西乐器制造</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</si>
  <si>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</si>
  <si>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</si>
  <si>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</si>
  <si>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</si>
  <si>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</si>
  <si>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</si>
  <si>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</si>
  <si>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</si>
  <si>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</si>
  <si>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</si>
  <si>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</si>
  <si>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</si>
  <si>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</si>
  <si>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</si>
  <si>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</si>
  <si>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</si>
  <si>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</si>
  <si>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</si>
  <si>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</si>
  <si>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</si>
  <si>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</si>
  <si>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</si>
  <si>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</si>
  <si>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</si>
  <si>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</si>
  <si>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</si>
  <si>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</si>
  <si>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</si>
  <si>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</si>
  <si>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</si>
  <si>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</si>
  <si>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</si>
  <si>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</si>
  <si>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</si>
  <si>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</si>
  <si>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</si>
  <si>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</si>
  <si>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</si>
  <si>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</si>
  <si>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</si>
  <si>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</si>
  <si>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</si>
  <si>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</si>
  <si>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</si>
  <si>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</si>
  <si>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</si>
  <si>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</si>
  <si>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</si>
  <si>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</si>
  <si>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</si>
  <si>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</si>
  <si>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</si>
  <si>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</si>
  <si>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</si>
  <si>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</si>
  <si>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</si>
  <si>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</si>
  <si>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</si>
  <si>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</si>
  <si>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</si>
  <si>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</si>
  <si>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</si>
  <si>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</si>
  <si>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</si>
  <si>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</si>
  <si>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</si>
  <si>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</si>
  <si>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</si>
  <si>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</si>
  <si>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</si>
  <si>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</si>
  <si>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</si>
  <si>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</si>
  <si>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</si>
  <si>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</si>
  <si>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</si>
  <si>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</si>
  <si>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</si>
  <si>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</si>
  <si>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</si>
  <si>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</si>
  <si>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</si>
  <si>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</si>
  <si>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</si>
  <si>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</si>
  <si>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</si>
  <si>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</si>
  <si>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</si>
  <si>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</si>
  <si>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</si>
  <si>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</si>
  <si>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</si>
  <si>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</si>
  <si>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</si>
  <si>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</si>
  <si>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</si>
  <si>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</si>
  <si>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</si>
  <si>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</si>
  <si>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</si>
  <si>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</si>
  <si>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</si>
  <si>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</si>
  <si>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</si>
  <si>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</si>
  <si>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</si>
  <si>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</si>
  <si>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</si>
  <si>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</si>
  <si>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</si>
  <si>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</si>
  <si>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</si>
  <si>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</si>
  <si>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</si>
  <si>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</si>
  <si>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</si>
  <si>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</si>
  <si>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</si>
  <si>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</si>
  <si>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</si>
  <si>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</si>
  <si>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</si>
  <si>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</si>
  <si>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</si>
  <si>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</si>
  <si>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</si>
  <si>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</si>
  <si>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</si>
  <si>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</si>
  <si>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</si>
  <si>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</si>
  <si>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</si>
  <si>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</si>
  <si>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</si>
  <si>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</si>
  <si>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</si>
  <si>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</si>
  <si>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</si>
  <si>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</si>
  <si>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</si>
  <si>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</si>
  <si>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</si>
  <si>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</si>
  <si>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</si>
  <si>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</si>
  <si>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</si>
  <si>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</si>
  <si>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</si>
  <si>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</si>
  <si>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</si>
  <si>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</si>
  <si>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</si>
  <si>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</si>
  <si>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</si>
  <si>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</si>
  <si>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</si>
  <si>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</si>
  <si>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</si>
  <si>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</si>
  <si>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</si>
  <si>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</si>
  <si>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</si>
  <si>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</si>
  <si>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</si>
  <si>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</si>
  <si>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</si>
  <si>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</si>
  <si>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</si>
  <si>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</si>
  <si>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</si>
  <si>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</si>
  <si>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</si>
  <si>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</si>
  <si>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</si>
  <si>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</si>
  <si>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</si>
  <si>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</si>
  <si>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</si>
  <si>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</si>
  <si>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</si>
  <si>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</si>
  <si>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</si>
  <si>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</si>
  <si>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</si>
  <si>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</si>
  <si>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</si>
  <si>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</si>
  <si>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</si>
  <si>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</si>
  <si>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</si>
  <si>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</si>
  <si>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</si>
  <si>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</si>
  <si>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</si>
  <si>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</si>
  <si>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</si>
  <si>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</si>
  <si>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</si>
  <si>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</si>
  <si>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</si>
  <si>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</si>
  <si>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</si>
  <si>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</si>
  <si>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</si>
  <si>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</si>
  <si>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</si>
  <si>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</si>
  <si>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</si>
  <si>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</si>
  <si>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</si>
  <si>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</si>
  <si>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</si>
  <si>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</si>
  <si>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</si>
  <si>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</si>
  <si>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</si>
  <si>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</si>
  <si>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</si>
  <si>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</si>
  <si>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</si>
  <si>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</si>
  <si>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</si>
  <si>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</si>
  <si>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</si>
  <si>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</si>
  <si>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</si>
  <si>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</si>
  <si>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</si>
  <si>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</si>
  <si>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</si>
  <si>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</si>
  <si>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</si>
  <si>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</si>
  <si>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</si>
  <si>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</si>
  <si>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</si>
  <si>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</si>
  <si>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</si>
  <si>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</si>
  <si>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</si>
  <si>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</si>
  <si>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</si>
  <si>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</si>
  <si>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</si>
  <si>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</si>
  <si>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</si>
  <si>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</si>
  <si>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</si>
  <si>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</si>
  <si>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</si>
  <si>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</si>
  <si>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</si>
  <si>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</si>
  <si>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</si>
  <si>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</si>
  <si>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</si>
  <si>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</si>
  <si>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</si>
  <si>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</si>
  <si>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</si>
  <si>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</si>
  <si>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</si>
  <si>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</si>
  <si>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</si>
  <si>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</si>
  <si>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</si>
  <si>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</si>
  <si>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</si>
  <si>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</si>
  <si>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</si>
  <si>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</si>
  <si>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</si>
  <si>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</si>
  <si>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</si>
  <si>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</si>
  <si>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</si>
  <si>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</si>
  <si>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</si>
  <si>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</si>
  <si>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</si>
  <si>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</si>
  <si>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</si>
  <si>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</si>
  <si>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</si>
  <si>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</si>
  <si>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</si>
  <si>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</si>
  <si>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</si>
  <si>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</si>
  <si>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</si>
  <si>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</si>
  <si>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</si>
  <si>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</si>
  <si>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</si>
  <si>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</si>
  <si>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</si>
  <si>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</si>
  <si>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</si>
  <si>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</si>
  <si>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</si>
  <si>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</si>
  <si>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</si>
  <si>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</si>
  <si>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</si>
  <si>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</si>
  <si>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</si>
  <si>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</si>
  <si>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</si>
  <si>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</si>
  <si>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</si>
  <si>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</si>
  <si>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</si>
  <si>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</si>
  <si>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</si>
  <si>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</si>
  <si>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</si>
  <si>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</si>
  <si>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</si>
  <si>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</si>
  <si>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</si>
  <si>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</si>
  <si>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</si>
  <si>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</si>
  <si>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</si>
  <si>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</si>
  <si>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</si>
  <si>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</si>
  <si>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</si>
  <si>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</si>
  <si>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</si>
  <si>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</si>
  <si>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</si>
  <si>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</si>
  <si>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</si>
  <si>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</si>
  <si>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</si>
  <si>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</si>
  <si>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</si>
  <si>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</si>
  <si>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</si>
  <si>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</si>
  <si>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</si>
  <si>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</si>
  <si>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</si>
  <si>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</si>
  <si>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</si>
  <si>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</si>
  <si>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</si>
  <si>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</si>
  <si>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</si>
  <si>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</si>
  <si>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</si>
  <si>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</si>
  <si>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</si>
  <si>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</si>
  <si>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</si>
  <si>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</si>
  <si>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</si>
  <si>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</si>
  <si>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</si>
  <si>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</si>
  <si>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</si>
  <si>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</si>
  <si>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</si>
  <si>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</si>
  <si>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</si>
  <si>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</si>
  <si>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</si>
  <si>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</si>
  <si>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</si>
  <si>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</si>
  <si>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</si>
  <si>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</si>
  <si>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</si>
  <si>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</si>
  <si>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</si>
  <si>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</si>
  <si>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</si>
  <si>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</si>
  <si>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</si>
  <si>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</si>
  <si>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</si>
  <si>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</si>
  <si>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</si>
  <si>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</si>
  <si>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</si>
  <si>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</si>
  <si>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</si>
  <si>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</si>
  <si>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</si>
  <si>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</si>
  <si>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</si>
  <si>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</si>
  <si>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</si>
  <si>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</si>
  <si>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</si>
  <si>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</si>
  <si>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</si>
  <si>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</si>
  <si>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</si>
  <si>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</si>
  <si>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</si>
  <si>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</si>
  <si>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</si>
  <si>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</si>
  <si>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</si>
  <si>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</si>
  <si>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</si>
  <si>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</si>
  <si>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</si>
  <si>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</si>
  <si>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</si>
  <si>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</si>
  <si>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</si>
  <si>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</si>
  <si>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</si>
  <si>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</si>
  <si>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</si>
  <si>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</si>
  <si>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</si>
  <si>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</si>
  <si>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</si>
  <si>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</si>
  <si>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</si>
  <si>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</si>
  <si>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</si>
  <si>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</si>
  <si>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</si>
  <si>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</si>
  <si>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</si>
  <si>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</si>
  <si>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</si>
  <si>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</si>
  <si>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</si>
  <si>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</si>
  <si>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</si>
  <si>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</si>
  <si>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</si>
  <si>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</si>
  <si>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</si>
  <si>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</si>
  <si>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</si>
  <si>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</si>
  <si>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</si>
  <si>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</si>
  <si>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</si>
  <si>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</si>
  <si>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</si>
  <si>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</si>
  <si>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</si>
  <si>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</si>
  <si>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</si>
  <si>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</si>
  <si>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</si>
  <si>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</si>
  <si>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</si>
  <si>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</si>
  <si>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</si>
  <si>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</si>
  <si>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</si>
  <si>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</si>
  <si>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</si>
  <si>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</si>
  <si>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</si>
  <si>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</si>
  <si>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</si>
  <si>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</si>
  <si>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</si>
  <si>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</si>
  <si>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</si>
  <si>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</si>
  <si>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</si>
  <si>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</si>
  <si>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</si>
  <si>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</si>
  <si>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</si>
  <si>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</si>
  <si>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</si>
  <si>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</si>
  <si>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</si>
  <si>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</si>
  <si>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</si>
  <si>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</si>
  <si>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</si>
  <si>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</si>
  <si>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</si>
  <si>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</si>
  <si>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</si>
  <si>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</si>
  <si>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</si>
  <si>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</si>
  <si>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</si>
  <si>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</si>
  <si>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</si>
  <si>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</si>
  <si>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</si>
  <si>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</si>
  <si>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</si>
  <si>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</si>
  <si>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</si>
  <si>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</si>
  <si>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</si>
  <si>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</si>
  <si>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</si>
  <si>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</si>
  <si>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</si>
  <si>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</si>
  <si>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</si>
  <si>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</si>
  <si>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</si>
  <si>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</si>
  <si>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</si>
  <si>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</si>
  <si>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</si>
  <si>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</si>
  <si>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</si>
  <si>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</si>
  <si>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</si>
  <si>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</si>
  <si>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</si>
  <si>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</si>
  <si>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</si>
  <si>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</si>
  <si>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</si>
  <si>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</si>
  <si>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</si>
  <si>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</si>
  <si>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</si>
  <si>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</si>
  <si>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</si>
  <si>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</si>
  <si>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</si>
  <si>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</si>
  <si>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</si>
  <si>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</si>
  <si>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</si>
  <si>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</si>
  <si>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</si>
  <si>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</si>
  <si>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</si>
  <si>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</si>
  <si>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</si>
  <si>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</si>
  <si>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</si>
  <si>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</si>
  <si>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</si>
  <si>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</si>
  <si>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</si>
  <si>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</si>
  <si>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</si>
  <si>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</si>
  <si>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</si>
  <si>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</si>
  <si>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</si>
  <si>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</si>
  <si>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</si>
  <si>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</si>
  <si>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</si>
  <si>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</si>
  <si>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</si>
  <si>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</si>
  <si>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</si>
  <si>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</si>
  <si>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</si>
  <si>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</si>
  <si>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</si>
  <si>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</si>
  <si>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</si>
  <si>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</si>
  <si>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</si>
  <si>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</si>
  <si>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</si>
  <si>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</si>
  <si>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</si>
  <si>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</si>
  <si>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</si>
  <si>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</si>
  <si>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</si>
  <si>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</si>
  <si>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</si>
  <si>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</si>
  <si>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</si>
  <si>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</si>
  <si>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</si>
  <si>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</si>
  <si>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</si>
  <si>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</si>
  <si>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</si>
  <si>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</si>
  <si>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</si>
  <si>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</si>
  <si>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</si>
  <si>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</si>
  <si>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</si>
  <si>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</si>
  <si>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</si>
  <si>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</si>
  <si>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</si>
  <si>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</si>
  <si>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</si>
  <si>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</si>
  <si>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</si>
  <si>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</si>
  <si>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</si>
  <si>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</si>
  <si>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</si>
  <si>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</si>
  <si>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</si>
  <si>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</si>
  <si>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</si>
  <si>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</si>
  <si>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</si>
  <si>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</si>
  <si>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</si>
  <si>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</si>
  <si>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</si>
  <si>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</si>
  <si>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</si>
  <si>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</si>
  <si>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</si>
  <si>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</si>
  <si>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</si>
  <si>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</si>
  <si>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</si>
  <si>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</si>
  <si>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</si>
  <si>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</si>
  <si>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</si>
  <si>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</si>
  <si>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</si>
  <si>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</si>
  <si>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</si>
  <si>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</si>
  <si>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</si>
  <si>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</si>
  <si>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</si>
  <si>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</si>
  <si>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</si>
  <si>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</si>
  <si>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</si>
  <si>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</si>
  <si>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</si>
  <si>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</si>
  <si>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</si>
  <si>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</si>
  <si>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</si>
  <si>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</si>
  <si>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</si>
  <si>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</si>
  <si>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</si>
  <si>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</si>
  <si>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</si>
  <si>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</si>
  <si>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</si>
  <si>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</si>
  <si>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</si>
  <si>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</si>
  <si>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</si>
  <si>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</si>
  <si>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</si>
  <si>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</si>
  <si>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</si>
  <si>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</si>
  <si>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</si>
  <si>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</si>
  <si>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</si>
  <si>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</si>
  <si>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</si>
  <si>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</si>
  <si>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</si>
  <si>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</si>
  <si>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</si>
  <si>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</si>
  <si>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</si>
  <si>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</si>
  <si>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</si>
  <si>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</si>
  <si>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</si>
  <si>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</si>
  <si>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</si>
  <si>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</si>
  <si>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</si>
  <si>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</si>
  <si>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</si>
  <si>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</si>
  <si>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</si>
  <si>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</si>
  <si>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</si>
  <si>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</si>
  <si>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</si>
  <si>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</si>
  <si>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</si>
  <si>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</si>
  <si>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</si>
  <si>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</si>
  <si>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</si>
  <si>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</si>
  <si>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</si>
  <si>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</si>
  <si>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</si>
  <si>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</si>
  <si>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</si>
  <si>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</si>
  <si>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</si>
  <si>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</si>
  <si>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</si>
  <si>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</si>
  <si>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</si>
  <si>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</si>
  <si>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</si>
  <si>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</si>
  <si>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</si>
  <si>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</si>
  <si>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</si>
  <si>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</si>
  <si>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</si>
  <si>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</si>
  <si>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</si>
  <si>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</si>
  <si>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</si>
  <si>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</si>
  <si>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</si>
  <si>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</si>
  <si>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</si>
  <si>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</si>
  <si>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</si>
  <si>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</si>
  <si>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</si>
  <si>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</si>
  <si>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</si>
  <si>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</si>
  <si>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</si>
  <si>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</si>
  <si>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</si>
  <si>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</si>
  <si>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</si>
  <si>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</si>
  <si>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</si>
  <si>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</si>
  <si>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</si>
  <si>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</si>
  <si>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</si>
  <si>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</si>
  <si>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</si>
  <si>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</si>
  <si>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</si>
  <si>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</si>
  <si>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</si>
  <si>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</si>
  <si>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</si>
  <si>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</si>
  <si>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</si>
  <si>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</si>
  <si>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</si>
  <si>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</si>
  <si>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</si>
  <si>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</si>
  <si>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</si>
  <si>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</si>
  <si>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</si>
  <si>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</si>
  <si>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</si>
  <si>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</si>
  <si>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</si>
  <si>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</si>
  <si>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</si>
  <si>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</si>
  <si>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</si>
  <si>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</si>
  <si>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</si>
  <si>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</si>
  <si>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</si>
  <si>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</si>
  <si>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</si>
  <si>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</si>
  <si>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</si>
  <si>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</si>
  <si>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</si>
  <si>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</si>
  <si>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</si>
  <si>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</si>
  <si>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</si>
  <si>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</si>
  <si>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</si>
  <si>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</si>
  <si>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</si>
  <si>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</si>
  <si>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</si>
  <si>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</si>
  <si>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</si>
  <si>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</si>
  <si>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</si>
  <si>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</si>
  <si>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</si>
  <si>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</si>
  <si>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</si>
  <si>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</si>
  <si>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</si>
  <si>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</si>
  <si>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</si>
  <si>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</si>
  <si>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</si>
  <si>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</si>
  <si>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</si>
  <si>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</si>
  <si>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</si>
  <si>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</si>
  <si>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</si>
  <si>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</si>
  <si>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</si>
  <si>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</si>
  <si>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</si>
  <si>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</si>
  <si>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</si>
  <si>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</si>
  <si>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</si>
  <si>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</si>
  <si>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</si>
  <si>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</si>
  <si>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</si>
  <si>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</si>
  <si>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</si>
  <si>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</si>
  <si>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</si>
  <si>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</si>
  <si>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</si>
  <si>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</si>
  <si>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</si>
  <si>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</si>
  <si>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</si>
  <si>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</si>
  <si>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</si>
  <si>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</si>
  <si>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</si>
  <si>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</si>
  <si>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</si>
  <si>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</si>
  <si>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</si>
  <si>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</si>
  <si>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</si>
  <si>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</si>
  <si>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</si>
  <si>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</si>
  <si>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</si>
  <si>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</si>
  <si>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</si>
  <si>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</si>
  <si>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</si>
  <si>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</si>
  <si>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</si>
  <si>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</si>
  <si>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</si>
  <si>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</si>
  <si>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</si>
  <si>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</si>
  <si>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</si>
  <si>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</si>
  <si>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</si>
  <si>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</si>
  <si>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</si>
  <si>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</si>
  <si>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</si>
  <si>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</si>
  <si>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</si>
  <si>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</si>
  <si>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</si>
  <si>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</si>
  <si>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</si>
  <si>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</si>
  <si>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</si>
  <si>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</si>
  <si>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</si>
  <si>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</si>
  <si>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</si>
  <si>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</si>
  <si>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</si>
  <si>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</si>
  <si>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</si>
  <si>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</si>
  <si>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</si>
  <si>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</si>
  <si>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</si>
  <si>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</si>
  <si>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</si>
  <si>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</si>
  <si>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</si>
  <si>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</si>
  <si>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</si>
  <si>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</si>
  <si>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</si>
  <si>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</si>
  <si>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</si>
  <si>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</si>
  <si>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</si>
  <si>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</si>
  <si>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</si>
  <si>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</si>
  <si>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</si>
  <si>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</si>
  <si>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</si>
  <si>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</si>
  <si>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</si>
  <si>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</si>
  <si>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</si>
  <si>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</si>
  <si>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</si>
  <si>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</si>
  <si>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</si>
  <si>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</si>
  <si>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</si>
  <si>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</si>
  <si>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</si>
  <si>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</si>
  <si>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</si>
  <si>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</si>
  <si>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</si>
  <si>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</si>
  <si>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</si>
  <si>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</si>
  <si>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</si>
  <si>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</si>
  <si>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</si>
  <si>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</si>
  <si>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</si>
  <si>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</si>
  <si>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</si>
  <si>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</si>
  <si>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</si>
  <si>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</si>
  <si>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</si>
  <si>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</si>
  <si>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</si>
  <si>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</si>
  <si>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</si>
  <si>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</si>
  <si>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</si>
  <si>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</si>
  <si>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</si>
  <si>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</si>
  <si>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</si>
  <si>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</si>
  <si>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</si>
  <si>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</si>
  <si>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</si>
  <si>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</si>
  <si>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</si>
  <si>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</si>
  <si>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</si>
  <si>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</si>
  <si>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</si>
  <si>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</si>
  <si>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</si>
  <si>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</si>
  <si>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</si>
  <si>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</si>
  <si>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</si>
  <si>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</si>
  <si>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</si>
  <si>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</si>
  <si>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</si>
  <si>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</si>
  <si>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</si>
  <si>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</si>
  <si>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</si>
  <si>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</si>
  <si>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</si>
  <si>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</si>
  <si>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</si>
  <si>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</si>
  <si>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</si>
  <si>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</si>
  <si>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</si>
  <si>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</si>
  <si>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</si>
  <si>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</si>
  <si>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</si>
  <si>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</si>
  <si>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</si>
  <si>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</si>
  <si>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</si>
  <si>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</si>
  <si>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</si>
  <si>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</si>
  <si>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</si>
  <si>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</si>
  <si>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</si>
  <si>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</si>
  <si>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</si>
  <si>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</si>
  <si>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</si>
  <si>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</si>
  <si>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</si>
  <si>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</si>
  <si>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</si>
  <si>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</si>
  <si>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</si>
  <si>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</si>
  <si>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</si>
  <si>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</si>
  <si>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</si>
  <si>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</si>
  <si>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</si>
  <si>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</si>
  <si>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</si>
  <si>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</si>
  <si>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</si>
  <si>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</si>
  <si>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</si>
  <si>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</si>
  <si>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</si>
  <si>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</si>
  <si>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</si>
  <si>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</si>
  <si>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</si>
  <si>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</si>
  <si>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</si>
  <si>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</si>
  <si>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</si>
  <si>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</si>
  <si>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</si>
  <si>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</si>
  <si>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</si>
  <si>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</si>
  <si>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</si>
  <si>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</si>
  <si>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</si>
  <si>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</si>
  <si>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</si>
  <si>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</si>
  <si>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</si>
  <si>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</si>
  <si>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</si>
  <si>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</si>
  <si>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</si>
  <si>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</si>
  <si>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</si>
  <si>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</si>
  <si>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</si>
  <si>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</si>
  <si>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</si>
  <si>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</si>
  <si>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</si>
  <si>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</si>
  <si>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</si>
  <si>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</si>
  <si>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</si>
  <si>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</si>
  <si>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</si>
  <si>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</si>
  <si>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</si>
  <si>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</si>
  <si>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</si>
  <si>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</si>
  <si>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</si>
  <si>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</si>
  <si>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</si>
  <si>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</si>
  <si>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</si>
  <si>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</si>
  <si>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</si>
  <si>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</si>
  <si>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</si>
  <si>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</si>
  <si>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</si>
  <si>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</si>
  <si>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</si>
  <si>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</si>
  <si>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</si>
  <si>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</si>
  <si>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</si>
  <si>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</si>
  <si>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</si>
  <si>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</si>
  <si>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</si>
  <si>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</si>
  <si>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</si>
  <si>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</si>
  <si>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</si>
  <si>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</si>
  <si>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</si>
  <si>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</si>
  <si>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</si>
  <si>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</si>
  <si>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</si>
  <si>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</si>
  <si>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</si>
  <si>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</si>
  <si>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</si>
  <si>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</si>
  <si>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</si>
  <si>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</si>
  <si>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</si>
  <si>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</si>
  <si>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</si>
  <si>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</si>
  <si>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</si>
  <si>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</si>
  <si>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</si>
  <si>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</si>
  <si>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</si>
  <si>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</si>
  <si>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</si>
  <si>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</si>
  <si>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</si>
  <si>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</si>
  <si>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</si>
  <si>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</si>
  <si>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</si>
  <si>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</si>
  <si>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</si>
  <si>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</si>
  <si>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</si>
  <si>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</si>
  <si>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</si>
  <si>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</si>
  <si>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</si>
  <si>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</si>
  <si>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</si>
  <si>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</si>
  <si>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</si>
  <si>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</si>
  <si>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</si>
  <si>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</si>
  <si>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</si>
  <si>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</si>
  <si>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</si>
  <si>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</si>
  <si>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</si>
  <si>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</si>
  <si>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</si>
  <si>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</si>
  <si>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</si>
  <si>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</si>
  <si>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</si>
  <si>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</si>
  <si>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</si>
  <si>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</si>
  <si>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</si>
  <si>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</si>
  <si>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</si>
  <si>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</si>
  <si>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</si>
  <si>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</si>
  <si>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</si>
  <si>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</si>
  <si>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</si>
  <si>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</si>
  <si>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</si>
  <si>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</si>
  <si>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</si>
  <si>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</si>
  <si>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</si>
  <si>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</si>
  <si>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</si>
  <si>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</si>
  <si>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</si>
  <si>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</si>
  <si>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</si>
  <si>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</si>
  <si>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</si>
  <si>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</si>
  <si>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</si>
  <si>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</si>
  <si>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</si>
  <si>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</si>
  <si>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</si>
  <si>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</si>
  <si>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</si>
  <si>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</si>
  <si>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</si>
  <si>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</si>
  <si>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</si>
  <si>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</si>
  <si>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</si>
  <si>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</si>
  <si>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</si>
  <si>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</si>
  <si>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</si>
  <si>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</si>
  <si>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</si>
  <si>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</si>
  <si>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</si>
  <si>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</si>
  <si>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</si>
  <si>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</si>
  <si>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</si>
  <si>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</si>
  <si>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</si>
  <si>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</si>
  <si>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</si>
  <si>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</si>
  <si>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</si>
  <si>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</si>
  <si>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</si>
  <si>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</si>
  <si>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</si>
  <si>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</si>
  <si>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</si>
  <si>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</si>
  <si>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</si>
  <si>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</si>
  <si>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</si>
  <si>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</si>
  <si>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</si>
  <si>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</si>
  <si>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</si>
  <si>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</si>
  <si>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</si>
  <si>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</si>
  <si>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</si>
  <si>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</si>
  <si>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</si>
  <si>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</si>
  <si>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</si>
  <si>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</si>
  <si>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</si>
  <si>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</si>
  <si>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</si>
  <si>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</si>
  <si>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</si>
  <si>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</si>
  <si>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</si>
  <si>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</si>
  <si>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</si>
  <si>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</si>
  <si>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</si>
  <si>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</si>
  <si>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</si>
  <si>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</si>
  <si>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</si>
  <si>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</si>
  <si>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</si>
  <si>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</si>
  <si>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</si>
  <si>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</si>
  <si>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</si>
  <si>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</si>
  <si>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</si>
  <si>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</si>
  <si>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</si>
  <si>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</si>
  <si>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</si>
  <si>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</si>
  <si>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</si>
  <si>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</si>
  <si>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</si>
  <si>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</si>
  <si>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</si>
  <si>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</si>
  <si>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</si>
  <si>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</si>
  <si>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</si>
  <si>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</si>
  <si>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</si>
  <si>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</si>
  <si>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</si>
  <si>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</si>
  <si>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</si>
  <si>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</si>
  <si>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</si>
  <si>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</si>
  <si>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</si>
  <si>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</si>
  <si>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</si>
  <si>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</si>
  <si>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</si>
  <si>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</si>
  <si>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</si>
  <si>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</si>
  <si>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</si>
  <si>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</si>
  <si>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</si>
  <si>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</si>
  <si>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</si>
  <si>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</si>
  <si>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</si>
  <si>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</si>
  <si>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</si>
  <si>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</si>
  <si>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</si>
  <si>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</si>
  <si>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</si>
  <si>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</si>
  <si>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</si>
  <si>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</si>
  <si>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</si>
  <si>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</si>
  <si>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</si>
  <si>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</si>
  <si>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</si>
  <si>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</si>
  <si>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</si>
  <si>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</si>
  <si>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</si>
  <si>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</si>
  <si>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</si>
  <si>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</si>
  <si>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</si>
  <si>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</si>
  <si>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</si>
  <si>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</si>
  <si>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</si>
  <si>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</si>
  <si>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</si>
  <si>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</si>
  <si>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</si>
  <si>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</si>
  <si>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</si>
  <si>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</si>
  <si>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</si>
  <si>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</si>
  <si>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</si>
  <si>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</si>
  <si>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</si>
  <si>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</si>
  <si>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</si>
  <si>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</si>
  <si>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</si>
  <si>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</si>
  <si>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</si>
  <si>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</si>
  <si>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</si>
  <si>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</si>
  <si>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</si>
  <si>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</si>
  <si>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</si>
  <si>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</si>
  <si>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</si>
  <si>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</si>
  <si>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</si>
  <si>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</si>
  <si>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</si>
  <si>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</si>
  <si>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</si>
  <si>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</si>
  <si>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</si>
  <si>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</si>
  <si>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</si>
  <si>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</si>
  <si>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</si>
  <si>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</si>
  <si>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</si>
  <si>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</si>
  <si>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</si>
  <si>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</si>
  <si>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</si>
  <si>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</si>
  <si>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</si>
  <si>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</si>
  <si>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</si>
  <si>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</si>
  <si>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</si>
  <si>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</si>
  <si>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</si>
  <si>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</si>
  <si>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</si>
  <si>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</si>
  <si>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</si>
  <si>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</si>
  <si>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</si>
  <si>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</si>
  <si>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</si>
  <si>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</si>
  <si>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</si>
  <si>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</si>
  <si>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</si>
  <si>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</si>
  <si>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</si>
  <si>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</si>
  <si>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</si>
  <si>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</si>
  <si>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</si>
  <si>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</si>
  <si>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</si>
  <si>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</si>
  <si>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</si>
  <si>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</si>
  <si>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</si>
  <si>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</si>
  <si>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</si>
  <si>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</si>
  <si>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</si>
  <si>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</si>
  <si>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</si>
  <si>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</si>
  <si>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</si>
  <si>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</si>
  <si>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</si>
  <si>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</si>
  <si>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</si>
  <si>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</si>
  <si>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</si>
  <si>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</si>
  <si>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</si>
  <si>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</si>
  <si>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</si>
  <si>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</si>
  <si>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</si>
  <si>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</si>
  <si>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</si>
  <si>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</si>
  <si>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</si>
  <si>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</si>
  <si>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</si>
  <si>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</si>
  <si>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</si>
  <si>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</si>
  <si>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</si>
  <si>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</si>
  <si>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</si>
  <si>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</si>
  <si>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</si>
  <si>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</si>
  <si>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</si>
  <si>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</si>
  <si>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</si>
  <si>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</si>
  <si>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</si>
  <si>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</si>
  <si>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</si>
  <si>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</si>
  <si>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</si>
  <si>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</si>
  <si>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</si>
  <si>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</si>
  <si>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</si>
  <si>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</si>
  <si>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</si>
  <si>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</si>
  <si>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</si>
  <si>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</si>
  <si>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</si>
  <si>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</si>
  <si>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</si>
  <si>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</si>
  <si>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</si>
  <si>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</si>
  <si>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</si>
  <si>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</si>
  <si>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</si>
  <si>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</si>
  <si>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</si>
  <si>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</si>
  <si>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</si>
  <si>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</si>
  <si>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</si>
  <si>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</si>
  <si>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</si>
  <si>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</si>
  <si>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</si>
  <si>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</si>
  <si>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</si>
  <si>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</si>
  <si>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</si>
  <si>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</si>
  <si>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</si>
  <si>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</si>
  <si>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</si>
  <si>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</si>
  <si>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</si>
  <si>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</si>
  <si>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</si>
  <si>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</si>
  <si>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</si>
  <si>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</si>
  <si>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</si>
  <si>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</si>
  <si>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</si>
  <si>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</si>
  <si>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</si>
  <si>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</si>
  <si>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</si>
  <si>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</si>
  <si>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</si>
  <si>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</si>
  <si>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</si>
  <si>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</si>
  <si>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</si>
  <si>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</si>
  <si>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</si>
  <si>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</si>
  <si>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</si>
  <si>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</si>
  <si>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</si>
  <si>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</si>
  <si>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</si>
  <si>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</si>
  <si>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</si>
  <si>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</si>
  <si>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</si>
  <si>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</si>
  <si>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</si>
  <si>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</si>
  <si>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</si>
  <si>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</si>
  <si>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</si>
  <si>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</si>
  <si>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</si>
  <si>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</si>
  <si>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</si>
  <si>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</si>
  <si>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</si>
  <si>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</si>
  <si>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</si>
  <si>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</si>
  <si>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</si>
  <si>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</si>
  <si>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</si>
  <si>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</si>
  <si>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</si>
  <si>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</si>
  <si>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</si>
  <si>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</si>
  <si>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</si>
  <si>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</si>
  <si>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</si>
  <si>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</si>
  <si>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</si>
  <si>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</si>
  <si>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</si>
  <si>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</si>
  <si>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</si>
  <si>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</si>
  <si>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</si>
  <si>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</si>
  <si>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</si>
  <si>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</si>
  <si>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</si>
  <si>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</si>
  <si>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</si>
  <si>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</si>
  <si>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</si>
  <si>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</si>
  <si>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</si>
  <si>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</si>
  <si>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</si>
  <si>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</si>
  <si>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</si>
  <si>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</si>
  <si>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</si>
  <si>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</si>
  <si>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</si>
  <si>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</si>
  <si>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</si>
  <si>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</si>
  <si>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</si>
  <si>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</si>
  <si>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</si>
  <si>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</si>
  <si>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</si>
  <si>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</si>
  <si>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</si>
  <si>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</si>
  <si>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</si>
  <si>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</si>
  <si>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</si>
  <si>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</si>
  <si>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</si>
  <si>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</si>
  <si>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</si>
  <si>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</si>
  <si>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</si>
  <si>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</si>
  <si>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</si>
  <si>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</si>
  <si>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</si>
  <si>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</si>
  <si>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</si>
  <si>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</si>
  <si>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</si>
  <si>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</si>
  <si>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</si>
  <si>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</si>
  <si>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</si>
  <si>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</si>
  <si>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</si>
  <si>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</si>
  <si>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</si>
  <si>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</si>
  <si>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</si>
  <si>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</si>
  <si>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</si>
  <si>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</si>
  <si>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</si>
  <si>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</si>
  <si>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</si>
  <si>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</si>
  <si>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</si>
  <si>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</si>
  <si>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</si>
  <si>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</si>
  <si>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</si>
  <si>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</si>
  <si>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</si>
  <si>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</si>
  <si>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</si>
  <si>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</si>
  <si>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</si>
  <si>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</si>
  <si>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</si>
  <si>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</si>
  <si>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</si>
  <si>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</si>
  <si>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</si>
  <si>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</si>
  <si>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</si>
  <si>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</si>
  <si>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</si>
  <si>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</si>
  <si>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</si>
  <si>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</si>
  <si>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</si>
  <si>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</si>
  <si>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</si>
  <si>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</si>
  <si>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</si>
  <si>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</si>
  <si>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</si>
  <si>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</si>
  <si>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</si>
  <si>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</si>
  <si>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</si>
  <si>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</si>
  <si>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</si>
  <si>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</si>
  <si>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</si>
  <si>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</si>
  <si>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</si>
  <si>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</si>
  <si>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</si>
  <si>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</si>
  <si>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</si>
  <si>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</si>
  <si>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</si>
  <si>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</si>
  <si>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</si>
  <si>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</si>
  <si>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</si>
  <si>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</si>
  <si>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</si>
  <si>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</si>
  <si>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</si>
  <si>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</si>
  <si>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</si>
  <si>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</si>
  <si>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</si>
  <si>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</si>
  <si>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</si>
  <si>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</si>
  <si>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</si>
  <si>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</si>
  <si>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</si>
  <si>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</si>
  <si>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</si>
  <si>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</si>
  <si>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</si>
  <si>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</si>
  <si>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</si>
  <si>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</si>
  <si>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</si>
  <si>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</si>
  <si>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</si>
  <si>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</si>
  <si>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</si>
  <si>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</si>
  <si>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</si>
  <si>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</si>
  <si>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</si>
  <si>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</si>
  <si>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</si>
  <si>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</si>
  <si>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</si>
  <si>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</si>
  <si>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</si>
  <si>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</si>
  <si>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</si>
  <si>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</si>
  <si>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</si>
  <si>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</si>
  <si>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</si>
  <si>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</si>
  <si>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</si>
  <si>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</si>
  <si>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</si>
  <si>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</si>
  <si>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</si>
  <si>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</si>
  <si>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</si>
  <si>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</si>
  <si>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</si>
  <si>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</si>
  <si>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</si>
  <si>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</si>
  <si>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</si>
  <si>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</si>
  <si>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</si>
  <si>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</si>
  <si>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</si>
  <si>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</si>
  <si>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</si>
  <si>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</si>
  <si>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</si>
  <si>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</si>
  <si>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</si>
  <si>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</si>
  <si>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</si>
  <si>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</si>
  <si>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</si>
  <si>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</si>
  <si>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</si>
  <si>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</si>
  <si>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国际组织</t>
  </si>
  <si>
    <t>明细行业</t>
    <phoneticPr fontId="133" type="noConversion"/>
  </si>
  <si>
    <t>农、林、牧、渔业</t>
  </si>
  <si>
    <t>采矿业</t>
  </si>
  <si>
    <t>制造业</t>
  </si>
  <si>
    <t>电力、热力、燃气及水生产和供应业</t>
  </si>
  <si>
    <t>建筑业</t>
  </si>
  <si>
    <t>批发和零售业</t>
  </si>
  <si>
    <t>交通运输、仓储和邮政业</t>
  </si>
  <si>
    <t>住宿和餐饮业</t>
  </si>
  <si>
    <t>信息传输、软件和信息技术服务业</t>
  </si>
  <si>
    <t>金融业</t>
  </si>
  <si>
    <t>房地产业</t>
  </si>
  <si>
    <t>租赁和商务服务业</t>
  </si>
  <si>
    <t>科学研究和技术服务业</t>
  </si>
  <si>
    <t>水利、环境和公共设施管理业</t>
  </si>
  <si>
    <t>居民服务、修理和其他服务业</t>
  </si>
  <si>
    <t>教育</t>
  </si>
  <si>
    <t>卫生和社会工作</t>
  </si>
  <si>
    <t>文化、体育和娱乐业</t>
  </si>
  <si>
    <t>公共管理、社会保障和社会组织</t>
  </si>
  <si>
    <t>事务所邮政编码</t>
    <phoneticPr fontId="128" type="noConversion"/>
  </si>
  <si>
    <t>事务所联系电话</t>
    <phoneticPr fontId="128" type="noConversion"/>
  </si>
  <si>
    <t>事务所传真</t>
    <phoneticPr fontId="128" type="noConversion"/>
  </si>
  <si>
    <t>事务所Email</t>
    <phoneticPr fontId="128" type="noConversion"/>
  </si>
  <si>
    <t>保留意见</t>
  </si>
  <si>
    <t>否定意见</t>
  </si>
  <si>
    <t>无保留意见</t>
  </si>
  <si>
    <t>无法表明意见</t>
  </si>
  <si>
    <t>审核报告意见类型</t>
    <phoneticPr fontId="135" type="noConversion"/>
  </si>
  <si>
    <t>中汇（厦门）税务师事务所有限公司</t>
    <phoneticPr fontId="135" type="noConversion"/>
  </si>
  <si>
    <t>厦门明正税务师事务所有限公司</t>
    <phoneticPr fontId="135" type="noConversion"/>
  </si>
  <si>
    <t>注册税务师1</t>
  </si>
  <si>
    <t>身份证</t>
  </si>
  <si>
    <t>注册税务师2</t>
  </si>
  <si>
    <t>厦中汇税审（2018）第DS/DSX/GS/GSX   号</t>
    <phoneticPr fontId="128" type="noConversion"/>
  </si>
  <si>
    <t>厦中汇专税（2018）第Z   号</t>
    <phoneticPr fontId="128" type="noConversion"/>
  </si>
  <si>
    <t>合并企业</t>
  </si>
  <si>
    <t>资 产 负 债 表</t>
  </si>
  <si>
    <t>单位：元</t>
    <phoneticPr fontId="1" type="noConversion"/>
  </si>
  <si>
    <t>资        产</t>
  </si>
  <si>
    <t>行次</t>
    <phoneticPr fontId="1" type="noConversion"/>
  </si>
  <si>
    <t>期末数</t>
    <phoneticPr fontId="1" type="noConversion"/>
  </si>
  <si>
    <t>年初数</t>
    <phoneticPr fontId="1" type="noConversion"/>
  </si>
  <si>
    <t>负债和所有者权益（或股东权益）</t>
  </si>
  <si>
    <t>年初数</t>
    <phoneticPr fontId="1" type="noConversion"/>
  </si>
  <si>
    <t>流动资产：</t>
  </si>
  <si>
    <t>流动负债：</t>
  </si>
  <si>
    <t>流动负债合计</t>
    <phoneticPr fontId="1" type="noConversion"/>
  </si>
  <si>
    <t>非流动负债：</t>
  </si>
  <si>
    <t>流动资产合计</t>
  </si>
  <si>
    <t>非流动资产：</t>
  </si>
  <si>
    <t>非流动负债合计</t>
  </si>
  <si>
    <t>负债合计</t>
  </si>
  <si>
    <t>减：累计折旧</t>
    <phoneticPr fontId="1" type="noConversion"/>
  </si>
  <si>
    <t>所有者权益（或股东权益）：</t>
  </si>
  <si>
    <t>非流动资产合计</t>
  </si>
  <si>
    <t>所有者权益（或股东权益）合计</t>
  </si>
  <si>
    <t>资产总计</t>
  </si>
  <si>
    <t>负债和所有者权益（或股东权益）总计</t>
  </si>
  <si>
    <t>BA-02</t>
  </si>
  <si>
    <t>BA-03</t>
  </si>
  <si>
    <t>BA-04</t>
  </si>
  <si>
    <t>BA-05</t>
  </si>
  <si>
    <t>基 本 情 况 表</t>
    <phoneticPr fontId="128" type="noConversion"/>
  </si>
  <si>
    <t>短期投资</t>
    <phoneticPr fontId="1" type="noConversion"/>
  </si>
  <si>
    <t>应收票据</t>
  </si>
  <si>
    <t>应收账款</t>
  </si>
  <si>
    <t>预付款项</t>
  </si>
  <si>
    <t>应收股利</t>
  </si>
  <si>
    <t>应收利息</t>
  </si>
  <si>
    <t>其他应收款</t>
  </si>
  <si>
    <t>存货</t>
  </si>
  <si>
    <t>库存商品</t>
  </si>
  <si>
    <t>其他流动资产</t>
  </si>
  <si>
    <t>减值准备</t>
    <phoneticPr fontId="135" type="noConversion"/>
  </si>
  <si>
    <t>长期债券投资</t>
  </si>
  <si>
    <t>长期股权投资</t>
  </si>
  <si>
    <t>固定资产原价</t>
  </si>
  <si>
    <t>固定资产账面价值</t>
  </si>
  <si>
    <t>在建工程</t>
  </si>
  <si>
    <t>工程物资</t>
  </si>
  <si>
    <t>固定资产清理</t>
  </si>
  <si>
    <t>生产性生物资产</t>
  </si>
  <si>
    <t>无形资产</t>
  </si>
  <si>
    <t>开发支出</t>
  </si>
  <si>
    <t>长期待摊费用</t>
  </si>
  <si>
    <t>其他非流动资产</t>
  </si>
  <si>
    <t>实收资本（或股本）</t>
  </si>
  <si>
    <t>资本公积</t>
  </si>
  <si>
    <t>盈余公积</t>
  </si>
  <si>
    <t>未分配利润</t>
  </si>
  <si>
    <t>短期借款</t>
  </si>
  <si>
    <t>应付票据</t>
  </si>
  <si>
    <t>应付账款</t>
  </si>
  <si>
    <t>预收款项</t>
  </si>
  <si>
    <t>应付职工薪酬</t>
  </si>
  <si>
    <t>应交税费</t>
  </si>
  <si>
    <t>应付利息</t>
  </si>
  <si>
    <t>应付利润</t>
  </si>
  <si>
    <t>其他应付款</t>
  </si>
  <si>
    <t>其他流动负债</t>
  </si>
  <si>
    <t>长期借款</t>
  </si>
  <si>
    <t>长期应付款</t>
  </si>
  <si>
    <t>递延收益</t>
  </si>
  <si>
    <t>其他非流动负债</t>
  </si>
  <si>
    <t>资产负债表差异数</t>
    <phoneticPr fontId="135" type="noConversion"/>
  </si>
  <si>
    <t>未分配利润差异数：</t>
    <phoneticPr fontId="135" type="noConversion"/>
  </si>
  <si>
    <t>利  润  表</t>
    <phoneticPr fontId="1" type="noConversion"/>
  </si>
  <si>
    <t>项    目</t>
    <phoneticPr fontId="1" type="noConversion"/>
  </si>
  <si>
    <t>本年金额</t>
    <phoneticPr fontId="1" type="noConversion"/>
  </si>
  <si>
    <t>上年金额</t>
    <phoneticPr fontId="1" type="noConversion"/>
  </si>
  <si>
    <t>一、营业收入</t>
    <phoneticPr fontId="1" type="noConversion"/>
  </si>
  <si>
    <t>二、营业利润（亏损以“－”号填列）</t>
  </si>
  <si>
    <t>三、利润总额（亏损总额以“－”号填列）</t>
  </si>
  <si>
    <t>四、净利润（净亏损以“－”号填列）</t>
  </si>
  <si>
    <t>其中：主营业务收入</t>
    <phoneticPr fontId="135" type="noConversion"/>
  </si>
  <si>
    <t>其他业务收入</t>
  </si>
  <si>
    <t>其他业务收入</t>
    <phoneticPr fontId="135" type="noConversion"/>
  </si>
  <si>
    <t>其中：主营业务成本</t>
    <phoneticPr fontId="135" type="noConversion"/>
  </si>
  <si>
    <t>其他业务支出</t>
    <phoneticPr fontId="135" type="noConversion"/>
  </si>
  <si>
    <t>减：营业成本</t>
  </si>
  <si>
    <t>加：营业外收入</t>
  </si>
  <si>
    <t>减：营业外支出</t>
  </si>
  <si>
    <t>减：所得税费用</t>
  </si>
  <si>
    <t>加：年初利润分配</t>
  </si>
  <si>
    <t>其他转入</t>
  </si>
  <si>
    <t>货币换算差额</t>
  </si>
  <si>
    <t>减：提取法定盈余公积</t>
  </si>
  <si>
    <t>提取法定公益金</t>
  </si>
  <si>
    <t>提取职工奖励及福利基金</t>
  </si>
  <si>
    <t>提取储备基金</t>
  </si>
  <si>
    <t>提取企业发展基金</t>
  </si>
  <si>
    <t>利润归还投资</t>
  </si>
  <si>
    <t>减：应付优先股股利</t>
  </si>
  <si>
    <t>提取任意盈余公积</t>
  </si>
  <si>
    <t>应付普通股股利</t>
  </si>
  <si>
    <t>转作资本（或股本）的普通股股利</t>
  </si>
  <si>
    <t>应付中方股利</t>
  </si>
  <si>
    <t>应付外方股利</t>
  </si>
  <si>
    <t>五、可供分配的利润</t>
    <phoneticPr fontId="135" type="noConversion"/>
  </si>
  <si>
    <t>六、可供投资者分配的利润</t>
    <phoneticPr fontId="135" type="noConversion"/>
  </si>
  <si>
    <t>七、利润分配</t>
    <phoneticPr fontId="135" type="noConversion"/>
  </si>
  <si>
    <r>
      <rPr>
        <b/>
        <sz val="11"/>
        <color theme="9" tint="-0.249977111117893"/>
        <rFont val="Microsoft YaHei UI"/>
        <family val="2"/>
        <charset val="134"/>
      </rPr>
      <t>Ba</t>
    </r>
    <r>
      <rPr>
        <sz val="11"/>
        <color theme="9" tint="-0.249977111117893"/>
        <rFont val="Microsoft YaHei UI"/>
        <family val="2"/>
        <charset val="134"/>
      </rPr>
      <t>sic
基本资料类底稿</t>
    </r>
    <phoneticPr fontId="128" type="noConversion"/>
  </si>
  <si>
    <r>
      <rPr>
        <b/>
        <sz val="11"/>
        <color theme="5"/>
        <rFont val="Microsoft YaHei UI"/>
        <family val="2"/>
        <charset val="134"/>
      </rPr>
      <t>As</t>
    </r>
    <r>
      <rPr>
        <sz val="11"/>
        <color theme="5"/>
        <rFont val="Microsoft YaHei UI"/>
        <family val="2"/>
        <charset val="134"/>
      </rPr>
      <t>sets
资产类底稿</t>
    </r>
    <phoneticPr fontId="128" type="noConversion"/>
  </si>
  <si>
    <r>
      <rPr>
        <b/>
        <sz val="11"/>
        <color rgb="FF0070C0"/>
        <rFont val="Microsoft YaHei UI"/>
        <family val="2"/>
        <charset val="134"/>
      </rPr>
      <t>G</t>
    </r>
    <r>
      <rPr>
        <sz val="11"/>
        <color rgb="FF0070C0"/>
        <rFont val="Microsoft YaHei UI"/>
        <family val="2"/>
        <charset val="134"/>
      </rPr>
      <t xml:space="preserve">ains and </t>
    </r>
    <r>
      <rPr>
        <b/>
        <sz val="11"/>
        <color rgb="FF0070C0"/>
        <rFont val="Microsoft YaHei UI"/>
        <family val="2"/>
        <charset val="134"/>
      </rPr>
      <t>L</t>
    </r>
    <r>
      <rPr>
        <sz val="11"/>
        <color rgb="FF0070C0"/>
        <rFont val="Microsoft YaHei UI"/>
        <family val="2"/>
        <charset val="134"/>
      </rPr>
      <t>osses
损益类底稿</t>
    </r>
    <phoneticPr fontId="128" type="noConversion"/>
  </si>
  <si>
    <r>
      <rPr>
        <b/>
        <sz val="11"/>
        <color rgb="FF00B0F0"/>
        <rFont val="Microsoft YaHei UI"/>
        <family val="2"/>
        <charset val="134"/>
      </rPr>
      <t>In</t>
    </r>
    <r>
      <rPr>
        <sz val="11"/>
        <color rgb="FF00B0F0"/>
        <rFont val="Microsoft YaHei UI"/>
        <family val="2"/>
        <charset val="134"/>
      </rPr>
      <t>tegrated
综合类底稿</t>
    </r>
    <phoneticPr fontId="128" type="noConversion"/>
  </si>
  <si>
    <r>
      <rPr>
        <b/>
        <sz val="11"/>
        <color rgb="FF7030A0"/>
        <rFont val="Microsoft YaHei UI"/>
        <family val="2"/>
        <charset val="134"/>
      </rPr>
      <t>Ad</t>
    </r>
    <r>
      <rPr>
        <sz val="11"/>
        <color rgb="FF7030A0"/>
        <rFont val="Microsoft YaHei UI"/>
        <family val="2"/>
        <charset val="134"/>
      </rPr>
      <t>justment
调整类底稿</t>
    </r>
    <phoneticPr fontId="128" type="noConversion"/>
  </si>
  <si>
    <r>
      <rPr>
        <b/>
        <sz val="11"/>
        <color rgb="FF00B050"/>
        <rFont val="Microsoft YaHei UI"/>
        <family val="2"/>
        <charset val="134"/>
      </rPr>
      <t>Pe</t>
    </r>
    <r>
      <rPr>
        <sz val="11"/>
        <color rgb="FF00B050"/>
        <rFont val="Microsoft YaHei UI"/>
        <family val="2"/>
        <charset val="134"/>
      </rPr>
      <t>rsonal
个人底稿</t>
    </r>
    <phoneticPr fontId="128" type="noConversion"/>
  </si>
  <si>
    <t>科目编码</t>
  </si>
  <si>
    <t>科目名称</t>
  </si>
  <si>
    <t>期初借方</t>
  </si>
  <si>
    <t>期初贷方</t>
  </si>
  <si>
    <t>期末借方</t>
  </si>
  <si>
    <t>期末贷方</t>
  </si>
  <si>
    <t>余  额  表</t>
    <phoneticPr fontId="135" type="noConversion"/>
  </si>
  <si>
    <t>单位：元</t>
    <phoneticPr fontId="135" type="noConversion"/>
  </si>
  <si>
    <t>本年发生借方</t>
    <phoneticPr fontId="135" type="noConversion"/>
  </si>
  <si>
    <t>本年发生贷方</t>
    <phoneticPr fontId="135" type="noConversion"/>
  </si>
  <si>
    <t>1002</t>
  </si>
  <si>
    <t>银行存款</t>
  </si>
  <si>
    <t>坏账准备</t>
  </si>
  <si>
    <t>商品进销差价</t>
  </si>
  <si>
    <t>存货跌价准备</t>
  </si>
  <si>
    <t>待摊费用</t>
  </si>
  <si>
    <t>长期股权投资减值准备</t>
  </si>
  <si>
    <t>固定资产减值准备</t>
  </si>
  <si>
    <t>无形资产减值准备</t>
  </si>
  <si>
    <t>4002</t>
  </si>
  <si>
    <t>生产成本</t>
  </si>
  <si>
    <t>制造费用</t>
  </si>
  <si>
    <t>主营业务收入</t>
  </si>
  <si>
    <t>投资收益</t>
  </si>
  <si>
    <t>主营业务成本</t>
  </si>
  <si>
    <t>营业外支出</t>
  </si>
  <si>
    <t>2月</t>
  </si>
  <si>
    <t>3月</t>
  </si>
  <si>
    <t>4月</t>
  </si>
  <si>
    <t>5月</t>
  </si>
  <si>
    <t>6月</t>
  </si>
  <si>
    <t>7月</t>
  </si>
  <si>
    <t>8月</t>
  </si>
  <si>
    <t>9月</t>
  </si>
  <si>
    <t>季度期初数</t>
    <phoneticPr fontId="135" type="noConversion"/>
  </si>
  <si>
    <t>季度期末数</t>
    <phoneticPr fontId="135" type="noConversion"/>
  </si>
  <si>
    <t>第一季度</t>
    <phoneticPr fontId="135" type="noConversion"/>
  </si>
  <si>
    <t>第二季度</t>
    <phoneticPr fontId="135" type="noConversion"/>
  </si>
  <si>
    <t>第三季度</t>
    <phoneticPr fontId="135" type="noConversion"/>
  </si>
  <si>
    <t>第四季度</t>
    <phoneticPr fontId="135" type="noConversion"/>
  </si>
  <si>
    <t>季度平均数</t>
    <phoneticPr fontId="135" type="noConversion"/>
  </si>
  <si>
    <t>全年</t>
    <phoneticPr fontId="135" type="noConversion"/>
  </si>
  <si>
    <t>销售额</t>
  </si>
  <si>
    <t>纳税申报数据</t>
  </si>
  <si>
    <t>索引号：</t>
  </si>
  <si>
    <t>一般纳税人增值税申报表信息</t>
  </si>
  <si>
    <t>小规模申报表信息</t>
  </si>
  <si>
    <t>企业所得税申报信息</t>
  </si>
  <si>
    <t>项     目</t>
  </si>
  <si>
    <t>本期累计</t>
  </si>
  <si>
    <t>月份</t>
  </si>
  <si>
    <t>应纳税额</t>
  </si>
  <si>
    <t>金额</t>
  </si>
  <si>
    <t>8、实际已缴所得税额</t>
  </si>
  <si>
    <t>9、应补（退）的所得税额</t>
  </si>
  <si>
    <t>收入合计</t>
  </si>
  <si>
    <t>本年合计</t>
  </si>
  <si>
    <t>税款计算</t>
  </si>
  <si>
    <t>应纳税额减征额</t>
  </si>
  <si>
    <t>应纳税额合计</t>
  </si>
  <si>
    <t xml:space="preserve">   其中：销售材料应纳税额</t>
  </si>
  <si>
    <t>增值税税负</t>
  </si>
  <si>
    <t>备注</t>
  </si>
  <si>
    <t>出口退税免抵退税额</t>
  </si>
  <si>
    <t>当期免抵税额</t>
  </si>
  <si>
    <t>（一）按适用税率计税销售额</t>
    <phoneticPr fontId="135" type="noConversion"/>
  </si>
  <si>
    <t>（二）按简易办法计税销售额</t>
    <phoneticPr fontId="135" type="noConversion"/>
  </si>
  <si>
    <t>（三）免、抵、退办法出口销售额</t>
    <phoneticPr fontId="135" type="noConversion"/>
  </si>
  <si>
    <t>（四）免税销售额</t>
    <phoneticPr fontId="135" type="noConversion"/>
  </si>
  <si>
    <t>简易计税办法计算的应纳税额</t>
    <phoneticPr fontId="135" type="noConversion"/>
  </si>
  <si>
    <t>栏次</t>
    <phoneticPr fontId="135" type="noConversion"/>
  </si>
  <si>
    <t>按简易计税办法计算的纳税检查应补缴税额</t>
    <phoneticPr fontId="135" type="noConversion"/>
  </si>
  <si>
    <t>（一）应征增值税不含税销售额（3%征收率）</t>
    <phoneticPr fontId="135" type="noConversion"/>
  </si>
  <si>
    <t>（二）应征增值税不含税销售额（5%征收率）</t>
    <phoneticPr fontId="135" type="noConversion"/>
  </si>
  <si>
    <t>（三）销售使用过的应税固定资产不含税销售额</t>
    <phoneticPr fontId="135" type="noConversion"/>
  </si>
  <si>
    <t>（五）出口免税销售额</t>
    <phoneticPr fontId="135" type="noConversion"/>
  </si>
  <si>
    <t>收入合计</t>
    <phoneticPr fontId="135" type="noConversion"/>
  </si>
  <si>
    <t>本期应纳税额</t>
    <phoneticPr fontId="135" type="noConversion"/>
  </si>
  <si>
    <t>本期免税额</t>
    <phoneticPr fontId="135" type="noConversion"/>
  </si>
  <si>
    <t>应纳税额合计</t>
    <phoneticPr fontId="135" type="noConversion"/>
  </si>
  <si>
    <t>年初未缴税额</t>
    <phoneticPr fontId="135" type="noConversion"/>
  </si>
  <si>
    <t>编制人</t>
  </si>
  <si>
    <t>日期：</t>
  </si>
  <si>
    <t>索引号</t>
  </si>
  <si>
    <t>复核人</t>
  </si>
  <si>
    <t>项         目</t>
  </si>
  <si>
    <t>未审数</t>
  </si>
  <si>
    <t>现金证明书金额</t>
  </si>
  <si>
    <t>调整数</t>
  </si>
  <si>
    <t>审核数</t>
  </si>
  <si>
    <t>现金</t>
  </si>
  <si>
    <t>人民币现金</t>
  </si>
  <si>
    <t>港币现金</t>
  </si>
  <si>
    <t>美元现金</t>
  </si>
  <si>
    <t>现金小计</t>
  </si>
  <si>
    <t>开户银行</t>
  </si>
  <si>
    <t>银行账号</t>
  </si>
  <si>
    <t>对账单余额</t>
  </si>
  <si>
    <t>是否附调节表,且调整正确</t>
  </si>
  <si>
    <t>其他</t>
    <phoneticPr fontId="1" type="noConversion"/>
  </si>
  <si>
    <t>银行存款小计</t>
  </si>
  <si>
    <t>其他资金</t>
  </si>
  <si>
    <t>其他货币资金小计</t>
  </si>
  <si>
    <t>货币资金合计</t>
  </si>
  <si>
    <t>勾稽关系检查</t>
  </si>
  <si>
    <t>审核标识及说明</t>
  </si>
  <si>
    <t>∧、＜、T、G、S</t>
  </si>
  <si>
    <t>审核结论</t>
  </si>
  <si>
    <t>现  金  证  明  书</t>
  </si>
  <si>
    <t>人民币（大写）</t>
  </si>
  <si>
    <t>（RMB</t>
  </si>
  <si>
    <t>港  币（大写）</t>
  </si>
  <si>
    <t xml:space="preserve">（HKD </t>
  </si>
  <si>
    <t>美  元（大写）</t>
  </si>
  <si>
    <t>（USD</t>
  </si>
  <si>
    <t>监管现金人员为：</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</si>
  <si>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</si>
  <si>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</si>
  <si>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</si>
  <si>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</si>
  <si>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</si>
  <si>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</si>
  <si>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</si>
  <si>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</si>
  <si>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</si>
  <si>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</si>
  <si>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</si>
  <si>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</si>
  <si>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</si>
  <si>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</si>
  <si>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</si>
  <si>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</si>
  <si>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</si>
  <si>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</si>
  <si>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phoneticPr fontId="135" type="noConversion"/>
  </si>
  <si>
    <t>空白处数据来源：
1、现金总账、银行存款总账或科目余额表
2、现金证明书
3、12月份银行对账单</t>
    <phoneticPr fontId="135" type="noConversion"/>
  </si>
  <si>
    <t>WorkingPaperVision:</t>
    <phoneticPr fontId="135" type="noConversion"/>
  </si>
  <si>
    <t>截止时间：</t>
    <phoneticPr fontId="135" type="noConversion"/>
  </si>
  <si>
    <r>
      <t>单位名称：</t>
    </r>
    <r>
      <rPr>
        <u/>
        <sz val="16"/>
        <rFont val="微软雅黑"/>
        <family val="2"/>
        <charset val="134"/>
      </rPr>
      <t xml:space="preserve">                      </t>
    </r>
  </si>
  <si>
    <r>
      <t xml:space="preserve">             </t>
    </r>
    <r>
      <rPr>
        <sz val="14"/>
        <rFont val="微软雅黑"/>
        <family val="2"/>
        <charset val="134"/>
      </rPr>
      <t>）</t>
    </r>
  </si>
  <si>
    <r>
      <t xml:space="preserve">              </t>
    </r>
    <r>
      <rPr>
        <sz val="14"/>
        <rFont val="微软雅黑"/>
        <family val="2"/>
        <charset val="134"/>
      </rPr>
      <t>）</t>
    </r>
  </si>
  <si>
    <r>
      <t xml:space="preserve"> </t>
    </r>
    <r>
      <rPr>
        <u/>
        <sz val="14"/>
        <rFont val="微软雅黑"/>
        <family val="2"/>
        <charset val="134"/>
      </rPr>
      <t xml:space="preserve">                            </t>
    </r>
  </si>
  <si>
    <r>
      <t>证明者：</t>
    </r>
    <r>
      <rPr>
        <u/>
        <sz val="14"/>
        <rFont val="微软雅黑"/>
        <family val="2"/>
        <charset val="134"/>
      </rPr>
      <t xml:space="preserve">             </t>
    </r>
  </si>
  <si>
    <r>
      <t>总经理：</t>
    </r>
    <r>
      <rPr>
        <u/>
        <sz val="14"/>
        <rFont val="微软雅黑"/>
        <family val="2"/>
        <charset val="134"/>
      </rPr>
      <t xml:space="preserve">             </t>
    </r>
  </si>
  <si>
    <r>
      <t>监管人：</t>
    </r>
    <r>
      <rPr>
        <u/>
        <sz val="14"/>
        <rFont val="微软雅黑"/>
        <family val="2"/>
        <charset val="134"/>
      </rPr>
      <t xml:space="preserve">             </t>
    </r>
  </si>
  <si>
    <t>货币资金</t>
    <phoneticPr fontId="1" type="noConversion"/>
  </si>
  <si>
    <t>签  名</t>
  </si>
  <si>
    <t>日  期</t>
  </si>
  <si>
    <t>∧、＜、B、T、G、S</t>
  </si>
  <si>
    <t>期初余额</t>
  </si>
  <si>
    <t>本期增加</t>
  </si>
  <si>
    <t>本期减少</t>
  </si>
  <si>
    <t>期末余额</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</si>
  <si>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</si>
  <si>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</si>
  <si>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</si>
  <si>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</si>
  <si>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</si>
  <si>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</si>
  <si>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</si>
  <si>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</si>
  <si>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</si>
  <si>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</si>
  <si>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</si>
  <si>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</si>
  <si>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</si>
  <si>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</si>
  <si>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</si>
  <si>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</si>
  <si>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</si>
  <si>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原材料</t>
    <phoneticPr fontId="1" type="noConversion"/>
  </si>
  <si>
    <t>低值易耗品</t>
  </si>
  <si>
    <t>包装物</t>
    <phoneticPr fontId="1" type="noConversion"/>
  </si>
  <si>
    <t>产成品</t>
    <phoneticPr fontId="1" type="noConversion"/>
  </si>
  <si>
    <t>数据来源：存货类别科目的明细账或科目余额表</t>
  </si>
  <si>
    <t>生产成本</t>
    <phoneticPr fontId="1" type="noConversion"/>
  </si>
  <si>
    <t>制造费用</t>
    <phoneticPr fontId="1" type="noConversion"/>
  </si>
  <si>
    <t>工程施工</t>
    <phoneticPr fontId="1" type="noConversion"/>
  </si>
  <si>
    <t>委托加工物质</t>
    <phoneticPr fontId="1" type="noConversion"/>
  </si>
  <si>
    <t>材料成本差异</t>
    <phoneticPr fontId="1" type="noConversion"/>
  </si>
  <si>
    <t>材料采购</t>
    <phoneticPr fontId="1" type="noConversion"/>
  </si>
  <si>
    <t>在途物质</t>
    <phoneticPr fontId="1" type="noConversion"/>
  </si>
  <si>
    <t>发出商品</t>
    <phoneticPr fontId="1" type="noConversion"/>
  </si>
  <si>
    <t>待摊费用、预提费用审核表</t>
  </si>
  <si>
    <t>委托单位</t>
  </si>
  <si>
    <t>日　期</t>
  </si>
  <si>
    <t>会计期间</t>
  </si>
  <si>
    <t>序号</t>
  </si>
  <si>
    <t>项目内容</t>
  </si>
  <si>
    <t>原始金额</t>
  </si>
  <si>
    <t>年初余额</t>
  </si>
  <si>
    <t>本年借方</t>
  </si>
  <si>
    <t>本年贷方</t>
  </si>
  <si>
    <t>年末余额</t>
  </si>
  <si>
    <t>预提费用</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</si>
  <si>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</si>
  <si>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</si>
  <si>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签　名</t>
  </si>
  <si>
    <t>项  目</t>
  </si>
  <si>
    <t>期初数</t>
  </si>
  <si>
    <t>本期发生数</t>
  </si>
  <si>
    <t>本期转出数</t>
  </si>
  <si>
    <t>期末未审数</t>
  </si>
  <si>
    <t>审定数</t>
  </si>
  <si>
    <t>固定资产与折旧</t>
  </si>
  <si>
    <t>对外投资审核表</t>
    <phoneticPr fontId="1" type="noConversion"/>
  </si>
  <si>
    <t>股权比例</t>
    <phoneticPr fontId="1" type="noConversion"/>
  </si>
  <si>
    <t>长期投资</t>
    <phoneticPr fontId="1" type="noConversion"/>
  </si>
  <si>
    <t>利润及利润分配表</t>
  </si>
  <si>
    <t>重分类金额</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</si>
  <si>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</si>
  <si>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借款审核表</t>
    <phoneticPr fontId="1" type="noConversion"/>
  </si>
  <si>
    <t>借款单位</t>
    <phoneticPr fontId="1" type="noConversion"/>
  </si>
  <si>
    <t>借款金额</t>
    <phoneticPr fontId="1" type="noConversion"/>
  </si>
  <si>
    <t>期末存在</t>
    <phoneticPr fontId="1" type="noConversion"/>
  </si>
  <si>
    <t>利率</t>
    <phoneticPr fontId="1" type="noConversion"/>
  </si>
  <si>
    <t>借款时间起</t>
    <phoneticPr fontId="1" type="noConversion"/>
  </si>
  <si>
    <t>借款时间止</t>
    <phoneticPr fontId="1" type="noConversion"/>
  </si>
  <si>
    <t>本期应付利息</t>
    <phoneticPr fontId="1" type="noConversion"/>
  </si>
  <si>
    <t>账载利息</t>
    <phoneticPr fontId="1" type="noConversion"/>
  </si>
  <si>
    <t>差异数</t>
    <phoneticPr fontId="1" type="noConversion"/>
  </si>
  <si>
    <t>短期借款</t>
    <phoneticPr fontId="1" type="noConversion"/>
  </si>
  <si>
    <t>长期借款</t>
    <phoneticPr fontId="1" type="noConversion"/>
  </si>
  <si>
    <t xml:space="preserve">调整数 </t>
  </si>
  <si>
    <t>利息支出审核表</t>
  </si>
  <si>
    <t>财务费用审核表</t>
  </si>
  <si>
    <t>管理费用审核表</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</si>
  <si>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</si>
  <si>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</si>
  <si>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</si>
  <si>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 xml:space="preserve">  其中：接受捐赠收入</t>
  </si>
  <si>
    <t>本期新增资本及资本公积是否缴纳印花税</t>
  </si>
  <si>
    <t>如未申报缴纳印花税应补缴：</t>
  </si>
  <si>
    <t>项 目</t>
  </si>
  <si>
    <t>备 注</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</si>
  <si>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</si>
  <si>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</si>
  <si>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</si>
  <si>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</si>
  <si>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</si>
  <si>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</si>
  <si>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</si>
  <si>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</si>
  <si>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</si>
  <si>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</si>
  <si>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</si>
  <si>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主营业务收支审核表</t>
  </si>
  <si>
    <t>索引号:</t>
  </si>
  <si>
    <t>姓名</t>
  </si>
  <si>
    <t>日期</t>
  </si>
  <si>
    <t>销售货物</t>
  </si>
  <si>
    <t>提供劳务</t>
  </si>
  <si>
    <t>建造合同</t>
    <phoneticPr fontId="1" type="noConversion"/>
  </si>
  <si>
    <t>让渡资产使用权</t>
  </si>
  <si>
    <t>其他</t>
    <phoneticPr fontId="1" type="noConversion"/>
  </si>
  <si>
    <t>主
营
业
务
收
入</t>
  </si>
  <si>
    <t>1月</t>
  </si>
  <si>
    <t>主营税金审核表</t>
  </si>
  <si>
    <t>收入与申报核对表</t>
  </si>
  <si>
    <t>收入明细表</t>
  </si>
  <si>
    <t>企业各税审核汇总表</t>
  </si>
  <si>
    <t>成本费用明细表!A1</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</si>
  <si>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</si>
  <si>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</si>
  <si>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</si>
  <si>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</si>
  <si>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其中非货币交换</t>
    <phoneticPr fontId="1" type="noConversion"/>
  </si>
  <si>
    <t>*</t>
    <phoneticPr fontId="1" type="noConversion"/>
  </si>
  <si>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</si>
  <si>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</si>
  <si>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</si>
  <si>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</si>
  <si>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</si>
  <si>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</si>
  <si>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</si>
  <si>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</si>
  <si>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</si>
  <si>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</si>
  <si>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其中非货币交换</t>
    <phoneticPr fontId="1" type="noConversion"/>
  </si>
  <si>
    <t>*</t>
    <phoneticPr fontId="1" type="noConversion"/>
  </si>
  <si>
    <t>备注：</t>
  </si>
  <si>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</si>
  <si>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</si>
  <si>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</si>
  <si>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</si>
  <si>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</si>
  <si>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</si>
  <si>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</si>
  <si>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                      会计主管：                       出纳：</t>
    <phoneticPr fontId="135" type="noConversion"/>
  </si>
  <si>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phoneticPr fontId="135" type="noConversion"/>
  </si>
  <si>
    <t>存 货 审 核 表</t>
    <phoneticPr fontId="135" type="noConversion"/>
  </si>
  <si>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phoneticPr fontId="135" type="noConversion"/>
  </si>
  <si>
    <t>AS-09</t>
  </si>
  <si>
    <t>AS-10</t>
  </si>
  <si>
    <t>AS-11</t>
  </si>
  <si>
    <t>AS-12</t>
  </si>
  <si>
    <t>AS-13</t>
  </si>
  <si>
    <t>现金证明</t>
    <phoneticPr fontId="135" type="noConversion"/>
  </si>
  <si>
    <t>签名</t>
  </si>
  <si>
    <t>事项</t>
  </si>
  <si>
    <t>审核时的待沟通事项、政策疑点、待补充提供资料等均可填列本表，以作备忘之用。</t>
  </si>
  <si>
    <t>三级复核表</t>
  </si>
  <si>
    <t>客户管理当局声明书</t>
  </si>
  <si>
    <t>审核整体工作计划</t>
  </si>
  <si>
    <t>企业内部控制制度调查问卷</t>
  </si>
  <si>
    <t>审核标识说明表</t>
  </si>
  <si>
    <t>固定资产及累计折旧审核表</t>
  </si>
  <si>
    <t>收入与纳税申报核对审核表</t>
  </si>
  <si>
    <t>捐赠、赞助支出审核表</t>
  </si>
  <si>
    <t>其他业务收支审核表</t>
  </si>
  <si>
    <t>营业费用审核表</t>
  </si>
  <si>
    <t>租金支出审核表</t>
  </si>
  <si>
    <t>弥补亏损审核表</t>
  </si>
  <si>
    <t>营业外收支审核表</t>
  </si>
  <si>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</si>
  <si>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</si>
  <si>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</si>
  <si>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</si>
  <si>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</si>
  <si>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</si>
  <si>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</si>
  <si>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</si>
  <si>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</si>
  <si>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</si>
  <si>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</si>
  <si>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 xml:space="preserve">  3、报告签收人声明： 本人负责该项业务收费的收取。若三个月后未能全额收费，则本人同意从本人奖金及工资中扣除。</t>
  </si>
  <si>
    <t xml:space="preserve">  4、报告签收人：</t>
  </si>
  <si>
    <t>纳税调整后所得：</t>
    <phoneticPr fontId="1" type="noConversion"/>
  </si>
  <si>
    <t>申报主表</t>
  </si>
  <si>
    <t>应纳税所得额：</t>
    <phoneticPr fontId="1" type="noConversion"/>
  </si>
  <si>
    <t>本年应补（退）的所得税额：</t>
    <phoneticPr fontId="1" type="noConversion"/>
  </si>
  <si>
    <t>执业人员：</t>
  </si>
  <si>
    <t>复核人员</t>
  </si>
  <si>
    <t>复核要点</t>
  </si>
  <si>
    <t>复核与否</t>
  </si>
  <si>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</si>
  <si>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</si>
  <si>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</si>
  <si>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</si>
  <si>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</si>
  <si>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</si>
  <si>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</si>
  <si>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</si>
  <si>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</si>
  <si>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</si>
  <si>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</si>
  <si>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</si>
  <si>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</si>
  <si>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涉税审核业务约定书</t>
    <phoneticPr fontId="1" type="noConversion"/>
  </si>
  <si>
    <t>甲方（委托方）：</t>
    <phoneticPr fontId="1" type="noConversion"/>
  </si>
  <si>
    <t>甲方税务登记号：</t>
    <phoneticPr fontId="1" type="noConversion"/>
  </si>
  <si>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</si>
  <si>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</si>
  <si>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</si>
  <si>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</si>
  <si>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1"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</si>
  <si>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</si>
  <si>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</si>
  <si>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r>
      <t xml:space="preserve">    2、经协商，双方确定本项目的业务费用及付款时间为：本约定书成立时，委托方先付</t>
    </r>
    <r>
      <rPr>
        <u/>
        <sz val="10.5"/>
        <rFont val="宋体"/>
        <family val="3"/>
        <charset val="134"/>
      </rPr>
      <t xml:space="preserve">            </t>
    </r>
    <r>
      <rPr>
        <sz val="10.5"/>
        <rFont val="宋体"/>
        <family val="3"/>
        <charset val="134"/>
      </rPr>
      <t>%的费用，其余</t>
    </r>
    <r>
      <rPr>
        <u/>
        <sz val="10.5"/>
        <rFont val="宋体"/>
        <family val="3"/>
        <charset val="134"/>
      </rPr>
      <t xml:space="preserve">            </t>
    </r>
    <r>
      <rPr>
        <sz val="10.5"/>
        <rFont val="宋体"/>
        <family val="3"/>
        <charset val="134"/>
      </rPr>
      <t>%在业务完成后一次付清。</t>
    </r>
    <phoneticPr fontId="1" type="noConversion"/>
  </si>
  <si>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</si>
  <si>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</si>
  <si>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</si>
  <si>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</si>
  <si>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</si>
  <si>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</si>
  <si>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</si>
  <si>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</si>
  <si>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</si>
  <si>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</si>
  <si>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</si>
  <si>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</si>
  <si>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</si>
  <si>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</si>
  <si>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</si>
  <si>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</si>
  <si>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t>二、计时服务收费政府指导价</t>
  </si>
  <si>
    <t>3、对行政事业单位及社会团体等非营利单位的服务收费，可按基准价下浮50%；对小微企业、特困企业、破产企业、个体工商户的服务收费可按基准价下浮50%。</t>
    <phoneticPr fontId="1" type="noConversion"/>
  </si>
  <si>
    <r>
      <t>备注：</t>
    </r>
    <r>
      <rPr>
        <sz val="10.5"/>
        <color indexed="8"/>
        <rFont val="仿宋_GB2312"/>
        <family val="3"/>
        <charset val="134"/>
      </rPr>
      <t>1、按差额定率累进计费，不足1500元的按1500元计费。2、上下允许浮动30%。</t>
    </r>
    <phoneticPr fontId="1" type="noConversion"/>
  </si>
  <si>
    <t>0.8‰</t>
  </si>
  <si>
    <t>5000万元以上</t>
  </si>
  <si>
    <t>1‰</t>
  </si>
  <si>
    <t>1000万元—5000万元</t>
  </si>
  <si>
    <t>2‰</t>
  </si>
  <si>
    <t>500万元—1000万元</t>
  </si>
  <si>
    <t>3‰</t>
  </si>
  <si>
    <t>100万元—500万元</t>
  </si>
  <si>
    <t>18‰</t>
  </si>
  <si>
    <t>100万元以下</t>
  </si>
  <si>
    <t>按企业委托技术开发费发生额</t>
  </si>
  <si>
    <t>元/项目</t>
  </si>
  <si>
    <t>对委托人按规定归集的科技开发费进行审核并出具鉴证报告</t>
    <phoneticPr fontId="1" type="noConversion"/>
  </si>
  <si>
    <t>技术开发费所得税前加计扣除鉴证</t>
    <phoneticPr fontId="1" type="noConversion"/>
  </si>
  <si>
    <t>双方协商确定</t>
    <phoneticPr fontId="1" type="noConversion"/>
  </si>
  <si>
    <t>5亿元以上</t>
  </si>
  <si>
    <t>0.3‰</t>
    <phoneticPr fontId="1" type="noConversion"/>
  </si>
  <si>
    <t>1亿元—5亿元</t>
  </si>
  <si>
    <t>0.7‰</t>
  </si>
  <si>
    <t>5000万元—1亿元</t>
  </si>
  <si>
    <t>5000万元以下</t>
  </si>
  <si>
    <t>按项目销售收入</t>
  </si>
  <si>
    <t>对委托人房地产开发项目的完工产品结算进行审核并出具鉴证报告</t>
    <phoneticPr fontId="1" type="noConversion"/>
  </si>
  <si>
    <t>房地产开发企业完工产品结算鉴证</t>
    <phoneticPr fontId="1" type="noConversion"/>
  </si>
  <si>
    <t>0.3‰</t>
  </si>
  <si>
    <t>0.4‰</t>
  </si>
  <si>
    <t>0.5‰</t>
  </si>
  <si>
    <t>按销售收入</t>
  </si>
  <si>
    <t>元/年</t>
    <phoneticPr fontId="1" type="noConversion"/>
  </si>
  <si>
    <t>对委托人增值税进行纳税审核并出具鉴证报告</t>
    <phoneticPr fontId="1" type="noConversion"/>
  </si>
  <si>
    <t>增值税纳税审核鉴证</t>
    <phoneticPr fontId="1" type="noConversion"/>
  </si>
  <si>
    <t>元/项目</t>
    <phoneticPr fontId="1" type="noConversion"/>
  </si>
  <si>
    <t>对委托人房地产开发项目的土地增值税清算进行审核并出具鉴证报告</t>
    <phoneticPr fontId="1" type="noConversion"/>
  </si>
  <si>
    <t>土地增值税清算鉴证</t>
    <phoneticPr fontId="1" type="noConversion"/>
  </si>
  <si>
    <t>参照企业所得税汇算清缴</t>
  </si>
  <si>
    <t>对委托人前年度的亏损结转弥补进行鉴证并出具鉴证报告</t>
    <phoneticPr fontId="1" type="noConversion"/>
  </si>
  <si>
    <t>企业所得税税前弥补亏损鉴证</t>
    <phoneticPr fontId="1" type="noConversion"/>
  </si>
  <si>
    <t>1000万元以上</t>
  </si>
  <si>
    <t>按企业委托报损金额</t>
    <phoneticPr fontId="1" type="noConversion"/>
  </si>
  <si>
    <t>元/次</t>
    <phoneticPr fontId="1" type="noConversion"/>
  </si>
  <si>
    <t>对委托人税前财产损失额进行审核并出具鉴证报告</t>
    <phoneticPr fontId="1" type="noConversion"/>
  </si>
  <si>
    <t>企业资产损失所得税前扣除鉴证</t>
    <phoneticPr fontId="1" type="noConversion"/>
  </si>
  <si>
    <t>1亿以上</t>
    <phoneticPr fontId="1" type="noConversion"/>
  </si>
  <si>
    <t>5000万元以上-1亿</t>
    <phoneticPr fontId="1" type="noConversion"/>
  </si>
  <si>
    <t>按资产总额或销售收入</t>
  </si>
  <si>
    <t>元/年</t>
  </si>
  <si>
    <t>对委托人进行企业所得税汇算结缴审核并出具鉴证报告</t>
    <phoneticPr fontId="1" type="noConversion"/>
  </si>
  <si>
    <t>企业所得税汇算清缴纳税申报鉴证</t>
    <phoneticPr fontId="1" type="noConversion"/>
  </si>
  <si>
    <t>内容</t>
  </si>
  <si>
    <t>收费标准或费率</t>
  </si>
  <si>
    <t>计费基础</t>
  </si>
  <si>
    <t>计费单位</t>
  </si>
  <si>
    <t>服务</t>
  </si>
  <si>
    <t>收费项目</t>
  </si>
  <si>
    <t>福建省税务师事务所涉税鉴证服务收费标准</t>
    <phoneticPr fontId="1" type="noConversion"/>
  </si>
  <si>
    <t>研究开发费所得税前加计扣除鉴证</t>
    <phoneticPr fontId="1" type="noConversion"/>
  </si>
  <si>
    <t>企业所得税税前弥补亏损鉴证</t>
  </si>
  <si>
    <t>否</t>
    <phoneticPr fontId="1" type="noConversion"/>
  </si>
  <si>
    <t>是</t>
    <phoneticPr fontId="1" type="noConversion"/>
  </si>
  <si>
    <t>福建省税务师事务所涉税鉴证服务收费标准闽价服闽价服[2014]281号 摘要</t>
    <phoneticPr fontId="1" type="noConversion"/>
  </si>
  <si>
    <t>是否属于行政事业单位及社会团体等非营利单位、小微企业、特困企业、破产企业、个体工商户</t>
    <phoneticPr fontId="1" type="noConversion"/>
  </si>
  <si>
    <t>企业所得税汇算清缴纳税申报鉴证</t>
  </si>
  <si>
    <t>下浮30%</t>
    <phoneticPr fontId="197" type="noConversion"/>
  </si>
  <si>
    <t>上浮30%</t>
  </si>
  <si>
    <t>标准收费金额(元）</t>
    <phoneticPr fontId="1" type="noConversion"/>
  </si>
  <si>
    <t>类型</t>
  </si>
  <si>
    <t>序号</t>
    <phoneticPr fontId="1"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</si>
  <si>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197" type="noConversion"/>
  </si>
  <si>
    <t>财务部门负责人(签章)：</t>
  </si>
  <si>
    <t xml:space="preserve">声明单位(公章)：   </t>
  </si>
  <si>
    <t xml:space="preserve">委托单位负责人(签章)：  </t>
  </si>
  <si>
    <t xml:space="preserve">    5、本公司同意将本声明书作为本公司与贵所签定的《业务约定书》的组成部分。</t>
  </si>
  <si>
    <t>程中提出的所有调整事项均予确认。</t>
  </si>
  <si>
    <t>本次所提供会计资料以外的所有应税事项由本公司负责。本公司对注册税务师在审核过</t>
  </si>
  <si>
    <r>
      <t>核，但不包含个人所得税、</t>
    </r>
    <r>
      <rPr>
        <u/>
        <sz val="12"/>
        <rFont val="宋体"/>
        <family val="3"/>
        <charset val="134"/>
      </rPr>
      <t xml:space="preserve">                                          </t>
    </r>
    <r>
      <rPr>
        <sz val="12"/>
        <rFont val="宋体"/>
        <family val="3"/>
        <charset val="134"/>
      </rPr>
      <t>等。本公司</t>
    </r>
  </si>
  <si>
    <t xml:space="preserve">    4、贵所仅受托对本公司已提供给贵所注册税务师审核的会计资料的应税事项进行审</t>
  </si>
  <si>
    <t>（6）没有接到主管机关、税务部门等要求调整或改进会计报表的通知。</t>
  </si>
  <si>
    <t>事情；</t>
  </si>
  <si>
    <t>法规或合同的规定而需要调整或披露的事项；（5）没有发现管理人员或其他员工舞弊的</t>
  </si>
  <si>
    <t>未预计或未披露的可能诉讼、背书、承兑、保证等或有损失；（4）没有任何违反国家法律、</t>
  </si>
  <si>
    <t>（2）报表和账簿中反映的所有负债完全属实，没有无需支付的债务；（3）没有任何重大</t>
  </si>
  <si>
    <t xml:space="preserve">    3、本公司确信：（1）没有任何未在账上体现的资产和收益及未披露的或有收益；</t>
  </si>
  <si>
    <t>事项的相关资料均已在账簿中充分反映，不存在会计报表与账簿及有关凭证间的差错。</t>
  </si>
  <si>
    <t>易合同、关联交易清单以及其他有关的资料。本公司所有交易事项皆已入账，所有交易</t>
  </si>
  <si>
    <t xml:space="preserve">    2、本公司已向贵所提供所有的财务及会计记录、股东会及董事会会议记录、重大交</t>
  </si>
  <si>
    <t>提供的有关资料的真实性、合法性和完整性承担责任。</t>
  </si>
  <si>
    <t>计报表，公允地反映本公司的财务状况和经营成果。本公司对会计报表、会计记录和所</t>
  </si>
  <si>
    <t>为了明确责任和对贵所工作的支持和充分合作,我们特此声明如下：</t>
  </si>
  <si>
    <t>司委托贵所对</t>
  </si>
  <si>
    <t xml:space="preserve">    本公</t>
  </si>
  <si>
    <t xml:space="preserve"> 索引号:</t>
  </si>
  <si>
    <t>主任税务师意见：</t>
  </si>
  <si>
    <t>审核助理</t>
  </si>
  <si>
    <t>底稿审核人</t>
  </si>
  <si>
    <t>项目经理</t>
  </si>
  <si>
    <t xml:space="preserve">备注 </t>
  </si>
  <si>
    <t>分工</t>
  </si>
  <si>
    <t>职务或资格</t>
  </si>
  <si>
    <t>四、审核小组组成及人员分工：</t>
  </si>
  <si>
    <t>审核截止日期</t>
  </si>
  <si>
    <t>至</t>
  </si>
  <si>
    <t>编写报告自</t>
  </si>
  <si>
    <t>人次</t>
  </si>
  <si>
    <t>日</t>
  </si>
  <si>
    <t>共计</t>
  </si>
  <si>
    <t>外勤工作日自</t>
  </si>
  <si>
    <t>约定工作日开始日</t>
  </si>
  <si>
    <t>三、计划审核日期</t>
  </si>
  <si>
    <t>二、审核目标</t>
  </si>
  <si>
    <t>一、审核项目</t>
  </si>
  <si>
    <t>编制说明：企业除上述列举项目外，还有未包括进去的制度，应在空白行列示。</t>
  </si>
  <si>
    <t xml:space="preserve">   （6）本期是否提取各项减值准备</t>
  </si>
  <si>
    <t xml:space="preserve">   （5）本期是否存在重大税收政策调整</t>
  </si>
  <si>
    <t xml:space="preserve">   （4）本期是否受到税务等部门行政处罚</t>
  </si>
  <si>
    <t xml:space="preserve">   （3）本期是否接受税务机关的税收检查</t>
  </si>
  <si>
    <t xml:space="preserve">   （2）本期是否存在以利补亏</t>
  </si>
  <si>
    <t xml:space="preserve">   （1）本期是否经批准实行工效挂钩</t>
  </si>
  <si>
    <t>调查结果</t>
  </si>
  <si>
    <t>15、其他事项调查</t>
  </si>
  <si>
    <t>14、</t>
  </si>
  <si>
    <t>13、</t>
  </si>
  <si>
    <t>12、</t>
  </si>
  <si>
    <t>11、内部审计制度</t>
  </si>
  <si>
    <t>10、固定资产管理制度</t>
  </si>
  <si>
    <t>9、存货采购、收发、保管制度</t>
  </si>
  <si>
    <t>8、产品销售及劳务提供制度</t>
  </si>
  <si>
    <t>7、发票管理制度</t>
  </si>
  <si>
    <t>6、费用开支标准及审批制度</t>
  </si>
  <si>
    <t>5、支票管理制度</t>
  </si>
  <si>
    <t>4、现金管理制度</t>
  </si>
  <si>
    <t>3、财务管理制度</t>
  </si>
  <si>
    <t>2、成本核算制度</t>
  </si>
  <si>
    <t>1、会计核算制度</t>
  </si>
  <si>
    <t>不好</t>
  </si>
  <si>
    <t>一般</t>
  </si>
  <si>
    <t>很好</t>
  </si>
  <si>
    <t>不适用</t>
  </si>
  <si>
    <t>执行情况</t>
  </si>
  <si>
    <t>是否建立</t>
  </si>
  <si>
    <t>）</t>
  </si>
  <si>
    <t xml:space="preserve">2、无（ </t>
  </si>
  <si>
    <t>）未审批(</t>
  </si>
  <si>
    <t>已审批（</t>
  </si>
  <si>
    <t>1、是（</t>
  </si>
  <si>
    <t>5、有无税收优惠事项？是否办理了审批手续？</t>
  </si>
  <si>
    <t>2、无（</t>
  </si>
  <si>
    <t xml:space="preserve">1、有（ </t>
  </si>
  <si>
    <t>4、营业外支出中，在计算应纳税所得额时有无税法不允许扣除的项目?</t>
  </si>
  <si>
    <t>（3）有无隐瞒成本和收入（包括返利收入）情况？</t>
  </si>
  <si>
    <t>（2）是否隐瞒亏损或盈利？</t>
  </si>
  <si>
    <t>）2、有不实在（</t>
  </si>
  <si>
    <t>1、无隐瞒（</t>
  </si>
  <si>
    <t>（1）是否真实记载债权债务事项？</t>
  </si>
  <si>
    <t>3、往来账户</t>
  </si>
  <si>
    <t>2、未进行清查（</t>
  </si>
  <si>
    <t>(2)无财产损失（</t>
  </si>
  <si>
    <t>(1)有财产损失（</t>
  </si>
  <si>
    <t>1、进行了清查（</t>
  </si>
  <si>
    <t>2、本期期末，是否进行了财产清查？有无资产损失？如有，是否已办理资产损失税前扣除审批手续？</t>
  </si>
  <si>
    <t>）2、没有（</t>
  </si>
  <si>
    <t>1、有（</t>
  </si>
  <si>
    <t>1、企业期初是否存在以前年度累计计提但尚未实际使用的福利费余额？</t>
  </si>
  <si>
    <t>四、其他方面</t>
  </si>
  <si>
    <t>2、未盘点（</t>
  </si>
  <si>
    <t>）无差错（</t>
  </si>
  <si>
    <t>有差错（</t>
  </si>
  <si>
    <t xml:space="preserve">1、进行了实地盘点( </t>
  </si>
  <si>
    <t>5、期末是否对存货进行了实地盘点，并与存货明细账相核对？有无差错？</t>
  </si>
  <si>
    <t xml:space="preserve">2、不是同一人管理（ </t>
  </si>
  <si>
    <t>1、是同一人管理（</t>
  </si>
  <si>
    <t>4、存货总账与实物库存明细账是否有不同的人管理和记录？</t>
  </si>
  <si>
    <t>2、否（</t>
  </si>
  <si>
    <t xml:space="preserve">1、是（ </t>
  </si>
  <si>
    <t>3、存货发出的计价方法是否与上年一致？</t>
  </si>
  <si>
    <t>2、有的没有（</t>
  </si>
  <si>
    <t xml:space="preserve">1、均有（     </t>
  </si>
  <si>
    <t>2、货物出库是否均有领料单或提货单？</t>
  </si>
  <si>
    <t>1、采购的货物或生产的产品入库是否均有验收入库单？</t>
  </si>
  <si>
    <t>三、采购与存货方面</t>
  </si>
  <si>
    <t>3、待摊是否按税法规定摊销？</t>
  </si>
  <si>
    <t>2、企业成本结转方法是否正确？</t>
  </si>
  <si>
    <t>1、成本计算方法是否与上年度一致？</t>
  </si>
  <si>
    <t>二、成本方面</t>
  </si>
  <si>
    <t>8、企业是否存在货物已发出，收款记人预收账款而未转作收入现象?</t>
  </si>
  <si>
    <t xml:space="preserve">2、未核对（ </t>
  </si>
  <si>
    <t xml:space="preserve">  无差错（</t>
  </si>
  <si>
    <t>）有差错（</t>
  </si>
  <si>
    <t xml:space="preserve">1、进行了核对（  </t>
  </si>
  <si>
    <t>7、年终库存商品收发明细账，是否与销售明细帐，存货总账相核对，有无差错？</t>
  </si>
  <si>
    <t xml:space="preserve">2、否（ </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</si>
  <si>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</si>
  <si>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 xml:space="preserve">1、是   （ </t>
  </si>
  <si>
    <t>5、企业是否存在向购货方收取的价外费用未记入收入账户？</t>
  </si>
  <si>
    <t>未按规定进行会计处理（</t>
  </si>
  <si>
    <t xml:space="preserve">已按规定进行会计处理（ </t>
  </si>
  <si>
    <t>4、企业是否存在非货币性资产交换，以及将产品、商品或劳务用于捐赠、赞助、集资、广告、样品、职工福利（所有权转移）和利润分配等方面，而未做销售处理的？</t>
  </si>
  <si>
    <t>3、企业是否存在提供劳务收入？</t>
  </si>
  <si>
    <t>2、企业是否存在分期收款发出商品的销售方式？</t>
  </si>
  <si>
    <t>2、有的不是（</t>
  </si>
  <si>
    <t>1、全部是（</t>
  </si>
  <si>
    <t>1、产品（商品）销售和提供应税劳务是否按税法规定全部记入收入账户？</t>
  </si>
  <si>
    <t>一、有关产品、商品、劳务销售方面</t>
  </si>
  <si>
    <t>委托单位回答</t>
  </si>
  <si>
    <t>调查内容</t>
  </si>
  <si>
    <t>企业所得税汇算清缴审核调查问卷</t>
  </si>
  <si>
    <t>公司（所）领导意见：</t>
  </si>
  <si>
    <t xml:space="preserve">请填列保留意见等。 </t>
  </si>
  <si>
    <t>事项说明</t>
  </si>
  <si>
    <t>部门经理意见：</t>
  </si>
  <si>
    <t>提请决定的主要问题及初步处理意见：</t>
  </si>
  <si>
    <t>承办部门</t>
  </si>
  <si>
    <t>执行的会计制度</t>
  </si>
  <si>
    <t>委托单位名称</t>
  </si>
  <si>
    <t>审核过程中重大问题请示报告</t>
  </si>
  <si>
    <t>签名：</t>
  </si>
  <si>
    <t>同意纳税调整。</t>
    <phoneticPr fontId="1" type="noConversion"/>
  </si>
  <si>
    <t>事项说明!A28</t>
  </si>
  <si>
    <t>与委托单位交换后的处理结果:</t>
  </si>
  <si>
    <t>审核中发现的问题及处理意见：</t>
  </si>
  <si>
    <t>职务：</t>
  </si>
  <si>
    <t>姓名：</t>
  </si>
  <si>
    <t>其他人员：</t>
  </si>
  <si>
    <t>项目经理：</t>
  </si>
  <si>
    <t>委 托 方 参 加 人 员</t>
  </si>
  <si>
    <t>审 核 组 参 加 人 员</t>
  </si>
  <si>
    <t>说明：本表附于每份工作底稿中，便于查看。</t>
  </si>
  <si>
    <t>与企业所得税纳税申报表附表十一核对一致</t>
  </si>
  <si>
    <t>D11</t>
  </si>
  <si>
    <t>与企业所得税纳税申报表附表十核对一致</t>
  </si>
  <si>
    <t>D10</t>
  </si>
  <si>
    <t>与企业所得税纳税申报表附表九核对一致</t>
  </si>
  <si>
    <t>D9</t>
  </si>
  <si>
    <t>已进行纳税调整</t>
  </si>
  <si>
    <t>与企业所得税纳税申报表附表八核对一致</t>
  </si>
  <si>
    <t>D8</t>
  </si>
  <si>
    <t>AP</t>
  </si>
  <si>
    <t>与企业所得税纳税申报表附表七核对一致</t>
  </si>
  <si>
    <t>D7</t>
  </si>
  <si>
    <t>与企业所得税纳税申报表核对一致</t>
  </si>
  <si>
    <t>与企业所得税纳税申报表附表六核对一致</t>
  </si>
  <si>
    <t>D6</t>
  </si>
  <si>
    <t>与明细分类账核对一致</t>
  </si>
  <si>
    <t>与企业所得税纳税申报表附表五核对一致</t>
  </si>
  <si>
    <t>D5</t>
  </si>
  <si>
    <t>与总分类账核对一致</t>
  </si>
  <si>
    <t>与企业所得税纳税申报表附表四核对一致</t>
  </si>
  <si>
    <t>D4</t>
  </si>
  <si>
    <t>与原始凭证核对一致</t>
  </si>
  <si>
    <t>与企业所得税纳税申报表附表三核对一致</t>
  </si>
  <si>
    <t>D3</t>
  </si>
  <si>
    <t>与上年结转数一致</t>
  </si>
  <si>
    <t>与企业所得税纳税申报表附表二核对一致</t>
  </si>
  <si>
    <t>D2</t>
  </si>
  <si>
    <t>横加核对相符</t>
  </si>
  <si>
    <t>＜</t>
  </si>
  <si>
    <t>与企业所得税纳税申报表附表一核对一致</t>
  </si>
  <si>
    <t>D1</t>
  </si>
  <si>
    <t>纵加核对相符</t>
  </si>
  <si>
    <t>∧</t>
  </si>
  <si>
    <t>含义</t>
  </si>
  <si>
    <t>标识</t>
  </si>
  <si>
    <t>金 额</t>
  </si>
  <si>
    <t>单 价</t>
  </si>
  <si>
    <t>数 量</t>
  </si>
  <si>
    <t>计量单位</t>
  </si>
  <si>
    <t>型号规格</t>
  </si>
  <si>
    <t>资 产 名 称</t>
  </si>
  <si>
    <t>资产盘点明细表</t>
  </si>
  <si>
    <t>复核人员:</t>
  </si>
  <si>
    <t>可以确认</t>
  </si>
  <si>
    <t>审核人员：</t>
  </si>
  <si>
    <t xml:space="preserve">审核意见：                                                        </t>
  </si>
  <si>
    <t>审核日期：</t>
  </si>
  <si>
    <t>审核项目：</t>
  </si>
  <si>
    <t>会计期间：</t>
  </si>
  <si>
    <t>单位名称：</t>
  </si>
  <si>
    <t xml:space="preserve">                                                                    </t>
  </si>
  <si>
    <t>通用工作记录表</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</si>
  <si>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</si>
  <si>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 xml:space="preserve">        《报关代理业专用发票》。国税函[2008]417号。</t>
  </si>
  <si>
    <t xml:space="preserve">     5、自2008年8月1日起，报关代理业务必须开具地税局监制的</t>
  </si>
  <si>
    <t xml:space="preserve">        国税发[2008]54号、国税函[2008]634号。</t>
  </si>
  <si>
    <t xml:space="preserve">        《银行代收费业务专用发票》。国税发[2007]108号、</t>
  </si>
  <si>
    <t xml:space="preserve">     4、自2008年1月1日起，企业通过银行支付的各项费用，应当取得</t>
  </si>
  <si>
    <t xml:space="preserve">        税前扣除。后营字[2005]1285号（总局参与发文）</t>
  </si>
  <si>
    <t xml:space="preserve">        《中国人民解放军通用收费收据》和《军队房地产租赁许可证》</t>
  </si>
  <si>
    <t xml:space="preserve">        自2005年起。企业承租解放军的房屋从事生产经营的，租赁费的扣除凭</t>
  </si>
  <si>
    <t xml:space="preserve">        国税函[2000]466号、后财字[1999]81号。</t>
  </si>
  <si>
    <t xml:space="preserve">        必须开具地税局监制的服务业发票。国税发[2000]61号、</t>
  </si>
  <si>
    <t>本工作表不够填列时，请取消24-206行之间的隐藏。</t>
  </si>
  <si>
    <t xml:space="preserve">        不得作为服务业发票使用。如解放军对外从事餐饮、住宿、租赁等业务，</t>
  </si>
  <si>
    <t xml:space="preserve">     3、《中国人民解放军通用收费票据》只能作为解放军内部结算使用，</t>
  </si>
  <si>
    <t xml:space="preserve">        不得开具经营性货物或劳务。</t>
  </si>
  <si>
    <t xml:space="preserve">     2、财政部门监制的行政事业性收费收据只能开具行政事业性收费项目</t>
  </si>
  <si>
    <t xml:space="preserve">        不得税前扣除、抵扣进项税额、申请退税。</t>
  </si>
  <si>
    <t xml:space="preserve">     1、国税发[2008]80号规定企业取得的发票没有开具支付人全称的，</t>
  </si>
  <si>
    <t>不允许直接在损益中列支的当年福利费</t>
  </si>
  <si>
    <t>罚金、违法经营罚款和被没收财物损失</t>
    <phoneticPr fontId="1" type="noConversion"/>
  </si>
  <si>
    <t>大额购物未附清单</t>
  </si>
  <si>
    <t>税收滞纳金</t>
  </si>
  <si>
    <t>产权不属于公司的汽车费用</t>
  </si>
  <si>
    <t>非本公司费用</t>
  </si>
  <si>
    <t>与取得收入无关的支出</t>
  </si>
  <si>
    <t>跨期扣除项目</t>
    <phoneticPr fontId="1" type="noConversion"/>
  </si>
  <si>
    <t>未取得合法有效票据的支出</t>
  </si>
  <si>
    <t>社保明细工资人数</t>
  </si>
  <si>
    <t>明细科目</t>
  </si>
  <si>
    <t>会计科目</t>
  </si>
  <si>
    <t>调整类别</t>
  </si>
  <si>
    <t>调整类别编码</t>
  </si>
  <si>
    <t>调整事项</t>
  </si>
  <si>
    <t>会计分录</t>
  </si>
  <si>
    <t>记账凭证编号</t>
  </si>
  <si>
    <t>月</t>
  </si>
  <si>
    <t xml:space="preserve">    3、本表的工作表名称一般情况下不可改动，否则会造成链接失效。</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</si>
  <si>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</si>
  <si>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1、填表顺序最好先从“基本情况”工作表填起，而后利润表、损益类底稿、凭证抽查、调整类底稿，各相关底稿填列后审核报告基本自动生成。</t>
  </si>
  <si>
    <t>三、其他说明</t>
  </si>
  <si>
    <t xml:space="preserve">    浅绿区域的单元格为表格固定格式，如表头，表体栏目名称等</t>
  </si>
  <si>
    <t xml:space="preserve">    玫瑰红区域的单元格为可通过外部文件粘贴得到数据</t>
  </si>
  <si>
    <t xml:space="preserve">    浅蓝区域的单元格为来源于工作底稿的数据</t>
  </si>
  <si>
    <t xml:space="preserve">    深黄区域的单元格为预先定义好数据或公式，一般不需修改，但也可能变化</t>
  </si>
  <si>
    <t xml:space="preserve">    灰色区域的单元格为已定义好公式，一般情况下不允许修改数据，否则会造成系统数据错乱！</t>
  </si>
  <si>
    <t xml:space="preserve">    茶色区域的单元格为可选项，点击单元格后会出现下拉列表，可在列表上选择已定义好的数据项</t>
  </si>
  <si>
    <t xml:space="preserve">    白底区域的单元格需根据企业资料分析填列</t>
  </si>
  <si>
    <t>二、底色说明</t>
  </si>
  <si>
    <t xml:space="preserve">    若企业所得税申报表或相关政策变化，则本工作底稿应作相关调整方可使用。</t>
  </si>
  <si>
    <t xml:space="preserve">    本电子工作底仅适用于查账征收非金融企业的有限公司企业所得税汇算，不适用金融企业、核定征收企业、清算期间的企业所得税汇算以及个人独资企业、合伙企业的个人所得税汇算审核。</t>
  </si>
  <si>
    <t>一、适用范围</t>
  </si>
  <si>
    <t>工资薪金总额</t>
  </si>
  <si>
    <t>职工福利费</t>
  </si>
  <si>
    <t>职工教育经费</t>
  </si>
  <si>
    <t>职工工会经费</t>
  </si>
  <si>
    <t>备注/税收金额</t>
    <phoneticPr fontId="1" type="noConversion"/>
  </si>
  <si>
    <t>相关链接：</t>
    <phoneticPr fontId="1" type="noConversion"/>
  </si>
  <si>
    <t>销售（营业）费用</t>
  </si>
  <si>
    <t>纳税调整明细表</t>
  </si>
  <si>
    <t>其他事项!D32</t>
  </si>
  <si>
    <t>其他</t>
  </si>
  <si>
    <t>制造费用、生产成本审核表</t>
  </si>
  <si>
    <t>未审金额小计</t>
  </si>
  <si>
    <t>凭证检查!A1</t>
  </si>
  <si>
    <t>审核调整额</t>
    <phoneticPr fontId="1" type="noConversion"/>
  </si>
  <si>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</si>
  <si>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审核确认额</t>
    <phoneticPr fontId="1" type="noConversion"/>
  </si>
  <si>
    <t>本期纳税调增额</t>
  </si>
  <si>
    <t>本期结转至以后年度扣除额</t>
  </si>
  <si>
    <t>以前年度累计结转额</t>
  </si>
  <si>
    <t>本期实际扣除以前年度结转额</t>
  </si>
  <si>
    <t>本期纳税调减额</t>
  </si>
  <si>
    <t>累计结转以后年度扣除额</t>
  </si>
  <si>
    <t>股权激励</t>
    <phoneticPr fontId="1" type="noConversion"/>
  </si>
  <si>
    <t>按税收规定全额扣除的职工培训费用</t>
    <phoneticPr fontId="1" type="noConversion"/>
  </si>
  <si>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</si>
  <si>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</si>
  <si>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</si>
  <si>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</si>
  <si>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</si>
  <si>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</si>
  <si>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</si>
  <si>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</si>
  <si>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</si>
  <si>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</si>
  <si>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</si>
  <si>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扣除税率</t>
    <phoneticPr fontId="1" type="noConversion"/>
  </si>
  <si>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</si>
  <si>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</si>
  <si>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</si>
  <si>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</si>
  <si>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</si>
  <si>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</si>
  <si>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</si>
  <si>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</si>
  <si>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</si>
  <si>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</si>
  <si>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</si>
  <si>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</si>
  <si>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</si>
  <si>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审核调整额</t>
  </si>
  <si>
    <t>审核确认额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</si>
  <si>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</si>
  <si>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</si>
  <si>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</si>
  <si>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</si>
  <si>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</si>
  <si>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</si>
  <si>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</si>
  <si>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</si>
  <si>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</si>
  <si>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</si>
  <si>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</si>
  <si>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</si>
  <si>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广宣!J32</t>
  </si>
  <si>
    <t>本期审核后视同销售收入</t>
    <phoneticPr fontId="1" type="noConversion"/>
  </si>
  <si>
    <t>本期审核后销售（营业）收入</t>
    <phoneticPr fontId="1" type="noConversion"/>
  </si>
  <si>
    <r>
      <t>本期审核后销售（营业）收入</t>
    </r>
    <r>
      <rPr>
        <sz val="10"/>
        <rFont val="Times New Roman"/>
        <family val="1"/>
      </rPr>
      <t>×5‰</t>
    </r>
    <phoneticPr fontId="1" type="noConversion"/>
  </si>
  <si>
    <t>允许扣除金额</t>
  </si>
  <si>
    <t>房地产企业已缴纳税款的预收款净额</t>
  </si>
  <si>
    <t>房地产企业因预收款产生的调整差异</t>
  </si>
  <si>
    <t>∧、＜、T、S、D3</t>
  </si>
  <si>
    <t>资产类别</t>
  </si>
  <si>
    <t>计税基础</t>
  </si>
  <si>
    <t>累计税收折旧</t>
    <phoneticPr fontId="1" type="noConversion"/>
  </si>
  <si>
    <t>一、固定资产原值</t>
  </si>
  <si>
    <t>房屋建筑</t>
  </si>
  <si>
    <t>资产折旧纳税调整表</t>
  </si>
  <si>
    <t>机械设备</t>
  </si>
  <si>
    <t>折旧验算表</t>
  </si>
  <si>
    <t>工器家具</t>
  </si>
  <si>
    <t>运输工具</t>
  </si>
  <si>
    <t>电子设备</t>
  </si>
  <si>
    <t>累计税收折旧</t>
    <phoneticPr fontId="1" type="noConversion"/>
  </si>
  <si>
    <t>林木类</t>
    <phoneticPr fontId="1" type="noConversion"/>
  </si>
  <si>
    <t>固定资产加速折旧审核表!A1</t>
  </si>
  <si>
    <t>畜类</t>
    <phoneticPr fontId="1" type="noConversion"/>
  </si>
  <si>
    <t>A105080资产折旧、摊销情况及纳税调整明细表!A1</t>
  </si>
  <si>
    <t>生产性生物性资产原值</t>
    <phoneticPr fontId="1" type="noConversion"/>
  </si>
  <si>
    <t>A105081固定资产加速折旧、扣除明细表!A1</t>
  </si>
  <si>
    <t>本年加速折旧</t>
    <phoneticPr fontId="1" type="noConversion"/>
  </si>
  <si>
    <t>二、累计折旧合计</t>
  </si>
  <si>
    <t>本期税收允许计提的折旧</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</si>
  <si>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</si>
  <si>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</si>
  <si>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林木类</t>
  </si>
  <si>
    <t>畜类</t>
  </si>
  <si>
    <t>生产性生物性资产折旧</t>
    <phoneticPr fontId="1" type="noConversion"/>
  </si>
  <si>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</si>
  <si>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</si>
  <si>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</si>
  <si>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</si>
  <si>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</si>
  <si>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</si>
  <si>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</si>
  <si>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</si>
  <si>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</si>
  <si>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</si>
  <si>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</si>
  <si>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</si>
  <si>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税法允许的加速折旧</t>
    <phoneticPr fontId="1" type="noConversion"/>
  </si>
  <si>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</si>
  <si>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</si>
  <si>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</si>
  <si>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</si>
  <si>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</si>
  <si>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</si>
  <si>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</si>
  <si>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</si>
  <si>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</si>
  <si>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</si>
  <si>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</si>
  <si>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</si>
  <si>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</si>
  <si>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</si>
  <si>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9</t>
    <phoneticPr fontId="1" type="noConversion"/>
  </si>
  <si>
    <t>10=7*丙+9</t>
    <phoneticPr fontId="1" type="noConversion"/>
  </si>
  <si>
    <t>10=8-9</t>
  </si>
  <si>
    <t>固定资产及折旧审核表</t>
  </si>
  <si>
    <t>提示：本表用于验算采用直线法计提折旧的客户。采用其他折旧方法的应另附验算记录。</t>
  </si>
  <si>
    <t>审核时应关注企业折旧率是否结算准确。</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</si>
  <si>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</si>
  <si>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</si>
  <si>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</si>
  <si>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</si>
  <si>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</si>
  <si>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</si>
  <si>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</si>
  <si>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</si>
  <si>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</si>
  <si>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</si>
  <si>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</si>
  <si>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</si>
  <si>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</si>
  <si>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</si>
  <si>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</si>
  <si>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累计税法摊销额</t>
    <phoneticPr fontId="1" type="noConversion"/>
  </si>
  <si>
    <t>一、长期待摊费用</t>
  </si>
  <si>
    <t>（一）已足额提取折旧的固定资产的改建支出</t>
    <phoneticPr fontId="1" type="noConversion"/>
  </si>
  <si>
    <t>（二）租入固定资产的改建支出</t>
    <phoneticPr fontId="1" type="noConversion"/>
  </si>
  <si>
    <t>（三）固定资产的大修理支出</t>
    <phoneticPr fontId="1" type="noConversion"/>
  </si>
  <si>
    <t>（四）开办费</t>
    <phoneticPr fontId="1" type="noConversion"/>
  </si>
  <si>
    <t>（五）其他</t>
    <phoneticPr fontId="1" type="noConversion"/>
  </si>
  <si>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</si>
  <si>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</si>
  <si>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</si>
  <si>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 xml:space="preserve">   （一）专利权</t>
    <phoneticPr fontId="1" type="noConversion"/>
  </si>
  <si>
    <t xml:space="preserve">   （二）商标权</t>
    <phoneticPr fontId="1" type="noConversion"/>
  </si>
  <si>
    <t xml:space="preserve">   （三）著作权</t>
    <phoneticPr fontId="1" type="noConversion"/>
  </si>
  <si>
    <t xml:space="preserve">   （四）土地使用权</t>
    <phoneticPr fontId="1" type="noConversion"/>
  </si>
  <si>
    <t xml:space="preserve">   （五）非专利技术</t>
    <phoneticPr fontId="1" type="noConversion"/>
  </si>
  <si>
    <t xml:space="preserve">   （六）特许权使用费</t>
    <phoneticPr fontId="1" type="noConversion"/>
  </si>
  <si>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</si>
  <si>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三、油气投资</t>
    <phoneticPr fontId="1" type="noConversion"/>
  </si>
  <si>
    <t xml:space="preserve">   （一）油气勘探投资</t>
    <phoneticPr fontId="1" type="noConversion"/>
  </si>
  <si>
    <t xml:space="preserve">   （二）油气开发投资</t>
    <phoneticPr fontId="1" type="noConversion"/>
  </si>
  <si>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</si>
  <si>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于3年）规定处理，但一经选定，不得改变。企业在新企业所得税法实施以前年度的未摊销完的开办费，也可按照上述规定处理。</t>
  </si>
  <si>
    <t>各类社会保障性缴款和住房公积金审核表</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</si>
  <si>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</si>
  <si>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</si>
  <si>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</si>
  <si>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</si>
  <si>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</si>
  <si>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</si>
  <si>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</si>
  <si>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2、税收金额的数据整理情况，在审核说明中列示。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</si>
  <si>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（二）补充养老保险、补充医疗保险</t>
  </si>
  <si>
    <t xml:space="preserve">      补充养老保险</t>
  </si>
  <si>
    <t xml:space="preserve">      补充医疗保险</t>
  </si>
  <si>
    <t>（三）住房公积金</t>
  </si>
  <si>
    <t>（四）其他</t>
    <phoneticPr fontId="1" type="noConversion"/>
  </si>
  <si>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</si>
  <si>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</si>
  <si>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</si>
  <si>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</si>
  <si>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</si>
  <si>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</si>
  <si>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</si>
  <si>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</si>
  <si>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工资福利</t>
  </si>
  <si>
    <t>税收优惠明细表</t>
  </si>
  <si>
    <t>纳税调整明细表!A1</t>
  </si>
  <si>
    <t>补充养老</t>
  </si>
  <si>
    <t>补充医疗</t>
  </si>
  <si>
    <t>个税申报工资额</t>
    <phoneticPr fontId="1" type="noConversion"/>
  </si>
  <si>
    <t>广告发布者名称</t>
  </si>
  <si>
    <t>支出额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</si>
  <si>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</si>
  <si>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</si>
  <si>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</si>
  <si>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</si>
  <si>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</si>
  <si>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本年广告费和业务宣传费支出</t>
    <phoneticPr fontId="1" type="noConversion"/>
  </si>
  <si>
    <t>减：不允许扣除的广告费和业务宣传费支出</t>
    <phoneticPr fontId="1" type="noConversion"/>
  </si>
  <si>
    <t>本年符合条件的广告费和业务宣传费支出</t>
    <phoneticPr fontId="1" type="noConversion"/>
  </si>
  <si>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</si>
  <si>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</si>
  <si>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</si>
  <si>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</si>
  <si>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</si>
  <si>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</si>
  <si>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</si>
  <si>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</si>
  <si>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</si>
  <si>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</si>
  <si>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</si>
  <si>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按照分摊协议归集至其他关联方的广告费和业务宣传费</t>
    <phoneticPr fontId="1" type="noConversion"/>
  </si>
  <si>
    <t>按照分摊协议从其他关联方归集至本企业的广告费和业务宣传费</t>
    <phoneticPr fontId="1" type="noConversion"/>
  </si>
  <si>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</si>
  <si>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</si>
  <si>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</si>
  <si>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</si>
  <si>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</si>
  <si>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</si>
  <si>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</si>
  <si>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</si>
  <si>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</si>
  <si>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</si>
  <si>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</si>
  <si>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</si>
  <si>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</si>
  <si>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</si>
  <si>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</si>
  <si>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</si>
  <si>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</si>
  <si>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</si>
  <si>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</si>
  <si>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</si>
  <si>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借款单位</t>
  </si>
  <si>
    <t>借款金额</t>
  </si>
  <si>
    <t>借款                       期限</t>
  </si>
  <si>
    <t>利率</t>
  </si>
  <si>
    <t>银行同期利率</t>
  </si>
  <si>
    <t>实际列支                        利息金额</t>
  </si>
  <si>
    <t>允许扣                           除金额</t>
  </si>
  <si>
    <t>超标准列                 支金额</t>
  </si>
  <si>
    <t>纳税调整明细表!C34</t>
  </si>
  <si>
    <t>实收公积审核表</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</si>
  <si>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</si>
  <si>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</si>
  <si>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</si>
  <si>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</si>
  <si>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</si>
  <si>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</si>
  <si>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</si>
  <si>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</si>
  <si>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</si>
  <si>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审核金额</t>
  </si>
  <si>
    <t>受益期限</t>
  </si>
  <si>
    <t>本期账面已列支金额</t>
  </si>
  <si>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</si>
  <si>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</si>
  <si>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</si>
  <si>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</si>
  <si>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</si>
  <si>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</si>
  <si>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</si>
  <si>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</si>
  <si>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</si>
  <si>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账面利润总额</t>
  </si>
  <si>
    <t>纳税调整后所得额</t>
  </si>
  <si>
    <t>合并分立企业转入可弥补亏损额</t>
    <phoneticPr fontId="1" type="noConversion"/>
  </si>
  <si>
    <t>当年可弥补的所得额</t>
  </si>
  <si>
    <t>弥补亏损是否备案</t>
  </si>
  <si>
    <t>利润表</t>
  </si>
  <si>
    <t>弥补亏损明细表</t>
  </si>
  <si>
    <t>B、G、S、C、D4</t>
  </si>
  <si>
    <t>可确认</t>
  </si>
  <si>
    <t>应予资本化的固定资产支出</t>
  </si>
  <si>
    <t>应予资本化的无形资产支出</t>
  </si>
  <si>
    <t>无限期结转扣除项目情况表</t>
  </si>
  <si>
    <t>纳税人名称：</t>
    <phoneticPr fontId="1" type="noConversion"/>
  </si>
  <si>
    <t>编制人</t>
    <phoneticPr fontId="1" type="noConversion"/>
  </si>
  <si>
    <t>日期</t>
    <phoneticPr fontId="1" type="noConversion"/>
  </si>
  <si>
    <t>纳税人代码：</t>
    <phoneticPr fontId="1" type="noConversion"/>
  </si>
  <si>
    <t>年度：</t>
    <phoneticPr fontId="1" type="noConversion"/>
  </si>
  <si>
    <t>复核人</t>
    <phoneticPr fontId="1" type="noConversion"/>
  </si>
  <si>
    <t>索引号</t>
    <phoneticPr fontId="1" type="noConversion"/>
  </si>
  <si>
    <t>项目  情况</t>
  </si>
  <si>
    <t>本年结转以后年度扣除额</t>
  </si>
  <si>
    <t>本年抵扣以前年度结转额</t>
  </si>
  <si>
    <t>备注</t>
    <phoneticPr fontId="1" type="noConversion"/>
  </si>
  <si>
    <t>创业投资额抵扣应纳税所得额</t>
  </si>
  <si>
    <t>广告费和业务宣传费</t>
    <phoneticPr fontId="1" type="noConversion"/>
  </si>
  <si>
    <t>合计</t>
    <phoneticPr fontId="1" type="noConversion"/>
  </si>
  <si>
    <t>跨年度确认所得情况表</t>
  </si>
  <si>
    <t>索引号</t>
    <phoneticPr fontId="1" type="noConversion"/>
  </si>
  <si>
    <t>纳税人名称：</t>
    <phoneticPr fontId="1" type="noConversion"/>
  </si>
  <si>
    <t>编制人</t>
    <phoneticPr fontId="1" type="noConversion"/>
  </si>
  <si>
    <t>纳税人代码：</t>
    <phoneticPr fontId="1" type="noConversion"/>
  </si>
  <si>
    <t>复核人</t>
    <phoneticPr fontId="1" type="noConversion"/>
  </si>
  <si>
    <t>发生年度</t>
  </si>
  <si>
    <t>发生金额</t>
  </si>
  <si>
    <t>确认所得</t>
  </si>
  <si>
    <t>备注</t>
    <phoneticPr fontId="1" type="noConversion"/>
  </si>
  <si>
    <t>债务重组所得</t>
    <phoneticPr fontId="1" type="noConversion"/>
  </si>
  <si>
    <t>向非居民企业投资转让所得</t>
    <phoneticPr fontId="1" type="noConversion"/>
  </si>
  <si>
    <t>搬迁收入</t>
    <phoneticPr fontId="1" type="noConversion"/>
  </si>
  <si>
    <t>租金收入</t>
    <phoneticPr fontId="1" type="noConversion"/>
  </si>
  <si>
    <t>合计</t>
    <phoneticPr fontId="1" type="noConversion"/>
  </si>
  <si>
    <t>委托单位</t>
    <phoneticPr fontId="1" type="noConversion"/>
  </si>
  <si>
    <t>编制人及日期：</t>
    <phoneticPr fontId="1" type="noConversion"/>
  </si>
  <si>
    <t>会计期间</t>
    <phoneticPr fontId="1" type="noConversion"/>
  </si>
  <si>
    <t>审核人及日期：</t>
    <phoneticPr fontId="1" type="noConversion"/>
  </si>
  <si>
    <t xml:space="preserve">行次 </t>
  </si>
  <si>
    <t xml:space="preserve">项        目         </t>
  </si>
  <si>
    <t xml:space="preserve">税收金额 </t>
  </si>
  <si>
    <t xml:space="preserve">纳税调整金额  </t>
  </si>
  <si>
    <t>表间关系</t>
    <phoneticPr fontId="1" type="noConversion"/>
  </si>
  <si>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</si>
  <si>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</si>
  <si>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</si>
  <si>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</si>
  <si>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</si>
  <si>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</si>
  <si>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</si>
  <si>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</si>
  <si>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</si>
  <si>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</si>
  <si>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</si>
  <si>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A105010视同销售和房地产开发企业特定业务纳税调整明细表!A1</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</si>
  <si>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</si>
  <si>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</si>
  <si>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</si>
  <si>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</si>
  <si>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</si>
  <si>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</si>
  <si>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</si>
  <si>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</si>
  <si>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</si>
  <si>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</si>
  <si>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</si>
  <si>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</si>
  <si>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</si>
  <si>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</si>
  <si>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</si>
  <si>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</si>
  <si>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</si>
  <si>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</si>
  <si>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</si>
  <si>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</si>
  <si>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</si>
  <si>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未按权责发生制确认收入审核表</t>
    <phoneticPr fontId="1" type="noConversion"/>
  </si>
  <si>
    <t>合同金额（交易金额）</t>
  </si>
  <si>
    <t xml:space="preserve">账载金额 </t>
  </si>
  <si>
    <t>表间关系</t>
  </si>
  <si>
    <t xml:space="preserve">本年 </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</si>
  <si>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</si>
  <si>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</si>
  <si>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</si>
  <si>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</si>
  <si>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</si>
  <si>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</si>
  <si>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A105020未按权责发生制确认收入纳税调整明细表!A1</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</si>
  <si>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</si>
  <si>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</si>
  <si>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</si>
  <si>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</si>
  <si>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</si>
  <si>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</si>
  <si>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</si>
  <si>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 xml:space="preserve">1.第14行第2列＝表A105000第3行第1列
2.第14行第4列＝表A105000第3行第2列
3.第14行第6列，若≥0，填入表A105000第3行第3列；若＜0，将绝对值填入表A105000第3行第4列
</t>
  </si>
  <si>
    <t>投资收益审核表</t>
    <phoneticPr fontId="1" type="noConversion"/>
  </si>
  <si>
    <t xml:space="preserve">表间关系        </t>
  </si>
  <si>
    <t>会计确认的处置收入</t>
  </si>
  <si>
    <t>税收计算的处置所得</t>
  </si>
  <si>
    <t>11（3+10）</t>
  </si>
  <si>
    <t xml:space="preserve">一、交易性金融资产     </t>
  </si>
  <si>
    <t xml:space="preserve">二、可供出售金融资产    </t>
  </si>
  <si>
    <t xml:space="preserve">三、持有至到期投资    </t>
  </si>
  <si>
    <t>利润</t>
  </si>
  <si>
    <t xml:space="preserve">四、衍生工具        </t>
  </si>
  <si>
    <t xml:space="preserve">五、交易性金融负债      </t>
  </si>
  <si>
    <t>A105030投资收益纳税调整明细表!A1</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</si>
  <si>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</si>
  <si>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</si>
  <si>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</si>
  <si>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</si>
  <si>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</si>
  <si>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</si>
  <si>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专项用途财政性资金审核表</t>
    <phoneticPr fontId="1" type="noConversion"/>
  </si>
  <si>
    <t xml:space="preserve">项目 </t>
  </si>
  <si>
    <t>取得年度</t>
  </si>
  <si>
    <t>财政性资金</t>
  </si>
  <si>
    <t>其中：符合不征税收入条件的财政性资金</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</si>
  <si>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</si>
  <si>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</si>
  <si>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</si>
  <si>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</si>
  <si>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</si>
  <si>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</si>
  <si>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</si>
  <si>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</si>
  <si>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</si>
  <si>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</si>
  <si>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 xml:space="preserve">金额  </t>
  </si>
  <si>
    <t>其中：计入本年损益的金额</t>
  </si>
  <si>
    <t>前五年度</t>
    <phoneticPr fontId="1" type="noConversion"/>
  </si>
  <si>
    <t>A105040专项用途财政性资金纳税调整表!A1</t>
  </si>
  <si>
    <t>本    年</t>
  </si>
  <si>
    <t>合计（1+2+3+4+5+6）</t>
  </si>
  <si>
    <t xml:space="preserve">*  </t>
  </si>
  <si>
    <t xml:space="preserve">1.第7行第4列＝表A105000第9行第4列
2.第7行第11列＝表A105000第25行第3列
3.第7行第14列＝表A105000第9行第3列
</t>
  </si>
  <si>
    <t xml:space="preserve">固定资产加速折旧、扣除审核表              </t>
    <phoneticPr fontId="1" type="noConversion"/>
  </si>
  <si>
    <t>项    目</t>
  </si>
  <si>
    <t xml:space="preserve">表间关系      </t>
  </si>
  <si>
    <t>资产损失税前扣除审核表</t>
    <phoneticPr fontId="1" type="noConversion"/>
  </si>
  <si>
    <t>企业重组审核表</t>
    <phoneticPr fontId="1" type="noConversion"/>
  </si>
  <si>
    <t>政策性搬迁审核表</t>
    <phoneticPr fontId="1" type="noConversion"/>
  </si>
  <si>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</si>
  <si>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</si>
  <si>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</si>
  <si>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</si>
  <si>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</si>
  <si>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</si>
  <si>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</si>
  <si>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</si>
  <si>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</si>
  <si>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</si>
  <si>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A105110政策性搬迁纳税调整明细表!A1</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</si>
  <si>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</si>
  <si>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</si>
  <si>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</si>
  <si>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</si>
  <si>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</si>
  <si>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</si>
  <si>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</si>
  <si>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</si>
  <si>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</si>
  <si>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</si>
  <si>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</si>
  <si>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</si>
  <si>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</si>
  <si>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</si>
  <si>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</si>
  <si>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特殊行业准备金审核表</t>
    <phoneticPr fontId="1" type="noConversion"/>
  </si>
  <si>
    <t>免税、减计收入及加计扣除优惠审核表</t>
    <phoneticPr fontId="1" type="noConversion"/>
  </si>
  <si>
    <t xml:space="preserve">金    额 </t>
  </si>
  <si>
    <t>符合条件的居民企业之间的股息、红利等权益性投资收益优惠审核表</t>
    <phoneticPr fontId="1" type="noConversion"/>
  </si>
  <si>
    <t xml:space="preserve">合计   </t>
  </si>
  <si>
    <t xml:space="preserve">合计  </t>
  </si>
  <si>
    <t xml:space="preserve">*    </t>
  </si>
  <si>
    <t>研发费用加计扣除优惠审核表</t>
    <phoneticPr fontId="1" type="noConversion"/>
  </si>
  <si>
    <t>所得减免优惠审核表</t>
    <phoneticPr fontId="1" type="noConversion"/>
  </si>
  <si>
    <t xml:space="preserve">项        目     </t>
  </si>
  <si>
    <t>纳税调整额</t>
  </si>
  <si>
    <t>抵扣应纳税所得额审核表</t>
    <phoneticPr fontId="1" type="noConversion"/>
  </si>
  <si>
    <t>减免所得税优惠审核表</t>
    <phoneticPr fontId="1" type="noConversion"/>
  </si>
  <si>
    <t>一、符合条件的小型微利企业</t>
  </si>
  <si>
    <t>全年</t>
  </si>
  <si>
    <t>高新技术企业优惠情况审核表</t>
    <phoneticPr fontId="1" type="noConversion"/>
  </si>
  <si>
    <t xml:space="preserve">行次    </t>
  </si>
  <si>
    <t>税额抵免优惠审核表</t>
    <phoneticPr fontId="1" type="noConversion"/>
  </si>
  <si>
    <t>行次</t>
    <phoneticPr fontId="1" type="noConversion"/>
  </si>
  <si>
    <t>本年
抵免前
应纳税额</t>
  </si>
  <si>
    <t>本年允许抵免的专用设备投资额</t>
  </si>
  <si>
    <t>本年
可抵免
税额</t>
  </si>
  <si>
    <t>以前年度已抵免额</t>
  </si>
  <si>
    <t>可结转以后年度抵免的税额</t>
  </si>
  <si>
    <t>4=3×10%</t>
  </si>
  <si>
    <t>10（5+6+7+8+9）</t>
  </si>
  <si>
    <t>12（4-10-11）</t>
  </si>
  <si>
    <t>前五年度</t>
    <phoneticPr fontId="1" type="noConversion"/>
  </si>
  <si>
    <t>A107050税额抵免优惠明细表!A1</t>
  </si>
  <si>
    <t>本年实际抵免税额合计（第11列第1+2+…+6行）</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</si>
  <si>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</si>
  <si>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</si>
  <si>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</si>
  <si>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</si>
  <si>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</si>
  <si>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境外所得税收抵免审核表</t>
    <phoneticPr fontId="1" type="noConversion"/>
  </si>
  <si>
    <t>境外税前所得</t>
  </si>
  <si>
    <t>抵减境内亏损</t>
  </si>
  <si>
    <t>抵减境内亏损后的境外应纳税所得额</t>
  </si>
  <si>
    <t>境外所得应纳税额</t>
  </si>
  <si>
    <t>本年可抵免境外所得税额</t>
  </si>
  <si>
    <t>未超过境外所得税抵免限额的余额</t>
  </si>
  <si>
    <t>本年可抵免以前年度未抵免境外所得税额</t>
  </si>
  <si>
    <t>按简易办法计算</t>
  </si>
  <si>
    <t>境外所得抵免所得税额合计</t>
  </si>
  <si>
    <t>按12.5%计算的抵免额</t>
  </si>
  <si>
    <t>5（3-4）</t>
  </si>
  <si>
    <t>7（5-6）</t>
  </si>
  <si>
    <t>9（7×8）</t>
  </si>
  <si>
    <t>12（10、11孰小）</t>
  </si>
  <si>
    <t>13（11-12）</t>
  </si>
  <si>
    <t>14（≤13）</t>
  </si>
  <si>
    <t>18（15+16+17）</t>
  </si>
  <si>
    <t>19（12+14+18）</t>
  </si>
  <si>
    <t>A108000境外所得税收抵免明细表!A1</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</si>
  <si>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</si>
  <si>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</si>
  <si>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</si>
  <si>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</si>
  <si>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</si>
  <si>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</si>
  <si>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</si>
  <si>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</si>
  <si>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境外所得纳税调整后所得审核表</t>
    <phoneticPr fontId="1" type="noConversion"/>
  </si>
  <si>
    <t>境外所得可抵免的所得税额</t>
  </si>
  <si>
    <t>境外分支机构收入与支出纳税调整额</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</si>
  <si>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</si>
  <si>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</si>
  <si>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</si>
  <si>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</si>
  <si>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</si>
  <si>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</si>
  <si>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</si>
  <si>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</si>
  <si>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</si>
  <si>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</si>
  <si>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</si>
  <si>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</si>
  <si>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</si>
  <si>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</si>
  <si>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</si>
  <si>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A108010境外所得纳税调整后所得明细表!A1</t>
  </si>
  <si>
    <t>第13列各行＝表A108000第10列相应行次</t>
  </si>
  <si>
    <t>1.第14列各行＝表A108000第2列相应行次
2.第14列－第11列=主表A100000第14行</t>
  </si>
  <si>
    <t>第16列合计+第17列合计＝表A105000第28行第3列</t>
  </si>
  <si>
    <t>第18列各行＝表A108000第3列相应各行</t>
  </si>
  <si>
    <t>境外分支机构弥补亏损审核表</t>
    <phoneticPr fontId="1" type="noConversion"/>
  </si>
  <si>
    <t>本年弥补的以前年度非实际亏损额</t>
  </si>
  <si>
    <t>以前年度结转尚未弥补的实际亏损额</t>
  </si>
  <si>
    <t>本年弥补的以前年度实际亏损额</t>
  </si>
  <si>
    <t xml:space="preserve">小计 </t>
  </si>
  <si>
    <t>5（2+3-4）</t>
  </si>
  <si>
    <t>11（6+7+8+9+10）</t>
  </si>
  <si>
    <t>19（14+15+16+17+18）</t>
  </si>
  <si>
    <t>A108020境外分支机构弥补亏损明细表!A1</t>
  </si>
  <si>
    <t>表间
关系</t>
  </si>
  <si>
    <t>第4列各行+第13列各行＝表A108000第4列相应行次</t>
  </si>
  <si>
    <t>跨年度结转抵免境外所得税审核表</t>
    <phoneticPr fontId="1" type="noConversion"/>
  </si>
  <si>
    <t>本年实际抵免以前年度未抵免的境外已缴所得税额</t>
  </si>
  <si>
    <t>7（2+3+4+5+6）</t>
  </si>
  <si>
    <t>13（8+9+10+11+12）</t>
  </si>
  <si>
    <t>14（3-9）</t>
  </si>
  <si>
    <t>15（4-10）</t>
  </si>
  <si>
    <t>16（5-11）</t>
  </si>
  <si>
    <t>17（6-12）</t>
  </si>
  <si>
    <t>A108030跨年度结转抵免境外所得税明细表!A1</t>
  </si>
  <si>
    <t>第13列各行＝表A108000第14列相应行次</t>
  </si>
  <si>
    <t>第18列各行＝表A108000第10列相应行次-表A108000第12列相应行次（当表A108000第10列相应行次大于表A108000第12列相应行次时填报）</t>
  </si>
  <si>
    <t xml:space="preserve">金    额     </t>
  </si>
  <si>
    <t>A109000跨地区经营汇总纳税企业年度分摊企业所得税明细表!A1</t>
  </si>
  <si>
    <t>企业所得税汇总纳税分支机构所得税分配表</t>
  </si>
  <si>
    <t>资产减值准备审核表</t>
    <phoneticPr fontId="1" type="noConversion"/>
  </si>
  <si>
    <t>金额单位:元(列至角分)</t>
  </si>
  <si>
    <t>准备金类别</t>
  </si>
  <si>
    <t>本期转回额</t>
  </si>
  <si>
    <t>本期计提额</t>
  </si>
  <si>
    <t>坏（呆）账准备</t>
  </si>
  <si>
    <t>*其中：消耗性生物资产减值准备</t>
  </si>
  <si>
    <t>*持有至到期投资减值准备</t>
  </si>
  <si>
    <t>*可供出售金融资产减值</t>
  </si>
  <si>
    <t>#短期投资跌价准备</t>
  </si>
  <si>
    <t>*投资性房地产减值准备</t>
  </si>
  <si>
    <t>1、已确认并转销的应收款项以后又收回的，相关金额以负数表示，填入第2列（本期转回额）</t>
  </si>
  <si>
    <t>在建工程（工程物资）减值准备</t>
  </si>
  <si>
    <t>*生产性生物资产减值准备</t>
  </si>
  <si>
    <t>商誉减值准备</t>
  </si>
  <si>
    <t>贷款损失准备</t>
  </si>
  <si>
    <t>矿区权益减值</t>
  </si>
  <si>
    <t>公允价值变动审定表</t>
    <phoneticPr fontId="1" type="noConversion"/>
  </si>
  <si>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</si>
  <si>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</si>
  <si>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</si>
  <si>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</si>
  <si>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</si>
  <si>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</si>
  <si>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</si>
  <si>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</si>
  <si>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</si>
  <si>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</si>
  <si>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</si>
  <si>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</si>
  <si>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</si>
  <si>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</si>
  <si>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</si>
  <si>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</si>
  <si>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委托
单位</t>
  </si>
  <si>
    <t>期间</t>
  </si>
  <si>
    <t>收入按应税税种、税率分类</t>
  </si>
  <si>
    <t>账载收入</t>
  </si>
  <si>
    <t>申报收入</t>
  </si>
  <si>
    <t>账载与申报收入差异</t>
  </si>
  <si>
    <t>可扣除项目</t>
  </si>
  <si>
    <t>其他收入</t>
  </si>
  <si>
    <t>增值税</t>
  </si>
  <si>
    <t>地税申报数据</t>
  </si>
  <si>
    <t>税费缴纳测算</t>
  </si>
  <si>
    <t>其他业务利润审核表</t>
  </si>
  <si>
    <t>增值税勾稽关系检查</t>
  </si>
  <si>
    <t>备
注</t>
  </si>
  <si>
    <t>主营业务毛利分析表</t>
  </si>
  <si>
    <t>建造合同</t>
  </si>
  <si>
    <t>按
月
份
分
析</t>
  </si>
  <si>
    <t>大类</t>
  </si>
  <si>
    <t>按
类
别
分
析</t>
  </si>
  <si>
    <t>小类</t>
  </si>
  <si>
    <t>审核说明</t>
  </si>
  <si>
    <t>借方发生额</t>
  </si>
  <si>
    <t>贷方发生额</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</si>
  <si>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</si>
  <si>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</si>
  <si>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</si>
  <si>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</si>
  <si>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</si>
  <si>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</si>
  <si>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</si>
  <si>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</si>
  <si>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</si>
  <si>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</si>
  <si>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</si>
  <si>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</si>
  <si>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</si>
  <si>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</si>
  <si>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</si>
  <si>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</si>
  <si>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</si>
  <si>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</si>
  <si>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</si>
  <si>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</si>
  <si>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</si>
  <si>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</si>
  <si>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</si>
  <si>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</si>
  <si>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</si>
  <si>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</si>
  <si>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</si>
  <si>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</si>
  <si>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</si>
  <si>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</si>
  <si>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</si>
  <si>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</si>
  <si>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</si>
  <si>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</si>
  <si>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</si>
  <si>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</si>
  <si>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</si>
  <si>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</si>
  <si>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</si>
  <si>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</si>
  <si>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(7)=(1)+(2)-(3)-(4)</t>
    <phoneticPr fontId="1" type="noConversion"/>
  </si>
  <si>
    <t xml:space="preserve">  加：直接人工成本</t>
  </si>
  <si>
    <t>(8)</t>
  </si>
  <si>
    <t xml:space="preserve">  加：制造费用</t>
  </si>
  <si>
    <t>(9)</t>
  </si>
  <si>
    <t>(10)</t>
  </si>
  <si>
    <t>(11)</t>
  </si>
  <si>
    <t>产品生产成本</t>
  </si>
  <si>
    <t>(12)=(7)+(8)+(9)</t>
    <phoneticPr fontId="1" type="noConversion"/>
  </si>
  <si>
    <t xml:space="preserve">  加：在产品期初余额</t>
  </si>
  <si>
    <t>(13)</t>
  </si>
  <si>
    <t xml:space="preserve">  减：在产品期末余额</t>
  </si>
  <si>
    <t>(14)</t>
  </si>
  <si>
    <t xml:space="preserve">  减：其他在产品发出额</t>
  </si>
  <si>
    <t>(15)</t>
  </si>
  <si>
    <t>(16)</t>
  </si>
  <si>
    <t>(17)</t>
  </si>
  <si>
    <t>存货商品成本</t>
  </si>
  <si>
    <t>(18)=(12)+(13)-(14)-(15)</t>
    <phoneticPr fontId="1" type="noConversion"/>
  </si>
  <si>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</si>
  <si>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</si>
  <si>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</si>
  <si>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</si>
  <si>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</si>
  <si>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</si>
  <si>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</si>
  <si>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</si>
  <si>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</si>
  <si>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</si>
  <si>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</si>
  <si>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</si>
  <si>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</si>
  <si>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</si>
  <si>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</si>
  <si>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(29)</t>
  </si>
  <si>
    <t>(30)</t>
  </si>
  <si>
    <t>(31)</t>
  </si>
  <si>
    <t>(32)</t>
  </si>
  <si>
    <t>(33)=(18)+(19)+(20)-(21)-(22)+(25)+(29)</t>
    <phoneticPr fontId="1" type="noConversion"/>
  </si>
  <si>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</si>
  <si>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</si>
  <si>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</si>
  <si>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</si>
  <si>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</si>
  <si>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</si>
  <si>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</si>
  <si>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</si>
  <si>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</si>
  <si>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</si>
  <si>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</si>
  <si>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适用税种及附加</t>
  </si>
  <si>
    <t>计税依据</t>
  </si>
  <si>
    <t>适用税率或征收率</t>
  </si>
  <si>
    <t>应计提税金或附加</t>
  </si>
  <si>
    <t>账面数</t>
  </si>
  <si>
    <t>城建税</t>
  </si>
  <si>
    <t>审核报告事项说明</t>
  </si>
  <si>
    <t>收入与申报核对表!A1</t>
  </si>
  <si>
    <t>本表的计税依据源自“收入与申报核对表”，如有差异请调整。</t>
  </si>
  <si>
    <t>地方教育附加</t>
  </si>
  <si>
    <t>∧、＜、T、G、S、C、D2</t>
  </si>
  <si>
    <t>各税缴纳情况审核表</t>
  </si>
  <si>
    <t xml:space="preserve">序号 </t>
  </si>
  <si>
    <t>税种</t>
  </si>
  <si>
    <t>账载本年应交</t>
  </si>
  <si>
    <t>审定本年应交</t>
  </si>
  <si>
    <t>本年已交</t>
  </si>
  <si>
    <t>期末应补</t>
  </si>
  <si>
    <t>差额调整</t>
  </si>
  <si>
    <t>增值税</t>
    <phoneticPr fontId="1" type="noConversion"/>
  </si>
  <si>
    <t>消费税</t>
    <phoneticPr fontId="1" type="noConversion"/>
  </si>
  <si>
    <t>教育附加费</t>
  </si>
  <si>
    <t>资源税</t>
    <phoneticPr fontId="1" type="noConversion"/>
  </si>
  <si>
    <t>土地增值税</t>
    <phoneticPr fontId="1" type="noConversion"/>
  </si>
  <si>
    <t>企业所得税</t>
  </si>
  <si>
    <t>房产税</t>
  </si>
  <si>
    <t>印花税</t>
  </si>
  <si>
    <t>车船税</t>
  </si>
  <si>
    <t>土地使用税</t>
  </si>
  <si>
    <t>契税</t>
    <phoneticPr fontId="1" type="noConversion"/>
  </si>
  <si>
    <t>残疾人保障金</t>
  </si>
  <si>
    <t>文化事业建设费</t>
  </si>
  <si>
    <t>个人所得税</t>
  </si>
  <si>
    <t>本  期  合  计</t>
  </si>
  <si>
    <t xml:space="preserve">   其他税费测算表</t>
  </si>
  <si>
    <t>应计缴税金</t>
  </si>
  <si>
    <t>差额调整</t>
    <phoneticPr fontId="1" type="noConversion"/>
  </si>
  <si>
    <t>印花税合计</t>
  </si>
  <si>
    <t>印花税-购销合同</t>
  </si>
  <si>
    <t>印花税-建筑安装工程承包合同</t>
  </si>
  <si>
    <t>印花税-技术合同</t>
  </si>
  <si>
    <t>印花税-租赁合同</t>
  </si>
  <si>
    <t>印花税-仓储合同</t>
  </si>
  <si>
    <t>印花税-保险合同</t>
  </si>
  <si>
    <t>印花税-运输合同</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</si>
  <si>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</si>
  <si>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</si>
  <si>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</si>
  <si>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</si>
  <si>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</si>
  <si>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</si>
  <si>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</si>
  <si>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</si>
  <si>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</si>
  <si>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</si>
  <si>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</si>
  <si>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</si>
  <si>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其他业务支出</t>
  </si>
  <si>
    <t>未  审  数</t>
  </si>
  <si>
    <t>调  整  数</t>
  </si>
  <si>
    <t>审  定  数</t>
  </si>
  <si>
    <t>成本</t>
    <phoneticPr fontId="1" type="noConversion"/>
  </si>
  <si>
    <t>销售材料收入</t>
    <phoneticPr fontId="1" type="noConversion"/>
  </si>
  <si>
    <t xml:space="preserve">  其中：非货币性交换</t>
    <phoneticPr fontId="1" type="noConversion"/>
  </si>
  <si>
    <t>4、</t>
    <phoneticPr fontId="1" type="noConversion"/>
  </si>
  <si>
    <t>出租无形资产收入</t>
    <phoneticPr fontId="1" type="noConversion"/>
  </si>
  <si>
    <t>出租包装物和商品收入</t>
    <phoneticPr fontId="1" type="noConversion"/>
  </si>
  <si>
    <t>其他小计</t>
  </si>
  <si>
    <t>其他业务利润</t>
  </si>
  <si>
    <t>调整或重新分类数</t>
  </si>
  <si>
    <t>其中：境外支付</t>
    <phoneticPr fontId="1" type="noConversion"/>
  </si>
  <si>
    <t>工资薪金支出</t>
  </si>
  <si>
    <t>成本费用明细表</t>
  </si>
  <si>
    <t>职工福利费支出</t>
  </si>
  <si>
    <t>职工教育经费支出</t>
  </si>
  <si>
    <t>工会经费支出</t>
  </si>
  <si>
    <t>业务招待费支出</t>
  </si>
  <si>
    <t>广告费和业务宣传费支出</t>
  </si>
  <si>
    <t>捐赠支出</t>
  </si>
  <si>
    <t>广告费纳税调整表</t>
  </si>
  <si>
    <t>罚金、罚款和被没收财物的损失</t>
  </si>
  <si>
    <t>社保公积审核表</t>
  </si>
  <si>
    <t>招待费审核表</t>
  </si>
  <si>
    <t>赞助支出</t>
  </si>
  <si>
    <t>捐赠支出审核表</t>
  </si>
  <si>
    <t>各类基本社会保障性缴款</t>
  </si>
  <si>
    <t>A104000期间费用明细表!A1</t>
  </si>
  <si>
    <t>补充养老险、补充医疗保险</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</si>
  <si>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</si>
  <si>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财产损失</t>
  </si>
  <si>
    <t>折旧</t>
  </si>
  <si>
    <t>租金</t>
  </si>
  <si>
    <t>辞退福利</t>
  </si>
  <si>
    <t>无形资产摊销</t>
  </si>
  <si>
    <t>长期待摊费用摊销</t>
  </si>
  <si>
    <t>9、如佣金服务全部或主要在国外提供，不扣缴所得税，但自2009年开始要扣缴5%的营业税。</t>
  </si>
  <si>
    <t>车船使用税</t>
  </si>
  <si>
    <t>劳务费</t>
  </si>
  <si>
    <t>咨询顾问费</t>
  </si>
  <si>
    <t>佣金和手续费</t>
  </si>
  <si>
    <t>办公费</t>
  </si>
  <si>
    <t>董事会费</t>
  </si>
  <si>
    <t>诉讼费</t>
  </si>
  <si>
    <t>差旅费</t>
  </si>
  <si>
    <t>保险费</t>
  </si>
  <si>
    <t>运输、仓储费</t>
  </si>
  <si>
    <t>修理费</t>
  </si>
  <si>
    <t>一、数据来源：会计科目“营业费用”相关明细账的本年借方累计发生额，也可根据科目余额表直接填列</t>
  </si>
  <si>
    <t>包装费</t>
  </si>
  <si>
    <t>技术转让费</t>
  </si>
  <si>
    <t>二、编表说明：1-16行为固定项目，不得更改位置或顺序，否则系统会出错！！！；17行为可选项，18-32行可填列除1-17行以外的其他项目的金额。</t>
  </si>
  <si>
    <t>研究费用</t>
  </si>
  <si>
    <t>三、如企业账务核算中存在“串户”现象的，其“串户”金额填列在“调整或重新分类数”栏目里，正数表示调增，负数表示调减。</t>
  </si>
  <si>
    <t xml:space="preserve">   其中：</t>
    <phoneticPr fontId="1" type="noConversion"/>
  </si>
  <si>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</si>
  <si>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</si>
  <si>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</si>
  <si>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</si>
  <si>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</si>
  <si>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</si>
  <si>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</si>
  <si>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</si>
  <si>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</si>
  <si>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现金折扣</t>
    <phoneticPr fontId="1" type="noConversion"/>
  </si>
  <si>
    <t>减:利息收入</t>
  </si>
  <si>
    <t>其他事项!A1</t>
  </si>
  <si>
    <t xml:space="preserve">      其中:国债利息收入</t>
  </si>
  <si>
    <t xml:space="preserve">   汇兑收益</t>
  </si>
  <si>
    <t>加：其他</t>
    <phoneticPr fontId="1" type="noConversion"/>
  </si>
  <si>
    <t>其中：</t>
    <phoneticPr fontId="1" type="noConversion"/>
  </si>
  <si>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</si>
  <si>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</si>
  <si>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</si>
  <si>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</si>
  <si>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</si>
  <si>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</si>
  <si>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</si>
  <si>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</si>
  <si>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</si>
  <si>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</si>
  <si>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</si>
  <si>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</si>
  <si>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</si>
  <si>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</si>
  <si>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</si>
  <si>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</si>
  <si>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</si>
  <si>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其他中含（1）不需支付的应付款</t>
  </si>
  <si>
    <t>捐赠</t>
  </si>
  <si>
    <t xml:space="preserve">    （2）保险赔款</t>
  </si>
  <si>
    <t xml:space="preserve">     (3)其他</t>
  </si>
  <si>
    <t>营业外收入合计</t>
  </si>
  <si>
    <t xml:space="preserve">   （一）非流动资产处置损失</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</si>
  <si>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</si>
  <si>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</si>
  <si>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</si>
  <si>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</si>
  <si>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</si>
  <si>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</si>
  <si>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</si>
  <si>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</si>
  <si>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</si>
  <si>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           其中：</t>
    <phoneticPr fontId="1"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</si>
  <si>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</si>
  <si>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</si>
  <si>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</si>
  <si>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</si>
  <si>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</si>
  <si>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审核
结论</t>
  </si>
  <si>
    <t>固资折旧</t>
  </si>
  <si>
    <t>金额单位：元</t>
  </si>
  <si>
    <t>项      目</t>
  </si>
  <si>
    <t>行 次</t>
  </si>
  <si>
    <t>期初未交额</t>
  </si>
  <si>
    <t>已纳税额</t>
  </si>
  <si>
    <t>期末应补（退）税额</t>
  </si>
  <si>
    <t>消费税</t>
  </si>
  <si>
    <t>城市维护建设税</t>
  </si>
  <si>
    <t>主营税金及附加审核表</t>
  </si>
  <si>
    <t>教育费附加</t>
  </si>
  <si>
    <t>应补（退）税额</t>
  </si>
  <si>
    <t>资源税</t>
  </si>
  <si>
    <t>土地增值税</t>
  </si>
  <si>
    <t>城镇土地使用税</t>
    <phoneticPr fontId="1" type="noConversion"/>
  </si>
  <si>
    <t>契税</t>
  </si>
  <si>
    <t>其他税种</t>
  </si>
  <si>
    <t>注：已纳税额包含2016年1月份入库的所属期为2015年12月份的应纳税额。</t>
    <phoneticPr fontId="1" type="noConversion"/>
  </si>
  <si>
    <t>工作表名称</t>
    <phoneticPr fontId="1" type="noConversion"/>
  </si>
  <si>
    <t>底稿检查</t>
    <phoneticPr fontId="1" type="noConversion"/>
  </si>
  <si>
    <t>点击超链接后：</t>
    <phoneticPr fontId="1" type="noConversion"/>
  </si>
  <si>
    <t>跳转超链接所选页面</t>
  </si>
  <si>
    <t>相差</t>
    <phoneticPr fontId="1" type="noConversion"/>
  </si>
  <si>
    <t>手动检查</t>
    <phoneticPr fontId="1" type="noConversion"/>
  </si>
  <si>
    <t>元</t>
    <phoneticPr fontId="1" type="noConversion"/>
  </si>
  <si>
    <t>招待</t>
  </si>
  <si>
    <t>折旧测算</t>
  </si>
  <si>
    <t>无形长摊</t>
  </si>
  <si>
    <t>广宣</t>
  </si>
  <si>
    <t>利息</t>
  </si>
  <si>
    <t>无限期结转扣除项目审核表</t>
    <phoneticPr fontId="1" type="noConversion"/>
  </si>
  <si>
    <t>根据需要填写</t>
    <phoneticPr fontId="1" type="noConversion"/>
  </si>
  <si>
    <t>跨年度确认所得情况表</t>
    <phoneticPr fontId="1" type="noConversion"/>
  </si>
  <si>
    <t>主营收支</t>
  </si>
  <si>
    <t>收入与申报核对表</t>
    <phoneticPr fontId="1" type="noConversion"/>
  </si>
  <si>
    <t>毛利分析</t>
  </si>
  <si>
    <t>元</t>
    <phoneticPr fontId="1" type="noConversion"/>
  </si>
  <si>
    <t>制造费用、生产成本</t>
  </si>
  <si>
    <t>相差</t>
    <phoneticPr fontId="1" type="noConversion"/>
  </si>
  <si>
    <t>成本倒轧</t>
  </si>
  <si>
    <t>存货计价测试</t>
  </si>
  <si>
    <t>根据需要填写</t>
    <phoneticPr fontId="1" type="noConversion"/>
  </si>
  <si>
    <t>税费缴纳测算</t>
    <phoneticPr fontId="1" type="noConversion"/>
  </si>
  <si>
    <t>其他业务</t>
  </si>
  <si>
    <t>营外收支</t>
  </si>
  <si>
    <t>货币资金</t>
  </si>
  <si>
    <t>应收</t>
  </si>
  <si>
    <t>预付</t>
  </si>
  <si>
    <t>其他应收</t>
  </si>
  <si>
    <t>待摊预提</t>
  </si>
  <si>
    <t>应付</t>
  </si>
  <si>
    <t>预收</t>
  </si>
  <si>
    <t>其他应付</t>
  </si>
  <si>
    <t>实收公积</t>
  </si>
  <si>
    <t>未分利润</t>
  </si>
  <si>
    <t>手动检查</t>
    <phoneticPr fontId="1" type="noConversion"/>
  </si>
  <si>
    <t>申报日期</t>
    <phoneticPr fontId="1" type="noConversion"/>
  </si>
  <si>
    <t>征收项目</t>
    <phoneticPr fontId="1" type="noConversion"/>
  </si>
  <si>
    <t>征收品目</t>
    <phoneticPr fontId="1" type="noConversion"/>
  </si>
  <si>
    <t>征收子目</t>
    <phoneticPr fontId="1" type="noConversion"/>
  </si>
  <si>
    <t>税款所属期</t>
    <phoneticPr fontId="1" type="noConversion"/>
  </si>
  <si>
    <t>计税金额</t>
    <phoneticPr fontId="1" type="noConversion"/>
  </si>
  <si>
    <t>税率</t>
    <phoneticPr fontId="1" type="noConversion"/>
  </si>
  <si>
    <t>应纳税额</t>
    <phoneticPr fontId="1" type="noConversion"/>
  </si>
  <si>
    <t>已缴税额</t>
    <phoneticPr fontId="1" type="noConversion"/>
  </si>
  <si>
    <t>减免税额</t>
    <phoneticPr fontId="1" type="noConversion"/>
  </si>
  <si>
    <t>实际应缴税额</t>
    <phoneticPr fontId="1" type="noConversion"/>
  </si>
  <si>
    <t>入库日期</t>
    <phoneticPr fontId="1" type="noConversion"/>
  </si>
  <si>
    <t>说明：
1、复制时，请复制税款所属期为税审年度的数据（社保数据不引用）
2、操作单元格为A列到L列。（M列（含）及之后的区域请勿操作）
如：2013年度税审粘贴申报期为2013年2月至2014年1月数据。</t>
    <phoneticPr fontId="1" type="noConversion"/>
  </si>
  <si>
    <t>140条记录操作时间约为1至2秒。</t>
    <phoneticPr fontId="1" type="noConversion"/>
  </si>
  <si>
    <t>R4单元格请勿操作</t>
    <phoneticPr fontId="1" type="noConversion"/>
  </si>
  <si>
    <t> </t>
    <phoneticPr fontId="1" type="noConversion"/>
  </si>
  <si>
    <t>附件1:企业基本情况和企业所得税汇算清缴纳税申报审核事项说明</t>
    <phoneticPr fontId="1" type="noConversion"/>
  </si>
  <si>
    <t>一、企业基本情况</t>
  </si>
  <si>
    <t xml:space="preserve">   1．成立日期</t>
    <phoneticPr fontId="1" type="noConversion"/>
  </si>
  <si>
    <t xml:space="preserve">   2．注册地址</t>
  </si>
  <si>
    <t xml:space="preserve">      经营地址</t>
  </si>
  <si>
    <t xml:space="preserve">   3．法人代表</t>
  </si>
  <si>
    <t xml:space="preserve">   4．注册资本（单位：万元）</t>
  </si>
  <si>
    <t xml:space="preserve">   5．投资总额（单位：万元）</t>
  </si>
  <si>
    <t xml:space="preserve">   6．企业类型</t>
  </si>
  <si>
    <t xml:space="preserve">   7．经营范围</t>
  </si>
  <si>
    <t xml:space="preserve">   8. 行业门类</t>
  </si>
  <si>
    <t xml:space="preserve">   9．其他</t>
  </si>
  <si>
    <t>二、主要会计政策</t>
  </si>
  <si>
    <t xml:space="preserve">   1.执行的会计准则（制度）及有关规定:</t>
    <phoneticPr fontId="1" type="noConversion"/>
  </si>
  <si>
    <t xml:space="preserve">   2.会计年度：</t>
    <phoneticPr fontId="1" type="noConversion"/>
  </si>
  <si>
    <t xml:space="preserve">   3.会计核算方法：</t>
    <phoneticPr fontId="1" type="noConversion"/>
  </si>
  <si>
    <t xml:space="preserve">   4、账龄三年以上的应收账款、应付账款、其他应收款、其他应付款、预收账款、预付账款等科目说明：无</t>
    <phoneticPr fontId="1" type="noConversion"/>
  </si>
  <si>
    <t xml:space="preserve">   5、其他：无</t>
    <phoneticPr fontId="1" type="noConversion"/>
  </si>
  <si>
    <t>三、审核事项说明</t>
  </si>
  <si>
    <t>筛选</t>
    <phoneticPr fontId="128" type="noConversion"/>
  </si>
  <si>
    <t>调增金额</t>
    <phoneticPr fontId="1" type="noConversion"/>
  </si>
  <si>
    <t>调整原因说明</t>
  </si>
  <si>
    <t xml:space="preserve">     无</t>
    <phoneticPr fontId="1" type="noConversion"/>
  </si>
  <si>
    <t>调减金额</t>
    <phoneticPr fontId="1" type="noConversion"/>
  </si>
  <si>
    <t xml:space="preserve">     无</t>
    <phoneticPr fontId="1" type="noConversion"/>
  </si>
  <si>
    <t>四、其他事项说明</t>
  </si>
  <si>
    <t xml:space="preserve">项目  </t>
  </si>
  <si>
    <t xml:space="preserve">    其他事项：</t>
    <phoneticPr fontId="1" type="noConversion"/>
  </si>
  <si>
    <t xml:space="preserve">   以下内容不是填表区域，仅供对照。</t>
  </si>
  <si>
    <t>100</t>
    <phoneticPr fontId="128" type="noConversion"/>
  </si>
  <si>
    <t>A</t>
    <phoneticPr fontId="128" type="noConversion"/>
  </si>
  <si>
    <t>110</t>
    <phoneticPr fontId="128" type="noConversion"/>
  </si>
  <si>
    <t>B</t>
    <phoneticPr fontId="128" type="noConversion"/>
  </si>
  <si>
    <t>120</t>
    <phoneticPr fontId="128" type="noConversion"/>
  </si>
  <si>
    <t>130</t>
    <phoneticPr fontId="128" type="noConversion"/>
  </si>
  <si>
    <t>140</t>
    <phoneticPr fontId="128" type="noConversion"/>
  </si>
  <si>
    <t>141</t>
    <phoneticPr fontId="128" type="noConversion"/>
  </si>
  <si>
    <t>142</t>
    <phoneticPr fontId="128" type="noConversion"/>
  </si>
  <si>
    <t>143</t>
    <phoneticPr fontId="128" type="noConversion"/>
  </si>
  <si>
    <t>149</t>
    <phoneticPr fontId="128" type="noConversion"/>
  </si>
  <si>
    <t>150</t>
    <phoneticPr fontId="128" type="noConversion"/>
  </si>
  <si>
    <t>151</t>
    <phoneticPr fontId="128" type="noConversion"/>
  </si>
  <si>
    <t>159</t>
    <phoneticPr fontId="128" type="noConversion"/>
  </si>
  <si>
    <t>160</t>
    <phoneticPr fontId="128" type="noConversion"/>
  </si>
  <si>
    <t>170</t>
    <phoneticPr fontId="128" type="noConversion"/>
  </si>
  <si>
    <t>171</t>
    <phoneticPr fontId="128" type="noConversion"/>
  </si>
  <si>
    <t>172</t>
    <phoneticPr fontId="128" type="noConversion"/>
  </si>
  <si>
    <t>173</t>
    <phoneticPr fontId="128" type="noConversion"/>
  </si>
  <si>
    <t>174</t>
    <phoneticPr fontId="128" type="noConversion"/>
  </si>
  <si>
    <t>175</t>
    <phoneticPr fontId="128" type="noConversion"/>
  </si>
  <si>
    <t>190</t>
    <phoneticPr fontId="128" type="noConversion"/>
  </si>
  <si>
    <t>200</t>
    <phoneticPr fontId="128" type="noConversion"/>
  </si>
  <si>
    <t>210</t>
    <phoneticPr fontId="128" type="noConversion"/>
  </si>
  <si>
    <t>220</t>
    <phoneticPr fontId="128" type="noConversion"/>
  </si>
  <si>
    <t>230</t>
    <phoneticPr fontId="128" type="noConversion"/>
  </si>
  <si>
    <t>240</t>
    <phoneticPr fontId="128" type="noConversion"/>
  </si>
  <si>
    <t>250</t>
    <phoneticPr fontId="128" type="noConversion"/>
  </si>
  <si>
    <t>251</t>
    <phoneticPr fontId="128" type="noConversion"/>
  </si>
  <si>
    <t>252</t>
    <phoneticPr fontId="128" type="noConversion"/>
  </si>
  <si>
    <t>253</t>
    <phoneticPr fontId="128" type="noConversion"/>
  </si>
  <si>
    <t>254</t>
    <phoneticPr fontId="128" type="noConversion"/>
  </si>
  <si>
    <t>259</t>
    <phoneticPr fontId="128" type="noConversion"/>
  </si>
  <si>
    <t>300</t>
    <phoneticPr fontId="128" type="noConversion"/>
  </si>
  <si>
    <t>310</t>
    <phoneticPr fontId="128" type="noConversion"/>
  </si>
  <si>
    <t>320</t>
    <phoneticPr fontId="128" type="noConversion"/>
  </si>
  <si>
    <t>330</t>
    <phoneticPr fontId="128" type="noConversion"/>
  </si>
  <si>
    <t>340</t>
    <phoneticPr fontId="128" type="noConversion"/>
  </si>
  <si>
    <t>350</t>
    <phoneticPr fontId="128" type="noConversion"/>
  </si>
  <si>
    <t>351</t>
    <phoneticPr fontId="128" type="noConversion"/>
  </si>
  <si>
    <t>352</t>
    <phoneticPr fontId="128" type="noConversion"/>
  </si>
  <si>
    <t>353</t>
    <phoneticPr fontId="128" type="noConversion"/>
  </si>
  <si>
    <t>354</t>
    <phoneticPr fontId="128" type="noConversion"/>
  </si>
  <si>
    <t>359</t>
    <phoneticPr fontId="128" type="noConversion"/>
  </si>
  <si>
    <t>400</t>
    <phoneticPr fontId="128" type="noConversion"/>
  </si>
  <si>
    <t>410</t>
    <phoneticPr fontId="128" type="noConversion"/>
  </si>
  <si>
    <t>411</t>
    <phoneticPr fontId="128" type="noConversion"/>
  </si>
  <si>
    <t>412</t>
    <phoneticPr fontId="128" type="noConversion"/>
  </si>
  <si>
    <t>413</t>
    <phoneticPr fontId="128" type="noConversion"/>
  </si>
  <si>
    <t>420</t>
    <phoneticPr fontId="128" type="noConversion"/>
  </si>
  <si>
    <t>421</t>
    <phoneticPr fontId="128" type="noConversion"/>
  </si>
  <si>
    <t>422</t>
    <phoneticPr fontId="128" type="noConversion"/>
  </si>
  <si>
    <t>423</t>
    <phoneticPr fontId="128" type="noConversion"/>
  </si>
  <si>
    <t>430</t>
    <phoneticPr fontId="128" type="noConversion"/>
  </si>
  <si>
    <t>431</t>
    <phoneticPr fontId="128" type="noConversion"/>
  </si>
  <si>
    <t>432</t>
    <phoneticPr fontId="128" type="noConversion"/>
  </si>
  <si>
    <t>433</t>
    <phoneticPr fontId="128" type="noConversion"/>
  </si>
  <si>
    <t>500</t>
    <phoneticPr fontId="128" type="noConversion"/>
  </si>
  <si>
    <t>510</t>
    <phoneticPr fontId="128" type="noConversion"/>
  </si>
  <si>
    <t>520</t>
    <phoneticPr fontId="128" type="noConversion"/>
  </si>
  <si>
    <t>521</t>
    <phoneticPr fontId="128" type="noConversion"/>
  </si>
  <si>
    <t>522</t>
    <phoneticPr fontId="128" type="noConversion"/>
  </si>
  <si>
    <t>523</t>
    <phoneticPr fontId="128" type="noConversion"/>
  </si>
  <si>
    <t>530</t>
    <phoneticPr fontId="128" type="noConversion"/>
  </si>
  <si>
    <t>540</t>
    <phoneticPr fontId="128" type="noConversion"/>
  </si>
  <si>
    <t>550</t>
    <phoneticPr fontId="128" type="noConversion"/>
  </si>
  <si>
    <t>560</t>
    <phoneticPr fontId="128" type="noConversion"/>
  </si>
  <si>
    <t>企业基本情况和企业所得税汇算清缴纳税申报审核事项说明（科目说明）</t>
    <phoneticPr fontId="1" type="noConversion"/>
  </si>
  <si>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phoneticPr fontId="1" type="noConversion"/>
  </si>
  <si>
    <t xml:space="preserve">   4、账龄三年以上的应收账款、应付账款、其他应收款、其他应付款、预收账款、预付账款等科目说明：</t>
    <phoneticPr fontId="1" type="noConversion"/>
  </si>
  <si>
    <t xml:space="preserve">一级科目 </t>
    <phoneticPr fontId="1" type="noConversion"/>
  </si>
  <si>
    <t>明细科目</t>
    <phoneticPr fontId="1" type="noConversion"/>
  </si>
  <si>
    <t>期末余额</t>
    <phoneticPr fontId="1" type="noConversion"/>
  </si>
  <si>
    <t>备注</t>
    <phoneticPr fontId="1" type="noConversion"/>
  </si>
  <si>
    <t>资产负债表</t>
    <phoneticPr fontId="135" type="noConversion"/>
  </si>
  <si>
    <t>货币资金审定表</t>
    <phoneticPr fontId="135" type="noConversion"/>
  </si>
  <si>
    <t>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t>
    <phoneticPr fontId="135" type="noConversion"/>
  </si>
  <si>
    <t>实收资本、资本公积、
盈余公积审核表</t>
    <phoneticPr fontId="135" type="noConversion"/>
  </si>
  <si>
    <t>GL-02</t>
  </si>
  <si>
    <t>GL-03</t>
  </si>
  <si>
    <t>GL-04</t>
  </si>
  <si>
    <t>GL-05</t>
  </si>
  <si>
    <t>GL-06</t>
  </si>
  <si>
    <t>GL-07</t>
  </si>
  <si>
    <t>GL-08</t>
  </si>
  <si>
    <t>GL-09</t>
  </si>
  <si>
    <t>GL-10</t>
  </si>
  <si>
    <t>GL-11</t>
  </si>
  <si>
    <t>GL-12</t>
  </si>
  <si>
    <t>GL-13</t>
  </si>
  <si>
    <t>GL-14</t>
  </si>
  <si>
    <t>GL-15</t>
  </si>
  <si>
    <t>AD-02</t>
  </si>
  <si>
    <t>AD-03</t>
  </si>
  <si>
    <t>AD-04</t>
  </si>
  <si>
    <t>AD-05</t>
  </si>
  <si>
    <t>AD-06</t>
  </si>
  <si>
    <t>AD-07</t>
  </si>
  <si>
    <t>AD-08</t>
  </si>
  <si>
    <t>AD-09</t>
  </si>
  <si>
    <t>AD-10</t>
  </si>
  <si>
    <t>AD-11</t>
  </si>
  <si>
    <t>AD-12</t>
  </si>
  <si>
    <t>AD-13</t>
  </si>
  <si>
    <t>AD-14</t>
  </si>
  <si>
    <t>AD-15</t>
  </si>
  <si>
    <t>AD-16</t>
  </si>
  <si>
    <t>AD-17</t>
  </si>
  <si>
    <t>AD-18</t>
  </si>
  <si>
    <t>AD-19</t>
  </si>
  <si>
    <t>AD-20</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</si>
  <si>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phoneticPr fontId="135"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</si>
  <si>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phoneticPr fontId="135" type="noConversion"/>
  </si>
  <si>
    <t>以前年度多缴的所得税额在本年抵减额</t>
    <phoneticPr fontId="1" type="noConversion"/>
  </si>
  <si>
    <t>以前年度应缴未缴在本年入库所得税额</t>
    <phoneticPr fontId="1" type="noConversion"/>
  </si>
  <si>
    <t>营业税金附加审核表</t>
    <phoneticPr fontId="135" type="noConversion"/>
  </si>
  <si>
    <t>出租固定资产收入</t>
    <phoneticPr fontId="1" type="noConversion"/>
  </si>
  <si>
    <t xml:space="preserve"> 5、
 其
 他</t>
    <phoneticPr fontId="1" type="noConversion"/>
  </si>
  <si>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phoneticPr fontId="135" type="noConversion"/>
  </si>
  <si>
    <t>加：领用包装物直接进入产成品成本</t>
    <phoneticPr fontId="135" type="noConversion"/>
  </si>
  <si>
    <t>主营业务成本
倒轧审核表</t>
    <phoneticPr fontId="135" type="noConversion"/>
  </si>
  <si>
    <t>制造费用、
生产成本审核表</t>
    <phoneticPr fontId="135" type="noConversion"/>
  </si>
  <si>
    <t>销售费用审核表</t>
    <phoneticPr fontId="135" type="noConversion"/>
  </si>
  <si>
    <t>工资薪金、
三项经费审核表</t>
    <phoneticPr fontId="135" type="noConversion"/>
  </si>
  <si>
    <t>销售费用实际列支额</t>
    <phoneticPr fontId="135" type="noConversion"/>
  </si>
  <si>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phoneticPr fontId="135" type="noConversion"/>
  </si>
  <si>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phoneticPr fontId="135" type="noConversion"/>
  </si>
  <si>
    <t>折旧测算!$A$9:$A$1004</t>
  </si>
  <si>
    <t>收入类调整项目</t>
    <phoneticPr fontId="135" type="noConversion"/>
  </si>
  <si>
    <t>视同销售成本</t>
  </si>
  <si>
    <t>视同销售收入</t>
  </si>
  <si>
    <t>未按权责发生制原则确认的收入</t>
  </si>
  <si>
    <t>按权益法核算长期股权投资对初始投资成本调整确认收益</t>
  </si>
  <si>
    <t xml:space="preserve">交易性金融资产初始投资调整  </t>
  </si>
  <si>
    <t>公允价值变动净损益</t>
  </si>
  <si>
    <t>销售折扣、折让和退回</t>
  </si>
  <si>
    <t>税收滞纳金、加收利息</t>
  </si>
  <si>
    <t>与未实现融资收益相关在当期确认的财务费用</t>
  </si>
  <si>
    <t>佣金和手续费支出</t>
  </si>
  <si>
    <t xml:space="preserve">不征税收入用于支出所形成的费用 </t>
  </si>
  <si>
    <t>跨期扣除项目</t>
  </si>
  <si>
    <t>境外所得分摊的共同支出</t>
  </si>
  <si>
    <t>党组织工作经费</t>
  </si>
  <si>
    <t xml:space="preserve">资产折旧、摊销 </t>
  </si>
  <si>
    <t>资产减值准备金</t>
  </si>
  <si>
    <t>资产损失</t>
  </si>
  <si>
    <t>企业重组及递延纳税事项</t>
  </si>
  <si>
    <t>政策性搬迁</t>
  </si>
  <si>
    <t>特殊行业准备金</t>
  </si>
  <si>
    <t>有限合伙企业法人合伙方应分得的应纳税所得额</t>
  </si>
  <si>
    <t>A105010</t>
    <phoneticPr fontId="135" type="noConversion"/>
  </si>
  <si>
    <t>A105020</t>
    <phoneticPr fontId="135" type="noConversion"/>
  </si>
  <si>
    <t>A105030</t>
    <phoneticPr fontId="135" type="noConversion"/>
  </si>
  <si>
    <t>A105040</t>
    <phoneticPr fontId="135" type="noConversion"/>
  </si>
  <si>
    <t>专项用途财政性资金</t>
    <phoneticPr fontId="135" type="noConversion"/>
  </si>
  <si>
    <t>扣除类调整项目</t>
    <phoneticPr fontId="135" type="noConversion"/>
  </si>
  <si>
    <t>专项用途财政性资金用于支出所形成的费用</t>
    <phoneticPr fontId="135" type="noConversion"/>
  </si>
  <si>
    <t>A105070</t>
    <phoneticPr fontId="135" type="noConversion"/>
  </si>
  <si>
    <t>A105060</t>
    <phoneticPr fontId="135" type="noConversion"/>
  </si>
  <si>
    <t>A105010</t>
    <phoneticPr fontId="135" type="noConversion"/>
  </si>
  <si>
    <t>A105050</t>
    <phoneticPr fontId="135" type="noConversion"/>
  </si>
  <si>
    <t>资产类调整项目</t>
    <phoneticPr fontId="135" type="noConversion"/>
  </si>
  <si>
    <t>特殊事项调整项目</t>
    <phoneticPr fontId="135" type="noConversion"/>
  </si>
  <si>
    <t>A105080</t>
    <phoneticPr fontId="135" type="noConversion"/>
  </si>
  <si>
    <t>A105090</t>
    <phoneticPr fontId="135" type="noConversion"/>
  </si>
  <si>
    <t>特别纳税调整应税所得</t>
    <phoneticPr fontId="135" type="noConversion"/>
  </si>
  <si>
    <t>其他</t>
    <phoneticPr fontId="135" type="noConversion"/>
  </si>
  <si>
    <t>A105100</t>
    <phoneticPr fontId="135" type="noConversion"/>
  </si>
  <si>
    <t>A105110</t>
    <phoneticPr fontId="135" type="noConversion"/>
  </si>
  <si>
    <t>A105120</t>
    <phoneticPr fontId="135" type="noConversion"/>
  </si>
  <si>
    <t>房地产开发企业特定业务计算的纳税调整额</t>
    <phoneticPr fontId="135" type="noConversion"/>
  </si>
  <si>
    <t>编码</t>
    <phoneticPr fontId="135" type="noConversion"/>
  </si>
  <si>
    <t>类别</t>
    <phoneticPr fontId="135" type="noConversion"/>
  </si>
  <si>
    <t>1001</t>
    <phoneticPr fontId="135" type="noConversion"/>
  </si>
  <si>
    <t>1003</t>
  </si>
  <si>
    <t>1004</t>
  </si>
  <si>
    <t>1005</t>
  </si>
  <si>
    <t>1006</t>
  </si>
  <si>
    <t>1007</t>
  </si>
  <si>
    <t>100701</t>
    <phoneticPr fontId="135" type="noConversion"/>
  </si>
  <si>
    <t>100702</t>
    <phoneticPr fontId="135" type="noConversion"/>
  </si>
  <si>
    <t>1008</t>
    <phoneticPr fontId="135" type="noConversion"/>
  </si>
  <si>
    <t>1009</t>
  </si>
  <si>
    <t>2001</t>
    <phoneticPr fontId="135" type="noConversion"/>
  </si>
  <si>
    <t>2002</t>
  </si>
  <si>
    <t>2003</t>
  </si>
  <si>
    <t>2004</t>
  </si>
  <si>
    <t>2005</t>
  </si>
  <si>
    <t>2006</t>
  </si>
  <si>
    <t>2007</t>
  </si>
  <si>
    <t>2008</t>
  </si>
  <si>
    <t>2009</t>
  </si>
  <si>
    <t>2010</t>
  </si>
  <si>
    <t>201201</t>
    <phoneticPr fontId="135" type="noConversion"/>
  </si>
  <si>
    <t>201202</t>
  </si>
  <si>
    <t>2013</t>
    <phoneticPr fontId="135" type="noConversion"/>
  </si>
  <si>
    <t>2014</t>
  </si>
  <si>
    <t>2015</t>
  </si>
  <si>
    <t>2016</t>
  </si>
  <si>
    <t>2017</t>
  </si>
  <si>
    <t>201701</t>
  </si>
  <si>
    <t>201701</t>
    <phoneticPr fontId="135" type="noConversion"/>
  </si>
  <si>
    <t>201702</t>
  </si>
  <si>
    <t>201703</t>
  </si>
  <si>
    <t>201704</t>
  </si>
  <si>
    <t>201705</t>
  </si>
  <si>
    <t>201706</t>
  </si>
  <si>
    <t>201707</t>
  </si>
  <si>
    <t>201708</t>
  </si>
  <si>
    <t>201709</t>
  </si>
  <si>
    <t>3001</t>
    <phoneticPr fontId="135" type="noConversion"/>
  </si>
  <si>
    <t>3002</t>
  </si>
  <si>
    <t>3003</t>
  </si>
  <si>
    <t>3004</t>
  </si>
  <si>
    <t>4001</t>
    <phoneticPr fontId="135" type="noConversion"/>
  </si>
  <si>
    <t>4003</t>
  </si>
  <si>
    <t>4004</t>
  </si>
  <si>
    <t>4005</t>
  </si>
  <si>
    <t>4006</t>
  </si>
  <si>
    <t>5001</t>
    <phoneticPr fontId="135" type="noConversion"/>
  </si>
  <si>
    <t>5002</t>
    <phoneticPr fontId="135" type="noConversion"/>
  </si>
  <si>
    <t>小计</t>
    <phoneticPr fontId="135" type="noConversion"/>
  </si>
  <si>
    <t>小计</t>
    <phoneticPr fontId="135" type="noConversion"/>
  </si>
  <si>
    <t>不征税收入用于支出形成的费用（专项用途财政资金以外）</t>
    <phoneticPr fontId="135" type="noConversion"/>
  </si>
  <si>
    <t>调入招待费</t>
    <phoneticPr fontId="135" type="noConversion"/>
  </si>
  <si>
    <t>调入福利费</t>
    <phoneticPr fontId="135" type="noConversion"/>
  </si>
  <si>
    <t>*</t>
    <phoneticPr fontId="135" type="noConversion"/>
  </si>
  <si>
    <t>不征税收入（专项用途财政资金以外）</t>
  </si>
  <si>
    <t>100901</t>
    <phoneticPr fontId="135" type="noConversion"/>
  </si>
  <si>
    <t>100902</t>
  </si>
  <si>
    <t>100903</t>
  </si>
  <si>
    <t>100904</t>
  </si>
  <si>
    <t>100905</t>
  </si>
  <si>
    <t>100906</t>
  </si>
  <si>
    <t>300401</t>
    <phoneticPr fontId="135" type="noConversion"/>
  </si>
  <si>
    <t>300402</t>
  </si>
  <si>
    <t>300403</t>
  </si>
  <si>
    <t>400601</t>
    <phoneticPr fontId="135" type="noConversion"/>
  </si>
  <si>
    <t>400602</t>
  </si>
  <si>
    <t>400603</t>
  </si>
  <si>
    <t>400604</t>
  </si>
  <si>
    <t>400605</t>
  </si>
  <si>
    <t>500101</t>
    <phoneticPr fontId="135" type="noConversion"/>
  </si>
  <si>
    <t>500102</t>
  </si>
  <si>
    <t>500103</t>
  </si>
  <si>
    <t>500104</t>
  </si>
  <si>
    <t>500105</t>
  </si>
  <si>
    <t>500201</t>
    <phoneticPr fontId="135" type="noConversion"/>
  </si>
  <si>
    <t>500202</t>
  </si>
  <si>
    <t>500203</t>
  </si>
  <si>
    <t>500204</t>
  </si>
  <si>
    <t>500205</t>
  </si>
  <si>
    <t>其他</t>
    <phoneticPr fontId="135" type="noConversion"/>
  </si>
  <si>
    <t>特别纳税调整应税所得</t>
    <phoneticPr fontId="135" type="noConversion"/>
  </si>
  <si>
    <t>明细</t>
    <phoneticPr fontId="135" type="noConversion"/>
  </si>
  <si>
    <t>调整事项审核表</t>
    <phoneticPr fontId="135" type="noConversion"/>
  </si>
  <si>
    <t>合计</t>
    <phoneticPr fontId="4" type="noConversion"/>
  </si>
  <si>
    <t>调增-1</t>
  </si>
  <si>
    <t>调增-2</t>
  </si>
  <si>
    <t>调增-3</t>
  </si>
  <si>
    <t>调增-4</t>
  </si>
  <si>
    <t>调增-5</t>
  </si>
  <si>
    <t>调增-6</t>
  </si>
  <si>
    <t>调增-7</t>
  </si>
  <si>
    <t>调增-8</t>
  </si>
  <si>
    <t>调增-9</t>
  </si>
  <si>
    <t>调增-10</t>
  </si>
  <si>
    <t>调增-11</t>
  </si>
  <si>
    <t>调增-12</t>
  </si>
  <si>
    <t>调增-13</t>
  </si>
  <si>
    <t>调增-14</t>
  </si>
  <si>
    <t>调增-15</t>
  </si>
  <si>
    <t>调增-16</t>
  </si>
  <si>
    <t>调增-17</t>
  </si>
  <si>
    <t>调增-18</t>
  </si>
  <si>
    <t>调增-19</t>
  </si>
  <si>
    <t>调增-20</t>
  </si>
  <si>
    <t>调增-21</t>
  </si>
  <si>
    <t>调增-22</t>
  </si>
  <si>
    <t>调增-23</t>
  </si>
  <si>
    <t>调增-24</t>
  </si>
  <si>
    <t>调增-25</t>
  </si>
  <si>
    <t>调增-26</t>
  </si>
  <si>
    <t>调增-27</t>
  </si>
  <si>
    <t>调增-28</t>
  </si>
  <si>
    <t>调增-29</t>
  </si>
  <si>
    <t>调增-30</t>
  </si>
  <si>
    <t>调增-31</t>
  </si>
  <si>
    <t>调增-32</t>
  </si>
  <si>
    <t>调增-33</t>
  </si>
  <si>
    <t>调增-34</t>
  </si>
  <si>
    <t>调增-35</t>
  </si>
  <si>
    <t>调增-36</t>
  </si>
  <si>
    <t>调增-37</t>
  </si>
  <si>
    <t>调增-38</t>
  </si>
  <si>
    <t>调增-39</t>
  </si>
  <si>
    <t>调增-40</t>
  </si>
  <si>
    <t>调增-41</t>
  </si>
  <si>
    <t>调增-42</t>
  </si>
  <si>
    <t>调增-43</t>
  </si>
  <si>
    <t>调增-44</t>
  </si>
  <si>
    <t>调增-45</t>
  </si>
  <si>
    <t>调增-46</t>
  </si>
  <si>
    <t>调增-47</t>
  </si>
  <si>
    <t>调增-48</t>
  </si>
  <si>
    <t>调增-49</t>
  </si>
  <si>
    <t>调增-50</t>
  </si>
  <si>
    <t>调增-51</t>
  </si>
  <si>
    <t>调增-52</t>
  </si>
  <si>
    <t>调增-53</t>
  </si>
  <si>
    <t>调增-54</t>
  </si>
  <si>
    <t>调减-1</t>
    <phoneticPr fontId="135" type="noConversion"/>
  </si>
  <si>
    <t>调减-2</t>
  </si>
  <si>
    <t>调减-3</t>
  </si>
  <si>
    <t>调减-4</t>
  </si>
  <si>
    <t>调减-5</t>
  </si>
  <si>
    <t>调减-6</t>
  </si>
  <si>
    <t>调减-7</t>
  </si>
  <si>
    <t>调减-8</t>
  </si>
  <si>
    <t>调减-9</t>
  </si>
  <si>
    <t>调减-10</t>
  </si>
  <si>
    <t>调减-11</t>
  </si>
  <si>
    <t>调减-12</t>
  </si>
  <si>
    <t>调减-13</t>
  </si>
  <si>
    <t>调减-14</t>
  </si>
  <si>
    <t>调减-15</t>
  </si>
  <si>
    <t>调减-16</t>
  </si>
  <si>
    <t>调减-17</t>
  </si>
  <si>
    <t>调减-18</t>
  </si>
  <si>
    <t>调减-19</t>
  </si>
  <si>
    <t>调减-20</t>
  </si>
  <si>
    <t>调减-21</t>
  </si>
  <si>
    <t>调减-22</t>
  </si>
  <si>
    <t>调减-23</t>
  </si>
  <si>
    <t>调减-24</t>
  </si>
  <si>
    <t>调减-25</t>
  </si>
  <si>
    <t>调减-26</t>
  </si>
  <si>
    <t>调减-27</t>
  </si>
  <si>
    <t>调减-28</t>
  </si>
  <si>
    <t>调减-29</t>
  </si>
  <si>
    <t>调减-30</t>
  </si>
  <si>
    <t>调减-31</t>
  </si>
  <si>
    <t>调减-32</t>
  </si>
  <si>
    <t>调减-33</t>
  </si>
  <si>
    <t>调减-34</t>
  </si>
  <si>
    <t>调减-35</t>
  </si>
  <si>
    <t>调减-36</t>
  </si>
  <si>
    <t>调减-37</t>
  </si>
  <si>
    <t>调减-38</t>
  </si>
  <si>
    <t>调减-39</t>
  </si>
  <si>
    <t>调减-40</t>
  </si>
  <si>
    <t>税法规定</t>
    <phoneticPr fontId="135" type="noConversion"/>
  </si>
  <si>
    <t>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t>
  </si>
  <si>
    <t>企业会计准则_一般企业</t>
  </si>
  <si>
    <t>税金及附加</t>
    <phoneticPr fontId="135" type="noConversion"/>
  </si>
  <si>
    <t>资产减值损失</t>
    <phoneticPr fontId="135" type="noConversion"/>
  </si>
  <si>
    <t>加：公允价值变动收益</t>
    <phoneticPr fontId="135" type="noConversion"/>
  </si>
  <si>
    <t>投资收益（损失以“－”号填列）</t>
    <phoneticPr fontId="135" type="noConversion"/>
  </si>
  <si>
    <t>党组织工作经费</t>
    <phoneticPr fontId="135" type="noConversion"/>
  </si>
  <si>
    <t xml:space="preserve">  38.1</t>
    <phoneticPr fontId="1" type="noConversion"/>
  </si>
  <si>
    <t xml:space="preserve">  37.1</t>
    <phoneticPr fontId="1" type="noConversion"/>
  </si>
  <si>
    <t>限额扣除的公益性捐赠</t>
    <phoneticPr fontId="135" type="noConversion"/>
  </si>
  <si>
    <t xml:space="preserve">   （七）软件</t>
    <phoneticPr fontId="1" type="noConversion"/>
  </si>
  <si>
    <t xml:space="preserve">    其中：享受企业外购软件加速摊销政策</t>
    <phoneticPr fontId="135" type="noConversion"/>
  </si>
  <si>
    <t xml:space="preserve">   （八）其他</t>
    <phoneticPr fontId="1" type="noConversion"/>
  </si>
  <si>
    <t>企业所得税汇算清缴纳税申报税务审核报告</t>
    <phoneticPr fontId="1" type="noConversion"/>
  </si>
  <si>
    <t xml:space="preserve">    我们的责任是，本着独立、客观、公正的原则，依据《中华人民共和国企业所得税法》及其实施条例、《中华人民共和国税收征收管理法》及其实施细则和有关政策、规定，按照《注册税务师管理暂行办法》、《注册税务师涉税业务基本准则》和《企业所得税年度纳税调整业务规则》等行业规范要求，对贵单位企业所得税年度纳税申报的真实性、准确性、完整性和合法性实施审核，并发表审核意见。</t>
    <phoneticPr fontId="1" type="noConversion"/>
  </si>
  <si>
    <t xml:space="preserve">    在审核过程中，我们考虑了与企业所得税相关的审核材料的证据资格和证明能力，对贵单位提供的会计资料及纳税资料等实施了审核、验证、计算和职业推断等必要的审核程序。</t>
    <phoneticPr fontId="1" type="noConversion"/>
  </si>
  <si>
    <t xml:space="preserve">    企业所得税汇算清缴纳税申报的审核过程及主要实施情况：</t>
    <phoneticPr fontId="1" type="noConversion"/>
  </si>
  <si>
    <t xml:space="preserve">   （一）贵单位与企业所得税有关的内部控制及其有效性。 </t>
    <phoneticPr fontId="1" type="noConversion"/>
  </si>
  <si>
    <t xml:space="preserve">   （二）贵单位与企业所得税有关的各项内部证据和外部证据的相关性和可靠性。 </t>
    <phoneticPr fontId="1" type="noConversion"/>
  </si>
  <si>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   </t>
    <phoneticPr fontId="1" type="noConversion"/>
  </si>
  <si>
    <t xml:space="preserve">   （三）对贵单位提供的会计资料及纳税资料等进行审核、验证、计算和进行职业推断的情况。 </t>
    <phoneticPr fontId="1" type="noConversion"/>
  </si>
  <si>
    <t xml:space="preserve">        我们在审核过程中以职业怀疑态度、有计划地实施必要的审核程序，并根据重要性原则获取与代理对象相关的充分、适当的证据，并及时对制定的计划、实施的程序、获取的相关证据以及得出的结论作出记录。</t>
    <phoneticPr fontId="1" type="noConversion"/>
  </si>
  <si>
    <t>1.利润总额</t>
    <phoneticPr fontId="1" type="noConversion"/>
  </si>
  <si>
    <t>元；</t>
    <phoneticPr fontId="1" type="noConversion"/>
  </si>
  <si>
    <t>2.减：境外所得</t>
    <phoneticPr fontId="1" type="noConversion"/>
  </si>
  <si>
    <t>3.加：纳税调整增加额</t>
    <phoneticPr fontId="1" type="noConversion"/>
  </si>
  <si>
    <t>4.减：纳税调整减少额</t>
    <phoneticPr fontId="1" type="noConversion"/>
  </si>
  <si>
    <t>5.减：免税、减计收入及加计扣除</t>
    <phoneticPr fontId="1" type="noConversion"/>
  </si>
  <si>
    <t>6.加：境外应税所得抵减境内亏损</t>
    <phoneticPr fontId="1" type="noConversion"/>
  </si>
  <si>
    <t>7.纳税调整后所得</t>
    <phoneticPr fontId="1" type="noConversion"/>
  </si>
  <si>
    <t>8.减：所得减免</t>
    <phoneticPr fontId="1" type="noConversion"/>
  </si>
  <si>
    <t>9.减：抵扣应纳税所得额</t>
    <phoneticPr fontId="1" type="noConversion"/>
  </si>
  <si>
    <t>10.减：弥补以前年度亏损</t>
    <phoneticPr fontId="1" type="noConversion"/>
  </si>
  <si>
    <t>11.应纳税所得额</t>
    <phoneticPr fontId="1" type="noConversion"/>
  </si>
  <si>
    <t>12.税率（25%）</t>
    <phoneticPr fontId="1" type="noConversion"/>
  </si>
  <si>
    <t>13.应纳所得税额</t>
    <phoneticPr fontId="1" type="noConversion"/>
  </si>
  <si>
    <t>14.减：减免所得税额</t>
    <phoneticPr fontId="1" type="noConversion"/>
  </si>
  <si>
    <t>15.减：抵免所得税额</t>
    <phoneticPr fontId="1" type="noConversion"/>
  </si>
  <si>
    <t>16.应纳税额</t>
    <phoneticPr fontId="1" type="noConversion"/>
  </si>
  <si>
    <t>17.加：境外所得应纳所得税额</t>
    <phoneticPr fontId="1" type="noConversion"/>
  </si>
  <si>
    <t>18.减：境外所得抵免所得税额</t>
    <phoneticPr fontId="1" type="noConversion"/>
  </si>
  <si>
    <t>19.实际应纳所得税额</t>
    <phoneticPr fontId="1" type="noConversion"/>
  </si>
  <si>
    <t>20.减：本年累计实际已预缴的所得税额</t>
    <phoneticPr fontId="1" type="noConversion"/>
  </si>
  <si>
    <t>21.本年应补（退）所得税额</t>
    <phoneticPr fontId="1" type="noConversion"/>
  </si>
  <si>
    <t>22.其中：总机构分摊本年应补（退）所得税额</t>
    <phoneticPr fontId="1" type="noConversion"/>
  </si>
  <si>
    <t>23.财政集中分配本年应补（退）所得税额</t>
    <phoneticPr fontId="1" type="noConversion"/>
  </si>
  <si>
    <t>24.总机构主体生产经营部门分摊本年应补（退）所得税额</t>
    <phoneticPr fontId="1" type="noConversion"/>
  </si>
  <si>
    <t xml:space="preserve">        本报告的结论和具体纳税调整项目及审核事项、有关优惠明细详见各附件。贵单位可以据此办理企业所得税汇算清缴纳税申报或审批事宜。</t>
    <phoneticPr fontId="1" type="noConversion"/>
  </si>
  <si>
    <t>中国税务师（签名并盖章）：</t>
    <phoneticPr fontId="1" type="noConversion"/>
  </si>
  <si>
    <t>中国·厦门</t>
    <phoneticPr fontId="128" type="noConversion"/>
  </si>
  <si>
    <t xml:space="preserve">中国税务师（签名并盖章）： </t>
    <phoneticPr fontId="1" type="noConversion"/>
  </si>
  <si>
    <t>附件: 1.企业基本情况和企业所得税汇算清缴纳税申报审核事项说明</t>
    <phoneticPr fontId="1" type="noConversion"/>
  </si>
  <si>
    <t xml:space="preserve">      2.中华人民共和国企业所得税年度纳税申报表及其附表</t>
  </si>
  <si>
    <t xml:space="preserve">      3.企业各税（费）审核汇总表</t>
    <phoneticPr fontId="128" type="noConversion"/>
  </si>
  <si>
    <t xml:space="preserve">      4.税务师事务所和中国税务师执业证书复印件</t>
    <phoneticPr fontId="128" type="noConversion"/>
  </si>
  <si>
    <t>现金科目</t>
    <phoneticPr fontId="135" type="noConversion"/>
  </si>
  <si>
    <t>银行科目</t>
    <phoneticPr fontId="135" type="noConversion"/>
  </si>
  <si>
    <t>一级科目长度</t>
    <phoneticPr fontId="135" type="noConversion"/>
  </si>
  <si>
    <t>应收账款</t>
    <phoneticPr fontId="135" type="noConversion"/>
  </si>
  <si>
    <t>预付账款</t>
    <phoneticPr fontId="135" type="noConversion"/>
  </si>
  <si>
    <t>其他应收款</t>
    <phoneticPr fontId="135" type="noConversion"/>
  </si>
  <si>
    <t>应付账款</t>
    <phoneticPr fontId="135" type="noConversion"/>
  </si>
  <si>
    <t>预收账款</t>
    <phoneticPr fontId="135" type="noConversion"/>
  </si>
  <si>
    <t>其他应付款</t>
    <phoneticPr fontId="135" type="noConversion"/>
  </si>
  <si>
    <t>实收公积</t>
    <phoneticPr fontId="135" type="noConversion"/>
  </si>
  <si>
    <t>盈余公积</t>
    <phoneticPr fontId="135" type="noConversion"/>
  </si>
  <si>
    <t>分析</t>
    <phoneticPr fontId="135" type="noConversion"/>
  </si>
  <si>
    <t>减：本期应纳税额减征额</t>
    <phoneticPr fontId="135" type="noConversion"/>
  </si>
  <si>
    <t>销售费用</t>
    <phoneticPr fontId="135" type="noConversion"/>
  </si>
  <si>
    <t/>
  </si>
  <si>
    <t>总机构分摊比例</t>
    <phoneticPr fontId="135" type="noConversion"/>
  </si>
  <si>
    <t>总机构财政集中分配比例</t>
    <phoneticPr fontId="135" type="noConversion"/>
  </si>
  <si>
    <t>分支机构分摊比例</t>
    <phoneticPr fontId="135" type="noConversion"/>
  </si>
  <si>
    <t>总机构分摊所得税额</t>
    <phoneticPr fontId="135" type="noConversion"/>
  </si>
  <si>
    <t xml:space="preserve"> 总机构财政集中分配所得税额</t>
    <phoneticPr fontId="135" type="noConversion"/>
  </si>
  <si>
    <t>分支机构分摊所得税额</t>
    <phoneticPr fontId="135" type="noConversion"/>
  </si>
  <si>
    <t>6.4</t>
  </si>
  <si>
    <t>6.5</t>
  </si>
  <si>
    <t>6.6</t>
  </si>
  <si>
    <t>6.7</t>
  </si>
  <si>
    <t>6.8</t>
  </si>
  <si>
    <t>6.9</t>
  </si>
  <si>
    <t>6.10</t>
  </si>
  <si>
    <t xml:space="preserve">   （一）总机构分摊比例</t>
    <phoneticPr fontId="3" type="noConversion"/>
  </si>
  <si>
    <t xml:space="preserve">   （二）财政集中分配比例</t>
    <phoneticPr fontId="3" type="noConversion"/>
  </si>
  <si>
    <t xml:space="preserve">   （三）总机构所属分支机构分摊比例</t>
    <phoneticPr fontId="3" type="noConversion"/>
  </si>
  <si>
    <t>跨地区经营汇总纳税企业
年度分摊企业所得税审核表</t>
    <phoneticPr fontId="1" type="noConversion"/>
  </si>
  <si>
    <t>企业类型</t>
    <phoneticPr fontId="135" type="noConversion"/>
  </si>
  <si>
    <t>减免方式</t>
    <phoneticPr fontId="135" type="noConversion"/>
  </si>
  <si>
    <t>集成电路生产企业</t>
    <phoneticPr fontId="135" type="noConversion"/>
  </si>
  <si>
    <t>集成电路设计企业</t>
    <phoneticPr fontId="135" type="noConversion"/>
  </si>
  <si>
    <t>集成电路封装测试企业</t>
    <phoneticPr fontId="135" type="noConversion"/>
  </si>
  <si>
    <t>线宽小于0.8微米（含）</t>
    <phoneticPr fontId="135" type="noConversion"/>
  </si>
  <si>
    <t>新办符合条件</t>
    <phoneticPr fontId="135" type="noConversion"/>
  </si>
  <si>
    <t>*</t>
    <phoneticPr fontId="135" type="noConversion"/>
  </si>
  <si>
    <t>线宽小于0.25微米</t>
    <phoneticPr fontId="135" type="noConversion"/>
  </si>
  <si>
    <t>投资额超过80亿元</t>
    <phoneticPr fontId="135" type="noConversion"/>
  </si>
  <si>
    <t>软件企业类型</t>
    <phoneticPr fontId="135" type="noConversion"/>
  </si>
  <si>
    <t>集成电路生产企业线宽小于0.8微米（含）</t>
  </si>
  <si>
    <t>集成电路生产企业线宽小于0.25微米</t>
  </si>
  <si>
    <t>集成电路生产企业投资额超过80亿元</t>
  </si>
  <si>
    <t>集成电路设计企业新办符合条件</t>
  </si>
  <si>
    <t>集成电路封装测试企业*</t>
  </si>
  <si>
    <t>二免三减半</t>
  </si>
  <si>
    <t>10%税率</t>
  </si>
  <si>
    <t>软件、集成电路企业优惠情况审核表</t>
    <phoneticPr fontId="3" type="noConversion"/>
  </si>
  <si>
    <t>五免五减半</t>
    <phoneticPr fontId="135" type="noConversion"/>
  </si>
  <si>
    <t>15%税率</t>
    <phoneticPr fontId="135" type="noConversion"/>
  </si>
  <si>
    <t>√</t>
    <phoneticPr fontId="135" type="noConversion"/>
  </si>
  <si>
    <t>重点企业——大型</t>
  </si>
  <si>
    <t>重点企业——领域</t>
  </si>
  <si>
    <t>软件企业——一般软件</t>
  </si>
  <si>
    <t>重点企业——出口</t>
  </si>
  <si>
    <t>软件企业——嵌入式或信息系统集成软件</t>
  </si>
  <si>
    <t>集成电路关键专用材料或专用设备生产企业——关键专用材料</t>
  </si>
  <si>
    <t>集成电路关键专用材料或专用设备生产企业——专用设备</t>
  </si>
  <si>
    <t>集成电路设计企业重点企业——大型</t>
  </si>
  <si>
    <t>集成电路设计企业重点企业——领域</t>
  </si>
  <si>
    <t>软件企业——一般软件新办符合条件</t>
  </si>
  <si>
    <t>软件企业——嵌入式或信息系统集成软件新办符合条件</t>
  </si>
  <si>
    <t>软件企业——一般软件重点企业——大型</t>
  </si>
  <si>
    <t>软件企业——一般软件重点企业——领域</t>
  </si>
  <si>
    <t>软件企业——一般软件重点企业——出口</t>
  </si>
  <si>
    <t>软件企业——嵌入式或信息系统集成软件重点企业——大型</t>
  </si>
  <si>
    <t>软件企业——嵌入式或信息系统集成软件重点企业——领域</t>
  </si>
  <si>
    <t>软件企业——嵌入式或信息系统集成软件重点企业——出口</t>
  </si>
  <si>
    <t>集成电路关键专用材料或专用设备生产企业——关键专用材料*</t>
  </si>
  <si>
    <t>集成电路关键专用材料或专用设备生产企业——专用设备*</t>
  </si>
  <si>
    <t>集成电路生产企业线宽小于0.25微米15%税率</t>
  </si>
  <si>
    <t>集成电路生产企业投资额超过80亿元15%税率</t>
  </si>
  <si>
    <t>集成电路生产企业线宽小于0.25微米五免五减半</t>
  </si>
  <si>
    <t>集成电路生产企业投资额超过80亿元五免五减半</t>
  </si>
  <si>
    <t>集成电路生产企业</t>
  </si>
  <si>
    <t>线宽小于0.8微米（含）</t>
  </si>
  <si>
    <t>集成电路设计企业新办符合条件二免三减半</t>
  </si>
  <si>
    <t>集成电路设计企业重点企业——大型10%税率</t>
  </si>
  <si>
    <t>集成电路设计企业重点企业——领域10%税率</t>
  </si>
  <si>
    <t>软件企业——一般软件新办符合条件二免三减半</t>
  </si>
  <si>
    <t>软件企业——嵌入式或信息系统集成软件新办符合条件二免三减半</t>
  </si>
  <si>
    <t>软件企业——一般软件重点企业——大型10%税率</t>
  </si>
  <si>
    <t>软件企业——一般软件重点企业——领域10%税率</t>
  </si>
  <si>
    <t>软件企业——一般软件重点企业——出口10%税率</t>
  </si>
  <si>
    <t>软件企业——嵌入式或信息系统集成软件重点企业——大型10%税率</t>
  </si>
  <si>
    <t>软件企业——嵌入式或信息系统集成软件重点企业——领域10%税率</t>
  </si>
  <si>
    <t>软件企业——嵌入式或信息系统集成软件重点企业——出口10%税率</t>
  </si>
  <si>
    <t>集成电路封装测试企业*二免三减半</t>
  </si>
  <si>
    <t>集成电路关键专用材料或专用设备生产企业——关键专用材料*二免三减半</t>
  </si>
  <si>
    <t>集成电路关键专用材料或专用设备生产企业——专用设备*二免三减半</t>
  </si>
  <si>
    <t>集成电路生产企业线宽小于0.8微米（含）二免三减半</t>
    <phoneticPr fontId="135" type="noConversion"/>
  </si>
  <si>
    <t>1.第1行“一、符合条件的小型微利企业减免所得税”：由享受小型微利企业所得税政策的纳税人填报。填报纳税人根据《财政部 国家税务总局关于扩大小型微利企业所得税优惠政策范围的通知》（财税〔2017〕43号）、《国家税务总局关于贯彻落实扩大小型微利企业所得税优惠政策范围有关征管问题的公告》（国家税务总局公告2017年第23号）等相关税收政策规定的，从事国家非限制和禁止行业的企业，并符合工业企业，年度应纳税所得额不超过50万元，从业人数不超过100人，资产总额不超过3000万元；其他企业，年度应纳税所得额不超过50万元，从业人数不超过80人，资产总额不超过1000万元条件的，其所得减按50%计入应纳税所得额，按20%的税率缴纳企业所得税。本行填报《中华人民共和国企业所得税年度纳税申报表（A类）》（A100000）第23行应纳税所得额×15%的金额。</t>
    <phoneticPr fontId="135" type="noConversion"/>
  </si>
  <si>
    <t>是否从事国家禁止行业</t>
    <phoneticPr fontId="135" type="noConversion"/>
  </si>
  <si>
    <t>企业类型</t>
    <phoneticPr fontId="135" type="noConversion"/>
  </si>
  <si>
    <t>从业人数</t>
    <phoneticPr fontId="135" type="noConversion"/>
  </si>
  <si>
    <t>资产总额</t>
    <phoneticPr fontId="135" type="noConversion"/>
  </si>
  <si>
    <t>年度应纳税所得额</t>
    <phoneticPr fontId="135" type="noConversion"/>
  </si>
  <si>
    <t>小微减免</t>
    <phoneticPr fontId="135" type="noConversion"/>
  </si>
  <si>
    <t>确认符合小微企业条件时，将G6单元格金额填在C4。</t>
    <phoneticPr fontId="1" type="noConversion"/>
  </si>
  <si>
    <t>已用早于前5年的以前年度亏损弥补</t>
    <phoneticPr fontId="1" type="noConversion"/>
  </si>
  <si>
    <t>近5年纳税调整后所得额</t>
    <phoneticPr fontId="135" type="noConversion"/>
  </si>
  <si>
    <t>200501</t>
    <phoneticPr fontId="135" type="noConversion"/>
  </si>
  <si>
    <t>200502</t>
  </si>
  <si>
    <t>200503</t>
  </si>
  <si>
    <t>200504</t>
  </si>
  <si>
    <t>200505</t>
  </si>
  <si>
    <t>200506</t>
  </si>
  <si>
    <t>本年非公益性捐赠</t>
    <phoneticPr fontId="135" type="noConversion"/>
  </si>
  <si>
    <t>本年全额扣除的公益性捐赠</t>
    <phoneticPr fontId="135" type="noConversion"/>
  </si>
  <si>
    <t>*</t>
    <phoneticPr fontId="135" type="noConversion"/>
  </si>
  <si>
    <t>限额扣除的公益性捐赠-前三年度（2014年）</t>
    <phoneticPr fontId="135" type="noConversion"/>
  </si>
  <si>
    <t>限额扣除的公益性捐赠-前二年度（2015年）</t>
    <phoneticPr fontId="135" type="noConversion"/>
  </si>
  <si>
    <t>限额扣除的公益性捐赠-前一年度（2016年）</t>
    <phoneticPr fontId="135" type="noConversion"/>
  </si>
  <si>
    <t>限额扣除的公益性捐赠-本    年（2017年）</t>
    <phoneticPr fontId="135" type="noConversion"/>
  </si>
  <si>
    <r>
      <t>附件3</t>
    </r>
    <r>
      <rPr>
        <b/>
        <sz val="10"/>
        <rFont val="Arial Narrow"/>
        <family val="2"/>
      </rPr>
      <t>:</t>
    </r>
    <phoneticPr fontId="135" type="noConversion"/>
  </si>
  <si>
    <t>销售费用</t>
    <phoneticPr fontId="135" type="noConversion"/>
  </si>
  <si>
    <t>（一）重要行业固定资产加速折旧（不含一次性扣除）</t>
  </si>
  <si>
    <t>（二）其他行业研发设备加速折旧</t>
  </si>
  <si>
    <t xml:space="preserve">     1.单价不超过100万元专用研发设备</t>
  </si>
  <si>
    <t xml:space="preserve">     2.重要行业小型微利企业单价不超过100万元研发生产共用设备</t>
  </si>
  <si>
    <t xml:space="preserve">     3.5000元以下固定资产</t>
  </si>
  <si>
    <t>（四）技术进步、更新换代固定资产</t>
  </si>
  <si>
    <t>（五）常年强震动、高腐蚀固定资产</t>
  </si>
  <si>
    <t>（六）外购软件折旧</t>
  </si>
  <si>
    <t>（七）集成电路企业生产设备</t>
  </si>
  <si>
    <t>合计（1+2+3+7+8+9+10）</t>
    <phoneticPr fontId="1" type="noConversion"/>
  </si>
  <si>
    <t>（三）允许一次性扣除的固定资产（4+5+6）</t>
    <phoneticPr fontId="135" type="noConversion"/>
  </si>
  <si>
    <t>本期审核后营业收入</t>
    <phoneticPr fontId="1" type="noConversion"/>
  </si>
  <si>
    <t>本期审核后投资收入</t>
    <phoneticPr fontId="1" type="noConversion"/>
  </si>
  <si>
    <r>
      <t>原始凭证检查底稿（</t>
    </r>
    <r>
      <rPr>
        <u/>
        <sz val="18"/>
        <rFont val="微软雅黑"/>
        <family val="2"/>
        <charset val="134"/>
      </rPr>
      <t xml:space="preserve">       </t>
    </r>
    <r>
      <rPr>
        <sz val="18"/>
        <rFont val="微软雅黑"/>
        <family val="2"/>
        <charset val="134"/>
      </rPr>
      <t>）</t>
    </r>
  </si>
  <si>
    <t>（一）按适用税率计税销售额</t>
  </si>
  <si>
    <t>（二）按简易办法计税销售额</t>
  </si>
  <si>
    <t>（三）免、抵、退办法出口销售额</t>
  </si>
  <si>
    <t>（四）免税销售额</t>
  </si>
  <si>
    <t>一般纳税人</t>
    <phoneticPr fontId="135" type="noConversion"/>
  </si>
  <si>
    <t>（五）出口免税销售额</t>
  </si>
  <si>
    <t>（一）不含税销售额（3%征收率）</t>
    <phoneticPr fontId="135" type="noConversion"/>
  </si>
  <si>
    <t>（二）不含税销售额（5%征收率）</t>
    <phoneticPr fontId="135" type="noConversion"/>
  </si>
  <si>
    <t>（三）销售用过固定资产销售额</t>
    <phoneticPr fontId="135" type="noConversion"/>
  </si>
  <si>
    <t>小规模纳税人</t>
    <phoneticPr fontId="135" type="noConversion"/>
  </si>
  <si>
    <t>*</t>
    <phoneticPr fontId="135" type="noConversion"/>
  </si>
  <si>
    <t>*</t>
    <phoneticPr fontId="135" type="noConversion"/>
  </si>
  <si>
    <t>减征额</t>
    <phoneticPr fontId="135" type="noConversion"/>
  </si>
  <si>
    <t>一、营业税金及附加</t>
    <phoneticPr fontId="135" type="noConversion"/>
  </si>
  <si>
    <t>营业税金合计</t>
    <phoneticPr fontId="135" type="noConversion"/>
  </si>
  <si>
    <t>营业税金及附加</t>
    <phoneticPr fontId="1" type="noConversion"/>
  </si>
  <si>
    <t>企业提供资料清单</t>
    <phoneticPr fontId="1" type="noConversion"/>
  </si>
  <si>
    <t>资    料    名    称</t>
    <phoneticPr fontId="1" type="noConversion"/>
  </si>
  <si>
    <t>已提供</t>
    <phoneticPr fontId="1" type="noConversion"/>
  </si>
  <si>
    <t>无须提供</t>
    <phoneticPr fontId="1" type="noConversion"/>
  </si>
  <si>
    <t>一、企业所得税汇算清缴审核需提供的资料</t>
    <phoneticPr fontId="1" type="noConversion"/>
  </si>
  <si>
    <t>增值税纳税及其他税费申报表和未经审核的企业所得税年度申报表及附表；</t>
    <phoneticPr fontId="1" type="noConversion"/>
  </si>
  <si>
    <t>记账凭证、账簿；</t>
    <phoneticPr fontId="1" type="noConversion"/>
  </si>
  <si>
    <t>地税全年电子申报明细情况表、分税种入库情况统计表、国税所得税各期完税凭据；</t>
    <phoneticPr fontId="1" type="noConversion"/>
  </si>
  <si>
    <t>本年度会计报表（资产负债表、损益表）及附注；</t>
    <phoneticPr fontId="1" type="noConversion"/>
  </si>
  <si>
    <t>税务机关出具的各项纳税鉴定和批准件（如停、歇业、减免税、退税等）、税务检查报告书；</t>
    <phoneticPr fontId="1" type="noConversion"/>
  </si>
  <si>
    <t>税务登记证、营业执照、章程、设立和以后变更登记时的批文；</t>
    <phoneticPr fontId="1" type="noConversion"/>
  </si>
  <si>
    <t>前期中介机构所作的纳税审核报告，年度会计报表审核报告，验资报告；</t>
    <phoneticPr fontId="1" type="noConversion"/>
  </si>
  <si>
    <t>包装物押金合同、银行借款合同、租赁合同、购销合同等重要经营合同与协议；</t>
    <phoneticPr fontId="1" type="noConversion"/>
  </si>
  <si>
    <t>投资收益的计算依据（被投资单位的审核报告，被投资单位的利润分配方案）；</t>
    <phoneticPr fontId="1" type="noConversion"/>
  </si>
  <si>
    <t>从被投资单位分回的利润已完税的证明；</t>
    <phoneticPr fontId="1" type="noConversion"/>
  </si>
  <si>
    <t>现金盘点表；</t>
    <phoneticPr fontId="1" type="noConversion"/>
  </si>
  <si>
    <t>银行对账单、未达账项调整表；</t>
    <phoneticPr fontId="1" type="noConversion"/>
  </si>
  <si>
    <t>存货盘点表、存货倒轧表（客户没有的，审计人员根据需要编制）；同时1、商业企业必须提供商品（产品）销售分类账和库存商品（产品）分类账；2、工业生产制造加工企业，必须提供生产成本计算单，主要产品结构明细表3、施工企业必须提供工程结算收入和工程结算项目明细账</t>
    <phoneticPr fontId="1" type="noConversion"/>
  </si>
  <si>
    <t>预提、待摊费用的计算明细及计算依据；以前年度发生的结余递延资产、长期待摊费用和待摊费用，尚未摊销完毕，历史的原值要提供原始资料取证；</t>
    <phoneticPr fontId="1" type="noConversion"/>
  </si>
  <si>
    <t>固定资产盘点表、固定资产折旧计算表、新增固定资产购置发票；车辆需提供最新年检的行驶证复印件；房屋需提供产权证复印件，土地使用权需提供土地使用权复印件，在建工程需提供相应的原始凭证复印件；所有复印件需核对原件并在复印件上注明与原件核对一致，原件存放本公司；</t>
    <phoneticPr fontId="1" type="noConversion"/>
  </si>
  <si>
    <t>处理坏账的报备报批文件（税务部门的批准文件）；</t>
    <phoneticPr fontId="1" type="noConversion"/>
  </si>
  <si>
    <t>处理资产损失的批准文件（税务部门的批准文件）；</t>
    <phoneticPr fontId="1" type="noConversion"/>
  </si>
  <si>
    <t>最后一期借款利息计算及支付利息的单证、贷款卡审查报告；</t>
    <phoneticPr fontId="1" type="noConversion"/>
  </si>
  <si>
    <t>除定额计税工资形式外的采用其它计税工资形式的批件、社保证；</t>
    <phoneticPr fontId="1" type="noConversion"/>
  </si>
  <si>
    <t>用工合同、薪金制度文件、每月个人所得税明细申报表（必须抽查核对3个月）；</t>
    <phoneticPr fontId="1" type="noConversion"/>
  </si>
  <si>
    <t>计提“三费”计算单、上缴工会经费证单；</t>
    <phoneticPr fontId="1" type="noConversion"/>
  </si>
  <si>
    <t>软件开发企业等高新技术企业的认定文件；</t>
    <phoneticPr fontId="1" type="noConversion"/>
  </si>
  <si>
    <t>支付给总机构管理费的批准文件；</t>
    <phoneticPr fontId="1" type="noConversion"/>
  </si>
  <si>
    <t>调整以前年度损益的记账凭证和原始凭证复印件</t>
    <phoneticPr fontId="1" type="noConversion"/>
  </si>
  <si>
    <t>弥补以前年度亏损的备案文件；</t>
    <phoneticPr fontId="1" type="noConversion"/>
  </si>
  <si>
    <t>大额或账龄时间长应付款项（预收账款、其他应付款）的询证函；</t>
    <phoneticPr fontId="1" type="noConversion"/>
  </si>
  <si>
    <t>大额或账龄时间长应收款项（预付账款、其他应收款）的询证函；长期投资询证函；</t>
    <phoneticPr fontId="1" type="noConversion"/>
  </si>
  <si>
    <t>单位现在执行的会计制度、内部管理制度及相关的内控制度；</t>
    <phoneticPr fontId="1" type="noConversion"/>
  </si>
  <si>
    <t>关联企业名称、关联交易发生额明细（分月份列示）；</t>
    <phoneticPr fontId="1" type="noConversion"/>
  </si>
  <si>
    <t>广告费、业务宣传费支出明细；</t>
    <phoneticPr fontId="1" type="noConversion"/>
  </si>
  <si>
    <t>其他应提供的资料；</t>
    <phoneticPr fontId="1" type="noConversion"/>
  </si>
  <si>
    <t>客户声明书、基本情况表（本所提供格式）。</t>
    <phoneticPr fontId="1" type="noConversion"/>
  </si>
  <si>
    <t>二、技术改造国产设备抵免企业所得税审核需提供的资料</t>
    <phoneticPr fontId="1" type="noConversion"/>
  </si>
  <si>
    <t>提供上述企业所得税汇算清缴审核所需的所有资料；</t>
    <phoneticPr fontId="1" type="noConversion"/>
  </si>
  <si>
    <t>省（区、市）级税务机关批复的准予抵免企业所得税的核准文件复印件；</t>
    <phoneticPr fontId="1" type="noConversion"/>
  </si>
  <si>
    <t>购置设备的增值税专用发票或普通发票；</t>
    <phoneticPr fontId="1" type="noConversion"/>
  </si>
  <si>
    <t>实际购买国产设备的有关资料（包括国产设备名称、产地、规格、型号、数量、单价等）；</t>
    <phoneticPr fontId="1" type="noConversion"/>
  </si>
  <si>
    <t>《技术改造国产设备抵免企业所得税审核表》。</t>
    <phoneticPr fontId="1" type="noConversion"/>
  </si>
  <si>
    <t>三、研究开发新产品、新技术、新工艺费用审核需提供的资料</t>
    <phoneticPr fontId="1" type="noConversion"/>
  </si>
  <si>
    <t>技术项目开发计划（项目立项的决议文件）和技术开发费预算；</t>
    <phoneticPr fontId="1" type="noConversion"/>
  </si>
  <si>
    <t>技术研发专门机构或项目组的编制情况和研发人员名单；</t>
    <phoneticPr fontId="1" type="noConversion"/>
  </si>
  <si>
    <t>当年技术开发费实际发生项目和发生额的有效凭据；</t>
    <phoneticPr fontId="1" type="noConversion"/>
  </si>
  <si>
    <t>经市科技行政主管部门登记的委托、合作研究开发项目的合同；</t>
    <phoneticPr fontId="1" type="noConversion"/>
  </si>
  <si>
    <t>从事研发活动的人员和用于研发活动的仪器、设备、无形资产的费用分配说明（多项研发项目共用支出在项目间进行分摊的办法及证据资料，研发与生产共用支出在生产管理与研发间进行分摊的办法及证据资料。证据资料包括工作使用情况记录等）；</t>
    <phoneticPr fontId="1" type="noConversion"/>
  </si>
  <si>
    <t>集中开发项目研发费决算表、《集中研发项目费用分摊明细情况表》和实际分享收益比例等资料；</t>
    <phoneticPr fontId="1" type="noConversion"/>
  </si>
  <si>
    <t>统一格式的“研发支出”辅助账和研发项目汇总表；</t>
    <phoneticPr fontId="1" type="noConversion"/>
  </si>
  <si>
    <t>与行业同类产品技术工艺以及与本企业旧产品技术工艺的对比等创新性相关佐证资料；</t>
    <phoneticPr fontId="1" type="noConversion"/>
  </si>
  <si>
    <t>项目研发记录、项目实际执行期；</t>
    <phoneticPr fontId="1" type="noConversion"/>
  </si>
  <si>
    <t>研发过程总结报告：企业从立项到申报前，进行了哪些研究工作，解决了哪些技术问题，取得了哪些技术进展，获得了哪些技术成果等，未完成项目下一步研发内容等；</t>
    <phoneticPr fontId="1" type="noConversion"/>
  </si>
  <si>
    <t>与研发目标对应的研发过程不同阶段的原始设计图纸；</t>
    <phoneticPr fontId="1" type="noConversion"/>
  </si>
  <si>
    <t>验证是否达到研发目标的不同阶段的原始测试资料（记录、报告等）；</t>
    <phoneticPr fontId="1" type="noConversion"/>
  </si>
  <si>
    <t>研发过程变更、修改的原始记录、研发过程谈论沟通原始记录以及邮件等。</t>
    <phoneticPr fontId="1" type="noConversion"/>
  </si>
  <si>
    <t>省税务机关规定的补充留存备查资料：</t>
    <phoneticPr fontId="1" type="noConversion"/>
  </si>
  <si>
    <t>研发项目可加计扣除研究开发费用情况归集表</t>
    <phoneticPr fontId="1" type="noConversion"/>
  </si>
  <si>
    <t>研究开发项目的效用情况说明、研究成果报告（阶段性报告或验收报告)</t>
    <phoneticPr fontId="1" type="noConversion"/>
  </si>
  <si>
    <t>在职直接从事研发活动人员的工资薪金、“五险一金”的支出凭证，外聘研发人员的聘用合同、研究方向、技术证书等证据资料及劳务费用支出凭证</t>
    <phoneticPr fontId="1" type="noConversion"/>
  </si>
  <si>
    <t>直接消耗材料的领料单或出库单（注明研发项目）、耗用材料汇总表、仓库账、研发活动产生的下脚料、残次品、试制品、直接形成产品或作为组成部分形成的产品等的处置、销售资料，水、电、煤等燃料和动力费用的支出凭证、分配说明</t>
    <phoneticPr fontId="1" type="noConversion"/>
  </si>
  <si>
    <t>用于中间试验和产品试制的模具、工艺装备开发及制造费用支出凭证，不构成固定资产的样品、样机及一般测试手段购置费，试制产品的检验费用支出凭证</t>
    <phoneticPr fontId="1" type="noConversion"/>
  </si>
  <si>
    <t>用于研发活动的仪器、设备的运行维护、调整、检验、维修等费用支出凭证，以及通过经营租赁方式租入的专门用于研发活动的仪器、设备租赁费合同、支出凭证</t>
    <phoneticPr fontId="1" type="noConversion"/>
  </si>
  <si>
    <t>用于研发活动的仪器、设备固定资产帐页</t>
    <phoneticPr fontId="1" type="noConversion"/>
  </si>
  <si>
    <t>用于研发活动的软件、专利权、非专利技术帐页</t>
    <phoneticPr fontId="1" type="noConversion"/>
  </si>
  <si>
    <t>新产品设计费、新工艺规程制定费、新药研制的临床试验费、勘探开发技术的现场试验费的合同及支付凭证</t>
    <phoneticPr fontId="1" type="noConversion"/>
  </si>
  <si>
    <t>研发成果的论证、评审、验收鉴定费用的证据资料，与研发活动直接相关的其他费用支付凭证</t>
    <phoneticPr fontId="1" type="noConversion"/>
  </si>
  <si>
    <t>委托外部机构研发项目，委托方与受托方存在关联关系的，应提供受托方出具的该研发项目费用支出明细情况和符合独立交易原则的说明</t>
    <phoneticPr fontId="1" type="noConversion"/>
  </si>
  <si>
    <t>共同合作开发项目合同，明确合作各方承担的研发费用以及支出凭证。</t>
    <phoneticPr fontId="1" type="noConversion"/>
  </si>
  <si>
    <t>（以上资料复印件均必须加盖委托单位公章）</t>
    <phoneticPr fontId="1" type="noConversion"/>
  </si>
  <si>
    <r>
      <rPr>
        <b/>
        <sz val="11"/>
        <color rgb="FFC00000"/>
        <rFont val="Microsoft YaHei UI"/>
        <family val="2"/>
        <charset val="134"/>
      </rPr>
      <t>Li</t>
    </r>
    <r>
      <rPr>
        <sz val="11"/>
        <color rgb="FFC00000"/>
        <rFont val="Microsoft YaHei UI"/>
        <family val="2"/>
        <charset val="134"/>
      </rPr>
      <t xml:space="preserve">abilities and </t>
    </r>
    <r>
      <rPr>
        <b/>
        <sz val="11"/>
        <color rgb="FFC00000"/>
        <rFont val="Microsoft YaHei UI"/>
        <family val="2"/>
        <charset val="134"/>
      </rPr>
      <t>R</t>
    </r>
    <r>
      <rPr>
        <sz val="11"/>
        <color rgb="FFC00000"/>
        <rFont val="Microsoft YaHei UI"/>
        <family val="2"/>
        <charset val="134"/>
      </rPr>
      <t>ights
负债及权益类底稿</t>
    </r>
    <phoneticPr fontId="128" type="noConversion"/>
  </si>
  <si>
    <t>LR-01</t>
    <phoneticPr fontId="128" type="noConversion"/>
  </si>
  <si>
    <t>LR-02</t>
  </si>
  <si>
    <t>LR-03</t>
  </si>
  <si>
    <t>LR-04</t>
  </si>
  <si>
    <t>LR-05</t>
  </si>
  <si>
    <t>LR-06</t>
  </si>
  <si>
    <t>IN-09</t>
  </si>
  <si>
    <t>IN-10</t>
  </si>
  <si>
    <t>IN-11</t>
  </si>
  <si>
    <t>IN-12</t>
  </si>
  <si>
    <t>IN-13</t>
  </si>
  <si>
    <t>IN-14</t>
  </si>
  <si>
    <t>IN-15</t>
  </si>
  <si>
    <t>IN-16</t>
  </si>
  <si>
    <t>IN-17</t>
  </si>
  <si>
    <t>BA-06</t>
  </si>
  <si>
    <t>GL-16</t>
  </si>
  <si>
    <t>GL-17</t>
  </si>
  <si>
    <t>GL-18</t>
  </si>
  <si>
    <t>GL-19</t>
  </si>
  <si>
    <t>GL-20</t>
  </si>
  <si>
    <t>GL-21</t>
  </si>
  <si>
    <t>AD-21</t>
  </si>
  <si>
    <t>AD-22</t>
  </si>
  <si>
    <t>AD-23</t>
  </si>
  <si>
    <t>AD-24</t>
  </si>
  <si>
    <t>AD-25</t>
  </si>
  <si>
    <t>AD-26</t>
  </si>
  <si>
    <t>AD-27</t>
  </si>
  <si>
    <t>AD-28</t>
  </si>
  <si>
    <t>AD-29</t>
  </si>
  <si>
    <t>AD-30</t>
  </si>
  <si>
    <t>AD-31</t>
  </si>
  <si>
    <t>V20180318</t>
    <phoneticPr fontId="135" type="noConversion"/>
  </si>
  <si>
    <t xml:space="preserve"> 业务招待费</t>
    <phoneticPr fontId="135" type="noConversion"/>
  </si>
  <si>
    <t>管理费用</t>
    <phoneticPr fontId="135" type="noConversion"/>
  </si>
  <si>
    <t>销售费用</t>
    <phoneticPr fontId="135" type="noConversion"/>
  </si>
  <si>
    <t>制造费用</t>
    <phoneticPr fontId="135" type="noConversion"/>
  </si>
  <si>
    <t>调入教育经费</t>
    <phoneticPr fontId="135" type="noConversion"/>
  </si>
  <si>
    <t>zsxm_dm</t>
  </si>
  <si>
    <t>征收项目名称</t>
  </si>
  <si>
    <t>10101</t>
  </si>
  <si>
    <t>10102</t>
  </si>
  <si>
    <t>10103</t>
  </si>
  <si>
    <t>营业税</t>
  </si>
  <si>
    <t>10104</t>
  </si>
  <si>
    <t>10105</t>
  </si>
  <si>
    <t>企业所得税退税</t>
  </si>
  <si>
    <t>10106</t>
  </si>
  <si>
    <t>10107</t>
  </si>
  <si>
    <t>10109</t>
  </si>
  <si>
    <t>10110</t>
  </si>
  <si>
    <t>10111</t>
  </si>
  <si>
    <t>10112</t>
  </si>
  <si>
    <t>城镇土地使用税</t>
  </si>
  <si>
    <t>10113</t>
  </si>
  <si>
    <t>10114</t>
  </si>
  <si>
    <t>10115</t>
  </si>
  <si>
    <t>船舶吨税</t>
  </si>
  <si>
    <t>10116</t>
  </si>
  <si>
    <t>车辆购置税</t>
  </si>
  <si>
    <t>10117</t>
  </si>
  <si>
    <t>关税</t>
  </si>
  <si>
    <t>10118</t>
  </si>
  <si>
    <t>耕地占用税</t>
  </si>
  <si>
    <t>10119</t>
  </si>
  <si>
    <t>10120</t>
  </si>
  <si>
    <t>烟叶税</t>
  </si>
  <si>
    <t>10125</t>
  </si>
  <si>
    <t>屠宰税（废止）</t>
  </si>
  <si>
    <t>10199</t>
  </si>
  <si>
    <t>其他税收收入</t>
  </si>
  <si>
    <t>10201</t>
  </si>
  <si>
    <t>企业职工基本养老保险基金收入</t>
  </si>
  <si>
    <t>10202</t>
  </si>
  <si>
    <t>失业保险基金收入</t>
  </si>
  <si>
    <t>10203</t>
  </si>
  <si>
    <t>基本医疗保险基金收入</t>
  </si>
  <si>
    <t>10204</t>
  </si>
  <si>
    <t>工伤保险基金收入</t>
  </si>
  <si>
    <t>10205</t>
  </si>
  <si>
    <t>生育保险基金收入</t>
  </si>
  <si>
    <t>10206</t>
  </si>
  <si>
    <t>新型农村合作医疗基金收入</t>
  </si>
  <si>
    <t>10207</t>
  </si>
  <si>
    <t>城镇居民基本医疗保险基金收入</t>
  </si>
  <si>
    <t>10210</t>
  </si>
  <si>
    <t>城乡居民基本养老保险基金收入</t>
  </si>
  <si>
    <t>10211</t>
  </si>
  <si>
    <t>机关事业单位基本养老保险基金收入</t>
  </si>
  <si>
    <t>10291</t>
  </si>
  <si>
    <t>机关事业单位职业年金</t>
  </si>
  <si>
    <t>10299</t>
  </si>
  <si>
    <t>其他社会保险基金收入</t>
  </si>
  <si>
    <t>30144</t>
  </si>
  <si>
    <t>城市公用事业附加收入</t>
  </si>
  <si>
    <t>30150</t>
  </si>
  <si>
    <t>大中型水库库区基金</t>
  </si>
  <si>
    <t>30158</t>
  </si>
  <si>
    <t>国家重大水利工程建设基金收入</t>
  </si>
  <si>
    <t>30175</t>
  </si>
  <si>
    <t>废弃电器电子产品处理基金收入</t>
  </si>
  <si>
    <t>30176</t>
  </si>
  <si>
    <t>水土保持补偿费收入</t>
  </si>
  <si>
    <t>30199</t>
  </si>
  <si>
    <t>其他政府性基金收入</t>
  </si>
  <si>
    <t>30201</t>
  </si>
  <si>
    <t>排污费收入</t>
  </si>
  <si>
    <t>30202</t>
  </si>
  <si>
    <t>水资源费收入</t>
  </si>
  <si>
    <t>30203</t>
  </si>
  <si>
    <t>30216</t>
  </si>
  <si>
    <t>30217</t>
  </si>
  <si>
    <t>30218</t>
  </si>
  <si>
    <t>残疾人就业保障金</t>
  </si>
  <si>
    <t>30221</t>
  </si>
  <si>
    <t>水利建设专项收入</t>
  </si>
  <si>
    <t>30299</t>
  </si>
  <si>
    <t>其他专项收入</t>
  </si>
  <si>
    <t>30407</t>
  </si>
  <si>
    <t>财政行政事业性收费收入</t>
  </si>
  <si>
    <t>30408</t>
  </si>
  <si>
    <t>税务行政事业性收费收入</t>
  </si>
  <si>
    <t>30432</t>
  </si>
  <si>
    <t>国土资源行政事业性收费收入</t>
  </si>
  <si>
    <t>30446</t>
  </si>
  <si>
    <t>水利行政事业性收费收入</t>
  </si>
  <si>
    <t>30499</t>
  </si>
  <si>
    <t>其他行政事业性收费收入</t>
  </si>
  <si>
    <t>30501</t>
  </si>
  <si>
    <t>税务部门罚没收入</t>
  </si>
  <si>
    <t>30701</t>
  </si>
  <si>
    <t>海上石油矿区使用费</t>
  </si>
  <si>
    <t>30702</t>
  </si>
  <si>
    <t>陆上石油矿区使用费</t>
  </si>
  <si>
    <t>30703</t>
  </si>
  <si>
    <t>场地使用费收入</t>
  </si>
  <si>
    <t>30705</t>
  </si>
  <si>
    <t>利息收入</t>
  </si>
  <si>
    <t>30799</t>
  </si>
  <si>
    <t>其他国有资源（产）有偿使用收入</t>
  </si>
  <si>
    <t>39900</t>
  </si>
  <si>
    <t>zspm_dm</t>
  </si>
  <si>
    <t>征收品目名称</t>
  </si>
  <si>
    <t>101010101</t>
  </si>
  <si>
    <t>卷烟</t>
  </si>
  <si>
    <t>101010102</t>
  </si>
  <si>
    <t>雪茄烟</t>
  </si>
  <si>
    <t>101010103</t>
  </si>
  <si>
    <t>烟丝</t>
  </si>
  <si>
    <t>101010104</t>
  </si>
  <si>
    <t>烟叶</t>
  </si>
  <si>
    <t>101010199</t>
  </si>
  <si>
    <t>其他烟草加工业</t>
  </si>
  <si>
    <t>101010201</t>
  </si>
  <si>
    <t>白酒</t>
  </si>
  <si>
    <t>101010202</t>
  </si>
  <si>
    <t>黄酒</t>
  </si>
  <si>
    <t>101010203</t>
  </si>
  <si>
    <t>啤酒</t>
  </si>
  <si>
    <t>101010204</t>
  </si>
  <si>
    <t>其他酒</t>
  </si>
  <si>
    <t>101010205</t>
  </si>
  <si>
    <t>酒精</t>
  </si>
  <si>
    <t>101010206</t>
  </si>
  <si>
    <t>饮料</t>
  </si>
  <si>
    <t>101010207</t>
  </si>
  <si>
    <t>茶（17%）</t>
  </si>
  <si>
    <t>101010208</t>
  </si>
  <si>
    <t>茶（13%）</t>
  </si>
  <si>
    <t>101010301</t>
  </si>
  <si>
    <t>粮食、饲料</t>
  </si>
  <si>
    <t>101010302</t>
  </si>
  <si>
    <t>食用植物油</t>
  </si>
  <si>
    <t>101010303</t>
  </si>
  <si>
    <t>糖</t>
  </si>
  <si>
    <t>101010398</t>
  </si>
  <si>
    <t>其他食品加工制造业（17%）</t>
  </si>
  <si>
    <t>101010399</t>
  </si>
  <si>
    <t>其他食品加工制造业（13%）</t>
  </si>
  <si>
    <t>101010401</t>
  </si>
  <si>
    <t>棉纺织品</t>
  </si>
  <si>
    <t>101010402</t>
  </si>
  <si>
    <t>毛纺织品</t>
  </si>
  <si>
    <t>101010403</t>
  </si>
  <si>
    <t>丝织品</t>
  </si>
  <si>
    <t>101010404</t>
  </si>
  <si>
    <t>针织品</t>
  </si>
  <si>
    <t>101010405</t>
  </si>
  <si>
    <t>化纤织品</t>
  </si>
  <si>
    <t>101010499</t>
  </si>
  <si>
    <t>其他纺织业</t>
  </si>
  <si>
    <t>101010501</t>
  </si>
  <si>
    <t>机制纸</t>
  </si>
  <si>
    <t>101010502</t>
  </si>
  <si>
    <t>纸板</t>
  </si>
  <si>
    <t>101010599</t>
  </si>
  <si>
    <t>其他造纸及纸制品业</t>
  </si>
  <si>
    <t>101010601</t>
  </si>
  <si>
    <t>服装</t>
  </si>
  <si>
    <t>101010602</t>
  </si>
  <si>
    <t>皮革、毛皮</t>
  </si>
  <si>
    <t>101010699</t>
  </si>
  <si>
    <t>其他服装及其他制品业</t>
  </si>
  <si>
    <t>101010701</t>
  </si>
  <si>
    <t>成品油</t>
  </si>
  <si>
    <t>101010799</t>
  </si>
  <si>
    <t>其他石油加工及炼焦业</t>
  </si>
  <si>
    <t>101010801</t>
  </si>
  <si>
    <t>化学化工产品</t>
  </si>
  <si>
    <t>101010802</t>
  </si>
  <si>
    <t>化肥</t>
  </si>
  <si>
    <t>101010803</t>
  </si>
  <si>
    <t>农药</t>
  </si>
  <si>
    <t>101010804</t>
  </si>
  <si>
    <t>化妆品</t>
  </si>
  <si>
    <t>101010805</t>
  </si>
  <si>
    <t>护肤护发品</t>
  </si>
  <si>
    <t>101010899</t>
  </si>
  <si>
    <t>其他化学原料及化学制品业</t>
  </si>
  <si>
    <t>101010901</t>
  </si>
  <si>
    <t>汽车轮胎</t>
  </si>
  <si>
    <t>101010999</t>
  </si>
  <si>
    <t>其他橡胶制品业</t>
  </si>
  <si>
    <t>101011001</t>
  </si>
  <si>
    <t>水泥</t>
  </si>
  <si>
    <t>101011002</t>
  </si>
  <si>
    <t>水泥制品</t>
  </si>
  <si>
    <t>101011003</t>
  </si>
  <si>
    <t>平板玻璃</t>
  </si>
  <si>
    <t>101011004</t>
  </si>
  <si>
    <t>陶瓷制品</t>
  </si>
  <si>
    <t>101011099</t>
  </si>
  <si>
    <t>其他非金属矿物制品业</t>
  </si>
  <si>
    <t>101011101</t>
  </si>
  <si>
    <t>生铁</t>
  </si>
  <si>
    <t>101011102</t>
  </si>
  <si>
    <t>钢坯</t>
  </si>
  <si>
    <t>101011103</t>
  </si>
  <si>
    <t>钢材</t>
  </si>
  <si>
    <t>101011199</t>
  </si>
  <si>
    <t>其他黑色金属冶炼及压延加工业</t>
  </si>
  <si>
    <t>101011201</t>
  </si>
  <si>
    <t>常用金属</t>
  </si>
  <si>
    <t>101011202</t>
  </si>
  <si>
    <t>贵金属</t>
  </si>
  <si>
    <t>101011299</t>
  </si>
  <si>
    <t>稀有稀土金属</t>
  </si>
  <si>
    <t>101011301</t>
  </si>
  <si>
    <t>汽车</t>
  </si>
  <si>
    <t>101011302</t>
  </si>
  <si>
    <t>摩托车</t>
  </si>
  <si>
    <t>101011303</t>
  </si>
  <si>
    <t>飞机</t>
  </si>
  <si>
    <t>101011304</t>
  </si>
  <si>
    <t>机动船舶</t>
  </si>
  <si>
    <t>101011305</t>
  </si>
  <si>
    <t>自行车</t>
  </si>
  <si>
    <t>101011306</t>
  </si>
  <si>
    <t>通用设备</t>
  </si>
  <si>
    <t>101011307</t>
  </si>
  <si>
    <t>专用设备（17%）</t>
  </si>
  <si>
    <t>101011308</t>
  </si>
  <si>
    <t>专用设备（13%）</t>
  </si>
  <si>
    <t>101011398</t>
  </si>
  <si>
    <t>其他交通运输工具（17%）</t>
  </si>
  <si>
    <t>101011399</t>
  </si>
  <si>
    <t>其他交通运输工具（13%）</t>
  </si>
  <si>
    <t>101011401</t>
  </si>
  <si>
    <t>家用电器</t>
  </si>
  <si>
    <t>101011402</t>
  </si>
  <si>
    <t>电机</t>
  </si>
  <si>
    <t>101011403</t>
  </si>
  <si>
    <t>电线电缆</t>
  </si>
  <si>
    <t>101011499</t>
  </si>
  <si>
    <t>其他电气机械及器材制造业</t>
  </si>
  <si>
    <t>101011501</t>
  </si>
  <si>
    <t>通信设备</t>
  </si>
  <si>
    <t>101011502</t>
  </si>
  <si>
    <t>电子计算机</t>
  </si>
  <si>
    <t>101011503</t>
  </si>
  <si>
    <t>家用视听设备</t>
  </si>
  <si>
    <t>101011599</t>
  </si>
  <si>
    <t>其他电子通信设备制造业</t>
  </si>
  <si>
    <t>101011600</t>
  </si>
  <si>
    <t>家具制造业</t>
  </si>
  <si>
    <t>101011701</t>
  </si>
  <si>
    <t>中药原药制造业</t>
  </si>
  <si>
    <t>101011799</t>
  </si>
  <si>
    <t>其他医药制造业</t>
  </si>
  <si>
    <t>101011801</t>
  </si>
  <si>
    <t>贵重首饰</t>
  </si>
  <si>
    <t>101011898</t>
  </si>
  <si>
    <t>其他制造业（17%）</t>
  </si>
  <si>
    <t>101011899</t>
  </si>
  <si>
    <t>其他制造业（13%）</t>
  </si>
  <si>
    <t>101012100</t>
  </si>
  <si>
    <t>原煤</t>
  </si>
  <si>
    <t>101012200</t>
  </si>
  <si>
    <t>洗煤</t>
  </si>
  <si>
    <t>101012301</t>
  </si>
  <si>
    <t>工业盐</t>
  </si>
  <si>
    <t>101012302</t>
  </si>
  <si>
    <t>食用盐</t>
  </si>
  <si>
    <t>101012400</t>
  </si>
  <si>
    <t>原油</t>
  </si>
  <si>
    <t>101012500</t>
  </si>
  <si>
    <t>天然气</t>
  </si>
  <si>
    <t>101012600</t>
  </si>
  <si>
    <t>黑色金属矿产品</t>
  </si>
  <si>
    <t>101012700</t>
  </si>
  <si>
    <t>有色金属矿产品</t>
  </si>
  <si>
    <t>101012800</t>
  </si>
  <si>
    <t>非金属矿产品</t>
  </si>
  <si>
    <t>101012900</t>
  </si>
  <si>
    <t>101013100</t>
  </si>
  <si>
    <t>发电</t>
  </si>
  <si>
    <t>101013200</t>
  </si>
  <si>
    <t>供电</t>
  </si>
  <si>
    <t>101013300</t>
  </si>
  <si>
    <t>煤气</t>
  </si>
  <si>
    <t>101013400</t>
  </si>
  <si>
    <t>燃气</t>
  </si>
  <si>
    <t>101013500</t>
  </si>
  <si>
    <t>自来水</t>
  </si>
  <si>
    <t>101013600</t>
  </si>
  <si>
    <t>暖气、热水、冷气等气及水的生产和供应</t>
  </si>
  <si>
    <t>101013901</t>
  </si>
  <si>
    <t>其他电力煤气及水的生产和供应业（17%）</t>
  </si>
  <si>
    <t>101013902</t>
  </si>
  <si>
    <t>其他电力煤气及水的生产和供应业（13%）</t>
  </si>
  <si>
    <t>101014001</t>
  </si>
  <si>
    <t>商业(17%)</t>
  </si>
  <si>
    <t>101014002</t>
  </si>
  <si>
    <t>商业(13%)</t>
  </si>
  <si>
    <t>101014003</t>
  </si>
  <si>
    <t>商业(6%)</t>
  </si>
  <si>
    <t>101014004</t>
  </si>
  <si>
    <t>商业(4%)</t>
  </si>
  <si>
    <t>101014006</t>
  </si>
  <si>
    <t>商业(3%)</t>
  </si>
  <si>
    <t>101015000</t>
  </si>
  <si>
    <t>软件、集成电路</t>
  </si>
  <si>
    <t>101016101</t>
  </si>
  <si>
    <t>陆路货物运输服务</t>
  </si>
  <si>
    <t>101016102</t>
  </si>
  <si>
    <t>水路运输服务</t>
  </si>
  <si>
    <t>101016103</t>
  </si>
  <si>
    <t>航空运输服务</t>
  </si>
  <si>
    <t>101016104</t>
  </si>
  <si>
    <t>管道运输服务</t>
  </si>
  <si>
    <t>101016105</t>
  </si>
  <si>
    <t>铁路运输服务</t>
  </si>
  <si>
    <t>101016106</t>
  </si>
  <si>
    <t>陆路旅客运输服务</t>
  </si>
  <si>
    <t>101016201</t>
  </si>
  <si>
    <t>研发服务</t>
  </si>
  <si>
    <t>101016204</t>
  </si>
  <si>
    <t>合同能源管理服务</t>
  </si>
  <si>
    <t>101016205</t>
  </si>
  <si>
    <t>工程勘察勘探服务</t>
  </si>
  <si>
    <t>101016206</t>
  </si>
  <si>
    <t>专业技术服务</t>
  </si>
  <si>
    <t>101016301</t>
  </si>
  <si>
    <t>软件服务</t>
  </si>
  <si>
    <t>101016302</t>
  </si>
  <si>
    <t>电路设计及测试服务</t>
  </si>
  <si>
    <t>101016303</t>
  </si>
  <si>
    <t>信息系统服务</t>
  </si>
  <si>
    <t>101016304</t>
  </si>
  <si>
    <t>业务流程管理服务</t>
  </si>
  <si>
    <t>101016305</t>
  </si>
  <si>
    <t>信息系统增值服务</t>
  </si>
  <si>
    <t>101016401</t>
  </si>
  <si>
    <t>设计服务</t>
  </si>
  <si>
    <t>101016403</t>
  </si>
  <si>
    <t>101016404</t>
  </si>
  <si>
    <t>广告服务</t>
  </si>
  <si>
    <t>101016405</t>
  </si>
  <si>
    <t>会议展览服务</t>
  </si>
  <si>
    <t>101016502</t>
  </si>
  <si>
    <t>航空服务</t>
  </si>
  <si>
    <t>101016503</t>
  </si>
  <si>
    <t>港口码头服务</t>
  </si>
  <si>
    <t>101016504</t>
  </si>
  <si>
    <t>货运客运场站服务</t>
  </si>
  <si>
    <t>101016505</t>
  </si>
  <si>
    <t>打捞救助服务</t>
  </si>
  <si>
    <t>101016508</t>
  </si>
  <si>
    <t>仓储服务</t>
  </si>
  <si>
    <t>101016509</t>
  </si>
  <si>
    <t>装卸搬运服务</t>
  </si>
  <si>
    <t>101016510</t>
  </si>
  <si>
    <t>收派服务</t>
  </si>
  <si>
    <t>101016601</t>
  </si>
  <si>
    <t>有形动产融资租赁</t>
  </si>
  <si>
    <t>101016602</t>
  </si>
  <si>
    <t>有形动产经营租赁</t>
  </si>
  <si>
    <t>101016603</t>
  </si>
  <si>
    <t>不动产融资租赁（11%、3%）</t>
  </si>
  <si>
    <t>101016604</t>
  </si>
  <si>
    <t>不动产融资租赁（11%、5%）</t>
  </si>
  <si>
    <t>101016605</t>
  </si>
  <si>
    <t>不动产经营租赁（11%、3%）</t>
  </si>
  <si>
    <t>101016606</t>
  </si>
  <si>
    <t>不动产经营租赁（11%、5%）</t>
  </si>
  <si>
    <t>101016701</t>
  </si>
  <si>
    <t>认证服务</t>
  </si>
  <si>
    <t>101016702</t>
  </si>
  <si>
    <t>鉴证服务</t>
  </si>
  <si>
    <t>101016703</t>
  </si>
  <si>
    <t>咨询服务</t>
  </si>
  <si>
    <t>101016801</t>
  </si>
  <si>
    <t>广播影视节目（作品）制作服务</t>
  </si>
  <si>
    <t>101016802</t>
  </si>
  <si>
    <t>广播影视节目（作品）发行服务</t>
  </si>
  <si>
    <t>101016803</t>
  </si>
  <si>
    <t>广播影视节目（作品）播映服务</t>
  </si>
  <si>
    <t>101016901</t>
  </si>
  <si>
    <t>邮政普遍服务</t>
  </si>
  <si>
    <t>101016902</t>
  </si>
  <si>
    <t>邮政特殊服务</t>
  </si>
  <si>
    <t>101016903</t>
  </si>
  <si>
    <t>其他邮政服务</t>
  </si>
  <si>
    <t>101017001</t>
  </si>
  <si>
    <t>基础电信服务</t>
  </si>
  <si>
    <t>101017002</t>
  </si>
  <si>
    <t>增值电信服务</t>
  </si>
  <si>
    <t>101017101</t>
  </si>
  <si>
    <t>工程服务</t>
  </si>
  <si>
    <t>101017102</t>
  </si>
  <si>
    <t>安装服务</t>
  </si>
  <si>
    <t>101017103</t>
  </si>
  <si>
    <t>修缮服务</t>
  </si>
  <si>
    <t>101017104</t>
  </si>
  <si>
    <t>装饰服务</t>
  </si>
  <si>
    <t>101017190</t>
  </si>
  <si>
    <t>其他建筑服务</t>
  </si>
  <si>
    <t>101017201</t>
  </si>
  <si>
    <t>贷款服务</t>
  </si>
  <si>
    <t>101017202</t>
  </si>
  <si>
    <t>直接收费金融服务</t>
  </si>
  <si>
    <t>101017203</t>
  </si>
  <si>
    <t>人身保险服务</t>
  </si>
  <si>
    <t>101017204</t>
  </si>
  <si>
    <t>财产保险服务</t>
  </si>
  <si>
    <t>101017205</t>
  </si>
  <si>
    <t>金融商品转让</t>
  </si>
  <si>
    <t>101017301</t>
  </si>
  <si>
    <t>企业管理服务</t>
  </si>
  <si>
    <t>101017302</t>
  </si>
  <si>
    <t>经纪代理服务（6%、3%）</t>
  </si>
  <si>
    <t>101017303</t>
  </si>
  <si>
    <t>人力资源服务（6%、3%）</t>
  </si>
  <si>
    <t>101017304</t>
  </si>
  <si>
    <t>安全保护服务（3%）</t>
  </si>
  <si>
    <t>101017305</t>
  </si>
  <si>
    <t>人力资源服务（6%、5%）</t>
  </si>
  <si>
    <t>101017306</t>
  </si>
  <si>
    <t>经纪代理服务（6%、5%）</t>
  </si>
  <si>
    <t>101017307</t>
  </si>
  <si>
    <t>安全保护服务（5%）</t>
  </si>
  <si>
    <t>101017490</t>
  </si>
  <si>
    <t>其他现代服务</t>
  </si>
  <si>
    <t>101017510</t>
  </si>
  <si>
    <t>文化服务</t>
  </si>
  <si>
    <t>101017520</t>
  </si>
  <si>
    <t>体育服务</t>
  </si>
  <si>
    <t>101017530</t>
  </si>
  <si>
    <t>教育服务</t>
  </si>
  <si>
    <t>101017540</t>
  </si>
  <si>
    <t>医疗服务</t>
  </si>
  <si>
    <t>101017550</t>
  </si>
  <si>
    <t>旅游服务</t>
  </si>
  <si>
    <t>101017560</t>
  </si>
  <si>
    <t>娱乐服务</t>
  </si>
  <si>
    <t>101017570</t>
  </si>
  <si>
    <t>餐饮服务</t>
  </si>
  <si>
    <t>101017580</t>
  </si>
  <si>
    <t>住宿服务</t>
  </si>
  <si>
    <t>101017590</t>
  </si>
  <si>
    <t>居民日常服务</t>
  </si>
  <si>
    <t>101017599</t>
  </si>
  <si>
    <t>其他生活服务</t>
  </si>
  <si>
    <t>101017601</t>
  </si>
  <si>
    <t>专利或非专利技术</t>
  </si>
  <si>
    <t>101017602</t>
  </si>
  <si>
    <t>商标和著作权</t>
  </si>
  <si>
    <t>101017603</t>
  </si>
  <si>
    <t>土地使用权（11%、3%）</t>
  </si>
  <si>
    <t>101017604</t>
  </si>
  <si>
    <t>土地使用权（11%、5%）</t>
  </si>
  <si>
    <t>101017680</t>
  </si>
  <si>
    <t>其他自然资源使用权</t>
  </si>
  <si>
    <t>101017690</t>
  </si>
  <si>
    <t>其他权益性无形资产</t>
  </si>
  <si>
    <t>101017711</t>
  </si>
  <si>
    <t>建筑物（11%、3%）-增量房</t>
  </si>
  <si>
    <t>101017712</t>
  </si>
  <si>
    <t>建筑物（11%、3%）-二手房</t>
  </si>
  <si>
    <t>101017713</t>
  </si>
  <si>
    <t>建筑物（11%、5%）-增量房</t>
  </si>
  <si>
    <t>101017714</t>
  </si>
  <si>
    <t>建筑物（11%、5%）-二手房</t>
  </si>
  <si>
    <t>101017721</t>
  </si>
  <si>
    <t>构筑物（11%、3%）-增量房</t>
  </si>
  <si>
    <t>101017722</t>
  </si>
  <si>
    <t>构筑物（11%、3%）-二手房</t>
  </si>
  <si>
    <t>101017723</t>
  </si>
  <si>
    <t>构筑物（11%、5%）-增量房</t>
  </si>
  <si>
    <t>101017724</t>
  </si>
  <si>
    <t>构筑物（11%、5%）-二手房</t>
  </si>
  <si>
    <t>101017801</t>
  </si>
  <si>
    <t>铁建设基金（中央）</t>
  </si>
  <si>
    <t>101019001</t>
  </si>
  <si>
    <t>其他行业（17%）</t>
  </si>
  <si>
    <t>101019002</t>
  </si>
  <si>
    <t>其他行业（13%）</t>
  </si>
  <si>
    <t>101019901</t>
  </si>
  <si>
    <t>滞纳金</t>
  </si>
  <si>
    <t>101019902</t>
  </si>
  <si>
    <t>罚款</t>
  </si>
  <si>
    <t>101020101</t>
  </si>
  <si>
    <t>卷烟（调拨价70元（不含增值税）/条以上（含70元）从价计算）</t>
  </si>
  <si>
    <t>101020102</t>
  </si>
  <si>
    <t>卷烟（调拨价70元（不含增值税）/条以下从价计算）</t>
  </si>
  <si>
    <t>101020104</t>
  </si>
  <si>
    <t>卷烟（调拨价70元（不含增值税）/条以上（含70元）从量计算）</t>
  </si>
  <si>
    <t>101020105</t>
  </si>
  <si>
    <t>卷烟（调拨价70元（不含增值税）/条以下从量计算）</t>
  </si>
  <si>
    <t>101020106</t>
  </si>
  <si>
    <t>卷烟（商业批发从价计算）</t>
  </si>
  <si>
    <t>101020107</t>
  </si>
  <si>
    <t>101020108</t>
  </si>
  <si>
    <t>101020109</t>
  </si>
  <si>
    <t>卷烟（商业批发从量计算）</t>
  </si>
  <si>
    <t>101020201</t>
  </si>
  <si>
    <t>粮食白酒（从价计算）</t>
  </si>
  <si>
    <t>101020202</t>
  </si>
  <si>
    <t>粮食白酒（从量计算）</t>
  </si>
  <si>
    <t>101020203</t>
  </si>
  <si>
    <t>薯类白酒（从价计算）</t>
  </si>
  <si>
    <t>101020204</t>
  </si>
  <si>
    <t>薯类白酒（从量计算）</t>
  </si>
  <si>
    <t>101020205</t>
  </si>
  <si>
    <t>101020206</t>
  </si>
  <si>
    <t>啤酒（3000元/吨以上）</t>
  </si>
  <si>
    <t>101020207</t>
  </si>
  <si>
    <t>啤酒（3000元/吨以下）</t>
  </si>
  <si>
    <t>101020299</t>
  </si>
  <si>
    <t>101020300</t>
  </si>
  <si>
    <t>101020401</t>
  </si>
  <si>
    <t>金银首饰（铂金首饰、钻石及钻石饰品）</t>
  </si>
  <si>
    <t>101020499</t>
  </si>
  <si>
    <t>其他金银首饰及珠宝玉石</t>
  </si>
  <si>
    <t>101020500</t>
  </si>
  <si>
    <t>鞭炮、焰火</t>
  </si>
  <si>
    <t>101020603</t>
  </si>
  <si>
    <t>柴油</t>
  </si>
  <si>
    <t>101020604</t>
  </si>
  <si>
    <t>航空煤油</t>
  </si>
  <si>
    <t>101020605</t>
  </si>
  <si>
    <t>石脑油</t>
  </si>
  <si>
    <t>101020606</t>
  </si>
  <si>
    <t>溶剂油</t>
  </si>
  <si>
    <t>101020607</t>
  </si>
  <si>
    <t>润滑油</t>
  </si>
  <si>
    <t>101020608</t>
  </si>
  <si>
    <t>燃料油</t>
  </si>
  <si>
    <t>101020609</t>
  </si>
  <si>
    <t>汽油</t>
  </si>
  <si>
    <t>101020802</t>
  </si>
  <si>
    <t>250毫升（不含）以上摩托车</t>
  </si>
  <si>
    <t>101020803</t>
  </si>
  <si>
    <t>250毫升摩托车</t>
  </si>
  <si>
    <t>101020901</t>
  </si>
  <si>
    <t>1.0升（含）以下的乘用车</t>
  </si>
  <si>
    <t>101020902</t>
  </si>
  <si>
    <t>1.0升以上至1.5升(含)的乘用车</t>
  </si>
  <si>
    <t>101020903</t>
  </si>
  <si>
    <t>1.5升以上至2.0升(含)的乘用车</t>
  </si>
  <si>
    <t>101020904</t>
  </si>
  <si>
    <t>2.0升以上至2.5升(含)的乘用车</t>
  </si>
  <si>
    <t>101020905</t>
  </si>
  <si>
    <t>2.5升以上至3.0升(含)的乘用车</t>
  </si>
  <si>
    <t>101020906</t>
  </si>
  <si>
    <t>3.0升以上至4.0升(含)的乘用车</t>
  </si>
  <si>
    <t>101020907</t>
  </si>
  <si>
    <t>4.0升以上的乘用车</t>
  </si>
  <si>
    <t>101021000</t>
  </si>
  <si>
    <t>中轻型商用客车</t>
  </si>
  <si>
    <t>101021100</t>
  </si>
  <si>
    <t>高尔夫球及球具</t>
  </si>
  <si>
    <t>101021200</t>
  </si>
  <si>
    <t>高档手表</t>
  </si>
  <si>
    <t>101021300</t>
  </si>
  <si>
    <t>游艇</t>
  </si>
  <si>
    <t>101021400</t>
  </si>
  <si>
    <t>木制一次性筷子</t>
  </si>
  <si>
    <t>101021500</t>
  </si>
  <si>
    <t>实木地板</t>
  </si>
  <si>
    <t>101021601</t>
  </si>
  <si>
    <t>电池（不含铅蓄电池）</t>
  </si>
  <si>
    <t>101021699</t>
  </si>
  <si>
    <t>铅蓄电池</t>
  </si>
  <si>
    <t>101021700</t>
  </si>
  <si>
    <t>涂料</t>
  </si>
  <si>
    <t>101021800</t>
  </si>
  <si>
    <t>高档化妆品</t>
  </si>
  <si>
    <t>101021901</t>
  </si>
  <si>
    <t>超豪华乘用车</t>
  </si>
  <si>
    <t>101021902</t>
  </si>
  <si>
    <t>超豪华中轻型商用客车</t>
  </si>
  <si>
    <t>101029901</t>
  </si>
  <si>
    <t>101029902</t>
  </si>
  <si>
    <t>101030101</t>
  </si>
  <si>
    <t>陆路运输</t>
  </si>
  <si>
    <t>101030102</t>
  </si>
  <si>
    <t>水路运输</t>
  </si>
  <si>
    <t>101030103</t>
  </si>
  <si>
    <t>航空运</t>
  </si>
  <si>
    <t>101030104</t>
  </si>
  <si>
    <t>管道运输</t>
  </si>
  <si>
    <t>101030105</t>
  </si>
  <si>
    <t>101030201</t>
  </si>
  <si>
    <t>建筑</t>
  </si>
  <si>
    <t>101030202</t>
  </si>
  <si>
    <t>安装</t>
  </si>
  <si>
    <t>101030203</t>
  </si>
  <si>
    <t>修缮</t>
  </si>
  <si>
    <t>101030204</t>
  </si>
  <si>
    <t>装饰</t>
  </si>
  <si>
    <t>101030299</t>
  </si>
  <si>
    <t>其他工程作业</t>
  </si>
  <si>
    <t>101030301</t>
  </si>
  <si>
    <t>金融</t>
  </si>
  <si>
    <t>101030302</t>
  </si>
  <si>
    <t>保险</t>
  </si>
  <si>
    <t>101030303</t>
  </si>
  <si>
    <t>证券</t>
  </si>
  <si>
    <t>101030401</t>
  </si>
  <si>
    <t>邮政</t>
  </si>
  <si>
    <t>101030402</t>
  </si>
  <si>
    <t>电信</t>
  </si>
  <si>
    <t>101030501</t>
  </si>
  <si>
    <t>文化业</t>
  </si>
  <si>
    <t>101030502</t>
  </si>
  <si>
    <t>体育业</t>
  </si>
  <si>
    <t>101030601</t>
  </si>
  <si>
    <t>音乐茶座</t>
  </si>
  <si>
    <t>101030602</t>
  </si>
  <si>
    <t>台球</t>
  </si>
  <si>
    <t>101030603</t>
  </si>
  <si>
    <t>高尔夫球</t>
  </si>
  <si>
    <t>101030604</t>
  </si>
  <si>
    <t>保龄球</t>
  </si>
  <si>
    <t>101030605</t>
  </si>
  <si>
    <t>游艺厅</t>
  </si>
  <si>
    <t>101030606</t>
  </si>
  <si>
    <t>网吧</t>
  </si>
  <si>
    <t>101030607</t>
  </si>
  <si>
    <t>舞厅</t>
  </si>
  <si>
    <t>101030608</t>
  </si>
  <si>
    <t>歌厅</t>
  </si>
  <si>
    <t>101030609</t>
  </si>
  <si>
    <t>卡拉OK舞厅</t>
  </si>
  <si>
    <t>101030699</t>
  </si>
  <si>
    <t>101030701</t>
  </si>
  <si>
    <t>代理业</t>
  </si>
  <si>
    <t>101030702</t>
  </si>
  <si>
    <t>旅店业</t>
  </si>
  <si>
    <t>101030703</t>
  </si>
  <si>
    <t>饮食业</t>
  </si>
  <si>
    <t>101030704</t>
  </si>
  <si>
    <t>旅游业</t>
  </si>
  <si>
    <t>101030705</t>
  </si>
  <si>
    <t>仓储业</t>
  </si>
  <si>
    <t>101030706</t>
  </si>
  <si>
    <t>租赁业</t>
  </si>
  <si>
    <t>101030707</t>
  </si>
  <si>
    <t>房屋租赁</t>
  </si>
  <si>
    <t>101030708</t>
  </si>
  <si>
    <t>101030799</t>
  </si>
  <si>
    <t>其他服务业</t>
  </si>
  <si>
    <t>101030801</t>
  </si>
  <si>
    <t>转让土地使用权</t>
  </si>
  <si>
    <t>101030802</t>
  </si>
  <si>
    <t>转让商标权</t>
  </si>
  <si>
    <t>101030803</t>
  </si>
  <si>
    <t>转让专利权</t>
  </si>
  <si>
    <t>101030804</t>
  </si>
  <si>
    <t>转让非专利权</t>
  </si>
  <si>
    <t>101030805</t>
  </si>
  <si>
    <t>转让著作权</t>
  </si>
  <si>
    <t>101030806</t>
  </si>
  <si>
    <t>转让商誉</t>
  </si>
  <si>
    <t>101030807</t>
  </si>
  <si>
    <t>转让动漫版权</t>
  </si>
  <si>
    <t>101030808</t>
  </si>
  <si>
    <t>转让自然资源使用权</t>
  </si>
  <si>
    <t>101030899</t>
  </si>
  <si>
    <t>其他转让无形资产</t>
  </si>
  <si>
    <t>101030901</t>
  </si>
  <si>
    <t>销售建筑物或构筑物</t>
  </si>
  <si>
    <t>101030902</t>
  </si>
  <si>
    <t>销售其他土地附着物</t>
  </si>
  <si>
    <t>101030999</t>
  </si>
  <si>
    <t>其他销售不动产</t>
  </si>
  <si>
    <t>101039901</t>
  </si>
  <si>
    <t>101039902</t>
  </si>
  <si>
    <t>101040001</t>
  </si>
  <si>
    <t>应纳税所得额</t>
  </si>
  <si>
    <t>101049901</t>
  </si>
  <si>
    <t>101049902</t>
  </si>
  <si>
    <t>101049903</t>
  </si>
  <si>
    <t>101050000</t>
  </si>
  <si>
    <t>101060100</t>
  </si>
  <si>
    <t>工资薪金所得</t>
  </si>
  <si>
    <t>101060200</t>
  </si>
  <si>
    <t>个体户生产经营所得</t>
  </si>
  <si>
    <t>101060300</t>
  </si>
  <si>
    <t>企事业承包承租经营所得</t>
  </si>
  <si>
    <t>101060400</t>
  </si>
  <si>
    <t>劳务报酬所得</t>
  </si>
  <si>
    <t>101060500</t>
  </si>
  <si>
    <t>稿酬所得</t>
  </si>
  <si>
    <t>101060600</t>
  </si>
  <si>
    <t>101060701</t>
  </si>
  <si>
    <t>储蓄存款利息所得</t>
  </si>
  <si>
    <t>101060799</t>
  </si>
  <si>
    <t>其他利息、股息、红利所得</t>
  </si>
  <si>
    <t>101060801</t>
  </si>
  <si>
    <t>个人房屋出租</t>
  </si>
  <si>
    <t>101060899</t>
  </si>
  <si>
    <t>其他财产租赁所得</t>
  </si>
  <si>
    <t>101060901</t>
  </si>
  <si>
    <t>限售股转让所得</t>
  </si>
  <si>
    <t>101060902</t>
  </si>
  <si>
    <t>房屋转让所得</t>
  </si>
  <si>
    <t>101060903</t>
  </si>
  <si>
    <t>财产拍卖所得及回流文物拍卖所得</t>
  </si>
  <si>
    <t>101060999</t>
  </si>
  <si>
    <t>其他转让所得</t>
  </si>
  <si>
    <t>101061000</t>
  </si>
  <si>
    <t>偶然所得</t>
  </si>
  <si>
    <t>101061100</t>
  </si>
  <si>
    <t>101069901</t>
  </si>
  <si>
    <t>101069902</t>
  </si>
  <si>
    <t>101070100</t>
  </si>
  <si>
    <t>101070200</t>
  </si>
  <si>
    <t>101070303</t>
  </si>
  <si>
    <t>101070304</t>
  </si>
  <si>
    <t>洗选煤</t>
  </si>
  <si>
    <t>101070401</t>
  </si>
  <si>
    <t>玉石</t>
  </si>
  <si>
    <t>101070402</t>
  </si>
  <si>
    <t>硅藻土</t>
  </si>
  <si>
    <t>101070403</t>
  </si>
  <si>
    <t>高铝粘土</t>
  </si>
  <si>
    <t>101070404</t>
  </si>
  <si>
    <t>焦宝石</t>
  </si>
  <si>
    <t>101070405</t>
  </si>
  <si>
    <t>萤石</t>
  </si>
  <si>
    <t>101070406</t>
  </si>
  <si>
    <t>磷矿石</t>
  </si>
  <si>
    <t>101070407</t>
  </si>
  <si>
    <t>膨润土</t>
  </si>
  <si>
    <t>101070408</t>
  </si>
  <si>
    <t>沸石</t>
  </si>
  <si>
    <t>101070409</t>
  </si>
  <si>
    <t>珍珠岩</t>
  </si>
  <si>
    <t>101070410</t>
  </si>
  <si>
    <t>宝石</t>
  </si>
  <si>
    <t>101070411</t>
  </si>
  <si>
    <t>宝石级金刚石</t>
  </si>
  <si>
    <t>101070412</t>
  </si>
  <si>
    <t>耐火粘土</t>
  </si>
  <si>
    <t>101070413</t>
  </si>
  <si>
    <t>石墨</t>
  </si>
  <si>
    <t>101070414</t>
  </si>
  <si>
    <t>石英砂</t>
  </si>
  <si>
    <t>101070415</t>
  </si>
  <si>
    <t>重晶石</t>
  </si>
  <si>
    <t>101070416</t>
  </si>
  <si>
    <t>毒重石</t>
  </si>
  <si>
    <t>101070417</t>
  </si>
  <si>
    <t>蛭石</t>
  </si>
  <si>
    <t>101070418</t>
  </si>
  <si>
    <t>长石</t>
  </si>
  <si>
    <t>101070419</t>
  </si>
  <si>
    <t>滑石</t>
  </si>
  <si>
    <t>101070420</t>
  </si>
  <si>
    <t>白云石</t>
  </si>
  <si>
    <t>101070421</t>
  </si>
  <si>
    <t>硅灰石</t>
  </si>
  <si>
    <t>101070422</t>
  </si>
  <si>
    <t>凹凸棒石粘土</t>
  </si>
  <si>
    <t>101070423</t>
  </si>
  <si>
    <t>高岭土（瓷土）</t>
  </si>
  <si>
    <t>101070424</t>
  </si>
  <si>
    <t>云母</t>
  </si>
  <si>
    <t>101070425</t>
  </si>
  <si>
    <t>菱镁矿</t>
  </si>
  <si>
    <t>101070426</t>
  </si>
  <si>
    <t>天然碱</t>
  </si>
  <si>
    <t>101070427</t>
  </si>
  <si>
    <t>石膏</t>
  </si>
  <si>
    <t>101070428</t>
  </si>
  <si>
    <t>硅线石</t>
  </si>
  <si>
    <t>101070429</t>
  </si>
  <si>
    <t>工业用金刚石</t>
  </si>
  <si>
    <t>101070430</t>
  </si>
  <si>
    <t>一等石棉</t>
  </si>
  <si>
    <t>101070431</t>
  </si>
  <si>
    <t>二等石棉</t>
  </si>
  <si>
    <t>101070432</t>
  </si>
  <si>
    <t>三等石棉</t>
  </si>
  <si>
    <t>101070433</t>
  </si>
  <si>
    <t>四等石棉</t>
  </si>
  <si>
    <t>101070434</t>
  </si>
  <si>
    <t>五等石棉</t>
  </si>
  <si>
    <t>101070435</t>
  </si>
  <si>
    <t>六等石棉</t>
  </si>
  <si>
    <t>101070436</t>
  </si>
  <si>
    <t>硫铁矿</t>
  </si>
  <si>
    <t>101070437</t>
  </si>
  <si>
    <t>自然硫</t>
  </si>
  <si>
    <t>101070438</t>
  </si>
  <si>
    <t>磷铁矿</t>
  </si>
  <si>
    <t>101070439</t>
  </si>
  <si>
    <t>石灰石</t>
  </si>
  <si>
    <t>101070440</t>
  </si>
  <si>
    <t>矿泉水、地下水</t>
  </si>
  <si>
    <t>101070499</t>
  </si>
  <si>
    <t>其他未列名非金属矿原矿</t>
  </si>
  <si>
    <t>101070501</t>
  </si>
  <si>
    <t>一等铁矿石（重点矿山入选露天矿）</t>
  </si>
  <si>
    <t>101070502</t>
  </si>
  <si>
    <t>二等铁矿石（重点矿山入选露天矿）</t>
  </si>
  <si>
    <t>101070503</t>
  </si>
  <si>
    <t>三等铁矿石（重点矿山入选露天矿）</t>
  </si>
  <si>
    <t>101070504</t>
  </si>
  <si>
    <t>四等铁矿石（重点矿山入选露天矿）</t>
  </si>
  <si>
    <t>101070505</t>
  </si>
  <si>
    <t>五等铁矿石（重点矿山入选露天矿）</t>
  </si>
  <si>
    <t>101070506</t>
  </si>
  <si>
    <t>六等铁矿石（重点矿山入选露天矿）</t>
  </si>
  <si>
    <t>101070507</t>
  </si>
  <si>
    <t>二等铁矿石（重点矿山入选地下矿）</t>
  </si>
  <si>
    <t>101070508</t>
  </si>
  <si>
    <t>三等铁矿石（重点矿山入选地下矿）</t>
  </si>
  <si>
    <t>101070509</t>
  </si>
  <si>
    <t>四等铁矿石（重点矿山入选地下矿）</t>
  </si>
  <si>
    <t>101070510</t>
  </si>
  <si>
    <t>五等铁矿石（重点矿山入选地下矿）</t>
  </si>
  <si>
    <t>101070511</t>
  </si>
  <si>
    <t>六等铁矿石（重点矿山入选地下矿）</t>
  </si>
  <si>
    <t>101070512</t>
  </si>
  <si>
    <t>一等铁矿石（重点矿山入炉露天矿）</t>
  </si>
  <si>
    <t>101070513</t>
  </si>
  <si>
    <t>二等铁矿石（重点矿山入炉露天矿）</t>
  </si>
  <si>
    <t>101070514</t>
  </si>
  <si>
    <t>三等铁矿石（重点矿山入炉天矿）</t>
  </si>
  <si>
    <t>101070515</t>
  </si>
  <si>
    <t>四等铁矿石（重点矿山入炉露天矿）</t>
  </si>
  <si>
    <t>101070516</t>
  </si>
  <si>
    <t>二等铁矿石（重点矿山入炉地下矿）</t>
  </si>
  <si>
    <t>101070517</t>
  </si>
  <si>
    <t>三等铁矿石（重点矿山入炉地下矿）</t>
  </si>
  <si>
    <t>101070518</t>
  </si>
  <si>
    <t>四等铁矿石（重点矿山入炉地下矿）</t>
  </si>
  <si>
    <t>101070519</t>
  </si>
  <si>
    <t>二等铁矿石（非重点矿山入选露天矿）</t>
  </si>
  <si>
    <t>101070520</t>
  </si>
  <si>
    <t>四等铁矿石（非重点矿山入选露天矿）</t>
  </si>
  <si>
    <t>101070521</t>
  </si>
  <si>
    <t>五等铁矿石（非重点矿山入选露天矿）</t>
  </si>
  <si>
    <t>101070522</t>
  </si>
  <si>
    <t>六等铁矿石（非重点矿山入选露天矿）</t>
  </si>
  <si>
    <t>101070523</t>
  </si>
  <si>
    <t>三等铁矿石（非重点矿山入选地下矿）</t>
  </si>
  <si>
    <t>101070524</t>
  </si>
  <si>
    <t>四等铁矿石（非重点矿山入选地下矿）</t>
  </si>
  <si>
    <t>101070525</t>
  </si>
  <si>
    <t>五等铁矿石（非重点矿山入选地下矿）</t>
  </si>
  <si>
    <t>101070526</t>
  </si>
  <si>
    <t>六等铁矿石（非重点矿山入选地下矿）</t>
  </si>
  <si>
    <t>101070527</t>
  </si>
  <si>
    <t>二等铁矿石（非重点矿山入炉露天矿）</t>
  </si>
  <si>
    <t>101070528</t>
  </si>
  <si>
    <t>三等铁矿石（非重点矿山入炉露天矿）</t>
  </si>
  <si>
    <t>101070529</t>
  </si>
  <si>
    <t>四等铁矿石（非重点矿山入炉露天矿）</t>
  </si>
  <si>
    <t>101070530</t>
  </si>
  <si>
    <t>三等铁矿石（非重点矿山入炉地下矿）</t>
  </si>
  <si>
    <t>101070531</t>
  </si>
  <si>
    <t>四等铁矿石（非重点矿山入炉地下矿）</t>
  </si>
  <si>
    <t>101070532</t>
  </si>
  <si>
    <t>锰矿石</t>
  </si>
  <si>
    <t>101070533</t>
  </si>
  <si>
    <t>铬矿石</t>
  </si>
  <si>
    <t>101070601</t>
  </si>
  <si>
    <t>轻稀土矿</t>
  </si>
  <si>
    <t>101070602</t>
  </si>
  <si>
    <t>中重稀土矿</t>
  </si>
  <si>
    <t>101070603</t>
  </si>
  <si>
    <t>一等铜矿石</t>
  </si>
  <si>
    <t>101070604</t>
  </si>
  <si>
    <t>二等铜矿石</t>
  </si>
  <si>
    <t>101070605</t>
  </si>
  <si>
    <t>三等铜矿石</t>
  </si>
  <si>
    <t>101070606</t>
  </si>
  <si>
    <t>四等铜矿石</t>
  </si>
  <si>
    <t>101070607</t>
  </si>
  <si>
    <t>五等铜矿石</t>
  </si>
  <si>
    <t>101070608</t>
  </si>
  <si>
    <t>一等铅锌矿石</t>
  </si>
  <si>
    <t>101070609</t>
  </si>
  <si>
    <t>二等铅锌矿石</t>
  </si>
  <si>
    <t>101070610</t>
  </si>
  <si>
    <t>三等铅锌矿石</t>
  </si>
  <si>
    <t>101070611</t>
  </si>
  <si>
    <t>四等铅锌矿石</t>
  </si>
  <si>
    <t>101070612</t>
  </si>
  <si>
    <t>五等铅锌矿石</t>
  </si>
  <si>
    <t>101070613</t>
  </si>
  <si>
    <t>三等铝土矿</t>
  </si>
  <si>
    <t>101070614</t>
  </si>
  <si>
    <t>三等钨矿石</t>
  </si>
  <si>
    <t>101070615</t>
  </si>
  <si>
    <t>四等钨矿石</t>
  </si>
  <si>
    <t>101070616</t>
  </si>
  <si>
    <t>五等钨矿石</t>
  </si>
  <si>
    <t>101070617</t>
  </si>
  <si>
    <t>一等锡矿石</t>
  </si>
  <si>
    <t>101070618</t>
  </si>
  <si>
    <t>二等锡矿石</t>
  </si>
  <si>
    <t>101070619</t>
  </si>
  <si>
    <t>三等锡矿石</t>
  </si>
  <si>
    <t>101070620</t>
  </si>
  <si>
    <t>四等锡矿石</t>
  </si>
  <si>
    <t>101070621</t>
  </si>
  <si>
    <t>五等锡矿石</t>
  </si>
  <si>
    <t>101070622</t>
  </si>
  <si>
    <t>一等锑矿石</t>
  </si>
  <si>
    <t>101070623</t>
  </si>
  <si>
    <t>二等锑矿石</t>
  </si>
  <si>
    <t>101070624</t>
  </si>
  <si>
    <t>三等锑矿石</t>
  </si>
  <si>
    <t>101070625</t>
  </si>
  <si>
    <t>四等锑矿石</t>
  </si>
  <si>
    <t>101070626</t>
  </si>
  <si>
    <t>五等锑矿石</t>
  </si>
  <si>
    <t>101070627</t>
  </si>
  <si>
    <t>一等钼矿石</t>
  </si>
  <si>
    <t>101070628</t>
  </si>
  <si>
    <t>二等钼矿石</t>
  </si>
  <si>
    <t>101070629</t>
  </si>
  <si>
    <t>三等钼矿石</t>
  </si>
  <si>
    <t>101070630</t>
  </si>
  <si>
    <t>四等钼矿石</t>
  </si>
  <si>
    <t>101070631</t>
  </si>
  <si>
    <t>五等钼矿石</t>
  </si>
  <si>
    <t>101070632</t>
  </si>
  <si>
    <t>二等镍矿石</t>
  </si>
  <si>
    <t>101070633</t>
  </si>
  <si>
    <t>三等镍矿石</t>
  </si>
  <si>
    <t>101070634</t>
  </si>
  <si>
    <t>四等镍矿石</t>
  </si>
  <si>
    <t>101070635</t>
  </si>
  <si>
    <t>五等镍矿石</t>
  </si>
  <si>
    <t>101070636</t>
  </si>
  <si>
    <t>一等岩金矿石</t>
  </si>
  <si>
    <t>101070637</t>
  </si>
  <si>
    <t>二等岩金矿</t>
  </si>
  <si>
    <t>101070638</t>
  </si>
  <si>
    <t>三等岩金矿石</t>
  </si>
  <si>
    <t>101070639</t>
  </si>
  <si>
    <t>四等岩金矿石</t>
  </si>
  <si>
    <t>101070640</t>
  </si>
  <si>
    <t>五等岩金矿石</t>
  </si>
  <si>
    <t>101070641</t>
  </si>
  <si>
    <t>六等岩金矿石</t>
  </si>
  <si>
    <t>101070642</t>
  </si>
  <si>
    <t>七等岩金矿石</t>
  </si>
  <si>
    <t>101070643</t>
  </si>
  <si>
    <t>一等砂金矿</t>
  </si>
  <si>
    <t>101070644</t>
  </si>
  <si>
    <t>二等砂金矿</t>
  </si>
  <si>
    <t>101070645</t>
  </si>
  <si>
    <t>三等砂金矿</t>
  </si>
  <si>
    <t>101070646</t>
  </si>
  <si>
    <t>四等砂金矿</t>
  </si>
  <si>
    <t>101070647</t>
  </si>
  <si>
    <t>五等砂金矿</t>
  </si>
  <si>
    <t>101070648</t>
  </si>
  <si>
    <t>钒矿石</t>
  </si>
  <si>
    <t>101070649</t>
  </si>
  <si>
    <t>钨矿</t>
  </si>
  <si>
    <t>101070650</t>
  </si>
  <si>
    <t>钼矿</t>
  </si>
  <si>
    <t>101070699</t>
  </si>
  <si>
    <t>其他未列名有色金属矿原矿</t>
  </si>
  <si>
    <t>101070701</t>
  </si>
  <si>
    <t>北方海盐</t>
  </si>
  <si>
    <t>101070702</t>
  </si>
  <si>
    <t>南方海盐</t>
  </si>
  <si>
    <t>101070703</t>
  </si>
  <si>
    <t>井矿盐</t>
  </si>
  <si>
    <t>101070704</t>
  </si>
  <si>
    <t>湖盐</t>
  </si>
  <si>
    <t>101070705</t>
  </si>
  <si>
    <t>液体盐</t>
  </si>
  <si>
    <t>101071101</t>
  </si>
  <si>
    <t>煤炭</t>
  </si>
  <si>
    <t>101071102</t>
  </si>
  <si>
    <t>101071103</t>
  </si>
  <si>
    <t>101071104</t>
  </si>
  <si>
    <t>煤层（成）气</t>
  </si>
  <si>
    <t>101071201</t>
  </si>
  <si>
    <t>地热</t>
  </si>
  <si>
    <t>101071202</t>
  </si>
  <si>
    <t>铀矿</t>
  </si>
  <si>
    <t>101071203</t>
  </si>
  <si>
    <t>油页岩</t>
  </si>
  <si>
    <t>101071204</t>
  </si>
  <si>
    <t>石煤</t>
  </si>
  <si>
    <t>101071299</t>
  </si>
  <si>
    <t>其他未列名能源矿</t>
  </si>
  <si>
    <t>101072101</t>
  </si>
  <si>
    <t>铁矿</t>
  </si>
  <si>
    <t>101072102</t>
  </si>
  <si>
    <t>金矿</t>
  </si>
  <si>
    <t>101072103</t>
  </si>
  <si>
    <t>铜矿</t>
  </si>
  <si>
    <t>101072104</t>
  </si>
  <si>
    <t>铝土矿</t>
  </si>
  <si>
    <t>101072105</t>
  </si>
  <si>
    <t>铅锌矿</t>
  </si>
  <si>
    <t>101072106</t>
  </si>
  <si>
    <t>镍矿</t>
  </si>
  <si>
    <t>101072107</t>
  </si>
  <si>
    <t>锡矿</t>
  </si>
  <si>
    <t>101072108</t>
  </si>
  <si>
    <t>101072109</t>
  </si>
  <si>
    <t>101072110</t>
  </si>
  <si>
    <t>101072111</t>
  </si>
  <si>
    <t>101072201</t>
  </si>
  <si>
    <t>锰矿</t>
  </si>
  <si>
    <t>101072202</t>
  </si>
  <si>
    <t>银矿</t>
  </si>
  <si>
    <t>101072203</t>
  </si>
  <si>
    <t>锑矿</t>
  </si>
  <si>
    <t>101072204</t>
  </si>
  <si>
    <t>汞锑矿</t>
  </si>
  <si>
    <t>101072205</t>
  </si>
  <si>
    <t>铬矿</t>
  </si>
  <si>
    <t>101072206</t>
  </si>
  <si>
    <t>锂矿</t>
  </si>
  <si>
    <t>101072207</t>
  </si>
  <si>
    <t>钒矿</t>
  </si>
  <si>
    <t>101072208</t>
  </si>
  <si>
    <t>锶矿</t>
  </si>
  <si>
    <t>101072209</t>
  </si>
  <si>
    <t>钛矿</t>
  </si>
  <si>
    <t>101072210</t>
  </si>
  <si>
    <t>铂矿</t>
  </si>
  <si>
    <t>101072211</t>
  </si>
  <si>
    <t>钛锆矿</t>
  </si>
  <si>
    <t>101072212</t>
  </si>
  <si>
    <t>钽铌矿</t>
  </si>
  <si>
    <t>101072213</t>
  </si>
  <si>
    <t>锗矿</t>
  </si>
  <si>
    <t>101072214</t>
  </si>
  <si>
    <t>铍矿</t>
  </si>
  <si>
    <t>101072215</t>
  </si>
  <si>
    <t>铁铜矿</t>
  </si>
  <si>
    <t>101072299</t>
  </si>
  <si>
    <t>其他未列名金属矿</t>
  </si>
  <si>
    <t>101073101</t>
  </si>
  <si>
    <t>101073102</t>
  </si>
  <si>
    <t>101073103</t>
  </si>
  <si>
    <t>高岭土</t>
  </si>
  <si>
    <t>101073104</t>
  </si>
  <si>
    <t>101073105</t>
  </si>
  <si>
    <t>101073106</t>
  </si>
  <si>
    <t>101073107</t>
  </si>
  <si>
    <t>磷矿</t>
  </si>
  <si>
    <t>101073108</t>
  </si>
  <si>
    <t>氯化钾</t>
  </si>
  <si>
    <t>101073109</t>
  </si>
  <si>
    <t>硫酸钾</t>
  </si>
  <si>
    <t>101073110</t>
  </si>
  <si>
    <t>粘土</t>
  </si>
  <si>
    <t>101073111</t>
  </si>
  <si>
    <t>砂石</t>
  </si>
  <si>
    <t>101073112</t>
  </si>
  <si>
    <t>101073113</t>
  </si>
  <si>
    <t>101073114</t>
  </si>
  <si>
    <t>海盐</t>
  </si>
  <si>
    <t>101073115</t>
  </si>
  <si>
    <t>提取地下卤水晒制的盐</t>
  </si>
  <si>
    <t>101073201</t>
  </si>
  <si>
    <t>矿泉水</t>
  </si>
  <si>
    <t>101073202</t>
  </si>
  <si>
    <t>理岩</t>
  </si>
  <si>
    <t>101073203</t>
  </si>
  <si>
    <t>花岗岩</t>
  </si>
  <si>
    <t>101073204</t>
  </si>
  <si>
    <t>101073205</t>
  </si>
  <si>
    <t>石英岩</t>
  </si>
  <si>
    <t>101073206</t>
  </si>
  <si>
    <t>白云岩</t>
  </si>
  <si>
    <t>101073207</t>
  </si>
  <si>
    <t>101073208</t>
  </si>
  <si>
    <t>101073209</t>
  </si>
  <si>
    <t>101073210</t>
  </si>
  <si>
    <t>101073211</t>
  </si>
  <si>
    <t>玄武岩</t>
  </si>
  <si>
    <t>101073212</t>
  </si>
  <si>
    <t>101073213</t>
  </si>
  <si>
    <t>101073214</t>
  </si>
  <si>
    <t>101073215</t>
  </si>
  <si>
    <t>101073216</t>
  </si>
  <si>
    <t>页岩</t>
  </si>
  <si>
    <t>101073217</t>
  </si>
  <si>
    <t>方解石</t>
  </si>
  <si>
    <t>101073218</t>
  </si>
  <si>
    <t>101073219</t>
  </si>
  <si>
    <t>天然卤水</t>
  </si>
  <si>
    <t>101073220</t>
  </si>
  <si>
    <t>101073221</t>
  </si>
  <si>
    <t>辉绿岩</t>
  </si>
  <si>
    <t>101073222</t>
  </si>
  <si>
    <t>芒硝</t>
  </si>
  <si>
    <t>101073223</t>
  </si>
  <si>
    <t>101073224</t>
  </si>
  <si>
    <t>101073225</t>
  </si>
  <si>
    <t>陶瓷土</t>
  </si>
  <si>
    <t>101073226</t>
  </si>
  <si>
    <t>石棉</t>
  </si>
  <si>
    <t>101073227</t>
  </si>
  <si>
    <t>安山岩</t>
  </si>
  <si>
    <t>101073228</t>
  </si>
  <si>
    <t>101073229</t>
  </si>
  <si>
    <t>矽线石</t>
  </si>
  <si>
    <t>101073230</t>
  </si>
  <si>
    <t>凝灰岩</t>
  </si>
  <si>
    <t>101073231</t>
  </si>
  <si>
    <t>砂岩</t>
  </si>
  <si>
    <t>101073232</t>
  </si>
  <si>
    <t>叶腊石</t>
  </si>
  <si>
    <t>101073233</t>
  </si>
  <si>
    <t>板岩</t>
  </si>
  <si>
    <t>101073234</t>
  </si>
  <si>
    <t>101073235</t>
  </si>
  <si>
    <t>101073236</t>
  </si>
  <si>
    <t>角闪岩</t>
  </si>
  <si>
    <t>101073237</t>
  </si>
  <si>
    <t>脉石英</t>
  </si>
  <si>
    <t>101073238</t>
  </si>
  <si>
    <t>蛇纹岩</t>
  </si>
  <si>
    <t>101073239</t>
  </si>
  <si>
    <t>101073240</t>
  </si>
  <si>
    <t>透辉石</t>
  </si>
  <si>
    <t>101073241</t>
  </si>
  <si>
    <t>101073242</t>
  </si>
  <si>
    <t>硼矿</t>
  </si>
  <si>
    <t>101073243</t>
  </si>
  <si>
    <t>101073244</t>
  </si>
  <si>
    <t>浮石</t>
  </si>
  <si>
    <t>101073245</t>
  </si>
  <si>
    <t>片麻岩</t>
  </si>
  <si>
    <t>101073246</t>
  </si>
  <si>
    <t>101073247</t>
  </si>
  <si>
    <t>麦饭石</t>
  </si>
  <si>
    <t>101073248</t>
  </si>
  <si>
    <t>泥炭</t>
  </si>
  <si>
    <t>101073249</t>
  </si>
  <si>
    <t>闪长岩</t>
  </si>
  <si>
    <t>101073250</t>
  </si>
  <si>
    <t>明矾石</t>
  </si>
  <si>
    <t>101073251</t>
  </si>
  <si>
    <t>石英砂岩</t>
  </si>
  <si>
    <t>101073252</t>
  </si>
  <si>
    <t>橄榄岩</t>
  </si>
  <si>
    <t>101073253</t>
  </si>
  <si>
    <t>红柱石</t>
  </si>
  <si>
    <t>101073254</t>
  </si>
  <si>
    <t>蓝晶石</t>
  </si>
  <si>
    <t>101073255</t>
  </si>
  <si>
    <t>冰洲石</t>
  </si>
  <si>
    <t>101073256</t>
  </si>
  <si>
    <t>二氧化碳</t>
  </si>
  <si>
    <t>101073257</t>
  </si>
  <si>
    <t>海泡石</t>
  </si>
  <si>
    <t>101073258</t>
  </si>
  <si>
    <t>黑矅岩</t>
  </si>
  <si>
    <t>101073259</t>
  </si>
  <si>
    <t>红粒石</t>
  </si>
  <si>
    <t>101073260</t>
  </si>
  <si>
    <t>灰岩</t>
  </si>
  <si>
    <t>101073261</t>
  </si>
  <si>
    <t>辉长岩</t>
  </si>
  <si>
    <t>101073262</t>
  </si>
  <si>
    <t>火山灰</t>
  </si>
  <si>
    <t>101073263</t>
  </si>
  <si>
    <t>金刚石</t>
  </si>
  <si>
    <t>101073264</t>
  </si>
  <si>
    <t>绿泥石</t>
  </si>
  <si>
    <t>101073265</t>
  </si>
  <si>
    <t>玛瑙</t>
  </si>
  <si>
    <t>101073266</t>
  </si>
  <si>
    <t>矸石</t>
  </si>
  <si>
    <t>101073267</t>
  </si>
  <si>
    <t>木纹石</t>
  </si>
  <si>
    <t>101073268</t>
  </si>
  <si>
    <t>钠硝石</t>
  </si>
  <si>
    <t>101073269</t>
  </si>
  <si>
    <t>片岩</t>
  </si>
  <si>
    <t>101073270</t>
  </si>
  <si>
    <t>佘太玉</t>
  </si>
  <si>
    <t>101073271</t>
  </si>
  <si>
    <t>砷矿</t>
  </si>
  <si>
    <t>101073272</t>
  </si>
  <si>
    <t>石榴子石</t>
  </si>
  <si>
    <t>101073273</t>
  </si>
  <si>
    <t>水晶</t>
  </si>
  <si>
    <t>101073274</t>
  </si>
  <si>
    <t>天然沥青矿</t>
  </si>
  <si>
    <t>101073275</t>
  </si>
  <si>
    <t>霞石正长岩</t>
  </si>
  <si>
    <t>101073276</t>
  </si>
  <si>
    <t>皂石</t>
  </si>
  <si>
    <t>101073277</t>
  </si>
  <si>
    <t>黑滑石</t>
  </si>
  <si>
    <t>101073278</t>
  </si>
  <si>
    <t>贺兰石</t>
  </si>
  <si>
    <t>101073279</t>
  </si>
  <si>
    <t>绿松石</t>
  </si>
  <si>
    <t>101073280</t>
  </si>
  <si>
    <t>叶蜡石</t>
  </si>
  <si>
    <t>101073281</t>
  </si>
  <si>
    <t>巴林石</t>
  </si>
  <si>
    <t>101073282</t>
  </si>
  <si>
    <t>火山石</t>
  </si>
  <si>
    <t>101073283</t>
  </si>
  <si>
    <t>黄龙玉</t>
  </si>
  <si>
    <t>101073284</t>
  </si>
  <si>
    <t>水镁</t>
  </si>
  <si>
    <t>101073285</t>
  </si>
  <si>
    <t>天然泉水</t>
  </si>
  <si>
    <t>101073299</t>
  </si>
  <si>
    <t>其他未列名非金属矿</t>
  </si>
  <si>
    <t>101079601</t>
  </si>
  <si>
    <t>停征品目1</t>
  </si>
  <si>
    <t>101079602</t>
  </si>
  <si>
    <t>停征品目2</t>
  </si>
  <si>
    <t>101079603</t>
  </si>
  <si>
    <t>停征品目3</t>
  </si>
  <si>
    <t>101079800</t>
  </si>
  <si>
    <t>101079901</t>
  </si>
  <si>
    <t>101079902</t>
  </si>
  <si>
    <t>101089901</t>
  </si>
  <si>
    <t>101089902</t>
  </si>
  <si>
    <t>101089903</t>
  </si>
  <si>
    <t>固定资产投资方向调节税停征品目</t>
  </si>
  <si>
    <t>101090101</t>
  </si>
  <si>
    <t>市区（增值税附征）</t>
  </si>
  <si>
    <t>101090102</t>
  </si>
  <si>
    <t>市区（营业税附征）</t>
  </si>
  <si>
    <t>101090103</t>
  </si>
  <si>
    <t>市区（消费税附征）</t>
  </si>
  <si>
    <t>101090201</t>
  </si>
  <si>
    <t>县城、镇（增值税附征）</t>
  </si>
  <si>
    <t>101090202</t>
  </si>
  <si>
    <t>县城、镇（营业税附征）</t>
  </si>
  <si>
    <t>101090203</t>
  </si>
  <si>
    <t>县城、镇（消费税附征）</t>
  </si>
  <si>
    <t>101090301</t>
  </si>
  <si>
    <t>非市区、县城、镇（增值税附征）</t>
  </si>
  <si>
    <t>101090302</t>
  </si>
  <si>
    <t>非市区、县城、镇（营业税附征）</t>
  </si>
  <si>
    <t>101090303</t>
  </si>
  <si>
    <t>非市区、县城、镇（消费税附征）</t>
  </si>
  <si>
    <t>101099901</t>
  </si>
  <si>
    <t>101099902</t>
  </si>
  <si>
    <t>101100700</t>
  </si>
  <si>
    <t>从价计征</t>
  </si>
  <si>
    <t>101100800</t>
  </si>
  <si>
    <t>从租计征</t>
  </si>
  <si>
    <t>101100900</t>
  </si>
  <si>
    <t>个人出租住房</t>
  </si>
  <si>
    <t>101109901</t>
  </si>
  <si>
    <t>101109902</t>
  </si>
  <si>
    <t>101110101</t>
  </si>
  <si>
    <t>购销合同</t>
  </si>
  <si>
    <t>101110102</t>
  </si>
  <si>
    <t>加工承揽合同</t>
  </si>
  <si>
    <t>101110103</t>
  </si>
  <si>
    <t>建设工程勘察设计合同</t>
  </si>
  <si>
    <t>101110104</t>
  </si>
  <si>
    <t>建筑安装工程承包合同</t>
  </si>
  <si>
    <t>101110105</t>
  </si>
  <si>
    <t>财产租赁合同</t>
  </si>
  <si>
    <t>101110106</t>
  </si>
  <si>
    <t>货物运输合同(按运输费用万分之五贴花)</t>
  </si>
  <si>
    <t>101110107</t>
  </si>
  <si>
    <t>仓储保管合同</t>
  </si>
  <si>
    <t>101110108</t>
  </si>
  <si>
    <t>借款合同</t>
  </si>
  <si>
    <t>101110109</t>
  </si>
  <si>
    <t>财产保险合同</t>
  </si>
  <si>
    <t>101110110</t>
  </si>
  <si>
    <t>技术合同</t>
  </si>
  <si>
    <t>101110200</t>
  </si>
  <si>
    <t>产权转移书据</t>
  </si>
  <si>
    <t>101110301</t>
  </si>
  <si>
    <t>A种股票</t>
  </si>
  <si>
    <t>101110302</t>
  </si>
  <si>
    <t>B种股票</t>
  </si>
  <si>
    <t>101110303</t>
  </si>
  <si>
    <t>非交易转让股票A种股票</t>
  </si>
  <si>
    <t>101110304</t>
  </si>
  <si>
    <t>非交易转让股票B种股票</t>
  </si>
  <si>
    <t>101110305</t>
  </si>
  <si>
    <t>无偿划拨国有股权的股数</t>
  </si>
  <si>
    <t>101110306</t>
  </si>
  <si>
    <t>社保基金证券交易A种股票印花税</t>
  </si>
  <si>
    <t>101110307</t>
  </si>
  <si>
    <t>社保基金证券交易B种股票印花税</t>
  </si>
  <si>
    <t>101110400</t>
  </si>
  <si>
    <t>权利、许可证照</t>
  </si>
  <si>
    <t>101110501</t>
  </si>
  <si>
    <t>资金账簿</t>
  </si>
  <si>
    <t>101110599</t>
  </si>
  <si>
    <t>其他营业账簿</t>
  </si>
  <si>
    <t>101119800</t>
  </si>
  <si>
    <t>其他凭证</t>
  </si>
  <si>
    <t>101119901</t>
  </si>
  <si>
    <t>101119902</t>
  </si>
  <si>
    <t>101119903</t>
  </si>
  <si>
    <t>101120101</t>
  </si>
  <si>
    <t>城市土地使用税等级1</t>
  </si>
  <si>
    <t>101120102</t>
  </si>
  <si>
    <t>城市土地使用税等级2</t>
  </si>
  <si>
    <t>101120103</t>
  </si>
  <si>
    <t>城市土地使用税等级3</t>
  </si>
  <si>
    <t>101120104</t>
  </si>
  <si>
    <t>城市土地使用税等级4</t>
  </si>
  <si>
    <t>101120105</t>
  </si>
  <si>
    <t>城市土地使用税等级5</t>
  </si>
  <si>
    <t>101120106</t>
  </si>
  <si>
    <t>城市土地使用税等级6</t>
  </si>
  <si>
    <t>101120107</t>
  </si>
  <si>
    <t>城市土地使用税等级7</t>
  </si>
  <si>
    <t>101120108</t>
  </si>
  <si>
    <t>城市土地使用税等级8</t>
  </si>
  <si>
    <t>101120109</t>
  </si>
  <si>
    <t>城市土地使用税等级9</t>
  </si>
  <si>
    <t>101120110</t>
  </si>
  <si>
    <t>城市土地使用税等级10</t>
  </si>
  <si>
    <t>101120111</t>
  </si>
  <si>
    <t>城市土地使用税等级11</t>
  </si>
  <si>
    <t>101120112</t>
  </si>
  <si>
    <t>城市土地使用税等级12</t>
  </si>
  <si>
    <t>101120113</t>
  </si>
  <si>
    <t>城市土地使用税等级13</t>
  </si>
  <si>
    <t>101120114</t>
  </si>
  <si>
    <t>城市土地使用税等级14</t>
  </si>
  <si>
    <t>101120115</t>
  </si>
  <si>
    <t>城市土地使用税等级15</t>
  </si>
  <si>
    <t>101120199</t>
  </si>
  <si>
    <t>城市其他等级</t>
  </si>
  <si>
    <t>101120201</t>
  </si>
  <si>
    <t>县城土地使用税等级1</t>
  </si>
  <si>
    <t>101120202</t>
  </si>
  <si>
    <t>县城土地使用税等级2</t>
  </si>
  <si>
    <t>101120203</t>
  </si>
  <si>
    <t>县城土地使用税等级3</t>
  </si>
  <si>
    <t>101120204</t>
  </si>
  <si>
    <t>县城土地使用税等级4</t>
  </si>
  <si>
    <t>101120205</t>
  </si>
  <si>
    <t>县城土地使用税等级5</t>
  </si>
  <si>
    <t>101120206</t>
  </si>
  <si>
    <t>县城土地使用税等级6</t>
  </si>
  <si>
    <t>101120207</t>
  </si>
  <si>
    <t>县城土地使用税等级7</t>
  </si>
  <si>
    <t>101120208</t>
  </si>
  <si>
    <t>县城土地使用税等级8</t>
  </si>
  <si>
    <t>101120209</t>
  </si>
  <si>
    <t>县城土地使用税等级9</t>
  </si>
  <si>
    <t>101120210</t>
  </si>
  <si>
    <t>县城土地使用税等级10</t>
  </si>
  <si>
    <t>101120211</t>
  </si>
  <si>
    <t>县城土地使用税等级11</t>
  </si>
  <si>
    <t>101120212</t>
  </si>
  <si>
    <t>县城土地使用税等级12</t>
  </si>
  <si>
    <t>101120213</t>
  </si>
  <si>
    <t>县城土地使用税等级13</t>
  </si>
  <si>
    <t>101120214</t>
  </si>
  <si>
    <t>县城土地使用税等级14</t>
  </si>
  <si>
    <t>101120215</t>
  </si>
  <si>
    <t>县城土地使用税等级15</t>
  </si>
  <si>
    <t>101120299</t>
  </si>
  <si>
    <t>县城其他等级</t>
  </si>
  <si>
    <t>101120301</t>
  </si>
  <si>
    <t>建制镇土地使用税等级1</t>
  </si>
  <si>
    <t>101120302</t>
  </si>
  <si>
    <t>建制镇土地使用税等级2</t>
  </si>
  <si>
    <t>101120303</t>
  </si>
  <si>
    <t>建制镇土地使用税等级3</t>
  </si>
  <si>
    <t>101120304</t>
  </si>
  <si>
    <t>建制镇土地使用税等级4</t>
  </si>
  <si>
    <t>101120305</t>
  </si>
  <si>
    <t>建制镇土地使用税等级5</t>
  </si>
  <si>
    <t>101120306</t>
  </si>
  <si>
    <t>建制镇土地使用税等级6</t>
  </si>
  <si>
    <t>101120307</t>
  </si>
  <si>
    <t>建制镇土地使用税等级7</t>
  </si>
  <si>
    <t>101120308</t>
  </si>
  <si>
    <t>建制镇土地使用税等级8</t>
  </si>
  <si>
    <t>101120309</t>
  </si>
  <si>
    <t>建制镇土地使用税等级9</t>
  </si>
  <si>
    <t>101120310</t>
  </si>
  <si>
    <t>建制镇土地使用税等级10</t>
  </si>
  <si>
    <t>101120311</t>
  </si>
  <si>
    <t>建制镇土地使用税等级11</t>
  </si>
  <si>
    <t>101120312</t>
  </si>
  <si>
    <t>建制镇土地使用税等级12</t>
  </si>
  <si>
    <t>101120313</t>
  </si>
  <si>
    <t>建制镇土地使用税等级13</t>
  </si>
  <si>
    <t>101120314</t>
  </si>
  <si>
    <t>建制镇土地使用税等级14</t>
  </si>
  <si>
    <t>101120315</t>
  </si>
  <si>
    <t>建制镇土地使用税等级15</t>
  </si>
  <si>
    <t>101120399</t>
  </si>
  <si>
    <t>建制镇其他等级</t>
  </si>
  <si>
    <t>101120401</t>
  </si>
  <si>
    <t>工矿区土地使用税等级1</t>
  </si>
  <si>
    <t>101120402</t>
  </si>
  <si>
    <t>工矿区土地使用税等级2</t>
  </si>
  <si>
    <t>101120403</t>
  </si>
  <si>
    <t>工矿区土地使用税等级3</t>
  </si>
  <si>
    <t>101120404</t>
  </si>
  <si>
    <t>工矿区土地使用税等级4</t>
  </si>
  <si>
    <t>101120405</t>
  </si>
  <si>
    <t>工矿区土地使用税等级5</t>
  </si>
  <si>
    <t>101120406</t>
  </si>
  <si>
    <t>工矿区土地使用税等级6</t>
  </si>
  <si>
    <t>101120407</t>
  </si>
  <si>
    <t>工矿区土地使用税等级7</t>
  </si>
  <si>
    <t>101120408</t>
  </si>
  <si>
    <t>工矿区土地使用税等级8</t>
  </si>
  <si>
    <t>101120409</t>
  </si>
  <si>
    <t>工矿区土地使用税等级9</t>
  </si>
  <si>
    <t>101120410</t>
  </si>
  <si>
    <t>工矿区土地使用税等级10</t>
  </si>
  <si>
    <t>101120411</t>
  </si>
  <si>
    <t>工矿区土地使用税等级11</t>
  </si>
  <si>
    <t>101120412</t>
  </si>
  <si>
    <t>工矿区土地使用税等级12</t>
  </si>
  <si>
    <t>101120413</t>
  </si>
  <si>
    <t>工矿区土地使用税等级13</t>
  </si>
  <si>
    <t>101120414</t>
  </si>
  <si>
    <t>工矿区土地使用税等级14</t>
  </si>
  <si>
    <t>101120415</t>
  </si>
  <si>
    <t>工矿区土地使用税等级15</t>
  </si>
  <si>
    <t>101120499</t>
  </si>
  <si>
    <t>工矿区其他等级</t>
  </si>
  <si>
    <t>101129901</t>
  </si>
  <si>
    <t>101129902</t>
  </si>
  <si>
    <t>101130500</t>
  </si>
  <si>
    <t>普通住宅</t>
  </si>
  <si>
    <t>101130501</t>
  </si>
  <si>
    <t>普通住宅（预征）</t>
  </si>
  <si>
    <t>101130502</t>
  </si>
  <si>
    <t>非普通住宅（预征）</t>
  </si>
  <si>
    <t>101130503</t>
  </si>
  <si>
    <t>其他类型房地产（预征）</t>
  </si>
  <si>
    <t>101130600</t>
  </si>
  <si>
    <t>非普通住宅</t>
  </si>
  <si>
    <t>101130601</t>
  </si>
  <si>
    <t>普通住宅（清算）</t>
  </si>
  <si>
    <t>101130602</t>
  </si>
  <si>
    <t>非普通住宅（清算）</t>
  </si>
  <si>
    <t>101130603</t>
  </si>
  <si>
    <t>其他类型房地产（清算）</t>
  </si>
  <si>
    <t>101130700</t>
  </si>
  <si>
    <t>旧房转让（非核定方式）</t>
  </si>
  <si>
    <t>101130801</t>
  </si>
  <si>
    <t>普通住宅（尾盘）</t>
  </si>
  <si>
    <t>101130802</t>
  </si>
  <si>
    <t>非普通住宅（尾盘）</t>
  </si>
  <si>
    <t>101130803</t>
  </si>
  <si>
    <t>其他类型房地产（尾盘）</t>
  </si>
  <si>
    <t>101130901</t>
  </si>
  <si>
    <t>普通住宅（核定）</t>
  </si>
  <si>
    <t>101130902</t>
  </si>
  <si>
    <t>非普通住宅（核定）</t>
  </si>
  <si>
    <t>101130903</t>
  </si>
  <si>
    <t>其他类型房地产（核定）</t>
  </si>
  <si>
    <t>101131000</t>
  </si>
  <si>
    <t>整体转让在建工程</t>
  </si>
  <si>
    <t>101131100</t>
  </si>
  <si>
    <t>旧房转让（核定方式）</t>
  </si>
  <si>
    <t>101139901</t>
  </si>
  <si>
    <t>101139902</t>
  </si>
  <si>
    <t>101140101</t>
  </si>
  <si>
    <t>101140102</t>
  </si>
  <si>
    <t>1.0升以上至1.6升(含)的乘用车</t>
  </si>
  <si>
    <t>101140103</t>
  </si>
  <si>
    <t>1.6升以上至2.0升(含)的乘用车</t>
  </si>
  <si>
    <t>101140104</t>
  </si>
  <si>
    <t>101140105</t>
  </si>
  <si>
    <t>101140106</t>
  </si>
  <si>
    <t>101140107</t>
  </si>
  <si>
    <t>101140211</t>
  </si>
  <si>
    <t>核定载客人数20人以下客车</t>
  </si>
  <si>
    <t>101140212</t>
  </si>
  <si>
    <t>核定载客人数20人（含）以上客车</t>
  </si>
  <si>
    <t>101140220</t>
  </si>
  <si>
    <t>货车</t>
  </si>
  <si>
    <t>101140300</t>
  </si>
  <si>
    <t>挂车</t>
  </si>
  <si>
    <t>101140400</t>
  </si>
  <si>
    <t>101140501</t>
  </si>
  <si>
    <t>专用作业车</t>
  </si>
  <si>
    <t>101140502</t>
  </si>
  <si>
    <t>轮式专用机械车</t>
  </si>
  <si>
    <t>101140610</t>
  </si>
  <si>
    <t>101140611</t>
  </si>
  <si>
    <t>净吨位小于或者等于200吨的机动船舶</t>
  </si>
  <si>
    <t>101140612</t>
  </si>
  <si>
    <t>净吨位201吨至2000吨的机动船舶</t>
  </si>
  <si>
    <t>101140613</t>
  </si>
  <si>
    <t>净吨位2001吨至10000吨的机动船舶</t>
  </si>
  <si>
    <t>101140614</t>
  </si>
  <si>
    <t>净吨位10001吨及以上的机动船舶</t>
  </si>
  <si>
    <t>101140620</t>
  </si>
  <si>
    <t>拖船、非机动驳船</t>
  </si>
  <si>
    <t>101140621</t>
  </si>
  <si>
    <t>净吨位不超过200吨的拖船、非机动驳船</t>
  </si>
  <si>
    <t>101140622</t>
  </si>
  <si>
    <t>净吨位超过200吨但不超过2000吨的拖船、非机动驳船</t>
  </si>
  <si>
    <t>101140623</t>
  </si>
  <si>
    <t>净吨位超过2000吨但不超过10000吨的拖船、非机动驳船</t>
  </si>
  <si>
    <t>101140624</t>
  </si>
  <si>
    <t>净吨位超过10000吨的拖船、机动驳船</t>
  </si>
  <si>
    <t>101140630</t>
  </si>
  <si>
    <t>101140631</t>
  </si>
  <si>
    <t>艇身长度不超过10米的游艇</t>
  </si>
  <si>
    <t>101140632</t>
  </si>
  <si>
    <t>艇身长度超过10米但不超过18米的游艇</t>
  </si>
  <si>
    <t>101140633</t>
  </si>
  <si>
    <t>艇身长度超过18米但不超过30米的游艇</t>
  </si>
  <si>
    <t>101140634</t>
  </si>
  <si>
    <t>艇身长度超过30米的游艇</t>
  </si>
  <si>
    <t>101140635</t>
  </si>
  <si>
    <t>辅助动力帆艇</t>
  </si>
  <si>
    <t>101149601</t>
  </si>
  <si>
    <t>101149901</t>
  </si>
  <si>
    <t>101149902</t>
  </si>
  <si>
    <t>101159901</t>
  </si>
  <si>
    <t>101159902</t>
  </si>
  <si>
    <t>101160000</t>
  </si>
  <si>
    <t>101169901</t>
  </si>
  <si>
    <t>101169902</t>
  </si>
  <si>
    <t>101180101</t>
  </si>
  <si>
    <t>耕地（基本农田）</t>
  </si>
  <si>
    <t>101180102</t>
  </si>
  <si>
    <t>耕地（非基本农田）</t>
  </si>
  <si>
    <t>101180200</t>
  </si>
  <si>
    <t>林地</t>
  </si>
  <si>
    <t>101180300</t>
  </si>
  <si>
    <t>牧草地</t>
  </si>
  <si>
    <t>101180400</t>
  </si>
  <si>
    <t>农田水利用地</t>
  </si>
  <si>
    <t>101180501</t>
  </si>
  <si>
    <t>养殖水面</t>
  </si>
  <si>
    <t>101180502</t>
  </si>
  <si>
    <t>渔业水域滩涂</t>
  </si>
  <si>
    <t>101180600</t>
  </si>
  <si>
    <t>园地</t>
  </si>
  <si>
    <t>101180700</t>
  </si>
  <si>
    <t>草地</t>
  </si>
  <si>
    <t>101180800</t>
  </si>
  <si>
    <t>苇田</t>
  </si>
  <si>
    <t>101189800</t>
  </si>
  <si>
    <t>其他农业用地</t>
  </si>
  <si>
    <t>101189901</t>
  </si>
  <si>
    <t>101189902</t>
  </si>
  <si>
    <t>101190101</t>
  </si>
  <si>
    <t>国有土地使用权出让契税</t>
  </si>
  <si>
    <t>101190102</t>
  </si>
  <si>
    <t>居住用地</t>
  </si>
  <si>
    <t>101190103</t>
  </si>
  <si>
    <t>商业用地</t>
  </si>
  <si>
    <t>101190104</t>
  </si>
  <si>
    <t>工业用地</t>
  </si>
  <si>
    <t>101190105</t>
  </si>
  <si>
    <t>综合用地</t>
  </si>
  <si>
    <t>101190190</t>
  </si>
  <si>
    <t>其他用地</t>
  </si>
  <si>
    <t>101190201</t>
  </si>
  <si>
    <t>土地使用权转让(出售、赠与和交换)契税</t>
  </si>
  <si>
    <t>101190211</t>
  </si>
  <si>
    <t>土地使用权出售（居住用地）</t>
  </si>
  <si>
    <t>101190212</t>
  </si>
  <si>
    <t>土地使用权出售（商业用地）</t>
  </si>
  <si>
    <t>101190213</t>
  </si>
  <si>
    <t>土地使用权出售（工业用地）</t>
  </si>
  <si>
    <t>101190214</t>
  </si>
  <si>
    <t>土地使用权出售（综合用地）</t>
  </si>
  <si>
    <t>101190219</t>
  </si>
  <si>
    <t>土地使用权出售（其他用地）</t>
  </si>
  <si>
    <t>101190221</t>
  </si>
  <si>
    <t>土地使用权赠与（居住用地）</t>
  </si>
  <si>
    <t>101190222</t>
  </si>
  <si>
    <t>土地使用权赠与（商业用地）</t>
  </si>
  <si>
    <t>101190223</t>
  </si>
  <si>
    <t>土地使用权赠与（工业用地）</t>
  </si>
  <si>
    <t>101190224</t>
  </si>
  <si>
    <t>土地使用权赠与（综合用地）</t>
  </si>
  <si>
    <t>101190229</t>
  </si>
  <si>
    <t>土地使用权赠与（其他用地）</t>
  </si>
  <si>
    <t>101190231</t>
  </si>
  <si>
    <t>土地使用权交换（居住用地）</t>
  </si>
  <si>
    <t>101190232</t>
  </si>
  <si>
    <t>土地使用权交换（商业用地）</t>
  </si>
  <si>
    <t>101190233</t>
  </si>
  <si>
    <t>土地使用权交换（工业用地）</t>
  </si>
  <si>
    <t>101190234</t>
  </si>
  <si>
    <t>土地使用权交换（综合用地）</t>
  </si>
  <si>
    <t>101190239</t>
  </si>
  <si>
    <t>土地使用权交换（其他用地）</t>
  </si>
  <si>
    <t>101190241</t>
  </si>
  <si>
    <t>土地使用权作价投资、入股（居住用地）</t>
  </si>
  <si>
    <t>101190242</t>
  </si>
  <si>
    <t>土地使用权作价投资、入股（商业用地）</t>
  </si>
  <si>
    <t>101190243</t>
  </si>
  <si>
    <t>土地使用权作价投资、入股（工业用地）</t>
  </si>
  <si>
    <t>101190244</t>
  </si>
  <si>
    <t>土地使用权作价投资、入股（综合用地）</t>
  </si>
  <si>
    <t>101190249</t>
  </si>
  <si>
    <t>土地使用权作价投资、入股（其他用地）</t>
  </si>
  <si>
    <t>101190301</t>
  </si>
  <si>
    <t>住房买卖</t>
  </si>
  <si>
    <t>101190302</t>
  </si>
  <si>
    <t>他房屋买卖</t>
  </si>
  <si>
    <t>101190303</t>
  </si>
  <si>
    <t>其他买卖</t>
  </si>
  <si>
    <t>101190401</t>
  </si>
  <si>
    <t>住房赠与</t>
  </si>
  <si>
    <t>101190402</t>
  </si>
  <si>
    <t>其他房屋赠与</t>
  </si>
  <si>
    <t>101190403</t>
  </si>
  <si>
    <t>其他赠与</t>
  </si>
  <si>
    <t>101190501</t>
  </si>
  <si>
    <t>住房交换</t>
  </si>
  <si>
    <t>101190502</t>
  </si>
  <si>
    <t>其他房屋交换</t>
  </si>
  <si>
    <t>101190503</t>
  </si>
  <si>
    <t>其他交换</t>
  </si>
  <si>
    <t>101191111</t>
  </si>
  <si>
    <t>增量房（商品住房买卖）</t>
  </si>
  <si>
    <t>101191112</t>
  </si>
  <si>
    <t>增量房（保障性住房买卖）</t>
  </si>
  <si>
    <t>101191119</t>
  </si>
  <si>
    <t>增量房（其他住房买卖）</t>
  </si>
  <si>
    <t>101191121</t>
  </si>
  <si>
    <t>增量房非住房买卖（商业）</t>
  </si>
  <si>
    <t>101191122</t>
  </si>
  <si>
    <t>增量房非住房买卖（办公）</t>
  </si>
  <si>
    <t>101191123</t>
  </si>
  <si>
    <t>增量房非住房买卖（商住）</t>
  </si>
  <si>
    <t>101191124</t>
  </si>
  <si>
    <t>增量房非住房买卖（附属建筑）</t>
  </si>
  <si>
    <t>101191125</t>
  </si>
  <si>
    <t>增量房非住房买卖（工业）</t>
  </si>
  <si>
    <t>101191129</t>
  </si>
  <si>
    <t>增量房非住房买卖（其他）</t>
  </si>
  <si>
    <t>101191211</t>
  </si>
  <si>
    <t>存量房（商品住房买卖）</t>
  </si>
  <si>
    <t>101191212</t>
  </si>
  <si>
    <t>存量房（保障性住房买卖）</t>
  </si>
  <si>
    <t>101191219</t>
  </si>
  <si>
    <t>存量房（其他住房买卖）</t>
  </si>
  <si>
    <t>101191221</t>
  </si>
  <si>
    <t>存量房非住房买卖（商业）</t>
  </si>
  <si>
    <t>101191222</t>
  </si>
  <si>
    <t>存量房非住房买卖（办公）</t>
  </si>
  <si>
    <t>101191223</t>
  </si>
  <si>
    <t>存量房非住房买卖（商住）</t>
  </si>
  <si>
    <t>101191224</t>
  </si>
  <si>
    <t>存量房非住房买卖（附属建筑）</t>
  </si>
  <si>
    <t>101191225</t>
  </si>
  <si>
    <t>存量房非住房买卖（工业）</t>
  </si>
  <si>
    <t>101191229</t>
  </si>
  <si>
    <t>存量房非住房买卖（其他）</t>
  </si>
  <si>
    <t>101192111</t>
  </si>
  <si>
    <t>增量房（商品住房赠与）</t>
  </si>
  <si>
    <t>101192112</t>
  </si>
  <si>
    <t>增量房（保障性住房赠与）</t>
  </si>
  <si>
    <t>101192119</t>
  </si>
  <si>
    <t>增量房（其他住房赠与）</t>
  </si>
  <si>
    <t>101192121</t>
  </si>
  <si>
    <t>增量房非住房赠与（商业）</t>
  </si>
  <si>
    <t>101192122</t>
  </si>
  <si>
    <t>增量房非住房赠与（办公）</t>
  </si>
  <si>
    <t>101192123</t>
  </si>
  <si>
    <t>增量房非住房赠与（商住）</t>
  </si>
  <si>
    <t>101192124</t>
  </si>
  <si>
    <t>增量房非住房赠与（附属建筑）</t>
  </si>
  <si>
    <t>101192125</t>
  </si>
  <si>
    <t>增量房非住房赠与（工业）</t>
  </si>
  <si>
    <t>101192129</t>
  </si>
  <si>
    <t>增量房非住房赠与（其他）</t>
  </si>
  <si>
    <t>101192211</t>
  </si>
  <si>
    <t>存量房（商品住房赠与）</t>
  </si>
  <si>
    <t>101192212</t>
  </si>
  <si>
    <t>存量房（保障性住房赠与）</t>
  </si>
  <si>
    <t>101192219</t>
  </si>
  <si>
    <t>存量房（其他住房赠与）</t>
  </si>
  <si>
    <t>101192221</t>
  </si>
  <si>
    <t>存量房非住房赠与（商业）</t>
  </si>
  <si>
    <t>101192222</t>
  </si>
  <si>
    <t>存量房非住房赠与（办公）</t>
  </si>
  <si>
    <t>101192223</t>
  </si>
  <si>
    <t>存量房非住房赠与（商住）</t>
  </si>
  <si>
    <t>101192224</t>
  </si>
  <si>
    <t>存量房非住房赠与（附属建筑）</t>
  </si>
  <si>
    <t>101192225</t>
  </si>
  <si>
    <t>存量房非住房赠与（工业）</t>
  </si>
  <si>
    <t>101192229</t>
  </si>
  <si>
    <t>存量房非住房赠与（其他）</t>
  </si>
  <si>
    <t>101193000</t>
  </si>
  <si>
    <t>房屋交换</t>
  </si>
  <si>
    <t>101194100</t>
  </si>
  <si>
    <t>住房作价入股</t>
  </si>
  <si>
    <t>101194201</t>
  </si>
  <si>
    <t>非住房作价入股（商业）</t>
  </si>
  <si>
    <t>101194202</t>
  </si>
  <si>
    <t>非住房作价入股（办公）</t>
  </si>
  <si>
    <t>101194203</t>
  </si>
  <si>
    <t>非住房作价入股（商住）</t>
  </si>
  <si>
    <t>101194204</t>
  </si>
  <si>
    <t>非住房作价入股（附属建筑）</t>
  </si>
  <si>
    <t>101194205</t>
  </si>
  <si>
    <t>非住房作价入股（工业）</t>
  </si>
  <si>
    <t>101194290</t>
  </si>
  <si>
    <t>非住房作价入股（其他）</t>
  </si>
  <si>
    <t>101195000</t>
  </si>
  <si>
    <t>房屋其他权属转移方式</t>
  </si>
  <si>
    <t>101199901</t>
  </si>
  <si>
    <t>101199902</t>
  </si>
  <si>
    <t>101200100</t>
  </si>
  <si>
    <t>晾晒烟叶</t>
  </si>
  <si>
    <t>101200200</t>
  </si>
  <si>
    <t>烤烟叶</t>
  </si>
  <si>
    <t>101209901</t>
  </si>
  <si>
    <t>101209902</t>
  </si>
  <si>
    <t>101259601</t>
  </si>
  <si>
    <t>屠宰税废止品目</t>
  </si>
  <si>
    <t>101999901</t>
  </si>
  <si>
    <t>101999902</t>
  </si>
  <si>
    <t>102011101</t>
  </si>
  <si>
    <t>职工基本养老保险(单位缴纳)</t>
  </si>
  <si>
    <t>102011102</t>
  </si>
  <si>
    <t>职工基本养老保险(个人缴纳)</t>
  </si>
  <si>
    <t>102011103</t>
  </si>
  <si>
    <t>职工基本养老保险(单位缴纳)利息</t>
  </si>
  <si>
    <t>102011104</t>
  </si>
  <si>
    <t>职工基本养老保险(个人缴纳)利息</t>
  </si>
  <si>
    <t>102011105</t>
  </si>
  <si>
    <t>职工基本养老保险(单位缴纳)滞纳金</t>
  </si>
  <si>
    <t>102011106</t>
  </si>
  <si>
    <t>职工基本养老保险(个人缴纳)滞纳金</t>
  </si>
  <si>
    <t>102011107</t>
  </si>
  <si>
    <t>职工基本养老保险罚款</t>
  </si>
  <si>
    <t>102011201</t>
  </si>
  <si>
    <t>个人身份基本养老保险</t>
  </si>
  <si>
    <t>102011202</t>
  </si>
  <si>
    <t>个人身份基本养老保险利息</t>
  </si>
  <si>
    <t>102011301</t>
  </si>
  <si>
    <t>机关事业单位人员养老保险(单位缴纳)</t>
  </si>
  <si>
    <t>102011302</t>
  </si>
  <si>
    <t>机关事业单位人员养老保险(个人缴纳)</t>
  </si>
  <si>
    <t>102011303</t>
  </si>
  <si>
    <t>机关事业单位人员养老保险(单位缴纳)利息</t>
  </si>
  <si>
    <t>102011304</t>
  </si>
  <si>
    <t>机关事业单位人员养老保险(个人缴纳)利息</t>
  </si>
  <si>
    <t>102011305</t>
  </si>
  <si>
    <t>机关事业单位人员养老保险(单位缴纳)滞纳金</t>
  </si>
  <si>
    <t>102011306</t>
  </si>
  <si>
    <t>机关事业单位人员养老保险(个人缴纳)滞纳金</t>
  </si>
  <si>
    <t>102011307</t>
  </si>
  <si>
    <t>机关事业单位人员养老保险罚款</t>
  </si>
  <si>
    <t>102011401</t>
  </si>
  <si>
    <t>新型农村社会养老保险</t>
  </si>
  <si>
    <t>102011402</t>
  </si>
  <si>
    <t>新型农村社会养老保险利息</t>
  </si>
  <si>
    <t>102011403</t>
  </si>
  <si>
    <t>新型农村社会养老保险滞纳金</t>
  </si>
  <si>
    <t>102011501</t>
  </si>
  <si>
    <t>城镇居民社会养老保险</t>
  </si>
  <si>
    <t>102011502</t>
  </si>
  <si>
    <t>城镇居民社会养老保险利息</t>
  </si>
  <si>
    <t>102011601</t>
  </si>
  <si>
    <t>超龄人员养老保险</t>
  </si>
  <si>
    <t>102011602</t>
  </si>
  <si>
    <t>超龄人员养老保险利息</t>
  </si>
  <si>
    <t>102011603</t>
  </si>
  <si>
    <t>超龄人员养老保险滞纳金</t>
  </si>
  <si>
    <t>102011701</t>
  </si>
  <si>
    <t>被征地农转非人员基本养老保险（单位缴纳）</t>
  </si>
  <si>
    <t>102011702</t>
  </si>
  <si>
    <t>被征地农转非人员基本养老保险（个人缴纳）</t>
  </si>
  <si>
    <t>102011703</t>
  </si>
  <si>
    <t>被征地农转非人员基本养老保险（单位缴纳）利息</t>
  </si>
  <si>
    <t>102011704</t>
  </si>
  <si>
    <t>被征地农转非人员基本养老保险（个人缴纳）利息</t>
  </si>
  <si>
    <t>102011705</t>
  </si>
  <si>
    <t>被征地农转非人员基本养老保险（单位缴纳）滞纳金</t>
  </si>
  <si>
    <t>102011706</t>
  </si>
  <si>
    <t>被征地农转非人员基本养老保险（个人缴纳）滞纳金</t>
  </si>
  <si>
    <t>102011801</t>
  </si>
  <si>
    <t>行业统筹企业基本养老保险（单位缴纳）</t>
  </si>
  <si>
    <t>102011802</t>
  </si>
  <si>
    <t>行业统筹企业基本养老保险（个人缴纳）</t>
  </si>
  <si>
    <t>102011803</t>
  </si>
  <si>
    <t>行业统筹企业基本养老保险（单位缴纳）利息</t>
  </si>
  <si>
    <t>102011804</t>
  </si>
  <si>
    <t>行业统筹企业基本养老保险（个人缴纳）利息</t>
  </si>
  <si>
    <t>102011805</t>
  </si>
  <si>
    <t>行业统筹企业基本养老保险（单位缴纳）滞纳金</t>
  </si>
  <si>
    <t>102011806</t>
  </si>
  <si>
    <t>行业统筹企业基本养老保险（个人缴纳）滞纳金</t>
  </si>
  <si>
    <t>102011807</t>
  </si>
  <si>
    <t>行业统筹企业基本养老保险罚款</t>
  </si>
  <si>
    <t>102011901</t>
  </si>
  <si>
    <t>机关事业单位职业年金（单位缴费）</t>
  </si>
  <si>
    <t>102011902</t>
  </si>
  <si>
    <t>机关事业单位职业年金（个人缴费）</t>
  </si>
  <si>
    <t>102011903</t>
  </si>
  <si>
    <t>机关事业单位职业年金缴费利息（单位）</t>
  </si>
  <si>
    <t>102011904</t>
  </si>
  <si>
    <t>机关事业单位职业年金缴费利息（个人）</t>
  </si>
  <si>
    <t>102011905</t>
  </si>
  <si>
    <t>机关事业单位职业年金缴费滞纳金（单位）</t>
  </si>
  <si>
    <t>102011906</t>
  </si>
  <si>
    <t>机关事业单位职业年金缴费滞纳金（个人）</t>
  </si>
  <si>
    <t>102019901</t>
  </si>
  <si>
    <t>养老保险职业年金</t>
  </si>
  <si>
    <t>102019903</t>
  </si>
  <si>
    <t>养老保险职业年金利息</t>
  </si>
  <si>
    <t>102019905</t>
  </si>
  <si>
    <t>养老保险职业年金滞纳金</t>
  </si>
  <si>
    <t>102019907</t>
  </si>
  <si>
    <t>养老保险职业年金罚款</t>
  </si>
  <si>
    <t>102019971</t>
  </si>
  <si>
    <t>其他养老保险</t>
  </si>
  <si>
    <t>102019973</t>
  </si>
  <si>
    <t>其他养老保险利息</t>
  </si>
  <si>
    <t>102019975</t>
  </si>
  <si>
    <t>其他养老保险滞纳金</t>
  </si>
  <si>
    <t>102019977</t>
  </si>
  <si>
    <t>其他养老保险罚款</t>
  </si>
  <si>
    <t>102020101</t>
  </si>
  <si>
    <t>失业保险(单位缴纳)</t>
  </si>
  <si>
    <t>102020102</t>
  </si>
  <si>
    <t>失业保险(个人缴纳)</t>
  </si>
  <si>
    <t>102020103</t>
  </si>
  <si>
    <t>失业保险(单位缴纳)利息</t>
  </si>
  <si>
    <t>102020104</t>
  </si>
  <si>
    <t>失业保险(个人缴纳)利息</t>
  </si>
  <si>
    <t>102020105</t>
  </si>
  <si>
    <t>失业保险(单位缴纳)滞纳金</t>
  </si>
  <si>
    <t>102020106</t>
  </si>
  <si>
    <t>失业保险(个人缴纳)滞纳金</t>
  </si>
  <si>
    <t>102020107</t>
  </si>
  <si>
    <t>失业保险罚款</t>
  </si>
  <si>
    <t>102029971</t>
  </si>
  <si>
    <t>其他失业保险</t>
  </si>
  <si>
    <t>102029973</t>
  </si>
  <si>
    <t>其他失业保险利息</t>
  </si>
  <si>
    <t>102029975</t>
  </si>
  <si>
    <t>其他失业保险滞纳金</t>
  </si>
  <si>
    <t>102029977</t>
  </si>
  <si>
    <t>其他失业保险罚款</t>
  </si>
  <si>
    <t>102031101</t>
  </si>
  <si>
    <t>职工基本医疗保险(单位缴纳)</t>
  </si>
  <si>
    <t>102031102</t>
  </si>
  <si>
    <t>职工基本医疗保险(个人缴纳)</t>
  </si>
  <si>
    <t>102031103</t>
  </si>
  <si>
    <t>职工基本医疗保险(单位缴纳)利息</t>
  </si>
  <si>
    <t>102031104</t>
  </si>
  <si>
    <t>职工基本医疗保险(个人缴纳)利息</t>
  </si>
  <si>
    <t>102031105</t>
  </si>
  <si>
    <t>职工基本医疗保险(单位缴纳)滞纳金</t>
  </si>
  <si>
    <t>102031106</t>
  </si>
  <si>
    <t>职工基本医疗保险(个人缴纳)滞纳金</t>
  </si>
  <si>
    <t>102031107</t>
  </si>
  <si>
    <t>职工基本医疗保险罚款</t>
  </si>
  <si>
    <t>102031201</t>
  </si>
  <si>
    <t>个人身份基本医疗保险</t>
  </si>
  <si>
    <t>102031202</t>
  </si>
  <si>
    <t>个人身份基本医疗保险利息</t>
  </si>
  <si>
    <t>102031301</t>
  </si>
  <si>
    <t>新型农村合作医疗</t>
  </si>
  <si>
    <t>102031302</t>
  </si>
  <si>
    <t>新型农村合作医疗利息</t>
  </si>
  <si>
    <t>102031501</t>
  </si>
  <si>
    <t>住院医疗保险</t>
  </si>
  <si>
    <t>102031502</t>
  </si>
  <si>
    <t>住院医疗保险利息</t>
  </si>
  <si>
    <t>102031503</t>
  </si>
  <si>
    <t>住院医疗保险滞纳金</t>
  </si>
  <si>
    <t>102031601</t>
  </si>
  <si>
    <t>职工大额医疗互助保险(单位缴纳)</t>
  </si>
  <si>
    <t>102031602</t>
  </si>
  <si>
    <t>职工大额医疗互助保险(个人缴纳)</t>
  </si>
  <si>
    <t>102031605</t>
  </si>
  <si>
    <t>职工大额医疗互助保险利息（单位）</t>
  </si>
  <si>
    <t>102031606</t>
  </si>
  <si>
    <t>职工大额医疗互助保险利息（个人）</t>
  </si>
  <si>
    <t>102031607</t>
  </si>
  <si>
    <t>职工大额医疗互助保险滞纳金（单位）</t>
  </si>
  <si>
    <t>102031608</t>
  </si>
  <si>
    <t>职工大额医疗互助保险滞纳金（个人）</t>
  </si>
  <si>
    <t>102031701</t>
  </si>
  <si>
    <t>个人身份职工大额医疗互助保险</t>
  </si>
  <si>
    <t>102031702</t>
  </si>
  <si>
    <t>个人身份职工大额医疗互助保险利息</t>
  </si>
  <si>
    <t>102031801</t>
  </si>
  <si>
    <t>单建统筹医疗保险</t>
  </si>
  <si>
    <t>102031802</t>
  </si>
  <si>
    <t>单建统筹医疗保险滞纳金</t>
  </si>
  <si>
    <t>102031803</t>
  </si>
  <si>
    <t>单建统筹医疗保利息</t>
  </si>
  <si>
    <t>102039901</t>
  </si>
  <si>
    <t>公务员医疗补助</t>
  </si>
  <si>
    <t>102039903</t>
  </si>
  <si>
    <t>公务员医疗补助利息</t>
  </si>
  <si>
    <t>102039904</t>
  </si>
  <si>
    <t>其他医疗保险滞纳金</t>
  </si>
  <si>
    <t>102039905</t>
  </si>
  <si>
    <t>公务员医疗补助滞纳金</t>
  </si>
  <si>
    <t>102039907</t>
  </si>
  <si>
    <t>公务员医疗补助罚款</t>
  </si>
  <si>
    <t>102039971</t>
  </si>
  <si>
    <t>其他医疗保险</t>
  </si>
  <si>
    <t>102039973</t>
  </si>
  <si>
    <t>其他医疗保险利息</t>
  </si>
  <si>
    <t>102039977</t>
  </si>
  <si>
    <t>其他医疗保险罚款</t>
  </si>
  <si>
    <t>102040101</t>
  </si>
  <si>
    <t>工伤保险</t>
  </si>
  <si>
    <t>102040102</t>
  </si>
  <si>
    <t>工伤保险利息</t>
  </si>
  <si>
    <t>102040103</t>
  </si>
  <si>
    <t>工伤保险滞纳金</t>
  </si>
  <si>
    <t>102040104</t>
  </si>
  <si>
    <t>工伤保险罚款</t>
  </si>
  <si>
    <t>102049900</t>
  </si>
  <si>
    <t>其他工伤保险</t>
  </si>
  <si>
    <t>102050101</t>
  </si>
  <si>
    <t>生育保险</t>
  </si>
  <si>
    <t>102050102</t>
  </si>
  <si>
    <t>生育保险利息</t>
  </si>
  <si>
    <t>102050103</t>
  </si>
  <si>
    <t>生育保险滞纳金</t>
  </si>
  <si>
    <t>102050104</t>
  </si>
  <si>
    <t>生育保险罚款</t>
  </si>
  <si>
    <t>102059900</t>
  </si>
  <si>
    <t>其他生育保险</t>
  </si>
  <si>
    <t>102070101</t>
  </si>
  <si>
    <t>城镇居民基本医疗保险</t>
  </si>
  <si>
    <t>102070102</t>
  </si>
  <si>
    <t>城镇居民基本医疗保险利息</t>
  </si>
  <si>
    <t>102100000</t>
  </si>
  <si>
    <t>102110101</t>
  </si>
  <si>
    <t>机关事业单位基本养老保险费收入（单位缴纳）</t>
  </si>
  <si>
    <t>102110102</t>
  </si>
  <si>
    <t>机关事业单位基本养老保险费收入（个人缴纳）</t>
  </si>
  <si>
    <t>102110103</t>
  </si>
  <si>
    <t>机关事业单位基本养老保险费收入（单位缴纳）利息</t>
  </si>
  <si>
    <t>102110104</t>
  </si>
  <si>
    <t>机关事业单位基本养老保险费收入（个人缴纳）利息</t>
  </si>
  <si>
    <t>102110105</t>
  </si>
  <si>
    <t>机关事业单位基本养老保险费收入（单位缴纳）滞纳金</t>
  </si>
  <si>
    <t>102110106</t>
  </si>
  <si>
    <t>机关事业单位基本养老保险费收入（个人缴纳）滞纳金</t>
  </si>
  <si>
    <t>102110107</t>
  </si>
  <si>
    <t>机关事业单位基本养老保险费收入罚款</t>
  </si>
  <si>
    <t>102112101</t>
  </si>
  <si>
    <t>102112102</t>
  </si>
  <si>
    <t>102112103</t>
  </si>
  <si>
    <t>102112104</t>
  </si>
  <si>
    <t>102112105</t>
  </si>
  <si>
    <t>102112106</t>
  </si>
  <si>
    <t>102119900</t>
  </si>
  <si>
    <t>其他机关事业单位基本养老保险基金收入</t>
  </si>
  <si>
    <t>102910001</t>
  </si>
  <si>
    <t>102910002</t>
  </si>
  <si>
    <t>102910003</t>
  </si>
  <si>
    <t>102910004</t>
  </si>
  <si>
    <t>102910005</t>
  </si>
  <si>
    <t>102910006</t>
  </si>
  <si>
    <t>102990501</t>
  </si>
  <si>
    <t>离休干部医药费统筹</t>
  </si>
  <si>
    <t>102990502</t>
  </si>
  <si>
    <t>离休干部医药费统筹滞纳金</t>
  </si>
  <si>
    <t>102990503</t>
  </si>
  <si>
    <t>离休干部医药费统筹罚款</t>
  </si>
  <si>
    <t>102990591</t>
  </si>
  <si>
    <t>地方性社会保险基金</t>
  </si>
  <si>
    <t>102990592</t>
  </si>
  <si>
    <t>102990593</t>
  </si>
  <si>
    <t>301440101</t>
  </si>
  <si>
    <t>301500100</t>
  </si>
  <si>
    <t>中央大中型水库库区基金</t>
  </si>
  <si>
    <t>301500200</t>
  </si>
  <si>
    <t>地方大中型水库库区基金</t>
  </si>
  <si>
    <t>301509800</t>
  </si>
  <si>
    <t>大中型水库库区基金滞纳金</t>
  </si>
  <si>
    <t>301580100</t>
  </si>
  <si>
    <t>南水北调工程建设资金</t>
  </si>
  <si>
    <t>301580200</t>
  </si>
  <si>
    <t>三峡工程后续工作资金</t>
  </si>
  <si>
    <t>301580300</t>
  </si>
  <si>
    <t>省级重大水利工程建设资金</t>
  </si>
  <si>
    <t>301589901</t>
  </si>
  <si>
    <t>301589902</t>
  </si>
  <si>
    <t>301750100</t>
  </si>
  <si>
    <t>电视机</t>
  </si>
  <si>
    <t>301750200</t>
  </si>
  <si>
    <t>电冰箱</t>
  </si>
  <si>
    <t>301750300</t>
  </si>
  <si>
    <t>洗衣机</t>
  </si>
  <si>
    <t>301750400</t>
  </si>
  <si>
    <t>空气调节器</t>
  </si>
  <si>
    <t>301750500</t>
  </si>
  <si>
    <t>微型计算机</t>
  </si>
  <si>
    <t>301759901</t>
  </si>
  <si>
    <t>基金滞纳金</t>
  </si>
  <si>
    <t>301759902</t>
  </si>
  <si>
    <t>基金罚款</t>
  </si>
  <si>
    <t>301760101</t>
  </si>
  <si>
    <t>301769901</t>
  </si>
  <si>
    <t>301769902</t>
  </si>
  <si>
    <t>301990100</t>
  </si>
  <si>
    <t>煤炭价格调节基金</t>
  </si>
  <si>
    <t>301990200</t>
  </si>
  <si>
    <t>价格调节基金</t>
  </si>
  <si>
    <t>301990300</t>
  </si>
  <si>
    <t>散装水泥专项资金</t>
  </si>
  <si>
    <t>301998101</t>
  </si>
  <si>
    <t>价格调节基金（增值税附征）</t>
  </si>
  <si>
    <t>301998102</t>
  </si>
  <si>
    <t>价格调节基金（营业税附征）</t>
  </si>
  <si>
    <t>301998103</t>
  </si>
  <si>
    <t>价格调节基金（消费税附征）</t>
  </si>
  <si>
    <t>301999800</t>
  </si>
  <si>
    <t>302010100</t>
  </si>
  <si>
    <t>污水排污费</t>
  </si>
  <si>
    <t>302010200</t>
  </si>
  <si>
    <t>污水超标准排污费</t>
  </si>
  <si>
    <t>302010300</t>
  </si>
  <si>
    <t>废气排污费</t>
  </si>
  <si>
    <t>302010400</t>
  </si>
  <si>
    <t>噪声超标准排污费</t>
  </si>
  <si>
    <t>302010500</t>
  </si>
  <si>
    <t>固体废物排污费</t>
  </si>
  <si>
    <t>302010600</t>
  </si>
  <si>
    <t>危险废物排污费</t>
  </si>
  <si>
    <t>302019901</t>
  </si>
  <si>
    <t>302019902</t>
  </si>
  <si>
    <t>302020100</t>
  </si>
  <si>
    <t>302020900</t>
  </si>
  <si>
    <t>302030100</t>
  </si>
  <si>
    <t>增值税教育费附加</t>
  </si>
  <si>
    <t>302030200</t>
  </si>
  <si>
    <t>营业税教育费附加</t>
  </si>
  <si>
    <t>302030300</t>
  </si>
  <si>
    <t>消费税教育费附加</t>
  </si>
  <si>
    <t>302039900</t>
  </si>
  <si>
    <t>滞纳金、罚款</t>
  </si>
  <si>
    <t>302039901</t>
  </si>
  <si>
    <t>302039902</t>
  </si>
  <si>
    <t>302160100</t>
  </si>
  <si>
    <t>增值税地方教育附加</t>
  </si>
  <si>
    <t>302160200</t>
  </si>
  <si>
    <t>营业税地方教育附加</t>
  </si>
  <si>
    <t>302160300</t>
  </si>
  <si>
    <t>消费税地方教育附加</t>
  </si>
  <si>
    <t>302169901</t>
  </si>
  <si>
    <t>302169902</t>
  </si>
  <si>
    <t>302170100</t>
  </si>
  <si>
    <t>娱乐业文化事业建设费</t>
  </si>
  <si>
    <t>302170200</t>
  </si>
  <si>
    <t>广告业文化事业建设费</t>
  </si>
  <si>
    <t>302179901</t>
  </si>
  <si>
    <t>302179902</t>
  </si>
  <si>
    <t>302180100</t>
  </si>
  <si>
    <t>302189800</t>
  </si>
  <si>
    <t>残疾人就业保障金滞纳金</t>
  </si>
  <si>
    <t>302210100</t>
  </si>
  <si>
    <t>中央水利建设基金划转收入</t>
  </si>
  <si>
    <t>302210200</t>
  </si>
  <si>
    <t>中央其他水利建设基金</t>
  </si>
  <si>
    <t>302210300</t>
  </si>
  <si>
    <t>地方水利建设基金划转收入</t>
  </si>
  <si>
    <t>302210400</t>
  </si>
  <si>
    <t>地方水利建设基金</t>
  </si>
  <si>
    <t>302218101</t>
  </si>
  <si>
    <t>地方水利建设基金（增值税附征）</t>
  </si>
  <si>
    <t>302218102</t>
  </si>
  <si>
    <t>地方水利建设基金（营业税附征）</t>
  </si>
  <si>
    <t>302218103</t>
  </si>
  <si>
    <t>地方水利建设基金（消费税附征）</t>
  </si>
  <si>
    <t>302219901</t>
  </si>
  <si>
    <t>水建设专项收入滞纳金</t>
  </si>
  <si>
    <t>302219902</t>
  </si>
  <si>
    <t>水利建设专项收入罚款</t>
  </si>
  <si>
    <t>302990100</t>
  </si>
  <si>
    <t>广告收入</t>
  </si>
  <si>
    <t>302990200</t>
  </si>
  <si>
    <t>城市生活垃圾处置费</t>
  </si>
  <si>
    <t>302990300</t>
  </si>
  <si>
    <t>原生矿产品生态补偿费</t>
  </si>
  <si>
    <t>302999901</t>
  </si>
  <si>
    <t>其他专项收入滞纳金</t>
  </si>
  <si>
    <t>302999902</t>
  </si>
  <si>
    <t>其他专项收入罚款</t>
  </si>
  <si>
    <t>304075001</t>
  </si>
  <si>
    <t>车用天然气加价收入</t>
  </si>
  <si>
    <t>304080100</t>
  </si>
  <si>
    <t>增值税专用发票工本费收入</t>
  </si>
  <si>
    <t>304080200</t>
  </si>
  <si>
    <t>普通发票工本费收入</t>
  </si>
  <si>
    <t>304080300</t>
  </si>
  <si>
    <t>税务登记证工本费收入</t>
  </si>
  <si>
    <t>304320500</t>
  </si>
  <si>
    <t>土地闲置费</t>
  </si>
  <si>
    <t>304460201</t>
  </si>
  <si>
    <t>堤围防护费</t>
  </si>
  <si>
    <t>304460202</t>
  </si>
  <si>
    <t>河道工程修建维护费</t>
  </si>
  <si>
    <t>304468101</t>
  </si>
  <si>
    <t>河道工程修建维护管理费（增值税附征）</t>
  </si>
  <si>
    <t>304468102</t>
  </si>
  <si>
    <t>河道工程修建维护管理费（营业税附征）</t>
  </si>
  <si>
    <t>304468103</t>
  </si>
  <si>
    <t>河道工程修建维护管理费（消费税附征）</t>
  </si>
  <si>
    <t>304469901</t>
  </si>
  <si>
    <t>304469902</t>
  </si>
  <si>
    <t>304994901</t>
  </si>
  <si>
    <t>防洪工程维护费收入（增值税附征）</t>
  </si>
  <si>
    <t>304994902</t>
  </si>
  <si>
    <t>防洪工程维护费收入（消费税附征）</t>
  </si>
  <si>
    <t>304994903</t>
  </si>
  <si>
    <t>防洪工程维护费收入（营业税附征）</t>
  </si>
  <si>
    <t>305010100</t>
  </si>
  <si>
    <t>305010200</t>
  </si>
  <si>
    <t>加处罚款</t>
  </si>
  <si>
    <t>305010300</t>
  </si>
  <si>
    <t>没收违法所得</t>
  </si>
  <si>
    <t>305010400</t>
  </si>
  <si>
    <t>没收非法财物的拍卖款</t>
  </si>
  <si>
    <t>307010101</t>
  </si>
  <si>
    <t>海上原油级次一</t>
  </si>
  <si>
    <t>307010102</t>
  </si>
  <si>
    <t>海上原油级次二</t>
  </si>
  <si>
    <t>307010103</t>
  </si>
  <si>
    <t>海上原油级次三</t>
  </si>
  <si>
    <t>307010104</t>
  </si>
  <si>
    <t>海上原油级次四</t>
  </si>
  <si>
    <t>307010105</t>
  </si>
  <si>
    <t>海上原油级次五</t>
  </si>
  <si>
    <t>307010106</t>
  </si>
  <si>
    <t>海上原油级次六</t>
  </si>
  <si>
    <t>307010201</t>
  </si>
  <si>
    <t>海上天然气级次一</t>
  </si>
  <si>
    <t>307010202</t>
  </si>
  <si>
    <t>海上天然气级次二</t>
  </si>
  <si>
    <t>307010203</t>
  </si>
  <si>
    <t>海上天然气级次三</t>
  </si>
  <si>
    <t>307010204</t>
  </si>
  <si>
    <t>海上天然气级次四</t>
  </si>
  <si>
    <t>307019901</t>
  </si>
  <si>
    <t>307019902</t>
  </si>
  <si>
    <t>307020101</t>
  </si>
  <si>
    <t>陆上原油级次一</t>
  </si>
  <si>
    <t>307020102</t>
  </si>
  <si>
    <t>陆上原油级次二</t>
  </si>
  <si>
    <t>307020103</t>
  </si>
  <si>
    <t>陆上原油级次三</t>
  </si>
  <si>
    <t>307020104</t>
  </si>
  <si>
    <t>陆上原油级次四</t>
  </si>
  <si>
    <t>307020105</t>
  </si>
  <si>
    <t>陆上原油级次五</t>
  </si>
  <si>
    <t>307020106</t>
  </si>
  <si>
    <t>陆上原油级次六</t>
  </si>
  <si>
    <t>307020107</t>
  </si>
  <si>
    <t>陆上原油级次七</t>
  </si>
  <si>
    <t>307020108</t>
  </si>
  <si>
    <t>陆上原油级次八</t>
  </si>
  <si>
    <t>307020109</t>
  </si>
  <si>
    <t>陆上原油级次九</t>
  </si>
  <si>
    <t>307020201</t>
  </si>
  <si>
    <t>陆上天然气级次一</t>
  </si>
  <si>
    <t>307020202</t>
  </si>
  <si>
    <t>陆上天然气级次二</t>
  </si>
  <si>
    <t>307020203</t>
  </si>
  <si>
    <t>陆上天然气级次三</t>
  </si>
  <si>
    <t>307020204</t>
  </si>
  <si>
    <t>陆上天然气级次四</t>
  </si>
  <si>
    <t>307020205</t>
  </si>
  <si>
    <t>陆上天然气级次五</t>
  </si>
  <si>
    <t>307020206</t>
  </si>
  <si>
    <t>陆上天然气级次六</t>
  </si>
  <si>
    <t>307020207</t>
  </si>
  <si>
    <t>陆上天然气级次七</t>
  </si>
  <si>
    <t>307020208</t>
  </si>
  <si>
    <t>陆上天然气级次八</t>
  </si>
  <si>
    <t>307020209</t>
  </si>
  <si>
    <t>陆上天然气级次九</t>
  </si>
  <si>
    <t>307029901</t>
  </si>
  <si>
    <t>307029902</t>
  </si>
  <si>
    <t>307030100</t>
  </si>
  <si>
    <t>中央合资合作企业场地使用费收入</t>
  </si>
  <si>
    <t>307030200</t>
  </si>
  <si>
    <t>中央和地方合资合作企业场地使用费收入</t>
  </si>
  <si>
    <t>307030300</t>
  </si>
  <si>
    <t>地方合资合作企业场地使用费收入</t>
  </si>
  <si>
    <t>307030400</t>
  </si>
  <si>
    <t>港澳台和外商独资企业场地使用费收入</t>
  </si>
  <si>
    <t>307039901</t>
  </si>
  <si>
    <t>307039902</t>
  </si>
  <si>
    <t>307050200</t>
  </si>
  <si>
    <t>财政专户存款利息收入</t>
  </si>
  <si>
    <t>307059900</t>
  </si>
  <si>
    <t>其他利息收入</t>
  </si>
  <si>
    <t>307999901</t>
  </si>
  <si>
    <t>399001010</t>
  </si>
  <si>
    <t>399001020</t>
  </si>
  <si>
    <t>工会筹备金</t>
  </si>
  <si>
    <t>399001910</t>
  </si>
  <si>
    <t>399001920</t>
  </si>
  <si>
    <t>399002000</t>
  </si>
  <si>
    <t>违约金</t>
  </si>
  <si>
    <t>399009900</t>
  </si>
  <si>
    <t>减值准备审核表</t>
  </si>
  <si>
    <t>视同销售和房地产开发企业特定业务审核表</t>
  </si>
  <si>
    <t>未按权责发生制确认收入审核表</t>
  </si>
  <si>
    <t>投资收益审核表</t>
  </si>
  <si>
    <t>专项用途财政性资金审核表</t>
  </si>
  <si>
    <t>固定资产加速折旧审核表</t>
  </si>
  <si>
    <t>资产损失税前扣除审核表</t>
  </si>
  <si>
    <t>企业重组审核表</t>
  </si>
  <si>
    <t>政策性搬迁审核表</t>
  </si>
  <si>
    <t>特殊行业准备金审核表</t>
  </si>
  <si>
    <t>补亏</t>
  </si>
  <si>
    <t>免税、减计收入及加计扣除优惠审核表</t>
  </si>
  <si>
    <t>股息红利优惠审核表</t>
  </si>
  <si>
    <t>研发费用加计扣除优惠审核表</t>
  </si>
  <si>
    <t>所得减免优惠审核表</t>
  </si>
  <si>
    <t>抵扣应纳税所得额审核表</t>
  </si>
  <si>
    <t>减免所得税优惠审核表</t>
  </si>
  <si>
    <t>高新技术企业优惠情况审核表</t>
  </si>
  <si>
    <t>软件、集成电路企业优惠情况审核表</t>
  </si>
  <si>
    <t>税额抵免优惠审核表</t>
  </si>
  <si>
    <t>境外所得税收抵免审核表</t>
  </si>
  <si>
    <t>境外所得纳税调整后所得审核表</t>
  </si>
  <si>
    <t>境外分支机构弥补亏损审核表</t>
  </si>
  <si>
    <t>跨年度结转抵免境外所得税审核表</t>
  </si>
  <si>
    <t>跨地区经营汇总纳税企业年度分摊企业所得税审核表</t>
  </si>
  <si>
    <t>报告书编号：</t>
  </si>
  <si>
    <t>业务类别：</t>
  </si>
  <si>
    <t>工 作 底 稿 档 案</t>
  </si>
  <si>
    <r>
      <t xml:space="preserve">             档案编号:   </t>
    </r>
    <r>
      <rPr>
        <u/>
        <sz val="12"/>
        <rFont val="宋体"/>
        <family val="3"/>
        <charset val="134"/>
      </rPr>
      <t xml:space="preserve">                                        </t>
    </r>
  </si>
  <si>
    <t xml:space="preserve">             客户名称:</t>
  </si>
  <si>
    <t xml:space="preserve">             所属年度:</t>
  </si>
  <si>
    <t xml:space="preserve">             负 责 人:</t>
  </si>
  <si>
    <r>
      <t xml:space="preserve">             报告日期:</t>
    </r>
    <r>
      <rPr>
        <u/>
        <sz val="12"/>
        <rFont val="宋体"/>
        <family val="3"/>
        <charset val="134"/>
      </rPr>
      <t xml:space="preserve">                                   </t>
    </r>
  </si>
  <si>
    <r>
      <t xml:space="preserve">                             (共</t>
    </r>
    <r>
      <rPr>
        <u/>
        <sz val="12"/>
        <rFont val="宋体"/>
        <family val="3"/>
        <charset val="134"/>
      </rPr>
      <t xml:space="preserve">     </t>
    </r>
    <r>
      <rPr>
        <sz val="12"/>
        <rFont val="宋体"/>
        <family val="3"/>
        <charset val="134"/>
      </rPr>
      <t>卷,第</t>
    </r>
    <r>
      <rPr>
        <u/>
        <sz val="12"/>
        <rFont val="宋体"/>
        <family val="3"/>
        <charset val="134"/>
      </rPr>
      <t xml:space="preserve">      卷</t>
    </r>
    <r>
      <rPr>
        <sz val="12"/>
        <rFont val="宋体"/>
        <family val="3"/>
        <charset val="134"/>
      </rPr>
      <t xml:space="preserve">) </t>
    </r>
  </si>
  <si>
    <r>
      <t>归档日期:</t>
    </r>
    <r>
      <rPr>
        <u/>
        <sz val="12"/>
        <rFont val="宋体"/>
        <family val="3"/>
        <charset val="134"/>
      </rPr>
      <t xml:space="preserve">             </t>
    </r>
  </si>
  <si>
    <t>厦中汇税审（2018）第DS0001号</t>
    <phoneticPr fontId="128" type="noConversion"/>
  </si>
  <si>
    <t>视同销售和房地产开发企业
特定业务审核表</t>
    <phoneticPr fontId="1" type="noConversion"/>
  </si>
  <si>
    <t>广告费、
业务宣传费支出审核表</t>
    <phoneticPr fontId="13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</si>
</sst>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 #,##0.00_ ;_ * \-#,##0.00_ ;_ * &quot;-&quot;??_ ;_ @_ "/>
    <numFmt numFmtId="176" formatCode="_-* #,##0.00_-;\-* #,##0.00_-;_-* &quot;-&quot;??_-;_-@_-"/>
    <numFmt numFmtId="177" formatCode="#,##0.00_ "/>
    <numFmt numFmtId="178" formatCode="0_);[Red]\(0\)"/>
    <numFmt numFmtId="179" formatCode="General;General;;"/>
    <numFmt numFmtId="180" formatCode="mm&quot;月&quot;dd&quot;日&quot;;@"/>
    <numFmt numFmtId="181" formatCode="yyyy&quot;年&quot;mm&quot;月&quot;dd&quot;日&quot;;@"/>
    <numFmt numFmtId="182" formatCode="**;**;**;**"/>
    <numFmt numFmtId="183" formatCode="0_ "/>
    <numFmt numFmtId="184" formatCode="0.0000%"/>
    <numFmt numFmtId="185" formatCode="_ * #,##0.00_ ;_ * \-#,##0.00_ ;_ * \-??_ ;_ @_ "/>
    <numFmt numFmtId="186" formatCode="_-* #,##0.00_-;\-* #,##0.00_-;_-* \-??_-;_-@_-"/>
    <numFmt numFmtId="187" formatCode="_(* #,##0.00_);_(* \(#,##0.00\);_(* &quot;-&quot;??_);_(@_)"/>
    <numFmt numFmtId="188" formatCode="0.00_ "/>
    <numFmt numFmtId="189" formatCode="yyyy&quot;年&quot;m&quot;月&quot;d&quot;日&quot;;@"/>
    <numFmt numFmtId="190" formatCode="yyyy\-m\-d"/>
    <numFmt numFmtId="191" formatCode="_-* #,##0_-;\-* #,##0_-;_-* \-_-;_-@_-"/>
    <numFmt numFmtId="192" formatCode="_ * #,##0.00_ ;_ * \-#,##0.00_ ;_ * \-_ ;_ @_ "/>
    <numFmt numFmtId="193" formatCode="**"/>
    <numFmt numFmtId="194" formatCode="0.0%"/>
    <numFmt numFmtId="195" formatCode="0.00_);[Red]\(0.00\)"/>
    <numFmt numFmtId="196" formatCode="#,##0.0000000000_ "/>
    <numFmt numFmtId="197" formatCode="0.00000000%"/>
    <numFmt numFmtId="198" formatCode="[$-F800]dddd\,\ mmmm\ dd\,\ yyyy"/>
  </numFmts>
  <fonts count="254">
    <font>
      <sz val="10"/>
      <color theme="1"/>
      <name val="微软雅黑"/>
      <family val="2"/>
      <charset val="134"/>
    </font>
    <font>
      <sz val="9"/>
      <name val="宋体"/>
      <family val="3"/>
      <charset val="134"/>
    </font>
    <font>
      <sz val="10"/>
      <name val="宋体"/>
      <family val="3"/>
      <charset val="134"/>
    </font>
    <font>
      <b/>
      <sz val="20"/>
      <name val="宋体"/>
      <family val="3"/>
      <charset val="134"/>
    </font>
    <font>
      <sz val="9"/>
      <name val="宋体"/>
      <family val="3"/>
      <charset val="134"/>
    </font>
    <font>
      <b/>
      <sz val="22"/>
      <name val="宋体"/>
      <family val="3"/>
      <charset val="134"/>
    </font>
    <font>
      <b/>
      <sz val="18"/>
      <name val="宋体"/>
      <family val="3"/>
      <charset val="134"/>
    </font>
    <font>
      <sz val="12"/>
      <name val="宋体"/>
      <family val="3"/>
      <charset val="134"/>
    </font>
    <font>
      <b/>
      <sz val="14"/>
      <name val="宋体"/>
      <family val="3"/>
      <charset val="134"/>
    </font>
    <font>
      <u/>
      <sz val="12"/>
      <color indexed="12"/>
      <name val="宋体"/>
      <family val="3"/>
      <charset val="134"/>
    </font>
    <font>
      <u/>
      <sz val="10"/>
      <color indexed="12"/>
      <name val="宋体"/>
      <family val="3"/>
      <charset val="134"/>
    </font>
    <font>
      <sz val="14"/>
      <name val="宋体"/>
      <family val="3"/>
      <charset val="134"/>
    </font>
    <font>
      <sz val="12"/>
      <color indexed="8"/>
      <name val="宋体"/>
      <family val="3"/>
      <charset val="134"/>
    </font>
    <font>
      <sz val="9"/>
      <color indexed="81"/>
      <name val="宋体"/>
      <family val="3"/>
      <charset val="134"/>
    </font>
    <font>
      <b/>
      <sz val="10"/>
      <name val="宋体"/>
      <family val="3"/>
      <charset val="134"/>
    </font>
    <font>
      <b/>
      <sz val="12"/>
      <name val="宋体"/>
      <family val="3"/>
      <charset val="134"/>
    </font>
    <font>
      <b/>
      <sz val="10"/>
      <color indexed="81"/>
      <name val="Calibri"/>
      <family val="2"/>
    </font>
    <font>
      <sz val="10"/>
      <color indexed="81"/>
      <name val="Calibri"/>
      <family val="2"/>
    </font>
    <font>
      <sz val="9"/>
      <color indexed="81"/>
      <name val="Tahoma"/>
      <family val="2"/>
    </font>
    <font>
      <b/>
      <sz val="11"/>
      <name val="宋体"/>
      <family val="3"/>
      <charset val="134"/>
    </font>
    <font>
      <sz val="10"/>
      <name val="仿宋"/>
      <family val="3"/>
      <charset val="134"/>
    </font>
    <font>
      <sz val="18"/>
      <name val="宋体"/>
      <family val="3"/>
      <charset val="134"/>
    </font>
    <font>
      <sz val="11"/>
      <name val="宋体"/>
      <family val="3"/>
      <charset val="134"/>
    </font>
    <font>
      <sz val="10"/>
      <name val="宋体"/>
      <family val="3"/>
      <charset val="134"/>
    </font>
    <font>
      <sz val="9"/>
      <name val="宋体"/>
      <family val="3"/>
      <charset val="134"/>
    </font>
    <font>
      <u/>
      <sz val="10"/>
      <color indexed="12"/>
      <name val="宋体"/>
      <family val="3"/>
      <charset val="134"/>
    </font>
    <font>
      <b/>
      <sz val="10"/>
      <name val="宋体"/>
      <family val="3"/>
      <charset val="134"/>
    </font>
    <font>
      <b/>
      <sz val="12"/>
      <name val="宋体"/>
      <family val="3"/>
      <charset val="134"/>
    </font>
    <font>
      <u/>
      <sz val="10"/>
      <name val="宋体"/>
      <family val="3"/>
      <charset val="134"/>
    </font>
    <font>
      <sz val="12"/>
      <name val="宋体"/>
      <family val="3"/>
      <charset val="134"/>
    </font>
    <font>
      <b/>
      <sz val="14"/>
      <name val="宋体"/>
      <family val="3"/>
      <charset val="134"/>
    </font>
    <font>
      <b/>
      <sz val="11"/>
      <name val="宋体"/>
      <family val="3"/>
      <charset val="134"/>
    </font>
    <font>
      <u/>
      <sz val="11"/>
      <color indexed="12"/>
      <name val="宋体"/>
      <family val="3"/>
      <charset val="134"/>
    </font>
    <font>
      <sz val="9"/>
      <name val="宋体"/>
      <family val="3"/>
      <charset val="134"/>
    </font>
    <font>
      <sz val="14"/>
      <name val="宋体"/>
      <family val="3"/>
      <charset val="134"/>
    </font>
    <font>
      <sz val="10"/>
      <name val="宋体"/>
      <family val="3"/>
      <charset val="134"/>
    </font>
    <font>
      <sz val="12"/>
      <name val="宋体"/>
      <family val="3"/>
      <charset val="134"/>
    </font>
    <font>
      <sz val="9"/>
      <name val="宋体"/>
      <family val="3"/>
      <charset val="134"/>
    </font>
    <font>
      <sz val="9"/>
      <name val="宋体"/>
      <family val="3"/>
      <charset val="134"/>
    </font>
    <font>
      <b/>
      <sz val="12"/>
      <name val="宋体"/>
      <family val="3"/>
      <charset val="134"/>
    </font>
    <font>
      <b/>
      <sz val="14"/>
      <name val="宋体"/>
      <family val="3"/>
      <charset val="134"/>
    </font>
    <font>
      <sz val="14"/>
      <name val="宋体"/>
      <family val="3"/>
      <charset val="134"/>
    </font>
    <font>
      <sz val="10"/>
      <color indexed="8"/>
      <name val="宋体"/>
      <family val="3"/>
      <charset val="134"/>
    </font>
    <font>
      <sz val="10"/>
      <color indexed="10"/>
      <name val="宋体"/>
      <family val="3"/>
      <charset val="134"/>
    </font>
    <font>
      <sz val="12"/>
      <color indexed="10"/>
      <name val="宋体"/>
      <family val="3"/>
      <charset val="134"/>
    </font>
    <font>
      <sz val="10"/>
      <name val="宋体"/>
      <family val="3"/>
      <charset val="134"/>
    </font>
    <font>
      <sz val="9"/>
      <name val="宋体"/>
      <family val="3"/>
      <charset val="134"/>
    </font>
    <font>
      <u/>
      <sz val="12"/>
      <color indexed="12"/>
      <name val="宋体"/>
      <family val="3"/>
      <charset val="134"/>
    </font>
    <font>
      <sz val="9"/>
      <name val="宋体"/>
      <family val="3"/>
      <charset val="134"/>
    </font>
    <font>
      <sz val="12"/>
      <name val="宋体"/>
      <family val="3"/>
      <charset val="134"/>
    </font>
    <font>
      <b/>
      <sz val="12"/>
      <name val="宋体"/>
      <family val="3"/>
      <charset val="134"/>
    </font>
    <font>
      <b/>
      <sz val="14"/>
      <name val="宋体"/>
      <family val="3"/>
      <charset val="134"/>
    </font>
    <font>
      <b/>
      <sz val="10"/>
      <name val="宋体"/>
      <family val="3"/>
      <charset val="134"/>
    </font>
    <font>
      <b/>
      <sz val="9"/>
      <color indexed="81"/>
      <name val="宋体"/>
      <family val="3"/>
      <charset val="134"/>
    </font>
    <font>
      <sz val="14"/>
      <name val="宋体"/>
      <family val="3"/>
      <charset val="134"/>
    </font>
    <font>
      <sz val="9"/>
      <color indexed="81"/>
      <name val="Tahoma"/>
      <family val="2"/>
      <charset val="134"/>
    </font>
    <font>
      <b/>
      <sz val="9"/>
      <color indexed="81"/>
      <name val="Tahoma"/>
      <family val="2"/>
    </font>
    <font>
      <sz val="10"/>
      <name val="Arial"/>
      <family val="2"/>
    </font>
    <font>
      <b/>
      <sz val="10"/>
      <name val="Arial"/>
      <family val="2"/>
    </font>
    <font>
      <sz val="14"/>
      <name val="Arial"/>
      <family val="2"/>
    </font>
    <font>
      <sz val="10"/>
      <name val="Times New Roman"/>
      <family val="1"/>
    </font>
    <font>
      <sz val="9"/>
      <name val="宋体"/>
      <family val="3"/>
      <charset val="134"/>
    </font>
    <font>
      <sz val="11"/>
      <color indexed="8"/>
      <name val="宋体"/>
      <family val="3"/>
      <charset val="134"/>
    </font>
    <font>
      <b/>
      <sz val="14"/>
      <name val="宋体"/>
      <family val="3"/>
      <charset val="134"/>
    </font>
    <font>
      <u/>
      <sz val="12"/>
      <color indexed="12"/>
      <name val="宋体"/>
      <family val="3"/>
      <charset val="134"/>
    </font>
    <font>
      <b/>
      <sz val="12"/>
      <name val="宋体"/>
      <family val="3"/>
      <charset val="134"/>
    </font>
    <font>
      <u/>
      <sz val="11"/>
      <color indexed="12"/>
      <name val="宋体"/>
      <family val="3"/>
      <charset val="134"/>
    </font>
    <font>
      <sz val="10"/>
      <name val="宋体"/>
      <family val="3"/>
      <charset val="134"/>
    </font>
    <font>
      <u/>
      <sz val="10"/>
      <color indexed="12"/>
      <name val="宋体"/>
      <family val="3"/>
      <charset val="134"/>
    </font>
    <font>
      <b/>
      <sz val="10"/>
      <name val="宋体"/>
      <family val="3"/>
      <charset val="134"/>
    </font>
    <font>
      <sz val="12"/>
      <name val="仿宋"/>
      <family val="3"/>
      <charset val="134"/>
    </font>
    <font>
      <b/>
      <u/>
      <sz val="10"/>
      <name val="宋体"/>
      <family val="3"/>
      <charset val="134"/>
    </font>
    <font>
      <sz val="10"/>
      <color indexed="8"/>
      <name val="宋体"/>
      <family val="3"/>
      <charset val="134"/>
    </font>
    <font>
      <sz val="10"/>
      <color indexed="63"/>
      <name val="宋体"/>
      <family val="3"/>
      <charset val="134"/>
    </font>
    <font>
      <b/>
      <sz val="10"/>
      <color indexed="63"/>
      <name val="宋体"/>
      <family val="3"/>
      <charset val="134"/>
    </font>
    <font>
      <b/>
      <sz val="10"/>
      <color indexed="8"/>
      <name val="宋体"/>
      <family val="3"/>
      <charset val="134"/>
    </font>
    <font>
      <sz val="10"/>
      <color indexed="81"/>
      <name val="宋体"/>
      <family val="3"/>
      <charset val="134"/>
    </font>
    <font>
      <u/>
      <sz val="10"/>
      <color indexed="12"/>
      <name val="宋体"/>
      <family val="3"/>
      <charset val="134"/>
    </font>
    <font>
      <u/>
      <sz val="12"/>
      <color indexed="12"/>
      <name val="宋体"/>
      <family val="3"/>
      <charset val="134"/>
    </font>
    <font>
      <u/>
      <sz val="10"/>
      <color indexed="12"/>
      <name val="宋体"/>
      <family val="3"/>
      <charset val="134"/>
    </font>
    <font>
      <sz val="9"/>
      <name val="宋体"/>
      <family val="3"/>
      <charset val="134"/>
    </font>
    <font>
      <sz val="10"/>
      <name val="宋体"/>
      <family val="3"/>
      <charset val="134"/>
    </font>
    <font>
      <sz val="12"/>
      <name val="宋体"/>
      <family val="3"/>
      <charset val="134"/>
    </font>
    <font>
      <b/>
      <sz val="10"/>
      <name val="宋体"/>
      <family val="3"/>
      <charset val="134"/>
    </font>
    <font>
      <b/>
      <sz val="12"/>
      <name val="宋体"/>
      <family val="3"/>
      <charset val="134"/>
    </font>
    <font>
      <b/>
      <sz val="11"/>
      <name val="宋体"/>
      <family val="3"/>
      <charset val="134"/>
    </font>
    <font>
      <b/>
      <sz val="20"/>
      <name val="宋体"/>
      <family val="3"/>
      <charset val="134"/>
    </font>
    <font>
      <sz val="10"/>
      <color indexed="12"/>
      <name val="宋体"/>
      <family val="3"/>
      <charset val="134"/>
    </font>
    <font>
      <sz val="12"/>
      <color indexed="12"/>
      <name val="宋体"/>
      <family val="3"/>
      <charset val="134"/>
    </font>
    <font>
      <b/>
      <sz val="10"/>
      <name val="宋体"/>
      <family val="3"/>
      <charset val="134"/>
    </font>
    <font>
      <sz val="10"/>
      <name val="宋体"/>
      <family val="3"/>
      <charset val="134"/>
    </font>
    <font>
      <u/>
      <sz val="12"/>
      <color indexed="12"/>
      <name val="宋体"/>
      <family val="3"/>
      <charset val="134"/>
    </font>
    <font>
      <sz val="10"/>
      <name val="宋体"/>
      <family val="3"/>
      <charset val="134"/>
    </font>
    <font>
      <b/>
      <sz val="14"/>
      <name val="宋体"/>
      <family val="3"/>
      <charset val="134"/>
    </font>
    <font>
      <b/>
      <sz val="10"/>
      <name val="宋体"/>
      <family val="3"/>
      <charset val="134"/>
    </font>
    <font>
      <u/>
      <sz val="10"/>
      <color indexed="12"/>
      <name val="宋体"/>
      <family val="3"/>
      <charset val="134"/>
    </font>
    <font>
      <sz val="10"/>
      <name val="宋体"/>
      <family val="3"/>
      <charset val="134"/>
    </font>
    <font>
      <b/>
      <sz val="10"/>
      <name val="宋体"/>
      <family val="3"/>
      <charset val="134"/>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0"/>
      <color rgb="FF00B0F0"/>
      <name val="宋体"/>
      <family val="3"/>
      <charset val="134"/>
    </font>
    <font>
      <sz val="10"/>
      <color rgb="FFFF0000"/>
      <name val="宋体"/>
      <family val="3"/>
      <charset val="134"/>
    </font>
    <font>
      <sz val="10"/>
      <color theme="1"/>
      <name val="宋体"/>
      <family val="3"/>
      <charset val="134"/>
      <scheme val="minor"/>
    </font>
    <font>
      <u/>
      <sz val="10"/>
      <color rgb="FFFF0000"/>
      <name val="宋体"/>
      <family val="3"/>
      <charset val="134"/>
    </font>
    <font>
      <b/>
      <sz val="10"/>
      <color theme="9" tint="-0.249977111117893"/>
      <name val="宋体"/>
      <family val="3"/>
      <charset val="134"/>
    </font>
    <font>
      <sz val="12"/>
      <color rgb="FFFF0000"/>
      <name val="宋体"/>
      <family val="3"/>
      <charset val="134"/>
    </font>
    <font>
      <sz val="10"/>
      <color theme="1"/>
      <name val="宋体"/>
      <family val="3"/>
      <charset val="134"/>
    </font>
    <font>
      <sz val="12"/>
      <color theme="1"/>
      <name val="宋体"/>
      <family val="3"/>
      <charset val="134"/>
    </font>
    <font>
      <sz val="9"/>
      <color theme="1"/>
      <name val="宋体"/>
      <family val="3"/>
      <charset val="134"/>
    </font>
    <font>
      <sz val="11"/>
      <name val="宋体"/>
      <family val="3"/>
      <charset val="134"/>
      <scheme val="minor"/>
    </font>
    <font>
      <sz val="12"/>
      <color indexed="8"/>
      <name val="宋体"/>
      <family val="3"/>
      <charset val="134"/>
      <scheme val="minor"/>
    </font>
    <font>
      <sz val="10"/>
      <color indexed="8"/>
      <name val="宋体"/>
      <family val="3"/>
      <charset val="134"/>
      <scheme val="minor"/>
    </font>
    <font>
      <b/>
      <sz val="10"/>
      <color indexed="8"/>
      <name val="宋体"/>
      <family val="3"/>
      <charset val="134"/>
      <scheme val="minor"/>
    </font>
    <font>
      <sz val="10"/>
      <color indexed="63"/>
      <name val="宋体"/>
      <family val="3"/>
      <charset val="134"/>
      <scheme val="minor"/>
    </font>
    <font>
      <sz val="10"/>
      <name val="宋体"/>
      <family val="3"/>
      <charset val="134"/>
      <scheme val="minor"/>
    </font>
    <font>
      <sz val="10"/>
      <color rgb="FF000000"/>
      <name val="宋体"/>
      <family val="3"/>
      <charset val="134"/>
    </font>
    <font>
      <sz val="10"/>
      <color indexed="12"/>
      <name val="宋体"/>
      <family val="3"/>
      <charset val="134"/>
      <scheme val="minor"/>
    </font>
    <font>
      <b/>
      <sz val="10"/>
      <color rgb="FFFF0000"/>
      <name val="宋体"/>
      <family val="3"/>
      <charset val="134"/>
    </font>
    <font>
      <b/>
      <sz val="11"/>
      <color theme="9" tint="-0.249977111117893"/>
      <name val="宋体"/>
      <family val="3"/>
      <charset val="134"/>
    </font>
    <font>
      <b/>
      <sz val="10"/>
      <color theme="1"/>
      <name val="宋体"/>
      <family val="3"/>
      <charset val="134"/>
    </font>
    <font>
      <b/>
      <sz val="14"/>
      <color theme="1"/>
      <name val="宋体"/>
      <family val="3"/>
      <charset val="134"/>
      <scheme val="minor"/>
    </font>
    <font>
      <b/>
      <sz val="10"/>
      <color rgb="FF000000"/>
      <name val="宋体"/>
      <family val="3"/>
      <charset val="134"/>
    </font>
    <font>
      <b/>
      <sz val="14"/>
      <color theme="1"/>
      <name val="宋体"/>
      <family val="3"/>
      <charset val="134"/>
    </font>
    <font>
      <b/>
      <sz val="11"/>
      <color theme="1"/>
      <name val="宋体"/>
      <family val="3"/>
      <charset val="134"/>
    </font>
    <font>
      <b/>
      <sz val="14"/>
      <color indexed="8"/>
      <name val="宋体"/>
      <family val="3"/>
      <charset val="134"/>
      <scheme val="minor"/>
    </font>
    <font>
      <sz val="12"/>
      <name val="宋体"/>
      <family val="3"/>
      <charset val="134"/>
      <scheme val="minor"/>
    </font>
    <font>
      <sz val="11"/>
      <color theme="1"/>
      <name val="Microsoft YaHei UI"/>
      <family val="2"/>
      <charset val="134"/>
    </font>
    <font>
      <sz val="9"/>
      <name val="宋体"/>
      <family val="3"/>
      <charset val="134"/>
      <scheme val="minor"/>
    </font>
    <font>
      <sz val="48"/>
      <color rgb="FF30966D"/>
      <name val="Microsoft YaHei UI"/>
      <family val="2"/>
      <charset val="134"/>
    </font>
    <font>
      <b/>
      <sz val="11"/>
      <color theme="1"/>
      <name val="Microsoft YaHei UI"/>
      <family val="2"/>
      <charset val="134"/>
    </font>
    <font>
      <sz val="12"/>
      <name val="宋体"/>
      <family val="3"/>
      <charset val="134"/>
    </font>
    <font>
      <sz val="10"/>
      <name val="宋体"/>
      <family val="3"/>
      <charset val="134"/>
    </font>
    <font>
      <sz val="9"/>
      <name val="宋体"/>
      <family val="3"/>
      <charset val="134"/>
    </font>
    <font>
      <sz val="10"/>
      <color theme="1"/>
      <name val="微软雅黑"/>
      <family val="2"/>
      <charset val="134"/>
    </font>
    <font>
      <sz val="9"/>
      <name val="微软雅黑"/>
      <family val="2"/>
      <charset val="134"/>
    </font>
    <font>
      <b/>
      <sz val="10"/>
      <color theme="0"/>
      <name val="微软雅黑"/>
      <family val="2"/>
      <charset val="134"/>
    </font>
    <font>
      <b/>
      <sz val="10"/>
      <color theme="1"/>
      <name val="微软雅黑"/>
      <family val="2"/>
      <charset val="134"/>
    </font>
    <font>
      <sz val="10"/>
      <color theme="9" tint="-0.499984740745262"/>
      <name val="微软雅黑"/>
      <family val="2"/>
      <charset val="134"/>
    </font>
    <font>
      <sz val="26"/>
      <color theme="9" tint="-0.249977111117893"/>
      <name val="微软雅黑"/>
      <family val="2"/>
      <charset val="134"/>
    </font>
    <font>
      <sz val="14"/>
      <name val="微软雅黑"/>
      <family val="2"/>
      <charset val="134"/>
    </font>
    <font>
      <sz val="12"/>
      <color theme="1"/>
      <name val="微软雅黑"/>
      <family val="2"/>
      <charset val="134"/>
    </font>
    <font>
      <sz val="10"/>
      <color rgb="FFFF0000"/>
      <name val="微软雅黑"/>
      <family val="2"/>
      <charset val="134"/>
    </font>
    <font>
      <sz val="10"/>
      <name val="微软雅黑"/>
      <family val="2"/>
      <charset val="134"/>
    </font>
    <font>
      <b/>
      <sz val="9"/>
      <name val="微软雅黑"/>
      <family val="2"/>
      <charset val="134"/>
    </font>
    <font>
      <b/>
      <sz val="10"/>
      <name val="微软雅黑"/>
      <family val="2"/>
      <charset val="134"/>
    </font>
    <font>
      <i/>
      <sz val="10"/>
      <name val="微软雅黑"/>
      <family val="2"/>
      <charset val="134"/>
    </font>
    <font>
      <sz val="9"/>
      <color theme="1"/>
      <name val="微软雅黑"/>
      <family val="2"/>
      <charset val="134"/>
    </font>
    <font>
      <sz val="9"/>
      <color rgb="FFFF0000"/>
      <name val="微软雅黑"/>
      <family val="2"/>
      <charset val="134"/>
    </font>
    <font>
      <sz val="11"/>
      <color theme="9" tint="-0.249977111117893"/>
      <name val="Microsoft YaHei UI"/>
      <family val="2"/>
      <charset val="134"/>
    </font>
    <font>
      <b/>
      <sz val="11"/>
      <color theme="9" tint="-0.249977111117893"/>
      <name val="Microsoft YaHei UI"/>
      <family val="2"/>
      <charset val="134"/>
    </font>
    <font>
      <sz val="11"/>
      <color theme="5"/>
      <name val="Microsoft YaHei UI"/>
      <family val="2"/>
      <charset val="134"/>
    </font>
    <font>
      <b/>
      <sz val="11"/>
      <color theme="5"/>
      <name val="Microsoft YaHei UI"/>
      <family val="2"/>
      <charset val="134"/>
    </font>
    <font>
      <sz val="11"/>
      <color rgb="FFC00000"/>
      <name val="Microsoft YaHei UI"/>
      <family val="2"/>
      <charset val="134"/>
    </font>
    <font>
      <b/>
      <sz val="11"/>
      <color rgb="FFC00000"/>
      <name val="Microsoft YaHei UI"/>
      <family val="2"/>
      <charset val="134"/>
    </font>
    <font>
      <sz val="11"/>
      <color rgb="FF0070C0"/>
      <name val="Microsoft YaHei UI"/>
      <family val="2"/>
      <charset val="134"/>
    </font>
    <font>
      <b/>
      <sz val="11"/>
      <color rgb="FF0070C0"/>
      <name val="Microsoft YaHei UI"/>
      <family val="2"/>
      <charset val="134"/>
    </font>
    <font>
      <sz val="11"/>
      <color rgb="FF00B0F0"/>
      <name val="Microsoft YaHei UI"/>
      <family val="2"/>
      <charset val="134"/>
    </font>
    <font>
      <b/>
      <sz val="11"/>
      <color rgb="FF00B0F0"/>
      <name val="Microsoft YaHei UI"/>
      <family val="2"/>
      <charset val="134"/>
    </font>
    <font>
      <sz val="11"/>
      <color rgb="FF7030A0"/>
      <name val="Microsoft YaHei UI"/>
      <family val="2"/>
      <charset val="134"/>
    </font>
    <font>
      <b/>
      <sz val="11"/>
      <color rgb="FF7030A0"/>
      <name val="Microsoft YaHei UI"/>
      <family val="2"/>
      <charset val="134"/>
    </font>
    <font>
      <sz val="11"/>
      <color rgb="FF00B050"/>
      <name val="Microsoft YaHei UI"/>
      <family val="2"/>
      <charset val="134"/>
    </font>
    <font>
      <b/>
      <sz val="11"/>
      <color rgb="FF00B050"/>
      <name val="Microsoft YaHei UI"/>
      <family val="2"/>
      <charset val="134"/>
    </font>
    <font>
      <sz val="14"/>
      <color theme="1"/>
      <name val="微软雅黑"/>
      <family val="2"/>
      <charset val="134"/>
    </font>
    <font>
      <b/>
      <sz val="18"/>
      <name val="楷体_GB2312"/>
      <family val="3"/>
      <charset val="134"/>
    </font>
    <font>
      <sz val="10"/>
      <name val="Arial Narrow"/>
      <family val="2"/>
    </font>
    <font>
      <sz val="12"/>
      <name val="楷体_GB2312"/>
      <family val="3"/>
      <charset val="134"/>
    </font>
    <font>
      <sz val="12"/>
      <name val="微软雅黑"/>
      <family val="2"/>
      <charset val="134"/>
    </font>
    <font>
      <u/>
      <sz val="12"/>
      <color indexed="12"/>
      <name val="微软雅黑"/>
      <family val="2"/>
      <charset val="134"/>
    </font>
    <font>
      <sz val="18"/>
      <name val="微软雅黑"/>
      <family val="2"/>
      <charset val="134"/>
    </font>
    <font>
      <sz val="26"/>
      <name val="微软雅黑"/>
      <family val="2"/>
      <charset val="134"/>
    </font>
    <font>
      <sz val="16"/>
      <name val="微软雅黑"/>
      <family val="2"/>
      <charset val="134"/>
    </font>
    <font>
      <u/>
      <sz val="16"/>
      <name val="微软雅黑"/>
      <family val="2"/>
      <charset val="134"/>
    </font>
    <font>
      <u/>
      <sz val="11"/>
      <color indexed="8"/>
      <name val="微软雅黑"/>
      <family val="2"/>
      <charset val="134"/>
    </font>
    <font>
      <u/>
      <sz val="12"/>
      <name val="微软雅黑"/>
      <family val="2"/>
      <charset val="134"/>
    </font>
    <font>
      <u/>
      <sz val="14"/>
      <name val="微软雅黑"/>
      <family val="2"/>
      <charset val="134"/>
    </font>
    <font>
      <u/>
      <sz val="10"/>
      <name val="微软雅黑"/>
      <family val="2"/>
      <charset val="134"/>
    </font>
    <font>
      <sz val="10"/>
      <name val="楷体_GB2312"/>
      <family val="3"/>
      <charset val="134"/>
    </font>
    <font>
      <sz val="9"/>
      <name val="Arial Narrow"/>
      <family val="2"/>
    </font>
    <font>
      <sz val="8"/>
      <name val="宋体"/>
      <family val="3"/>
      <charset val="134"/>
    </font>
    <font>
      <sz val="11"/>
      <name val="楷体_GB2312"/>
      <family val="3"/>
      <charset val="134"/>
    </font>
    <font>
      <sz val="11"/>
      <color rgb="FF006100"/>
      <name val="宋体"/>
      <family val="2"/>
      <charset val="134"/>
      <scheme val="minor"/>
    </font>
    <font>
      <sz val="12"/>
      <name val="仿宋_GB2312"/>
      <family val="3"/>
      <charset val="134"/>
    </font>
    <font>
      <sz val="20"/>
      <name val="宋体"/>
      <family val="3"/>
      <charset val="134"/>
    </font>
    <font>
      <sz val="10.5"/>
      <name val="宋体"/>
      <family val="3"/>
      <charset val="134"/>
    </font>
    <font>
      <u/>
      <sz val="10.5"/>
      <name val="宋体"/>
      <family val="3"/>
      <charset val="134"/>
    </font>
    <font>
      <sz val="14"/>
      <color indexed="8"/>
      <name val="仿宋_GB2312"/>
      <family val="3"/>
      <charset val="134"/>
    </font>
    <font>
      <sz val="14"/>
      <color indexed="8"/>
      <name val="Times New Roman"/>
      <family val="1"/>
    </font>
    <font>
      <sz val="10.5"/>
      <color indexed="8"/>
      <name val="Times New Roman"/>
      <family val="1"/>
    </font>
    <font>
      <b/>
      <sz val="14"/>
      <color indexed="8"/>
      <name val="仿宋_GB2312"/>
      <family val="3"/>
      <charset val="134"/>
    </font>
    <font>
      <sz val="10.5"/>
      <color indexed="8"/>
      <name val="仿宋_GB2312"/>
      <family val="3"/>
      <charset val="134"/>
    </font>
    <font>
      <sz val="10.5"/>
      <color indexed="8"/>
      <name val="宋体"/>
      <family val="3"/>
      <charset val="134"/>
    </font>
    <font>
      <sz val="10.5"/>
      <name val="仿宋_GB2312"/>
      <family val="3"/>
      <charset val="134"/>
    </font>
    <font>
      <b/>
      <sz val="10.5"/>
      <name val="宋体"/>
      <family val="3"/>
      <charset val="134"/>
    </font>
    <font>
      <sz val="18"/>
      <color indexed="8"/>
      <name val="方正小标宋简体"/>
      <family val="3"/>
      <charset val="134"/>
    </font>
    <font>
      <sz val="12"/>
      <color theme="1"/>
      <name val="宋体"/>
      <family val="3"/>
      <charset val="134"/>
      <scheme val="minor"/>
    </font>
    <font>
      <b/>
      <sz val="18"/>
      <color indexed="8"/>
      <name val="方正小标宋简体"/>
      <family val="3"/>
      <charset val="134"/>
    </font>
    <font>
      <sz val="9"/>
      <name val="宋体"/>
      <family val="2"/>
      <charset val="134"/>
      <scheme val="minor"/>
    </font>
    <font>
      <b/>
      <sz val="11"/>
      <name val="宋体"/>
      <family val="3"/>
      <charset val="134"/>
      <scheme val="minor"/>
    </font>
    <font>
      <b/>
      <sz val="18"/>
      <color rgb="FFFF0000"/>
      <name val="Courier New"/>
      <family val="3"/>
    </font>
    <font>
      <b/>
      <sz val="18"/>
      <color rgb="FFFF0000"/>
      <name val="宋体"/>
      <family val="3"/>
      <charset val="134"/>
    </font>
    <font>
      <u/>
      <sz val="12"/>
      <name val="宋体"/>
      <family val="3"/>
      <charset val="134"/>
    </font>
    <font>
      <sz val="11"/>
      <color indexed="59"/>
      <name val="宋体"/>
      <family val="3"/>
      <charset val="134"/>
    </font>
    <font>
      <sz val="9"/>
      <color indexed="63"/>
      <name val="宋体"/>
      <family val="3"/>
      <charset val="134"/>
    </font>
    <font>
      <sz val="12"/>
      <color indexed="63"/>
      <name val="宋体"/>
      <family val="3"/>
      <charset val="134"/>
    </font>
    <font>
      <sz val="12"/>
      <name val="Times New Roman"/>
      <family val="1"/>
    </font>
    <font>
      <sz val="12"/>
      <name val="Arial Narrow"/>
      <family val="2"/>
    </font>
    <font>
      <sz val="22"/>
      <name val="宋体"/>
      <family val="3"/>
      <charset val="134"/>
    </font>
    <font>
      <sz val="12"/>
      <color indexed="50"/>
      <name val="宋体"/>
      <family val="3"/>
      <charset val="134"/>
    </font>
    <font>
      <u/>
      <sz val="12"/>
      <color indexed="50"/>
      <name val="宋体"/>
      <family val="3"/>
      <charset val="134"/>
    </font>
    <font>
      <sz val="16"/>
      <color indexed="50"/>
      <name val="楷体_GB2312"/>
      <family val="3"/>
      <charset val="134"/>
    </font>
    <font>
      <sz val="9"/>
      <color indexed="8"/>
      <name val="宋体"/>
      <family val="3"/>
      <charset val="134"/>
    </font>
    <font>
      <b/>
      <sz val="10"/>
      <color indexed="10"/>
      <name val="宋体"/>
      <family val="3"/>
      <charset val="134"/>
    </font>
    <font>
      <sz val="10.5"/>
      <name val="Times New Roman"/>
      <family val="1"/>
    </font>
    <font>
      <b/>
      <sz val="18"/>
      <name val="仿宋_GB2312"/>
      <family val="3"/>
      <charset val="134"/>
    </font>
    <font>
      <b/>
      <sz val="9"/>
      <name val="宋体"/>
      <family val="3"/>
      <charset val="134"/>
    </font>
    <font>
      <sz val="10"/>
      <color rgb="FFFF0000"/>
      <name val="Arial Narrow"/>
      <family val="2"/>
    </font>
    <font>
      <b/>
      <sz val="18"/>
      <color indexed="10"/>
      <name val="楷体_GB2312"/>
      <family val="3"/>
      <charset val="134"/>
    </font>
    <font>
      <u/>
      <sz val="10"/>
      <color indexed="12"/>
      <name val="Arial Narrow"/>
      <family val="2"/>
    </font>
    <font>
      <sz val="10"/>
      <color indexed="10"/>
      <name val="楷体_GB2312"/>
      <family val="3"/>
      <charset val="134"/>
    </font>
    <font>
      <b/>
      <sz val="10"/>
      <name val="Arial Narrow"/>
      <family val="2"/>
    </font>
    <font>
      <sz val="16"/>
      <name val="宋体"/>
      <family val="3"/>
      <charset val="134"/>
    </font>
    <font>
      <sz val="11"/>
      <color rgb="FF006100"/>
      <name val="宋体"/>
      <family val="3"/>
      <charset val="134"/>
      <scheme val="minor"/>
    </font>
    <font>
      <sz val="22"/>
      <name val="华文琥珀"/>
      <family val="3"/>
      <charset val="134"/>
    </font>
    <font>
      <sz val="12"/>
      <color theme="8" tint="-0.249977111117893"/>
      <name val="宋体"/>
      <family val="3"/>
      <charset val="134"/>
    </font>
    <font>
      <sz val="12"/>
      <color theme="9" tint="-0.249977111117893"/>
      <name val="宋体"/>
      <family val="3"/>
      <charset val="134"/>
    </font>
    <font>
      <b/>
      <sz val="16"/>
      <color indexed="8"/>
      <name val="宋体"/>
      <family val="3"/>
      <charset val="134"/>
    </font>
    <font>
      <sz val="10"/>
      <name val="新宋体"/>
      <family val="3"/>
      <charset val="134"/>
    </font>
    <font>
      <b/>
      <sz val="10"/>
      <color indexed="12"/>
      <name val="宋体"/>
      <family val="3"/>
      <charset val="134"/>
    </font>
    <font>
      <sz val="20"/>
      <name val="微软雅黑"/>
      <family val="2"/>
      <charset val="134"/>
    </font>
    <font>
      <b/>
      <sz val="10"/>
      <color theme="0"/>
      <name val="宋体"/>
      <family val="3"/>
      <charset val="134"/>
    </font>
    <font>
      <sz val="12"/>
      <color theme="1"/>
      <name val="仿宋_GB2312"/>
      <family val="3"/>
      <charset val="134"/>
    </font>
    <font>
      <b/>
      <sz val="18"/>
      <color theme="1"/>
      <name val="新宋体"/>
      <family val="3"/>
      <charset val="134"/>
    </font>
    <font>
      <sz val="11"/>
      <color theme="1"/>
      <name val="仿宋_GB2312"/>
      <family val="3"/>
      <charset val="134"/>
    </font>
    <font>
      <sz val="14"/>
      <color theme="1"/>
      <name val="楷体_GB2312"/>
      <family val="3"/>
      <charset val="134"/>
    </font>
    <font>
      <sz val="12"/>
      <color theme="1"/>
      <name val="新宋体"/>
      <family val="3"/>
      <charset val="134"/>
    </font>
    <font>
      <sz val="14"/>
      <name val="仿宋_GB2312"/>
      <family val="3"/>
      <charset val="134"/>
    </font>
    <font>
      <sz val="12"/>
      <color theme="1"/>
      <name val="Times New Roman"/>
      <family val="1"/>
    </font>
    <font>
      <sz val="10"/>
      <color theme="1"/>
      <name val="楷体_GB2312"/>
      <family val="3"/>
      <charset val="134"/>
    </font>
    <font>
      <b/>
      <sz val="14"/>
      <color theme="1"/>
      <name val="楷体_GB2312"/>
      <family val="3"/>
      <charset val="134"/>
    </font>
    <font>
      <sz val="9"/>
      <color theme="1"/>
      <name val="新宋体"/>
      <family val="3"/>
      <charset val="134"/>
    </font>
    <font>
      <sz val="14"/>
      <color theme="1"/>
      <name val="新宋体"/>
      <family val="3"/>
      <charset val="134"/>
    </font>
    <font>
      <b/>
      <sz val="13"/>
      <color theme="1"/>
      <name val="宋体"/>
      <family val="3"/>
      <charset val="134"/>
    </font>
    <font>
      <sz val="10"/>
      <color theme="1"/>
      <name val="仿宋_GB2312"/>
      <family val="3"/>
      <charset val="134"/>
    </font>
    <font>
      <sz val="10"/>
      <color theme="0"/>
      <name val="微软雅黑"/>
      <family val="2"/>
      <charset val="134"/>
    </font>
    <font>
      <b/>
      <sz val="11"/>
      <color theme="0"/>
      <name val="宋体"/>
      <family val="3"/>
      <charset val="134"/>
      <scheme val="minor"/>
    </font>
    <font>
      <sz val="26"/>
      <color theme="1"/>
      <name val="微软雅黑"/>
      <family val="2"/>
      <charset val="134"/>
    </font>
    <font>
      <b/>
      <sz val="14"/>
      <color theme="0"/>
      <name val="宋体"/>
      <family val="3"/>
      <charset val="134"/>
    </font>
    <font>
      <sz val="22"/>
      <name val="微软雅黑"/>
      <family val="2"/>
      <charset val="134"/>
    </font>
    <font>
      <sz val="24"/>
      <name val="微软雅黑"/>
      <family val="2"/>
      <charset val="134"/>
    </font>
    <font>
      <b/>
      <sz val="9"/>
      <color theme="1"/>
      <name val="微软雅黑"/>
      <family val="2"/>
      <charset val="134"/>
    </font>
    <font>
      <b/>
      <sz val="10"/>
      <name val="宋体"/>
      <family val="3"/>
      <charset val="134"/>
      <scheme val="minor"/>
    </font>
    <font>
      <u/>
      <sz val="18"/>
      <name val="微软雅黑"/>
      <family val="2"/>
      <charset val="134"/>
    </font>
    <font>
      <sz val="10"/>
      <color theme="0"/>
      <name val="宋体"/>
      <family val="3"/>
      <charset val="134"/>
    </font>
  </fonts>
  <fills count="45">
    <fill>
      <patternFill patternType="none"/>
    </fill>
    <fill>
      <patternFill patternType="gray125"/>
    </fill>
    <fill>
      <patternFill patternType="solid">
        <fgColor rgb="FF4294EF"/>
        <bgColor indexed="64"/>
      </patternFill>
    </fill>
    <fill>
      <patternFill patternType="solid">
        <fgColor rgb="FF8CBDE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E6EE"/>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D6E6FF"/>
        <bgColor indexed="64"/>
      </patternFill>
    </fill>
    <fill>
      <patternFill patternType="solid">
        <fgColor rgb="FFE6EFFF"/>
        <bgColor indexed="64"/>
      </patternFill>
    </fill>
    <fill>
      <patternFill patternType="solid">
        <fgColor rgb="FF99CCFF"/>
        <bgColor indexed="64"/>
      </patternFill>
    </fill>
    <fill>
      <patternFill patternType="solid">
        <fgColor theme="0" tint="-0.249977111117893"/>
        <bgColor indexed="64"/>
      </patternFill>
    </fill>
    <fill>
      <patternFill patternType="solid">
        <fgColor rgb="FFFFFF00"/>
        <bgColor indexed="64"/>
      </patternFill>
    </fill>
    <fill>
      <patternFill patternType="solid">
        <fgColor rgb="FF808000"/>
        <bgColor indexed="64"/>
      </patternFill>
    </fill>
    <fill>
      <patternFill patternType="solid">
        <fgColor rgb="FFFFCC99"/>
        <bgColor indexed="64"/>
      </patternFill>
    </fill>
    <fill>
      <patternFill patternType="solid">
        <fgColor theme="4"/>
        <bgColor theme="4"/>
      </patternFill>
    </fill>
    <fill>
      <patternFill patternType="solid">
        <fgColor indexed="42"/>
        <bgColor indexed="27"/>
      </patternFill>
    </fill>
    <fill>
      <patternFill patternType="solid">
        <fgColor indexed="44"/>
        <bgColor indexed="31"/>
      </patternFill>
    </fill>
    <fill>
      <patternFill patternType="solid">
        <fgColor indexed="19"/>
        <bgColor indexed="23"/>
      </patternFill>
    </fill>
    <fill>
      <patternFill patternType="solid">
        <fgColor indexed="22"/>
        <bgColor indexed="31"/>
      </patternFill>
    </fill>
    <fill>
      <patternFill patternType="solid">
        <fgColor indexed="47"/>
        <bgColor indexed="22"/>
      </patternFill>
    </fill>
    <fill>
      <patternFill patternType="solid">
        <fgColor theme="7" tint="0.79998168889431442"/>
        <bgColor indexed="64"/>
      </patternFill>
    </fill>
    <fill>
      <patternFill patternType="solid">
        <fgColor rgb="FFCCFFCC"/>
        <bgColor indexed="64"/>
      </patternFill>
    </fill>
    <fill>
      <patternFill patternType="solid">
        <fgColor indexed="9"/>
        <bgColor indexed="26"/>
      </patternFill>
    </fill>
    <fill>
      <patternFill patternType="solid">
        <fgColor rgb="FFC0C0C0"/>
        <bgColor indexed="64"/>
      </patternFill>
    </fill>
    <fill>
      <patternFill patternType="solid">
        <fgColor rgb="FFC6EFCE"/>
      </patternFill>
    </fill>
    <fill>
      <patternFill patternType="solid">
        <fgColor indexed="42"/>
        <bgColor indexed="64"/>
      </patternFill>
    </fill>
    <fill>
      <patternFill patternType="solid">
        <fgColor indexed="44"/>
        <bgColor indexed="64"/>
      </patternFill>
    </fill>
    <fill>
      <patternFill patternType="solid">
        <fgColor indexed="8"/>
        <bgColor indexed="58"/>
      </patternFill>
    </fill>
    <fill>
      <patternFill patternType="solid">
        <fgColor indexed="45"/>
        <bgColor indexed="29"/>
      </patternFill>
    </fill>
    <fill>
      <patternFill patternType="solid">
        <fgColor indexed="55"/>
        <bgColor indexed="23"/>
      </patternFill>
    </fill>
    <fill>
      <patternFill patternType="solid">
        <fgColor theme="0"/>
        <bgColor indexed="31"/>
      </patternFill>
    </fill>
    <fill>
      <patternFill patternType="solid">
        <fgColor indexed="10"/>
        <bgColor indexed="60"/>
      </patternFill>
    </fill>
    <fill>
      <patternFill patternType="solid">
        <fgColor rgb="FFC0C0C0"/>
        <bgColor indexed="31"/>
      </patternFill>
    </fill>
    <fill>
      <patternFill patternType="solid">
        <fgColor indexed="22"/>
        <bgColor indexed="64"/>
      </patternFill>
    </fill>
    <fill>
      <patternFill patternType="solid">
        <fgColor indexed="9"/>
        <bgColor indexed="64"/>
      </patternFill>
    </fill>
    <fill>
      <patternFill patternType="solid">
        <fgColor rgb="FFCCFFCC"/>
        <bgColor indexed="31"/>
      </patternFill>
    </fill>
    <fill>
      <patternFill patternType="solid">
        <fgColor rgb="FF808000"/>
        <bgColor indexed="31"/>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0000"/>
        <bgColor indexed="64"/>
      </patternFill>
    </fill>
    <fill>
      <patternFill patternType="solid">
        <fgColor rgb="FFCCFFCC"/>
        <bgColor indexed="27"/>
      </patternFill>
    </fill>
    <fill>
      <patternFill patternType="solid">
        <fgColor theme="0" tint="-0.14999847407452621"/>
        <bgColor indexed="31"/>
      </patternFill>
    </fill>
  </fills>
  <borders count="262">
    <border>
      <left/>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ashed">
        <color indexed="64"/>
      </bottom>
      <diagonal/>
    </border>
    <border>
      <left style="thin">
        <color indexed="64"/>
      </left>
      <right style="medium">
        <color indexed="64"/>
      </right>
      <top style="thin">
        <color indexed="64"/>
      </top>
      <bottom style="dashed">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right style="medium">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dashed">
        <color indexed="64"/>
      </bottom>
      <diagonal/>
    </border>
    <border>
      <left/>
      <right style="medium">
        <color indexed="64"/>
      </right>
      <top/>
      <bottom/>
      <diagonal/>
    </border>
    <border>
      <left/>
      <right/>
      <top style="thin">
        <color indexed="64"/>
      </top>
      <bottom style="thin">
        <color indexed="64"/>
      </bottom>
      <diagonal/>
    </border>
    <border>
      <left/>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indexed="64"/>
      </top>
      <bottom style="dashed">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medium">
        <color indexed="64"/>
      </bottom>
      <diagonal/>
    </border>
    <border>
      <left style="thin">
        <color indexed="64"/>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bottom/>
      <diagonal/>
    </border>
    <border>
      <left/>
      <right style="thin">
        <color theme="4"/>
      </right>
      <top/>
      <bottom/>
      <diagonal/>
    </border>
    <border>
      <left style="thin">
        <color theme="4"/>
      </left>
      <right/>
      <top/>
      <bottom style="thin">
        <color theme="4"/>
      </bottom>
      <diagonal/>
    </border>
    <border>
      <left/>
      <right style="thin">
        <color theme="4"/>
      </right>
      <top/>
      <bottom style="thin">
        <color theme="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right style="double">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double">
        <color indexed="64"/>
      </bottom>
      <diagonal/>
    </border>
    <border>
      <left style="double">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top style="thin">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right/>
      <top style="thin">
        <color indexed="64"/>
      </top>
      <bottom style="medium">
        <color indexed="64"/>
      </bottom>
      <diagonal/>
    </border>
    <border>
      <left style="double">
        <color indexed="64"/>
      </left>
      <right/>
      <top/>
      <bottom style="thin">
        <color indexed="64"/>
      </bottom>
      <diagonal/>
    </border>
    <border>
      <left style="double">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double">
        <color indexed="64"/>
      </top>
      <bottom style="thin">
        <color indexed="64"/>
      </bottom>
      <diagonal/>
    </border>
    <border>
      <left/>
      <right style="double">
        <color indexed="64"/>
      </right>
      <top/>
      <bottom style="thin">
        <color indexed="64"/>
      </bottom>
      <diagonal/>
    </border>
    <border>
      <left/>
      <right style="double">
        <color indexed="64"/>
      </right>
      <top style="thin">
        <color indexed="64"/>
      </top>
      <bottom style="medium">
        <color indexed="64"/>
      </bottom>
      <diagonal/>
    </border>
    <border>
      <left/>
      <right style="double">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double">
        <color indexed="64"/>
      </left>
      <right/>
      <top style="medium">
        <color indexed="64"/>
      </top>
      <bottom style="medium">
        <color indexed="64"/>
      </bottom>
      <diagonal/>
    </border>
    <border>
      <left/>
      <right/>
      <top style="double">
        <color indexed="64"/>
      </top>
      <bottom/>
      <diagonal/>
    </border>
    <border>
      <left/>
      <right/>
      <top/>
      <bottom style="thin">
        <color indexed="8"/>
      </bottom>
      <diagonal/>
    </border>
    <border>
      <left style="thin">
        <color indexed="8"/>
      </left>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style="hair">
        <color indexed="8"/>
      </right>
      <top style="thin">
        <color indexed="8"/>
      </top>
      <bottom style="thin">
        <color indexed="8"/>
      </bottom>
      <diagonal/>
    </border>
    <border>
      <left style="hair">
        <color indexed="8"/>
      </left>
      <right/>
      <top style="thin">
        <color indexed="8"/>
      </top>
      <bottom style="hair">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style="hair">
        <color indexed="8"/>
      </bottom>
      <diagonal/>
    </border>
    <border>
      <left style="hair">
        <color indexed="8"/>
      </left>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style="hair">
        <color indexed="8"/>
      </left>
      <right/>
      <top style="hair">
        <color indexed="8"/>
      </top>
      <bottom style="thin">
        <color indexed="8"/>
      </bottom>
      <diagonal/>
    </border>
    <border>
      <left style="hair">
        <color indexed="8"/>
      </left>
      <right/>
      <top/>
      <bottom/>
      <diagonal/>
    </border>
    <border>
      <left style="thin">
        <color indexed="8"/>
      </left>
      <right/>
      <top/>
      <bottom/>
      <diagonal/>
    </border>
    <border>
      <left style="thin">
        <color indexed="8"/>
      </left>
      <right style="hair">
        <color indexed="8"/>
      </right>
      <top/>
      <bottom style="thin">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top style="thin">
        <color indexed="8"/>
      </top>
      <bottom/>
      <diagonal/>
    </border>
    <border>
      <left/>
      <right style="thin">
        <color indexed="8"/>
      </right>
      <top style="thin">
        <color indexed="8"/>
      </top>
      <bottom/>
      <diagonal/>
    </border>
    <border>
      <left style="thin">
        <color indexed="8"/>
      </left>
      <right style="hair">
        <color indexed="8"/>
      </right>
      <top style="hair">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medium">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hair">
        <color indexed="8"/>
      </right>
      <top style="thin">
        <color indexed="64"/>
      </top>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right style="hair">
        <color indexed="8"/>
      </right>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style="hair">
        <color indexed="8"/>
      </right>
      <top/>
      <bottom/>
      <diagonal/>
    </border>
    <border>
      <left style="hair">
        <color indexed="8"/>
      </left>
      <right style="thin">
        <color indexed="8"/>
      </right>
      <top style="thin">
        <color indexed="8"/>
      </top>
      <bottom/>
      <diagonal/>
    </border>
    <border>
      <left/>
      <right style="hair">
        <color indexed="8"/>
      </right>
      <top style="hair">
        <color indexed="8"/>
      </top>
      <bottom style="thin">
        <color indexed="8"/>
      </bottom>
      <diagonal/>
    </border>
    <border>
      <left style="thin">
        <color indexed="8"/>
      </left>
      <right style="hair">
        <color indexed="8"/>
      </right>
      <top/>
      <bottom/>
      <diagonal/>
    </border>
    <border>
      <left style="thin">
        <color indexed="8"/>
      </left>
      <right style="hair">
        <color indexed="8"/>
      </right>
      <top style="hair">
        <color indexed="8"/>
      </top>
      <bottom style="hair">
        <color indexed="8"/>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bottom style="hair">
        <color indexed="8"/>
      </bottom>
      <diagonal/>
    </border>
    <border>
      <left style="thin">
        <color indexed="8"/>
      </left>
      <right/>
      <top style="hair">
        <color indexed="8"/>
      </top>
      <bottom style="hair">
        <color indexed="8"/>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hair">
        <color indexed="8"/>
      </bottom>
      <diagonal/>
    </border>
    <border>
      <left style="thin">
        <color indexed="8"/>
      </left>
      <right style="hair">
        <color indexed="8"/>
      </right>
      <top/>
      <bottom style="hair">
        <color indexed="8"/>
      </bottom>
      <diagonal/>
    </border>
    <border>
      <left/>
      <right style="hair">
        <color indexed="8"/>
      </right>
      <top style="hair">
        <color indexed="8"/>
      </top>
      <bottom style="hair">
        <color indexed="8"/>
      </bottom>
      <diagonal/>
    </border>
    <border>
      <left style="hair">
        <color indexed="8"/>
      </left>
      <right/>
      <top style="thin">
        <color indexed="8"/>
      </top>
      <bottom style="thin">
        <color indexed="8"/>
      </bottom>
      <diagonal/>
    </border>
    <border>
      <left style="hair">
        <color indexed="8"/>
      </left>
      <right style="thin">
        <color indexed="8"/>
      </right>
      <top style="hair">
        <color indexed="8"/>
      </top>
      <bottom/>
      <diagonal/>
    </border>
    <border>
      <left style="thin">
        <color indexed="8"/>
      </left>
      <right style="hair">
        <color indexed="8"/>
      </right>
      <top style="thin">
        <color indexed="8"/>
      </top>
      <bottom/>
      <diagonal/>
    </border>
    <border>
      <left style="thin">
        <color indexed="64"/>
      </left>
      <right style="hair">
        <color indexed="8"/>
      </right>
      <top style="thin">
        <color indexed="64"/>
      </top>
      <bottom style="hair">
        <color indexed="8"/>
      </bottom>
      <diagonal/>
    </border>
    <border>
      <left style="thin">
        <color indexed="8"/>
      </left>
      <right style="hair">
        <color indexed="8"/>
      </right>
      <top style="thin">
        <color indexed="64"/>
      </top>
      <bottom style="hair">
        <color indexed="8"/>
      </bottom>
      <diagonal/>
    </border>
    <border>
      <left style="thin">
        <color indexed="64"/>
      </left>
      <right style="hair">
        <color indexed="8"/>
      </right>
      <top style="hair">
        <color indexed="8"/>
      </top>
      <bottom style="thin">
        <color indexed="64"/>
      </bottom>
      <diagonal/>
    </border>
    <border>
      <left style="thin">
        <color indexed="8"/>
      </left>
      <right style="hair">
        <color indexed="8"/>
      </right>
      <top style="hair">
        <color indexed="8"/>
      </top>
      <bottom style="thin">
        <color indexed="64"/>
      </bottom>
      <diagonal/>
    </border>
    <border>
      <left style="hair">
        <color indexed="8"/>
      </left>
      <right style="thin">
        <color indexed="64"/>
      </right>
      <top style="hair">
        <color indexed="8"/>
      </top>
      <bottom style="hair">
        <color indexed="8"/>
      </bottom>
      <diagonal/>
    </border>
    <border>
      <left/>
      <right style="hair">
        <color indexed="8"/>
      </right>
      <top/>
      <bottom style="hair">
        <color indexed="64"/>
      </bottom>
      <diagonal/>
    </border>
    <border>
      <left style="hair">
        <color indexed="8"/>
      </left>
      <right style="hair">
        <color indexed="8"/>
      </right>
      <top/>
      <bottom style="thin">
        <color indexed="64"/>
      </bottom>
      <diagonal/>
    </border>
    <border>
      <left style="hair">
        <color indexed="8"/>
      </left>
      <right style="hair">
        <color indexed="8"/>
      </right>
      <top style="hair">
        <color indexed="8"/>
      </top>
      <bottom style="hair">
        <color indexed="64"/>
      </bottom>
      <diagonal/>
    </border>
    <border>
      <left style="thin">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hair">
        <color indexed="64"/>
      </right>
      <top style="thin">
        <color indexed="64"/>
      </top>
      <bottom/>
      <diagonal/>
    </border>
    <border>
      <left/>
      <right style="hair">
        <color indexed="8"/>
      </right>
      <top style="thin">
        <color indexed="64"/>
      </top>
      <bottom style="hair">
        <color indexed="8"/>
      </bottom>
      <diagonal/>
    </border>
    <border>
      <left style="hair">
        <color indexed="8"/>
      </left>
      <right/>
      <top style="thin">
        <color indexed="64"/>
      </top>
      <bottom/>
      <diagonal/>
    </border>
    <border>
      <left style="hair">
        <color indexed="8"/>
      </left>
      <right/>
      <top/>
      <bottom style="thin">
        <color indexed="64"/>
      </bottom>
      <diagonal/>
    </border>
    <border>
      <left/>
      <right style="thin">
        <color indexed="8"/>
      </right>
      <top style="hair">
        <color indexed="8"/>
      </top>
      <bottom style="hair">
        <color indexed="8"/>
      </bottom>
      <diagonal/>
    </border>
    <border>
      <left style="thin">
        <color indexed="8"/>
      </left>
      <right style="hair">
        <color indexed="8"/>
      </right>
      <top style="hair">
        <color indexed="8"/>
      </top>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right style="thin">
        <color indexed="8"/>
      </right>
      <top/>
      <bottom/>
      <diagonal/>
    </border>
    <border>
      <left/>
      <right style="thin">
        <color indexed="8"/>
      </right>
      <top/>
      <bottom style="thin">
        <color indexed="8"/>
      </bottom>
      <diagonal/>
    </border>
    <border>
      <left/>
      <right/>
      <top style="thin">
        <color indexed="8"/>
      </top>
      <bottom style="thin">
        <color indexed="8"/>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8"/>
      </left>
      <right style="thin">
        <color indexed="8"/>
      </right>
      <top style="hair">
        <color indexed="8"/>
      </top>
      <bottom style="thin">
        <color indexed="8"/>
      </bottom>
      <diagonal/>
    </border>
    <border>
      <left/>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style="thin">
        <color indexed="8"/>
      </left>
      <right style="thin">
        <color indexed="8"/>
      </right>
      <top/>
      <bottom style="hair">
        <color indexed="8"/>
      </bottom>
      <diagonal/>
    </border>
    <border>
      <left style="hair">
        <color indexed="8"/>
      </left>
      <right/>
      <top/>
      <bottom style="thin">
        <color indexed="8"/>
      </bottom>
      <diagonal/>
    </border>
    <border>
      <left/>
      <right style="hair">
        <color indexed="8"/>
      </right>
      <top/>
      <bottom style="thin">
        <color indexed="8"/>
      </bottom>
      <diagonal/>
    </border>
    <border>
      <left/>
      <right style="hair">
        <color indexed="8"/>
      </right>
      <top style="thin">
        <color indexed="8"/>
      </top>
      <bottom/>
      <diagonal/>
    </border>
    <border>
      <left style="hair">
        <color indexed="8"/>
      </left>
      <right/>
      <top/>
      <bottom style="hair">
        <color indexed="8"/>
      </bottom>
      <diagonal/>
    </border>
    <border>
      <left/>
      <right/>
      <top style="thin">
        <color indexed="8"/>
      </top>
      <bottom style="hair">
        <color indexed="8"/>
      </bottom>
      <diagonal/>
    </border>
    <border>
      <left/>
      <right style="hair">
        <color indexed="8"/>
      </right>
      <top style="hair">
        <color indexed="8"/>
      </top>
      <bottom/>
      <diagonal/>
    </border>
    <border>
      <left/>
      <right style="thin">
        <color indexed="8"/>
      </right>
      <top/>
      <bottom style="hair">
        <color indexed="8"/>
      </bottom>
      <diagonal/>
    </border>
    <border>
      <left/>
      <right style="hair">
        <color indexed="8"/>
      </right>
      <top style="thin">
        <color indexed="8"/>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8"/>
      </right>
      <top/>
      <bottom style="hair">
        <color indexed="8"/>
      </bottom>
      <diagonal/>
    </border>
    <border>
      <left/>
      <right style="thin">
        <color indexed="8"/>
      </right>
      <top style="thin">
        <color indexed="64"/>
      </top>
      <bottom/>
      <diagonal/>
    </border>
    <border>
      <left style="hair">
        <color indexed="8"/>
      </left>
      <right/>
      <top style="thin">
        <color indexed="64"/>
      </top>
      <bottom style="hair">
        <color indexed="8"/>
      </bottom>
      <diagonal/>
    </border>
    <border>
      <left style="hair">
        <color indexed="8"/>
      </left>
      <right/>
      <top style="hair">
        <color indexed="8"/>
      </top>
      <bottom style="thin">
        <color indexed="64"/>
      </bottom>
      <diagonal/>
    </border>
    <border>
      <left/>
      <right style="hair">
        <color indexed="8"/>
      </right>
      <top style="hair">
        <color indexed="8"/>
      </top>
      <bottom style="thin">
        <color indexed="64"/>
      </bottom>
      <diagonal/>
    </border>
    <border>
      <left style="thin">
        <color indexed="64"/>
      </left>
      <right style="hair">
        <color indexed="8"/>
      </right>
      <top style="thin">
        <color indexed="8"/>
      </top>
      <bottom style="hair">
        <color indexed="8"/>
      </bottom>
      <diagonal/>
    </border>
    <border>
      <left/>
      <right/>
      <top/>
      <bottom style="hair">
        <color indexed="8"/>
      </bottom>
      <diagonal/>
    </border>
    <border>
      <left style="thin">
        <color indexed="64"/>
      </left>
      <right style="hair">
        <color indexed="8"/>
      </right>
      <top style="thin">
        <color indexed="64"/>
      </top>
      <bottom style="thin">
        <color indexed="8"/>
      </bottom>
      <diagonal/>
    </border>
    <border>
      <left style="thin">
        <color indexed="8"/>
      </left>
      <right style="hair">
        <color indexed="8"/>
      </right>
      <top style="thin">
        <color indexed="64"/>
      </top>
      <bottom style="thin">
        <color indexed="8"/>
      </bottom>
      <diagonal/>
    </border>
    <border>
      <left style="hair">
        <color indexed="8"/>
      </left>
      <right style="thin">
        <color indexed="8"/>
      </right>
      <top style="thin">
        <color indexed="64"/>
      </top>
      <bottom style="hair">
        <color indexed="8"/>
      </bottom>
      <diagonal/>
    </border>
    <border>
      <left style="thin">
        <color indexed="64"/>
      </left>
      <right style="hair">
        <color indexed="8"/>
      </right>
      <top style="thin">
        <color indexed="8"/>
      </top>
      <bottom style="thin">
        <color indexed="8"/>
      </bottom>
      <diagonal/>
    </border>
    <border>
      <left style="hair">
        <color indexed="8"/>
      </left>
      <right style="thin">
        <color indexed="64"/>
      </right>
      <top style="hair">
        <color indexed="8"/>
      </top>
      <bottom style="thin">
        <color indexed="8"/>
      </bottom>
      <diagonal/>
    </border>
    <border>
      <left style="hair">
        <color indexed="8"/>
      </left>
      <right style="thin">
        <color indexed="64"/>
      </right>
      <top style="thin">
        <color indexed="8"/>
      </top>
      <bottom style="hair">
        <color indexed="8"/>
      </bottom>
      <diagonal/>
    </border>
    <border>
      <left style="thin">
        <color indexed="64"/>
      </left>
      <right style="hair">
        <color indexed="8"/>
      </right>
      <top/>
      <bottom style="hair">
        <color indexed="8"/>
      </bottom>
      <diagonal/>
    </border>
    <border>
      <left style="thin">
        <color indexed="64"/>
      </left>
      <right style="hair">
        <color indexed="8"/>
      </right>
      <top style="hair">
        <color indexed="8"/>
      </top>
      <bottom style="hair">
        <color indexed="8"/>
      </bottom>
      <diagonal/>
    </border>
    <border>
      <left style="thin">
        <color indexed="64"/>
      </left>
      <right style="hair">
        <color indexed="8"/>
      </right>
      <top style="hair">
        <color indexed="8"/>
      </top>
      <bottom/>
      <diagonal/>
    </border>
    <border>
      <left style="thin">
        <color indexed="64"/>
      </left>
      <right style="hair">
        <color indexed="8"/>
      </right>
      <top/>
      <bottom/>
      <diagonal/>
    </border>
    <border>
      <left style="thin">
        <color indexed="64"/>
      </left>
      <right style="hair">
        <color indexed="8"/>
      </right>
      <top/>
      <bottom style="thin">
        <color indexed="8"/>
      </bottom>
      <diagonal/>
    </border>
    <border>
      <left style="hair">
        <color indexed="8"/>
      </left>
      <right style="thin">
        <color indexed="64"/>
      </right>
      <top style="thin">
        <color indexed="8"/>
      </top>
      <bottom style="thin">
        <color indexed="8"/>
      </bottom>
      <diagonal/>
    </border>
    <border>
      <left style="thin">
        <color indexed="64"/>
      </left>
      <right/>
      <top style="thin">
        <color indexed="8"/>
      </top>
      <bottom/>
      <diagonal/>
    </border>
    <border>
      <left style="thin">
        <color indexed="64"/>
      </left>
      <right/>
      <top/>
      <bottom style="hair">
        <color indexed="8"/>
      </bottom>
      <diagonal/>
    </border>
    <border>
      <left/>
      <right style="thin">
        <color indexed="64"/>
      </right>
      <top style="hair">
        <color indexed="8"/>
      </top>
      <bottom/>
      <diagonal/>
    </border>
    <border>
      <left style="hair">
        <color indexed="8"/>
      </left>
      <right style="thin">
        <color indexed="64"/>
      </right>
      <top/>
      <bottom style="hair">
        <color indexed="8"/>
      </bottom>
      <diagonal/>
    </border>
    <border>
      <left style="thin">
        <color indexed="64"/>
      </left>
      <right style="hair">
        <color indexed="8"/>
      </right>
      <top/>
      <bottom style="thin">
        <color indexed="64"/>
      </bottom>
      <diagonal/>
    </border>
    <border>
      <left style="thin">
        <color indexed="8"/>
      </left>
      <right style="hair">
        <color indexed="8"/>
      </right>
      <top/>
      <bottom style="thin">
        <color indexed="64"/>
      </bottom>
      <diagonal/>
    </border>
    <border>
      <left style="hair">
        <color indexed="8"/>
      </left>
      <right style="thin">
        <color indexed="8"/>
      </right>
      <top style="hair">
        <color indexed="8"/>
      </top>
      <bottom style="thin">
        <color indexed="64"/>
      </bottom>
      <diagonal/>
    </border>
    <border>
      <left style="hair">
        <color indexed="8"/>
      </left>
      <right style="thin">
        <color indexed="64"/>
      </right>
      <top/>
      <bottom style="thin">
        <color indexed="64"/>
      </bottom>
      <diagonal/>
    </border>
    <border>
      <left/>
      <right style="thin">
        <color indexed="64"/>
      </right>
      <top style="thin">
        <color indexed="64"/>
      </top>
      <bottom style="hair">
        <color indexed="8"/>
      </bottom>
      <diagonal/>
    </border>
    <border>
      <left/>
      <right style="thin">
        <color indexed="64"/>
      </right>
      <top style="hair">
        <color indexed="8"/>
      </top>
      <bottom style="hair">
        <color indexed="8"/>
      </bottom>
      <diagonal/>
    </border>
    <border>
      <left/>
      <right style="thin">
        <color indexed="64"/>
      </right>
      <top style="hair">
        <color indexed="8"/>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s>
  <cellStyleXfs count="8">
    <xf numFmtId="0" fontId="0" fillId="0" borderId="0">
      <alignment vertical="center"/>
    </xf>
    <xf numFmtId="9" fontId="98" fillId="0" borderId="0" applyFont="0" applyFill="0" applyBorder="0" applyAlignment="0" applyProtection="0">
      <alignment vertical="center"/>
    </xf>
    <xf numFmtId="0" fontId="9" fillId="0" borderId="0" applyNumberFormat="0" applyFill="0" applyBorder="0" applyAlignment="0" applyProtection="0">
      <alignment vertical="top"/>
      <protection locked="0"/>
    </xf>
    <xf numFmtId="43" fontId="134" fillId="0" borderId="0" applyFont="0" applyFill="0" applyBorder="0" applyAlignment="0" applyProtection="0">
      <alignment vertical="center"/>
    </xf>
    <xf numFmtId="0" fontId="181" fillId="27" borderId="0" applyNumberFormat="0" applyBorder="0" applyAlignment="0" applyProtection="0">
      <alignment vertical="center"/>
    </xf>
    <xf numFmtId="0" fontId="7" fillId="0" borderId="0">
      <alignment vertical="center"/>
    </xf>
    <xf numFmtId="0" fontId="9" fillId="0" borderId="0" applyNumberFormat="0" applyFill="0" applyBorder="0" applyProtection="0">
      <alignment vertical="center"/>
    </xf>
    <xf numFmtId="0" fontId="98" fillId="0" borderId="0">
      <alignment vertical="center"/>
    </xf>
  </cellStyleXfs>
  <cellXfs count="4385">
    <xf numFmtId="0" fontId="0" fillId="0" borderId="0" xfId="0">
      <alignment vertical="center"/>
    </xf>
    <xf numFmtId="0" fontId="0" fillId="0" borderId="0" xfId="0">
      <alignment vertical="center"/>
    </xf>
    <xf numFmtId="0" fontId="0" fillId="0" borderId="0" xfId="0" applyAlignment="1" applyProtection="1">
      <alignment vertical="center"/>
      <protection locked="0"/>
    </xf>
    <xf numFmtId="0" fontId="5" fillId="0" borderId="0" xfId="0" applyFont="1" applyAlignment="1" applyProtection="1">
      <alignment vertical="top" wrapText="1"/>
      <protection locked="0"/>
    </xf>
    <xf numFmtId="0" fontId="6" fillId="0" borderId="0" xfId="0" applyFont="1" applyAlignment="1" applyProtection="1">
      <alignment vertical="center"/>
      <protection locked="0"/>
    </xf>
    <xf numFmtId="0" fontId="8" fillId="0" borderId="0" xfId="0" applyFont="1" applyAlignment="1" applyProtection="1">
      <alignment vertical="top" wrapText="1"/>
      <protection locked="0"/>
    </xf>
    <xf numFmtId="0" fontId="7" fillId="0" borderId="0" xfId="0" applyFont="1" applyAlignment="1" applyProtection="1">
      <alignment horizontal="left" vertical="top" wrapText="1"/>
      <protection locked="0"/>
    </xf>
    <xf numFmtId="0" fontId="8" fillId="0" borderId="0" xfId="0" applyFont="1" applyAlignment="1" applyProtection="1">
      <alignment horizontal="left" vertical="center" wrapText="1"/>
      <protection locked="0"/>
    </xf>
    <xf numFmtId="0" fontId="0" fillId="0" borderId="0" xfId="0" applyAlignment="1" applyProtection="1">
      <alignment horizontal="left" vertical="center" wrapText="1"/>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 xfId="0" applyFont="1" applyBorder="1" applyAlignment="1" applyProtection="1">
      <alignment vertical="top"/>
      <protection locked="0"/>
    </xf>
    <xf numFmtId="0" fontId="7" fillId="0" borderId="0" xfId="0" applyFont="1" applyBorder="1" applyAlignment="1" applyProtection="1">
      <alignment vertical="center"/>
      <protection locked="0"/>
    </xf>
    <xf numFmtId="0" fontId="7" fillId="0" borderId="1" xfId="0" applyFont="1" applyBorder="1" applyAlignment="1" applyProtection="1">
      <alignment vertical="top"/>
      <protection locked="0"/>
    </xf>
    <xf numFmtId="0" fontId="0" fillId="0" borderId="1" xfId="0" applyBorder="1" applyAlignment="1" applyProtection="1">
      <alignment vertical="center"/>
      <protection locked="0"/>
    </xf>
    <xf numFmtId="0" fontId="7" fillId="0" borderId="0" xfId="0" applyFont="1" applyBorder="1" applyAlignment="1" applyProtection="1">
      <alignment vertical="top"/>
      <protection locked="0"/>
    </xf>
    <xf numFmtId="0" fontId="2" fillId="0" borderId="0" xfId="0" applyFont="1" applyFill="1" applyAlignment="1" applyProtection="1">
      <alignment vertical="center"/>
      <protection locked="0"/>
    </xf>
    <xf numFmtId="0" fontId="14" fillId="0" borderId="0" xfId="0" applyFont="1" applyFill="1" applyAlignment="1" applyProtection="1">
      <alignment horizontal="center" vertical="center"/>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101" fillId="0" borderId="0" xfId="0" applyFont="1" applyFill="1" applyAlignment="1" applyProtection="1">
      <alignment horizontal="center" vertical="center"/>
      <protection locked="0"/>
    </xf>
    <xf numFmtId="0" fontId="2" fillId="0" borderId="3" xfId="0" applyFont="1" applyFill="1" applyBorder="1" applyAlignment="1" applyProtection="1">
      <alignment horizontal="justify" vertical="center"/>
      <protection locked="0"/>
    </xf>
    <xf numFmtId="0" fontId="14" fillId="2" borderId="0" xfId="0" applyFont="1" applyFill="1" applyAlignment="1" applyProtection="1">
      <alignment horizontal="center" vertical="center"/>
      <protection locked="0"/>
    </xf>
    <xf numFmtId="0" fontId="14" fillId="3" borderId="0" xfId="0" applyFont="1" applyFill="1" applyAlignment="1" applyProtection="1">
      <alignment horizontal="center" vertical="center"/>
      <protection locked="0"/>
    </xf>
    <xf numFmtId="0" fontId="14" fillId="4" borderId="0" xfId="0" applyFont="1" applyFill="1" applyAlignment="1" applyProtection="1">
      <alignment horizontal="center" vertical="center"/>
      <protection locked="0"/>
    </xf>
    <xf numFmtId="0" fontId="2" fillId="0" borderId="3" xfId="0" applyFont="1" applyFill="1" applyBorder="1" applyAlignment="1" applyProtection="1">
      <alignment horizontal="left" vertical="center" wrapText="1"/>
      <protection locked="0"/>
    </xf>
    <xf numFmtId="0" fontId="2" fillId="0" borderId="0" xfId="0" applyFont="1" applyFill="1" applyAlignment="1" applyProtection="1">
      <alignment horizontal="center" vertical="center"/>
      <protection locked="0"/>
    </xf>
    <xf numFmtId="0" fontId="102" fillId="0" borderId="3" xfId="0" applyFont="1" applyFill="1" applyBorder="1" applyAlignment="1" applyProtection="1">
      <alignment horizontal="left" vertical="center" wrapText="1"/>
      <protection locked="0"/>
    </xf>
    <xf numFmtId="0" fontId="102" fillId="0" borderId="3" xfId="0" applyFont="1" applyFill="1" applyBorder="1" applyAlignment="1" applyProtection="1">
      <alignment horizontal="center" vertical="center"/>
      <protection locked="0"/>
    </xf>
    <xf numFmtId="0" fontId="102" fillId="0" borderId="0" xfId="0" applyFont="1" applyFill="1" applyAlignment="1" applyProtection="1">
      <alignment vertical="center"/>
      <protection locked="0"/>
    </xf>
    <xf numFmtId="0" fontId="2" fillId="0" borderId="0" xfId="0" applyFont="1" applyAlignment="1" applyProtection="1">
      <alignment vertical="center"/>
      <protection locked="0"/>
    </xf>
    <xf numFmtId="0" fontId="99" fillId="0" borderId="0" xfId="0" applyFont="1" applyAlignment="1" applyProtection="1">
      <alignment vertical="center"/>
      <protection locked="0"/>
    </xf>
    <xf numFmtId="0" fontId="2" fillId="0" borderId="9" xfId="0" applyFont="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2" fillId="0" borderId="17" xfId="0" applyFont="1" applyFill="1" applyBorder="1" applyAlignment="1" applyProtection="1">
      <alignment horizontal="center" vertical="center"/>
      <protection locked="0"/>
    </xf>
    <xf numFmtId="0" fontId="14"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17" xfId="0"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right" vertical="center"/>
      <protection locked="0"/>
    </xf>
    <xf numFmtId="177" fontId="2" fillId="0" borderId="3" xfId="0" applyNumberFormat="1" applyFont="1" applyFill="1" applyBorder="1" applyAlignment="1" applyProtection="1">
      <alignment horizontal="right" vertical="center"/>
      <protection locked="0"/>
    </xf>
    <xf numFmtId="0" fontId="14" fillId="0" borderId="0" xfId="0" applyFont="1" applyFill="1" applyAlignment="1" applyProtection="1">
      <alignment vertical="center"/>
      <protection locked="0"/>
    </xf>
    <xf numFmtId="0" fontId="14" fillId="0" borderId="0" xfId="0" applyFont="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6" fillId="0" borderId="0" xfId="0" applyFont="1" applyBorder="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pplyProtection="1">
      <alignment horizontal="center" vertical="center"/>
      <protection locked="0"/>
    </xf>
    <xf numFmtId="0" fontId="6" fillId="0" borderId="0" xfId="0" applyFont="1" applyAlignment="1" applyProtection="1">
      <alignment vertical="center" wrapText="1"/>
      <protection locked="0"/>
    </xf>
    <xf numFmtId="0" fontId="19" fillId="5" borderId="0" xfId="0" applyFont="1" applyFill="1" applyAlignment="1" applyProtection="1">
      <alignment horizontal="center" vertical="center"/>
      <protection locked="0"/>
    </xf>
    <xf numFmtId="0" fontId="2" fillId="0" borderId="3" xfId="0" applyFont="1" applyFill="1" applyBorder="1" applyAlignment="1" applyProtection="1">
      <alignment vertical="center"/>
      <protection locked="0"/>
    </xf>
    <xf numFmtId="0" fontId="20" fillId="0" borderId="0" xfId="0" applyFont="1" applyFill="1" applyBorder="1" applyAlignment="1" applyProtection="1">
      <alignment vertical="center"/>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0" xfId="0" applyFont="1" applyFill="1" applyAlignment="1" applyProtection="1">
      <alignment vertical="center"/>
      <protection locked="0"/>
    </xf>
    <xf numFmtId="0" fontId="2" fillId="0" borderId="3" xfId="0" applyFont="1" applyFill="1" applyBorder="1" applyAlignment="1" applyProtection="1">
      <alignment horizontal="center" vertical="center" wrapText="1"/>
      <protection locked="0"/>
    </xf>
    <xf numFmtId="0" fontId="2" fillId="0" borderId="18" xfId="0"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center" vertical="center"/>
      <protection locked="0"/>
    </xf>
    <xf numFmtId="177" fontId="2" fillId="0" borderId="18" xfId="0" applyNumberFormat="1"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177" fontId="4" fillId="0" borderId="3" xfId="0" applyNumberFormat="1" applyFont="1" applyFill="1" applyBorder="1" applyAlignment="1" applyProtection="1">
      <alignment horizontal="center" vertical="center"/>
      <protection locked="0"/>
    </xf>
    <xf numFmtId="0" fontId="2" fillId="5" borderId="3" xfId="0" applyFont="1" applyFill="1" applyBorder="1" applyAlignment="1" applyProtection="1">
      <alignment vertical="center" wrapText="1"/>
      <protection locked="0"/>
    </xf>
    <xf numFmtId="0" fontId="4" fillId="0" borderId="5" xfId="0" applyFont="1" applyFill="1" applyBorder="1" applyAlignment="1" applyProtection="1">
      <alignment horizontal="center" vertical="center"/>
      <protection locked="0"/>
    </xf>
    <xf numFmtId="177" fontId="4" fillId="0" borderId="19" xfId="0" applyNumberFormat="1" applyFont="1" applyFill="1" applyBorder="1" applyAlignment="1" applyProtection="1">
      <alignment horizontal="center" vertical="center"/>
      <protection locked="0"/>
    </xf>
    <xf numFmtId="177" fontId="4" fillId="0" borderId="5" xfId="0" applyNumberFormat="1" applyFont="1" applyFill="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7" fillId="0" borderId="0" xfId="0" applyFont="1" applyFill="1" applyBorder="1" applyAlignment="1" applyProtection="1">
      <alignment vertical="center"/>
      <protection locked="0"/>
    </xf>
    <xf numFmtId="0" fontId="7" fillId="0" borderId="0" xfId="0" applyFont="1" applyFill="1" applyBorder="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7" fillId="0" borderId="0" xfId="0" applyFont="1" applyAlignment="1" applyProtection="1">
      <alignment vertical="center"/>
      <protection locked="0"/>
    </xf>
    <xf numFmtId="0" fontId="2" fillId="0" borderId="3" xfId="0" applyFont="1" applyBorder="1" applyAlignment="1" applyProtection="1">
      <alignment horizontal="center" vertical="center"/>
      <protection locked="0"/>
    </xf>
    <xf numFmtId="0" fontId="2"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3" xfId="0" applyFont="1" applyBorder="1" applyAlignment="1" applyProtection="1">
      <alignment vertical="center"/>
      <protection locked="0"/>
    </xf>
    <xf numFmtId="0" fontId="2" fillId="0" borderId="3" xfId="0" applyFont="1" applyFill="1" applyBorder="1" applyAlignment="1" applyProtection="1">
      <alignment vertical="center"/>
      <protection locked="0"/>
    </xf>
    <xf numFmtId="0" fontId="2" fillId="0" borderId="5"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177" fontId="2" fillId="0" borderId="3" xfId="0" applyNumberFormat="1"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0" xfId="0" applyFont="1" applyFill="1" applyAlignment="1" applyProtection="1">
      <alignment vertical="center"/>
      <protection locked="0"/>
    </xf>
    <xf numFmtId="0" fontId="0" fillId="0" borderId="0" xfId="0" applyAlignment="1" applyProtection="1">
      <alignment vertical="center" wrapText="1"/>
      <protection locked="0"/>
    </xf>
    <xf numFmtId="0" fontId="2" fillId="0" borderId="0" xfId="0" applyFont="1" applyAlignment="1" applyProtection="1">
      <alignment horizontal="center" vertical="center" wrapText="1"/>
      <protection locked="0"/>
    </xf>
    <xf numFmtId="0" fontId="2" fillId="0" borderId="0" xfId="0" applyFont="1" applyAlignment="1" applyProtection="1">
      <alignment horizontal="center" vertical="center"/>
      <protection locked="0"/>
    </xf>
    <xf numFmtId="0" fontId="7" fillId="0" borderId="0" xfId="0" applyFont="1" applyAlignment="1" applyProtection="1">
      <alignment horizontal="center" vertical="center"/>
      <protection locked="0"/>
    </xf>
    <xf numFmtId="0" fontId="7" fillId="0" borderId="0" xfId="0" applyFont="1" applyFill="1" applyAlignment="1" applyProtection="1">
      <alignment horizontal="left" vertical="center" wrapText="1"/>
      <protection locked="0"/>
    </xf>
    <xf numFmtId="0" fontId="2" fillId="0" borderId="17"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3" xfId="0" applyFont="1" applyFill="1" applyBorder="1" applyAlignment="1" applyProtection="1">
      <alignment horizontal="left" vertical="center" wrapText="1"/>
      <protection locked="0"/>
    </xf>
    <xf numFmtId="0" fontId="2" fillId="0" borderId="18" xfId="0" applyFont="1" applyFill="1" applyBorder="1" applyAlignment="1" applyProtection="1">
      <alignment vertical="center"/>
      <protection locked="0"/>
    </xf>
    <xf numFmtId="0" fontId="9" fillId="0" borderId="0" xfId="2" applyFill="1" applyAlignment="1" applyProtection="1">
      <alignment horizontal="left"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40" fontId="2" fillId="0" borderId="3" xfId="0" applyNumberFormat="1" applyFont="1" applyFill="1" applyBorder="1" applyAlignment="1" applyProtection="1">
      <alignment horizontal="right" vertical="center"/>
      <protection locked="0"/>
    </xf>
    <xf numFmtId="40" fontId="4" fillId="0" borderId="3" xfId="0" applyNumberFormat="1" applyFont="1" applyFill="1" applyBorder="1" applyAlignment="1" applyProtection="1">
      <alignment horizontal="right" vertical="center"/>
      <protection locked="0"/>
    </xf>
    <xf numFmtId="40" fontId="4" fillId="0" borderId="3" xfId="0" applyNumberFormat="1" applyFont="1" applyFill="1" applyBorder="1" applyAlignment="1" applyProtection="1">
      <alignment horizontal="center" vertical="center"/>
      <protection locked="0"/>
    </xf>
    <xf numFmtId="0" fontId="7" fillId="0" borderId="0" xfId="0" applyFont="1" applyFill="1" applyProtection="1">
      <alignment vertical="center"/>
      <protection locked="0"/>
    </xf>
    <xf numFmtId="40" fontId="2" fillId="0" borderId="3" xfId="0" applyNumberFormat="1" applyFont="1" applyFill="1" applyBorder="1" applyAlignment="1" applyProtection="1">
      <alignment horizontal="center" vertical="center"/>
      <protection locked="0"/>
    </xf>
    <xf numFmtId="40" fontId="22" fillId="0" borderId="3" xfId="0" applyNumberFormat="1" applyFont="1" applyFill="1" applyBorder="1" applyAlignment="1" applyProtection="1">
      <alignment horizontal="right"/>
      <protection locked="0"/>
    </xf>
    <xf numFmtId="40" fontId="22" fillId="0" borderId="3" xfId="0" applyNumberFormat="1" applyFont="1" applyFill="1" applyBorder="1" applyProtection="1">
      <alignment vertical="center"/>
      <protection locked="0"/>
    </xf>
    <xf numFmtId="177" fontId="4" fillId="0" borderId="5" xfId="0" applyNumberFormat="1" applyFont="1" applyFill="1" applyBorder="1" applyAlignment="1" applyProtection="1">
      <alignment horizontal="center" vertical="center"/>
    </xf>
    <xf numFmtId="0" fontId="23" fillId="0" borderId="0" xfId="0" applyFont="1" applyAlignment="1" applyProtection="1">
      <alignment vertical="center"/>
      <protection locked="0"/>
    </xf>
    <xf numFmtId="0" fontId="23" fillId="0" borderId="3" xfId="0" applyFont="1" applyFill="1" applyBorder="1" applyAlignment="1" applyProtection="1">
      <alignment horizontal="center" vertical="center"/>
      <protection locked="0"/>
    </xf>
    <xf numFmtId="177" fontId="23" fillId="0" borderId="3" xfId="0" applyNumberFormat="1" applyFont="1" applyFill="1" applyBorder="1" applyAlignment="1" applyProtection="1">
      <alignment horizontal="center" vertical="center"/>
      <protection locked="0"/>
    </xf>
    <xf numFmtId="177" fontId="23" fillId="0" borderId="3" xfId="0" applyNumberFormat="1" applyFont="1" applyFill="1" applyBorder="1" applyAlignment="1" applyProtection="1">
      <alignment horizontal="right" vertical="center"/>
      <protection locked="0"/>
    </xf>
    <xf numFmtId="0" fontId="23" fillId="0" borderId="3" xfId="0" applyFont="1" applyFill="1" applyBorder="1" applyAlignment="1" applyProtection="1">
      <alignment horizontal="justify" vertical="center"/>
      <protection locked="0"/>
    </xf>
    <xf numFmtId="0" fontId="23" fillId="0" borderId="3" xfId="0" applyFont="1" applyFill="1" applyBorder="1" applyAlignment="1" applyProtection="1">
      <alignment vertical="center"/>
      <protection locked="0"/>
    </xf>
    <xf numFmtId="0" fontId="23" fillId="0" borderId="3" xfId="0" applyFont="1" applyFill="1" applyBorder="1" applyAlignment="1" applyProtection="1">
      <alignment horizontal="left" vertical="center" wrapText="1"/>
      <protection locked="0"/>
    </xf>
    <xf numFmtId="0" fontId="23" fillId="0" borderId="3" xfId="0" applyFont="1" applyFill="1" applyBorder="1" applyAlignment="1" applyProtection="1">
      <alignment horizontal="center" vertical="center"/>
      <protection locked="0"/>
    </xf>
    <xf numFmtId="177" fontId="23" fillId="0" borderId="3" xfId="0" applyNumberFormat="1" applyFont="1" applyFill="1" applyBorder="1" applyAlignment="1" applyProtection="1">
      <alignment vertical="center"/>
      <protection locked="0"/>
    </xf>
    <xf numFmtId="0" fontId="23" fillId="0" borderId="0" xfId="0" applyFont="1" applyFill="1" applyAlignment="1" applyProtection="1">
      <alignment vertical="center"/>
      <protection locked="0"/>
    </xf>
    <xf numFmtId="0" fontId="35" fillId="0" borderId="3" xfId="0" applyFont="1" applyFill="1" applyBorder="1" applyAlignment="1" applyProtection="1">
      <alignment horizontal="center" vertical="center"/>
      <protection locked="0"/>
    </xf>
    <xf numFmtId="177" fontId="43" fillId="0" borderId="3" xfId="0" applyNumberFormat="1" applyFont="1" applyFill="1" applyBorder="1" applyAlignment="1" applyProtection="1">
      <alignment vertical="center" wrapText="1"/>
      <protection locked="0"/>
    </xf>
    <xf numFmtId="0" fontId="35" fillId="0" borderId="3" xfId="0" applyFont="1" applyFill="1" applyBorder="1" applyAlignment="1" applyProtection="1">
      <alignment horizontal="left" vertical="center"/>
      <protection locked="0"/>
    </xf>
    <xf numFmtId="0" fontId="35" fillId="0" borderId="3" xfId="0" applyFont="1" applyFill="1" applyBorder="1" applyAlignment="1" applyProtection="1">
      <alignment horizontal="center" vertical="center"/>
      <protection locked="0"/>
    </xf>
    <xf numFmtId="177" fontId="35" fillId="0" borderId="3" xfId="0" applyNumberFormat="1" applyFont="1" applyFill="1" applyBorder="1" applyAlignment="1" applyProtection="1">
      <alignment horizontal="center" vertical="center"/>
      <protection locked="0"/>
    </xf>
    <xf numFmtId="0" fontId="35" fillId="0" borderId="3" xfId="0" applyFont="1" applyFill="1" applyBorder="1" applyAlignment="1" applyProtection="1">
      <alignment horizontal="left" vertical="center" wrapText="1"/>
      <protection locked="0"/>
    </xf>
    <xf numFmtId="0" fontId="35" fillId="0" borderId="3" xfId="0" applyFont="1" applyFill="1" applyBorder="1" applyAlignment="1" applyProtection="1">
      <alignment horizontal="center" vertical="center"/>
      <protection locked="0"/>
    </xf>
    <xf numFmtId="177" fontId="35" fillId="0" borderId="3" xfId="0" applyNumberFormat="1" applyFont="1" applyFill="1" applyBorder="1" applyAlignment="1" applyProtection="1">
      <alignment horizontal="right" vertical="center"/>
      <protection locked="0"/>
    </xf>
    <xf numFmtId="0" fontId="36" fillId="0" borderId="0" xfId="0" applyFont="1" applyFill="1" applyAlignment="1" applyProtection="1">
      <alignment horizontal="center" vertical="center"/>
      <protection locked="0"/>
    </xf>
    <xf numFmtId="0" fontId="35" fillId="0" borderId="3" xfId="0" applyFont="1" applyFill="1" applyBorder="1" applyAlignment="1" applyProtection="1">
      <alignment horizontal="left" vertical="center" wrapText="1"/>
      <protection locked="0"/>
    </xf>
    <xf numFmtId="0" fontId="35" fillId="0" borderId="20" xfId="0" applyFont="1" applyFill="1" applyBorder="1" applyAlignment="1" applyProtection="1">
      <alignment horizontal="center" vertical="center"/>
      <protection locked="0"/>
    </xf>
    <xf numFmtId="177" fontId="38" fillId="0" borderId="3" xfId="0" applyNumberFormat="1" applyFont="1" applyFill="1" applyBorder="1" applyAlignment="1" applyProtection="1">
      <alignment horizontal="center" vertical="center"/>
      <protection locked="0"/>
    </xf>
    <xf numFmtId="0" fontId="35" fillId="0" borderId="3" xfId="0" applyFont="1" applyFill="1" applyBorder="1" applyAlignment="1" applyProtection="1">
      <alignment horizontal="center" vertical="center"/>
      <protection locked="0"/>
    </xf>
    <xf numFmtId="177" fontId="43" fillId="0" borderId="3" xfId="0" applyNumberFormat="1" applyFont="1" applyFill="1" applyBorder="1" applyAlignment="1" applyProtection="1">
      <alignment horizontal="center" vertical="center"/>
      <protection locked="0"/>
    </xf>
    <xf numFmtId="0" fontId="50" fillId="0" borderId="0" xfId="0" applyFont="1" applyFill="1" applyProtection="1">
      <alignment vertical="center"/>
      <protection locked="0"/>
    </xf>
    <xf numFmtId="0" fontId="49" fillId="0" borderId="0" xfId="0" applyFont="1" applyFill="1" applyProtection="1">
      <alignment vertical="center"/>
      <protection locked="0"/>
    </xf>
    <xf numFmtId="0" fontId="45" fillId="0" borderId="5" xfId="0" applyFont="1" applyFill="1" applyBorder="1" applyAlignment="1" applyProtection="1">
      <alignment horizontal="center" vertical="center"/>
      <protection locked="0"/>
    </xf>
    <xf numFmtId="0" fontId="45" fillId="0" borderId="5" xfId="0" applyFont="1" applyFill="1" applyBorder="1" applyAlignment="1" applyProtection="1">
      <alignment horizontal="center" vertical="center" wrapText="1"/>
      <protection locked="0"/>
    </xf>
    <xf numFmtId="0" fontId="45" fillId="0" borderId="3" xfId="0" applyFont="1" applyFill="1" applyBorder="1" applyAlignment="1" applyProtection="1">
      <alignment horizontal="center" vertical="center" wrapText="1"/>
      <protection locked="0"/>
    </xf>
    <xf numFmtId="0" fontId="45" fillId="0" borderId="20" xfId="0" applyFont="1" applyFill="1" applyBorder="1" applyAlignment="1" applyProtection="1">
      <alignment horizontal="center" vertical="center" wrapText="1"/>
      <protection locked="0"/>
    </xf>
    <xf numFmtId="0" fontId="49" fillId="0" borderId="0" xfId="0" applyFont="1" applyFill="1" applyAlignment="1" applyProtection="1">
      <alignment wrapText="1"/>
      <protection locked="0"/>
    </xf>
    <xf numFmtId="0" fontId="45" fillId="0" borderId="3" xfId="0" applyFont="1" applyFill="1" applyBorder="1" applyAlignment="1" applyProtection="1">
      <alignment horizontal="center" vertical="center"/>
      <protection locked="0"/>
    </xf>
    <xf numFmtId="177" fontId="45" fillId="0" borderId="3" xfId="0" applyNumberFormat="1" applyFont="1" applyFill="1" applyBorder="1" applyProtection="1">
      <alignment vertical="center"/>
      <protection locked="0"/>
    </xf>
    <xf numFmtId="177" fontId="49" fillId="0" borderId="3" xfId="0" applyNumberFormat="1" applyFont="1" applyFill="1" applyBorder="1" applyProtection="1">
      <alignment vertical="center"/>
      <protection locked="0"/>
    </xf>
    <xf numFmtId="177" fontId="52" fillId="0" borderId="3" xfId="0" applyNumberFormat="1" applyFont="1" applyFill="1" applyBorder="1" applyProtection="1">
      <alignment vertical="center"/>
      <protection locked="0"/>
    </xf>
    <xf numFmtId="0" fontId="45" fillId="0" borderId="0" xfId="0" applyFont="1" applyFill="1" applyBorder="1" applyAlignment="1" applyProtection="1">
      <alignment horizontal="center" vertical="center"/>
      <protection locked="0"/>
    </xf>
    <xf numFmtId="0" fontId="45" fillId="0" borderId="5" xfId="0" applyFont="1" applyFill="1" applyBorder="1" applyAlignment="1" applyProtection="1">
      <alignment vertical="center" wrapText="1"/>
      <protection locked="0"/>
    </xf>
    <xf numFmtId="177" fontId="45" fillId="0" borderId="0" xfId="0" applyNumberFormat="1" applyFont="1" applyFill="1" applyBorder="1" applyAlignment="1" applyProtection="1">
      <alignment horizontal="center" vertical="center" wrapText="1"/>
      <protection locked="0"/>
    </xf>
    <xf numFmtId="177" fontId="45" fillId="0" borderId="0" xfId="0" applyNumberFormat="1" applyFont="1" applyFill="1" applyBorder="1" applyAlignment="1" applyProtection="1">
      <alignment horizontal="right" vertical="center"/>
    </xf>
    <xf numFmtId="0" fontId="49" fillId="0" borderId="0" xfId="0" applyFont="1" applyFill="1" applyBorder="1" applyProtection="1">
      <alignment vertical="center"/>
      <protection locked="0"/>
    </xf>
    <xf numFmtId="177" fontId="45" fillId="0" borderId="3" xfId="0" applyNumberFormat="1" applyFont="1" applyFill="1" applyBorder="1" applyAlignment="1" applyProtection="1">
      <alignment horizontal="right" vertical="center"/>
    </xf>
    <xf numFmtId="0" fontId="0" fillId="0" borderId="0" xfId="0" applyFill="1">
      <alignment vertical="center"/>
    </xf>
    <xf numFmtId="0" fontId="54" fillId="0" borderId="0" xfId="0" applyFont="1" applyFill="1" applyProtection="1">
      <alignment vertical="center"/>
      <protection locked="0"/>
    </xf>
    <xf numFmtId="0" fontId="52" fillId="0" borderId="0" xfId="0" applyFont="1" applyFill="1" applyProtection="1">
      <alignment vertical="center"/>
      <protection locked="0"/>
    </xf>
    <xf numFmtId="0" fontId="45" fillId="0" borderId="0" xfId="0" applyFont="1" applyFill="1" applyProtection="1">
      <alignment vertical="center"/>
      <protection locked="0"/>
    </xf>
    <xf numFmtId="0" fontId="45" fillId="0" borderId="3" xfId="0" applyFont="1" applyFill="1" applyBorder="1" applyAlignment="1" applyProtection="1">
      <alignment vertical="center" wrapText="1"/>
      <protection locked="0"/>
    </xf>
    <xf numFmtId="0" fontId="45" fillId="0" borderId="5" xfId="0" applyFont="1" applyFill="1" applyBorder="1" applyAlignment="1" applyProtection="1">
      <alignment horizontal="left" vertical="center" wrapText="1"/>
      <protection locked="0"/>
    </xf>
    <xf numFmtId="177" fontId="45" fillId="0" borderId="3" xfId="0" applyNumberFormat="1" applyFont="1" applyFill="1" applyBorder="1" applyAlignment="1" applyProtection="1">
      <alignment horizontal="right" vertical="center"/>
      <protection locked="0"/>
    </xf>
    <xf numFmtId="0" fontId="49" fillId="0" borderId="0" xfId="0" applyFont="1" applyFill="1" applyProtection="1">
      <alignment vertical="center"/>
      <protection locked="0"/>
    </xf>
    <xf numFmtId="0" fontId="45" fillId="0" borderId="0" xfId="0" applyFont="1" applyFill="1" applyAlignment="1" applyProtection="1">
      <alignment vertical="center"/>
      <protection locked="0"/>
    </xf>
    <xf numFmtId="0" fontId="45" fillId="0" borderId="0" xfId="0" applyFont="1" applyFill="1" applyAlignment="1" applyProtection="1">
      <alignment horizontal="center" vertical="center"/>
      <protection locked="0"/>
    </xf>
    <xf numFmtId="0" fontId="49" fillId="0" borderId="0" xfId="0" applyFont="1" applyFill="1" applyAlignment="1" applyProtection="1">
      <alignment vertical="center"/>
      <protection locked="0"/>
    </xf>
    <xf numFmtId="0" fontId="49" fillId="0" borderId="0" xfId="0" applyFont="1" applyFill="1" applyAlignment="1" applyProtection="1">
      <alignment horizontal="center" vertical="center"/>
      <protection locked="0"/>
    </xf>
    <xf numFmtId="0" fontId="49" fillId="0" borderId="0" xfId="0" applyFont="1" applyFill="1" applyAlignment="1" applyProtection="1">
      <alignment vertical="center" wrapText="1"/>
      <protection locked="0"/>
    </xf>
    <xf numFmtId="0" fontId="50" fillId="0" borderId="0" xfId="0" applyFont="1" applyFill="1" applyBorder="1" applyAlignment="1" applyProtection="1">
      <alignment horizontal="right" vertical="center"/>
      <protection locked="0"/>
    </xf>
    <xf numFmtId="0" fontId="54" fillId="0" borderId="0" xfId="0" applyFont="1" applyFill="1" applyBorder="1" applyAlignment="1" applyProtection="1">
      <alignment horizontal="right" vertical="center"/>
      <protection locked="0"/>
    </xf>
    <xf numFmtId="0" fontId="45" fillId="0" borderId="0" xfId="0" applyFont="1" applyFill="1" applyBorder="1" applyAlignment="1" applyProtection="1">
      <alignment horizontal="right" vertical="center"/>
      <protection locked="0"/>
    </xf>
    <xf numFmtId="0" fontId="45" fillId="0" borderId="0" xfId="0" applyFont="1" applyFill="1" applyBorder="1" applyAlignment="1" applyProtection="1">
      <alignment horizontal="left" vertical="center"/>
      <protection locked="0"/>
    </xf>
    <xf numFmtId="49" fontId="45" fillId="0" borderId="5" xfId="0" applyNumberFormat="1"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177" fontId="2" fillId="0" borderId="3" xfId="0" applyNumberFormat="1" applyFont="1" applyFill="1" applyBorder="1" applyAlignment="1" applyProtection="1">
      <alignment vertical="center"/>
      <protection locked="0"/>
    </xf>
    <xf numFmtId="0" fontId="2" fillId="0" borderId="0" xfId="0" applyFont="1" applyFill="1" applyAlignment="1" applyProtection="1">
      <protection locked="0"/>
    </xf>
    <xf numFmtId="0" fontId="7" fillId="0" borderId="0" xfId="0" applyFont="1" applyFill="1" applyAlignment="1" applyProtection="1">
      <protection locked="0"/>
    </xf>
    <xf numFmtId="0" fontId="2" fillId="0" borderId="0" xfId="0" applyFont="1" applyFill="1" applyAlignment="1" applyProtection="1">
      <alignment vertical="center" wrapText="1"/>
      <protection locked="0"/>
    </xf>
    <xf numFmtId="0" fontId="57" fillId="0" borderId="0" xfId="0" applyFont="1" applyFill="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0" xfId="0" applyFont="1" applyFill="1" applyAlignment="1" applyProtection="1">
      <alignment horizontal="center" vertical="center" wrapText="1"/>
      <protection locked="0"/>
    </xf>
    <xf numFmtId="0" fontId="2" fillId="0" borderId="3" xfId="0" applyFont="1" applyFill="1" applyBorder="1" applyAlignment="1" applyProtection="1">
      <alignment vertical="center" wrapText="1"/>
      <protection locked="0"/>
    </xf>
    <xf numFmtId="177" fontId="2" fillId="0" borderId="3" xfId="0" applyNumberFormat="1" applyFont="1" applyFill="1" applyBorder="1" applyAlignment="1" applyProtection="1">
      <alignment vertical="center" wrapText="1"/>
      <protection locked="0"/>
    </xf>
    <xf numFmtId="0" fontId="57" fillId="0" borderId="0" xfId="0" applyFont="1" applyFill="1" applyAlignment="1" applyProtection="1">
      <alignment horizontal="left" vertical="center" wrapText="1"/>
      <protection locked="0"/>
    </xf>
    <xf numFmtId="0" fontId="57" fillId="0" borderId="0" xfId="0" applyFont="1" applyFill="1" applyAlignment="1" applyProtection="1">
      <alignment vertical="center"/>
      <protection locked="0"/>
    </xf>
    <xf numFmtId="0" fontId="59" fillId="0" borderId="0" xfId="0" applyFont="1" applyFill="1" applyAlignment="1" applyProtection="1">
      <alignment vertical="center" wrapText="1"/>
      <protection locked="0"/>
    </xf>
    <xf numFmtId="0" fontId="2" fillId="0" borderId="0" xfId="0" applyFont="1" applyFill="1" applyBorder="1" applyAlignment="1" applyProtection="1">
      <alignment vertical="center"/>
      <protection locked="0"/>
    </xf>
    <xf numFmtId="0" fontId="58" fillId="0" borderId="0" xfId="0" applyFont="1" applyFill="1" applyBorder="1" applyAlignment="1" applyProtection="1">
      <alignment vertical="center"/>
      <protection locked="0"/>
    </xf>
    <xf numFmtId="0" fontId="15" fillId="0" borderId="0" xfId="0" applyFont="1" applyFill="1" applyAlignment="1" applyProtection="1">
      <alignmen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protection locked="0"/>
    </xf>
    <xf numFmtId="0" fontId="15" fillId="0" borderId="0" xfId="0" applyFont="1" applyFill="1" applyProtection="1">
      <alignment vertical="center"/>
      <protection locked="0"/>
    </xf>
    <xf numFmtId="0" fontId="11" fillId="0" borderId="0" xfId="0" applyFont="1" applyFill="1" applyProtection="1">
      <alignment vertical="center"/>
      <protection locked="0"/>
    </xf>
    <xf numFmtId="0" fontId="2" fillId="0" borderId="0" xfId="0" applyFont="1" applyFill="1" applyProtection="1">
      <alignment vertical="center"/>
      <protection locked="0"/>
    </xf>
    <xf numFmtId="0" fontId="57" fillId="0" borderId="0" xfId="0" applyFont="1" applyFill="1" applyProtection="1">
      <alignment vertical="center"/>
      <protection locked="0"/>
    </xf>
    <xf numFmtId="0" fontId="14" fillId="0" borderId="0" xfId="0" applyFont="1" applyFill="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0" xfId="0" applyFont="1" applyFill="1" applyAlignment="1" applyProtection="1">
      <alignment vertical="center"/>
      <protection locked="0"/>
    </xf>
    <xf numFmtId="0" fontId="7" fillId="0" borderId="0" xfId="0" applyFont="1" applyFill="1" applyAlignment="1" applyProtection="1">
      <alignment vertical="center"/>
      <protection locked="0"/>
    </xf>
    <xf numFmtId="0" fontId="0" fillId="0" borderId="0" xfId="0" applyFill="1" applyAlignment="1" applyProtection="1">
      <alignment vertical="center"/>
      <protection locked="0"/>
    </xf>
    <xf numFmtId="0" fontId="2" fillId="0" borderId="0" xfId="0" applyFont="1" applyFill="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14" fillId="0" borderId="0" xfId="0" applyFont="1" applyAlignment="1" applyProtection="1">
      <alignment horizontal="center"/>
      <protection locked="0"/>
    </xf>
    <xf numFmtId="0" fontId="68" fillId="0" borderId="3" xfId="2" applyFont="1" applyFill="1" applyBorder="1" applyAlignment="1" applyProtection="1">
      <alignment horizontal="center" vertical="center"/>
      <protection locked="0"/>
    </xf>
    <xf numFmtId="0" fontId="68" fillId="0" borderId="3" xfId="2" applyFont="1" applyFill="1" applyBorder="1" applyAlignment="1" applyProtection="1">
      <alignment horizontal="center" vertical="center" wrapText="1"/>
      <protection locked="0"/>
    </xf>
    <xf numFmtId="0" fontId="67" fillId="0" borderId="0" xfId="0" applyFont="1" applyFill="1" applyBorder="1" applyAlignment="1" applyProtection="1">
      <alignment horizontal="left" vertical="center"/>
      <protection locked="0"/>
    </xf>
    <xf numFmtId="0" fontId="104" fillId="0" borderId="3" xfId="2" applyFont="1" applyFill="1" applyBorder="1" applyAlignment="1" applyProtection="1">
      <alignment horizontal="center" vertical="center"/>
      <protection locked="0"/>
    </xf>
    <xf numFmtId="0" fontId="67" fillId="0" borderId="0" xfId="0" applyFont="1" applyFill="1" applyAlignment="1" applyProtection="1">
      <alignment horizontal="center" vertical="center"/>
      <protection locked="0"/>
    </xf>
    <xf numFmtId="0" fontId="2" fillId="0" borderId="5" xfId="0" applyFont="1" applyBorder="1" applyAlignment="1" applyProtection="1">
      <alignment horizontal="center" vertical="center"/>
      <protection locked="0"/>
    </xf>
    <xf numFmtId="177" fontId="1" fillId="0" borderId="3" xfId="0" applyNumberFormat="1" applyFont="1" applyFill="1" applyBorder="1" applyAlignment="1" applyProtection="1">
      <alignment horizontal="center" vertical="center"/>
      <protection locked="0"/>
    </xf>
    <xf numFmtId="0" fontId="2" fillId="0" borderId="5" xfId="0" applyFont="1" applyBorder="1" applyAlignment="1" applyProtection="1">
      <alignment vertical="center" wrapText="1"/>
      <protection locked="0"/>
    </xf>
    <xf numFmtId="2" fontId="67" fillId="0" borderId="9" xfId="0" applyNumberFormat="1" applyFont="1" applyFill="1" applyBorder="1" applyAlignment="1">
      <alignment vertical="center" wrapText="1"/>
    </xf>
    <xf numFmtId="177" fontId="2" fillId="0" borderId="3" xfId="0" applyNumberFormat="1" applyFont="1" applyFill="1" applyBorder="1" applyAlignment="1" applyProtection="1">
      <alignment horizontal="right" vertical="center"/>
    </xf>
    <xf numFmtId="0" fontId="9" fillId="0" borderId="0" xfId="2" applyFill="1" applyAlignment="1" applyProtection="1">
      <alignment vertical="center"/>
      <protection locked="0"/>
    </xf>
    <xf numFmtId="0" fontId="79" fillId="5" borderId="3" xfId="2" applyFont="1" applyFill="1" applyBorder="1" applyAlignment="1" applyProtection="1">
      <alignment vertical="center" wrapText="1"/>
      <protection locked="0"/>
    </xf>
    <xf numFmtId="0" fontId="81" fillId="5" borderId="3" xfId="0" applyFont="1" applyFill="1" applyBorder="1" applyAlignment="1" applyProtection="1">
      <alignment vertical="center" wrapText="1"/>
      <protection locked="0"/>
    </xf>
    <xf numFmtId="0" fontId="79" fillId="0" borderId="3" xfId="2" applyFont="1" applyFill="1" applyBorder="1" applyAlignment="1" applyProtection="1">
      <alignment vertical="center" wrapText="1"/>
      <protection locked="0"/>
    </xf>
    <xf numFmtId="0" fontId="79" fillId="0" borderId="3" xfId="2" applyFont="1" applyBorder="1" applyAlignment="1" applyProtection="1">
      <alignment vertical="center" wrapText="1"/>
      <protection locked="0"/>
    </xf>
    <xf numFmtId="0" fontId="81" fillId="0" borderId="0" xfId="0" applyFont="1" applyFill="1" applyAlignment="1" applyProtection="1">
      <alignment horizontal="left" vertical="center" wrapText="1"/>
      <protection locked="0"/>
    </xf>
    <xf numFmtId="0" fontId="79" fillId="0" borderId="0" xfId="2" applyFont="1" applyFill="1" applyAlignment="1" applyProtection="1">
      <alignment vertical="center" wrapText="1"/>
      <protection locked="0"/>
    </xf>
    <xf numFmtId="0" fontId="82" fillId="0" borderId="0" xfId="0" applyFont="1" applyFill="1" applyProtection="1">
      <alignment vertical="center"/>
      <protection locked="0"/>
    </xf>
    <xf numFmtId="0" fontId="79" fillId="0" borderId="0" xfId="2" applyFont="1" applyFill="1" applyAlignment="1" applyProtection="1">
      <protection locked="0"/>
    </xf>
    <xf numFmtId="0" fontId="81" fillId="0" borderId="0" xfId="0" applyFont="1" applyFill="1" applyProtection="1">
      <alignment vertical="center"/>
      <protection locked="0"/>
    </xf>
    <xf numFmtId="0" fontId="83" fillId="0" borderId="0" xfId="0" applyFont="1" applyFill="1" applyAlignment="1" applyProtection="1">
      <alignment vertical="center" wrapText="1"/>
      <protection locked="0"/>
    </xf>
    <xf numFmtId="0" fontId="82" fillId="0" borderId="0" xfId="0" applyFont="1" applyFill="1" applyAlignment="1" applyProtection="1">
      <alignment vertical="center"/>
      <protection locked="0"/>
    </xf>
    <xf numFmtId="0" fontId="81" fillId="0" borderId="0" xfId="0" applyFont="1" applyFill="1" applyAlignment="1" applyProtection="1">
      <alignment vertical="center"/>
      <protection locked="0"/>
    </xf>
    <xf numFmtId="0" fontId="81" fillId="0" borderId="0" xfId="0" applyFont="1" applyFill="1" applyAlignment="1" applyProtection="1">
      <alignment vertical="center" wrapText="1"/>
      <protection locked="0"/>
    </xf>
    <xf numFmtId="0" fontId="79" fillId="0" borderId="0" xfId="2" applyFont="1" applyFill="1" applyAlignment="1" applyProtection="1">
      <alignment vertical="center"/>
      <protection locked="0"/>
    </xf>
    <xf numFmtId="0" fontId="81" fillId="0" borderId="0" xfId="0" applyFont="1" applyFill="1" applyProtection="1">
      <alignment vertical="center"/>
      <protection locked="0"/>
    </xf>
    <xf numFmtId="0" fontId="82" fillId="0" borderId="0" xfId="0" applyFont="1" applyFill="1" applyProtection="1">
      <alignment vertical="center"/>
      <protection locked="0"/>
    </xf>
    <xf numFmtId="0" fontId="81" fillId="0" borderId="0" xfId="0" applyFont="1" applyFill="1" applyAlignment="1" applyProtection="1">
      <protection locked="0"/>
    </xf>
    <xf numFmtId="0" fontId="82" fillId="0" borderId="0" xfId="0" applyFont="1" applyFill="1" applyAlignment="1" applyProtection="1">
      <protection locked="0"/>
    </xf>
    <xf numFmtId="0" fontId="79" fillId="0" borderId="0" xfId="2" applyFont="1" applyFill="1" applyAlignment="1" applyProtection="1">
      <alignment horizontal="left" vertical="center" wrapText="1"/>
      <protection locked="0"/>
    </xf>
    <xf numFmtId="0" fontId="79" fillId="0" borderId="0" xfId="2" applyFont="1" applyFill="1" applyBorder="1" applyAlignment="1" applyProtection="1">
      <alignment vertical="center"/>
      <protection locked="0"/>
    </xf>
    <xf numFmtId="0" fontId="81" fillId="0" borderId="0" xfId="0" applyFont="1" applyFill="1" applyBorder="1" applyAlignment="1" applyProtection="1">
      <alignment vertical="center"/>
      <protection locked="0"/>
    </xf>
    <xf numFmtId="0" fontId="81" fillId="0" borderId="0" xfId="0" applyFont="1" applyFill="1" applyAlignment="1" applyProtection="1">
      <alignment vertical="center"/>
      <protection locked="0"/>
    </xf>
    <xf numFmtId="0" fontId="81" fillId="0" borderId="0" xfId="0" applyFont="1" applyFill="1" applyAlignment="1" applyProtection="1">
      <alignment vertical="center"/>
      <protection locked="0"/>
    </xf>
    <xf numFmtId="0" fontId="82" fillId="0" borderId="0" xfId="0" applyFont="1" applyFill="1" applyAlignment="1" applyProtection="1">
      <alignment vertical="center"/>
      <protection locked="0"/>
    </xf>
    <xf numFmtId="0" fontId="0" fillId="0" borderId="0" xfId="0" applyFill="1" applyAlignment="1" applyProtection="1">
      <alignment vertical="center" wrapText="1"/>
      <protection locked="0"/>
    </xf>
    <xf numFmtId="177" fontId="2" fillId="0" borderId="5"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right" vertical="center"/>
    </xf>
    <xf numFmtId="0" fontId="6" fillId="0" borderId="0" xfId="0" applyFont="1" applyFill="1" applyAlignment="1" applyProtection="1">
      <alignment vertical="center"/>
      <protection locked="0"/>
    </xf>
    <xf numFmtId="177" fontId="2" fillId="0" borderId="3" xfId="0" applyNumberFormat="1" applyFont="1" applyFill="1" applyBorder="1" applyAlignment="1" applyProtection="1">
      <alignment horizontal="right" vertical="center"/>
    </xf>
    <xf numFmtId="177" fontId="2" fillId="0" borderId="5" xfId="0" applyNumberFormat="1" applyFont="1" applyFill="1" applyBorder="1" applyAlignment="1" applyProtection="1">
      <alignment horizontal="right" vertical="center"/>
    </xf>
    <xf numFmtId="177" fontId="2" fillId="0" borderId="5" xfId="0" applyNumberFormat="1" applyFont="1" applyFill="1" applyBorder="1" applyAlignment="1" applyProtection="1">
      <alignment vertical="center"/>
    </xf>
    <xf numFmtId="0" fontId="2" fillId="0" borderId="0" xfId="0" applyFont="1" applyFill="1" applyAlignment="1" applyProtection="1">
      <alignment horizontal="center" vertical="center"/>
      <protection locked="0"/>
    </xf>
    <xf numFmtId="0" fontId="7" fillId="0" borderId="0" xfId="0" applyFont="1" applyFill="1" applyAlignment="1" applyProtection="1">
      <alignment horizontal="center" vertical="center"/>
      <protection locked="0"/>
    </xf>
    <xf numFmtId="40" fontId="2" fillId="0" borderId="3" xfId="0" applyNumberFormat="1" applyFont="1" applyFill="1" applyBorder="1" applyAlignment="1" applyProtection="1">
      <alignment horizontal="right" vertical="center"/>
    </xf>
    <xf numFmtId="0" fontId="2" fillId="0" borderId="0" xfId="0" applyFont="1" applyFill="1" applyProtection="1">
      <alignment vertical="center"/>
      <protection locked="0"/>
    </xf>
    <xf numFmtId="0" fontId="81" fillId="0" borderId="0" xfId="0" applyFont="1" applyFill="1" applyProtection="1">
      <alignment vertical="center"/>
      <protection locked="0"/>
    </xf>
    <xf numFmtId="0" fontId="7" fillId="0" borderId="0" xfId="0" applyFont="1" applyFill="1" applyAlignment="1" applyProtection="1">
      <alignment vertical="center"/>
      <protection locked="0"/>
    </xf>
    <xf numFmtId="177" fontId="2" fillId="0" borderId="3" xfId="0" applyNumberFormat="1" applyFont="1" applyFill="1" applyBorder="1" applyAlignment="1" applyProtection="1">
      <alignment vertical="center"/>
    </xf>
    <xf numFmtId="0" fontId="2" fillId="0" borderId="0" xfId="0" applyFont="1" applyFill="1" applyAlignment="1" applyProtection="1">
      <alignment vertical="center" wrapText="1"/>
      <protection locked="0"/>
    </xf>
    <xf numFmtId="0" fontId="81" fillId="0" borderId="0" xfId="0" applyFont="1" applyFill="1" applyAlignment="1" applyProtection="1">
      <alignment vertical="center"/>
      <protection locked="0"/>
    </xf>
    <xf numFmtId="0" fontId="19" fillId="0" borderId="0" xfId="0" applyFont="1" applyFill="1" applyAlignment="1" applyProtection="1">
      <alignment horizontal="center" vertical="center"/>
      <protection locked="0"/>
    </xf>
    <xf numFmtId="0" fontId="79" fillId="0" borderId="3" xfId="2" applyFont="1" applyFill="1" applyBorder="1" applyAlignment="1" applyProtection="1">
      <alignment vertical="center"/>
      <protection locked="0"/>
    </xf>
    <xf numFmtId="0" fontId="81" fillId="0" borderId="3" xfId="0" applyFont="1" applyFill="1" applyBorder="1" applyAlignment="1" applyProtection="1">
      <alignment vertical="center"/>
      <protection locked="0"/>
    </xf>
    <xf numFmtId="0" fontId="29" fillId="0" borderId="0" xfId="0" applyFont="1" applyFill="1" applyBorder="1" applyAlignment="1" applyProtection="1">
      <alignment vertical="center"/>
      <protection locked="0"/>
    </xf>
    <xf numFmtId="0" fontId="29" fillId="0" borderId="0" xfId="0" applyFont="1" applyFill="1" applyAlignment="1" applyProtection="1">
      <alignment vertical="center"/>
      <protection locked="0"/>
    </xf>
    <xf numFmtId="0" fontId="31" fillId="0" borderId="0" xfId="0" applyFont="1" applyFill="1" applyAlignment="1" applyProtection="1">
      <alignment horizontal="center" vertical="center"/>
      <protection locked="0"/>
    </xf>
    <xf numFmtId="0" fontId="29" fillId="0" borderId="0" xfId="0" applyFont="1" applyFill="1" applyBorder="1" applyAlignment="1" applyProtection="1">
      <alignment horizontal="center" vertical="center"/>
      <protection locked="0"/>
    </xf>
    <xf numFmtId="0" fontId="29" fillId="0" borderId="0" xfId="0" applyFont="1" applyFill="1" applyAlignment="1" applyProtection="1">
      <alignment horizontal="center" vertical="center"/>
      <protection locked="0"/>
    </xf>
    <xf numFmtId="0" fontId="23" fillId="0" borderId="0" xfId="0" applyFont="1" applyFill="1" applyBorder="1" applyAlignment="1" applyProtection="1">
      <alignment horizontal="center" vertical="center"/>
      <protection locked="0"/>
    </xf>
    <xf numFmtId="0" fontId="23" fillId="0" borderId="3" xfId="0" applyFont="1" applyFill="1" applyBorder="1" applyAlignment="1" applyProtection="1">
      <alignment horizontal="left" vertical="center"/>
      <protection locked="0"/>
    </xf>
    <xf numFmtId="177" fontId="23" fillId="0" borderId="3" xfId="0" applyNumberFormat="1" applyFont="1" applyFill="1" applyBorder="1" applyAlignment="1" applyProtection="1">
      <alignment horizontal="right" vertical="center"/>
    </xf>
    <xf numFmtId="0" fontId="23" fillId="0" borderId="0" xfId="0" applyFont="1" applyFill="1" applyBorder="1" applyAlignment="1" applyProtection="1">
      <alignment horizontal="left" vertical="center"/>
      <protection locked="0"/>
    </xf>
    <xf numFmtId="0" fontId="23" fillId="0" borderId="3" xfId="0" applyFont="1" applyFill="1" applyBorder="1" applyAlignment="1" applyProtection="1">
      <alignment vertical="center"/>
      <protection locked="0"/>
    </xf>
    <xf numFmtId="0" fontId="79" fillId="0" borderId="3" xfId="2" applyFont="1" applyFill="1" applyBorder="1" applyAlignment="1" applyProtection="1">
      <alignment horizontal="left" vertical="center"/>
      <protection locked="0"/>
    </xf>
    <xf numFmtId="0" fontId="23" fillId="0" borderId="17" xfId="0" applyFont="1" applyFill="1" applyBorder="1" applyAlignment="1" applyProtection="1">
      <alignment vertical="center"/>
      <protection locked="0"/>
    </xf>
    <xf numFmtId="0" fontId="81" fillId="0" borderId="3" xfId="0" applyFont="1" applyFill="1" applyBorder="1" applyAlignment="1" applyProtection="1">
      <alignment horizontal="left" vertical="center"/>
      <protection locked="0"/>
    </xf>
    <xf numFmtId="0" fontId="23" fillId="0" borderId="0" xfId="0" applyFont="1" applyFill="1" applyAlignment="1" applyProtection="1">
      <alignment vertical="center"/>
      <protection locked="0"/>
    </xf>
    <xf numFmtId="0" fontId="32" fillId="0" borderId="0" xfId="2" applyFont="1" applyFill="1" applyAlignment="1" applyProtection="1">
      <alignment horizontal="right" vertical="center"/>
      <protection locked="0"/>
    </xf>
    <xf numFmtId="0" fontId="29" fillId="0" borderId="0" xfId="0" applyFont="1" applyFill="1" applyAlignment="1" applyProtection="1">
      <alignment vertical="center"/>
      <protection locked="0"/>
    </xf>
    <xf numFmtId="177" fontId="23" fillId="0" borderId="3" xfId="0" applyNumberFormat="1" applyFont="1" applyFill="1" applyBorder="1" applyAlignment="1" applyProtection="1">
      <alignment vertical="center"/>
    </xf>
    <xf numFmtId="0" fontId="81" fillId="0" borderId="0" xfId="0" applyFont="1" applyFill="1" applyAlignment="1" applyProtection="1">
      <alignment vertical="center"/>
      <protection locked="0"/>
    </xf>
    <xf numFmtId="0" fontId="23" fillId="0" borderId="0" xfId="0" applyFont="1" applyFill="1" applyAlignment="1" applyProtection="1">
      <alignment horizontal="center" vertical="center"/>
      <protection locked="0"/>
    </xf>
    <xf numFmtId="0" fontId="85" fillId="0" borderId="0" xfId="0" applyFont="1" applyFill="1" applyAlignment="1" applyProtection="1">
      <alignment horizontal="center" vertical="center"/>
      <protection locked="0"/>
    </xf>
    <xf numFmtId="0" fontId="34" fillId="0" borderId="0" xfId="0" applyFont="1" applyFill="1" applyAlignment="1" applyProtection="1">
      <alignment horizontal="center" vertical="center"/>
      <protection locked="0"/>
    </xf>
    <xf numFmtId="0" fontId="23" fillId="0" borderId="5" xfId="0" applyFont="1" applyFill="1" applyBorder="1" applyAlignment="1" applyProtection="1">
      <alignment horizontal="center" vertical="center"/>
      <protection locked="0"/>
    </xf>
    <xf numFmtId="0" fontId="79" fillId="0" borderId="19" xfId="2" applyFont="1" applyFill="1" applyBorder="1" applyAlignment="1" applyProtection="1">
      <alignment vertical="center" wrapText="1"/>
      <protection locked="0"/>
    </xf>
    <xf numFmtId="0" fontId="23" fillId="0" borderId="5" xfId="0" applyFont="1" applyFill="1" applyBorder="1" applyAlignment="1" applyProtection="1">
      <alignment horizontal="left" vertical="center" wrapText="1"/>
      <protection locked="0"/>
    </xf>
    <xf numFmtId="0" fontId="23" fillId="0" borderId="3" xfId="0" applyFont="1" applyFill="1" applyBorder="1" applyAlignment="1" applyProtection="1">
      <alignment vertical="center" wrapText="1"/>
      <protection locked="0"/>
    </xf>
    <xf numFmtId="0" fontId="35" fillId="0" borderId="3" xfId="0" applyFont="1" applyFill="1" applyBorder="1" applyAlignment="1" applyProtection="1">
      <alignment vertical="center"/>
      <protection locked="0"/>
    </xf>
    <xf numFmtId="0" fontId="35" fillId="0" borderId="3" xfId="0" applyFont="1" applyFill="1" applyBorder="1" applyAlignment="1" applyProtection="1">
      <alignment vertical="center" wrapText="1"/>
      <protection locked="0"/>
    </xf>
    <xf numFmtId="0" fontId="81" fillId="0" borderId="3" xfId="0" applyFont="1" applyFill="1" applyBorder="1" applyAlignment="1" applyProtection="1">
      <alignment vertical="center"/>
      <protection locked="0"/>
    </xf>
    <xf numFmtId="0" fontId="103" fillId="0" borderId="0" xfId="0" applyFont="1" applyFill="1" applyAlignment="1" applyProtection="1">
      <alignment vertical="center" wrapText="1"/>
      <protection locked="0"/>
    </xf>
    <xf numFmtId="0" fontId="23" fillId="0" borderId="0" xfId="0" applyFont="1" applyFill="1" applyAlignment="1" applyProtection="1">
      <alignment vertical="center" wrapText="1"/>
      <protection locked="0"/>
    </xf>
    <xf numFmtId="0" fontId="82" fillId="0" borderId="0" xfId="0" applyFont="1" applyFill="1" applyAlignment="1" applyProtection="1">
      <alignment vertical="center"/>
      <protection locked="0"/>
    </xf>
    <xf numFmtId="0" fontId="39" fillId="0" borderId="0" xfId="0" applyFont="1" applyFill="1" applyProtection="1">
      <alignment vertical="center"/>
      <protection locked="0"/>
    </xf>
    <xf numFmtId="0" fontId="83" fillId="0" borderId="0" xfId="0" applyFont="1" applyFill="1" applyAlignment="1" applyProtection="1">
      <alignment horizontal="left" vertical="center"/>
      <protection locked="0"/>
    </xf>
    <xf numFmtId="0" fontId="41" fillId="0" borderId="0" xfId="0" applyFont="1" applyFill="1" applyProtection="1">
      <alignment vertical="center"/>
      <protection locked="0"/>
    </xf>
    <xf numFmtId="0" fontId="35" fillId="0" borderId="3" xfId="0" applyFont="1" applyFill="1" applyBorder="1" applyAlignment="1" applyProtection="1">
      <alignment horizontal="center" vertical="center" wrapText="1"/>
      <protection locked="0"/>
    </xf>
    <xf numFmtId="0" fontId="35" fillId="0" borderId="0" xfId="0" applyFont="1" applyFill="1" applyProtection="1">
      <alignment vertical="center"/>
      <protection locked="0"/>
    </xf>
    <xf numFmtId="178" fontId="35" fillId="0" borderId="3" xfId="0" applyNumberFormat="1" applyFont="1" applyFill="1" applyBorder="1" applyAlignment="1" applyProtection="1">
      <alignment horizontal="center" vertical="center" wrapText="1"/>
      <protection locked="0"/>
    </xf>
    <xf numFmtId="0" fontId="42" fillId="0" borderId="3" xfId="0" applyFont="1" applyFill="1" applyBorder="1" applyAlignment="1" applyProtection="1">
      <alignment horizontal="center" vertical="center" wrapText="1"/>
      <protection locked="0"/>
    </xf>
    <xf numFmtId="177" fontId="35" fillId="0" borderId="3" xfId="0" applyNumberFormat="1" applyFont="1" applyFill="1" applyBorder="1" applyAlignment="1" applyProtection="1">
      <alignment vertical="center" wrapText="1"/>
    </xf>
    <xf numFmtId="0" fontId="42" fillId="0" borderId="5" xfId="0" applyFont="1" applyFill="1" applyBorder="1" applyAlignment="1" applyProtection="1">
      <alignment horizontal="center" vertical="center" wrapText="1"/>
      <protection locked="0"/>
    </xf>
    <xf numFmtId="0" fontId="35" fillId="0" borderId="5" xfId="0" applyFont="1" applyFill="1" applyBorder="1" applyAlignment="1" applyProtection="1">
      <alignment vertical="center" wrapText="1"/>
      <protection locked="0"/>
    </xf>
    <xf numFmtId="177" fontId="35" fillId="0" borderId="5" xfId="0" applyNumberFormat="1" applyFont="1" applyFill="1" applyBorder="1" applyAlignment="1" applyProtection="1">
      <alignment vertical="center" wrapText="1"/>
      <protection locked="0"/>
    </xf>
    <xf numFmtId="177" fontId="35" fillId="0" borderId="3" xfId="0" applyNumberFormat="1" applyFont="1" applyFill="1" applyBorder="1" applyAlignment="1" applyProtection="1">
      <alignment vertical="center" wrapText="1"/>
      <protection locked="0"/>
    </xf>
    <xf numFmtId="0" fontId="43" fillId="0" borderId="0" xfId="0" applyFont="1" applyFill="1" applyProtection="1">
      <alignment vertical="center"/>
      <protection locked="0"/>
    </xf>
    <xf numFmtId="0" fontId="35" fillId="0" borderId="3" xfId="0" applyFont="1" applyFill="1" applyBorder="1" applyAlignment="1" applyProtection="1">
      <alignment vertical="center"/>
      <protection locked="0"/>
    </xf>
    <xf numFmtId="0" fontId="36" fillId="0" borderId="0" xfId="0" applyFont="1" applyFill="1" applyProtection="1">
      <alignment vertical="center"/>
      <protection locked="0"/>
    </xf>
    <xf numFmtId="0" fontId="82" fillId="0" borderId="0" xfId="0" applyFont="1" applyFill="1" applyProtection="1">
      <alignment vertical="center"/>
      <protection locked="0"/>
    </xf>
    <xf numFmtId="0" fontId="44" fillId="0" borderId="0" xfId="0" applyFont="1" applyFill="1" applyProtection="1">
      <alignment vertical="center"/>
      <protection locked="0"/>
    </xf>
    <xf numFmtId="0" fontId="81" fillId="0" borderId="0" xfId="0" applyFont="1" applyFill="1" applyAlignment="1" applyProtection="1">
      <alignment horizontal="left" vertical="center"/>
      <protection locked="0"/>
    </xf>
    <xf numFmtId="0" fontId="0" fillId="0" borderId="0" xfId="0" applyFill="1" applyProtection="1">
      <alignment vertical="center"/>
      <protection locked="0"/>
    </xf>
    <xf numFmtId="0" fontId="79" fillId="0" borderId="3" xfId="2" applyFont="1" applyFill="1" applyBorder="1" applyAlignment="1" applyProtection="1">
      <alignment horizontal="left" vertical="center" wrapText="1"/>
      <protection locked="0"/>
    </xf>
    <xf numFmtId="177" fontId="35" fillId="0" borderId="3" xfId="0" applyNumberFormat="1" applyFont="1" applyFill="1" applyBorder="1" applyAlignment="1" applyProtection="1">
      <alignment horizontal="right" vertical="center"/>
    </xf>
    <xf numFmtId="0" fontId="66" fillId="0" borderId="0" xfId="2" applyFont="1" applyFill="1" applyAlignment="1" applyProtection="1">
      <protection locked="0"/>
    </xf>
    <xf numFmtId="0" fontId="36" fillId="0" borderId="0" xfId="0" applyFont="1" applyFill="1" applyAlignment="1" applyProtection="1">
      <alignment horizontal="left" vertical="center"/>
      <protection locked="0"/>
    </xf>
    <xf numFmtId="0" fontId="35" fillId="0" borderId="5" xfId="0" applyFont="1" applyFill="1" applyBorder="1" applyAlignment="1" applyProtection="1">
      <alignment horizontal="center" vertical="center"/>
      <protection locked="0"/>
    </xf>
    <xf numFmtId="177" fontId="35" fillId="0" borderId="3" xfId="0" applyNumberFormat="1" applyFont="1" applyFill="1" applyBorder="1" applyAlignment="1" applyProtection="1">
      <alignment horizontal="right" vertical="center"/>
    </xf>
    <xf numFmtId="0" fontId="35" fillId="0" borderId="0" xfId="0" applyFont="1" applyFill="1" applyBorder="1" applyAlignment="1" applyProtection="1">
      <alignment vertical="center"/>
      <protection locked="0"/>
    </xf>
    <xf numFmtId="0" fontId="36" fillId="0" borderId="0" xfId="0" applyFont="1" applyFill="1" applyAlignment="1" applyProtection="1">
      <alignment vertical="center"/>
      <protection locked="0"/>
    </xf>
    <xf numFmtId="0" fontId="35" fillId="0" borderId="0" xfId="0" applyFont="1" applyFill="1" applyAlignment="1" applyProtection="1">
      <alignment vertical="center"/>
      <protection locked="0"/>
    </xf>
    <xf numFmtId="0" fontId="81" fillId="0" borderId="0" xfId="0" applyFont="1" applyFill="1" applyBorder="1" applyAlignment="1" applyProtection="1">
      <alignment vertical="center"/>
      <protection locked="0"/>
    </xf>
    <xf numFmtId="0" fontId="82" fillId="0" borderId="0" xfId="0" applyFont="1" applyFill="1" applyAlignment="1" applyProtection="1">
      <alignment vertical="center"/>
      <protection locked="0"/>
    </xf>
    <xf numFmtId="0" fontId="79" fillId="0" borderId="0" xfId="2" applyFont="1" applyFill="1" applyBorder="1" applyAlignment="1" applyProtection="1">
      <alignment horizontal="left" vertical="center" wrapText="1"/>
      <protection locked="0"/>
    </xf>
    <xf numFmtId="0" fontId="81" fillId="0" borderId="0" xfId="0" applyFont="1" applyFill="1" applyBorder="1" applyAlignment="1" applyProtection="1">
      <alignment horizontal="left" vertical="center" wrapText="1"/>
      <protection locked="0"/>
    </xf>
    <xf numFmtId="0" fontId="82" fillId="0" borderId="0" xfId="0" applyFont="1" applyFill="1" applyAlignment="1" applyProtection="1">
      <alignment horizontal="center" vertical="center"/>
      <protection locked="0"/>
    </xf>
    <xf numFmtId="0" fontId="79" fillId="0" borderId="0" xfId="2" applyFont="1" applyFill="1" applyAlignment="1" applyProtection="1">
      <alignment horizontal="left" vertical="center"/>
      <protection locked="0"/>
    </xf>
    <xf numFmtId="0" fontId="81" fillId="0" borderId="0" xfId="0" applyFont="1" applyFill="1" applyAlignment="1" applyProtection="1">
      <alignment horizontal="center" vertical="center"/>
      <protection locked="0"/>
    </xf>
    <xf numFmtId="0" fontId="35" fillId="0" borderId="5" xfId="0" applyFont="1" applyFill="1" applyBorder="1" applyAlignment="1" applyProtection="1">
      <alignment horizontal="center" vertical="center" wrapText="1"/>
      <protection locked="0"/>
    </xf>
    <xf numFmtId="177" fontId="35" fillId="0" borderId="3" xfId="0" applyNumberFormat="1" applyFont="1" applyFill="1" applyBorder="1" applyAlignment="1" applyProtection="1">
      <alignment vertical="center"/>
    </xf>
    <xf numFmtId="177" fontId="35" fillId="0" borderId="3" xfId="0" applyNumberFormat="1" applyFont="1" applyFill="1" applyBorder="1" applyAlignment="1" applyProtection="1">
      <alignment vertical="center"/>
      <protection locked="0"/>
    </xf>
    <xf numFmtId="0" fontId="35" fillId="0" borderId="3" xfId="0" applyFont="1" applyFill="1" applyBorder="1" applyAlignment="1" applyProtection="1">
      <alignment horizontal="right" vertical="center"/>
      <protection locked="0"/>
    </xf>
    <xf numFmtId="177" fontId="35" fillId="0" borderId="5" xfId="0" applyNumberFormat="1" applyFont="1" applyFill="1" applyBorder="1" applyAlignment="1" applyProtection="1">
      <alignment vertical="center"/>
      <protection locked="0"/>
    </xf>
    <xf numFmtId="177" fontId="36" fillId="0" borderId="3" xfId="0" applyNumberFormat="1" applyFont="1" applyFill="1" applyBorder="1" applyAlignment="1" applyProtection="1">
      <alignment vertical="center"/>
      <protection locked="0"/>
    </xf>
    <xf numFmtId="177" fontId="36" fillId="0" borderId="5" xfId="0" applyNumberFormat="1" applyFont="1" applyFill="1" applyBorder="1" applyAlignment="1" applyProtection="1">
      <alignment vertical="center"/>
      <protection locked="0"/>
    </xf>
    <xf numFmtId="0" fontId="39" fillId="0" borderId="0" xfId="0" applyFont="1" applyFill="1" applyAlignment="1" applyProtection="1">
      <alignment vertical="center"/>
      <protection locked="0"/>
    </xf>
    <xf numFmtId="0" fontId="41" fillId="0" borderId="0" xfId="0" applyFont="1" applyFill="1" applyAlignment="1" applyProtection="1">
      <alignment vertical="center"/>
      <protection locked="0"/>
    </xf>
    <xf numFmtId="0" fontId="35" fillId="0" borderId="0" xfId="0" applyFont="1" applyFill="1" applyAlignment="1" applyProtection="1">
      <alignment vertical="center"/>
      <protection locked="0"/>
    </xf>
    <xf numFmtId="177" fontId="35" fillId="0" borderId="3" xfId="0" applyNumberFormat="1" applyFont="1" applyFill="1" applyBorder="1" applyAlignment="1" applyProtection="1">
      <alignment horizontal="center" vertical="center"/>
      <protection locked="0"/>
    </xf>
    <xf numFmtId="177" fontId="35" fillId="0" borderId="3" xfId="0" applyNumberFormat="1" applyFont="1" applyFill="1" applyBorder="1" applyAlignment="1" applyProtection="1">
      <alignment horizontal="right" vertical="center"/>
    </xf>
    <xf numFmtId="177" fontId="35" fillId="0" borderId="3" xfId="0" applyNumberFormat="1" applyFont="1" applyFill="1" applyBorder="1" applyAlignment="1" applyProtection="1">
      <alignment horizontal="center" vertical="center"/>
    </xf>
    <xf numFmtId="177" fontId="35" fillId="0" borderId="3" xfId="0" applyNumberFormat="1" applyFont="1" applyFill="1" applyBorder="1" applyAlignment="1" applyProtection="1">
      <alignment vertical="center"/>
    </xf>
    <xf numFmtId="0" fontId="0" fillId="0" borderId="0" xfId="0" applyFont="1" applyFill="1" applyAlignment="1" applyProtection="1">
      <alignment vertical="center"/>
      <protection locked="0"/>
    </xf>
    <xf numFmtId="0" fontId="36" fillId="0" borderId="0" xfId="0" applyFont="1" applyFill="1" applyAlignment="1" applyProtection="1">
      <protection locked="0"/>
    </xf>
    <xf numFmtId="0" fontId="35" fillId="0" borderId="3" xfId="0" applyFont="1" applyFill="1" applyBorder="1" applyAlignment="1" applyProtection="1">
      <alignment horizontal="center" vertical="center"/>
      <protection locked="0"/>
    </xf>
    <xf numFmtId="0" fontId="35" fillId="0" borderId="3" xfId="0" applyFont="1" applyFill="1" applyBorder="1" applyProtection="1">
      <alignment vertical="center"/>
      <protection locked="0"/>
    </xf>
    <xf numFmtId="177" fontId="35" fillId="0" borderId="3" xfId="0" applyNumberFormat="1" applyFont="1" applyFill="1" applyBorder="1" applyProtection="1">
      <alignment vertical="center"/>
    </xf>
    <xf numFmtId="177" fontId="35" fillId="0" borderId="3" xfId="0" applyNumberFormat="1" applyFont="1" applyFill="1" applyBorder="1" applyProtection="1">
      <alignment vertical="center"/>
      <protection locked="0"/>
    </xf>
    <xf numFmtId="0" fontId="103" fillId="0" borderId="0" xfId="0" applyFont="1" applyFill="1" applyAlignment="1">
      <alignment vertical="center" wrapText="1"/>
    </xf>
    <xf numFmtId="0" fontId="35" fillId="0" borderId="5" xfId="2" applyFont="1" applyFill="1" applyBorder="1" applyAlignment="1" applyProtection="1">
      <alignment vertical="center" wrapText="1"/>
      <protection locked="0"/>
    </xf>
    <xf numFmtId="177" fontId="35" fillId="0" borderId="3" xfId="0" applyNumberFormat="1" applyFont="1" applyFill="1" applyBorder="1" applyProtection="1">
      <alignment vertical="center"/>
      <protection locked="0"/>
    </xf>
    <xf numFmtId="0" fontId="35" fillId="0" borderId="3" xfId="0" applyFont="1" applyFill="1" applyBorder="1" applyAlignment="1" applyProtection="1">
      <alignment vertical="center" wrapText="1"/>
      <protection locked="0"/>
    </xf>
    <xf numFmtId="0" fontId="84" fillId="0" borderId="0" xfId="0" applyFont="1" applyFill="1" applyAlignment="1" applyProtection="1">
      <protection locked="0"/>
    </xf>
    <xf numFmtId="0" fontId="106" fillId="0" borderId="0" xfId="0" applyFont="1" applyFill="1" applyAlignment="1" applyProtection="1">
      <protection locked="0"/>
    </xf>
    <xf numFmtId="177" fontId="45" fillId="0" borderId="3" xfId="0" applyNumberFormat="1" applyFont="1" applyFill="1" applyBorder="1" applyProtection="1">
      <alignment vertical="center"/>
    </xf>
    <xf numFmtId="177" fontId="45" fillId="0" borderId="3" xfId="0" applyNumberFormat="1" applyFont="1" applyFill="1" applyBorder="1" applyProtection="1">
      <alignment vertical="center"/>
    </xf>
    <xf numFmtId="0" fontId="107" fillId="0" borderId="3" xfId="0" applyFont="1" applyFill="1" applyBorder="1" applyAlignment="1">
      <alignment horizontal="center" vertical="center" wrapText="1"/>
    </xf>
    <xf numFmtId="0" fontId="107" fillId="0" borderId="3" xfId="0" applyFont="1" applyFill="1" applyBorder="1" applyAlignment="1">
      <alignment horizontal="left" vertical="center" wrapText="1"/>
    </xf>
    <xf numFmtId="0" fontId="102" fillId="0" borderId="3" xfId="0" applyFont="1" applyFill="1" applyBorder="1" applyAlignment="1">
      <alignment horizontal="left" vertical="center" wrapText="1"/>
    </xf>
    <xf numFmtId="0" fontId="0" fillId="0" borderId="0" xfId="0" applyFont="1" applyFill="1">
      <alignment vertical="center"/>
    </xf>
    <xf numFmtId="0" fontId="108" fillId="0" borderId="3" xfId="0" applyFont="1" applyFill="1" applyBorder="1" applyAlignment="1">
      <alignment horizontal="center" vertical="center" wrapText="1"/>
    </xf>
    <xf numFmtId="9" fontId="107" fillId="0" borderId="3" xfId="0" applyNumberFormat="1" applyFont="1" applyFill="1" applyBorder="1" applyAlignment="1">
      <alignment horizontal="center" vertical="center" wrapText="1"/>
    </xf>
    <xf numFmtId="0" fontId="109" fillId="0" borderId="3" xfId="0" applyFont="1" applyFill="1" applyBorder="1" applyAlignment="1">
      <alignment horizontal="center" vertical="center"/>
    </xf>
    <xf numFmtId="0" fontId="109" fillId="0" borderId="3" xfId="0" applyFont="1" applyFill="1" applyBorder="1" applyAlignment="1">
      <alignment horizontal="center" vertical="center" wrapText="1"/>
    </xf>
    <xf numFmtId="0" fontId="79" fillId="0" borderId="0" xfId="2" applyFont="1" applyFill="1" applyAlignment="1" applyProtection="1">
      <alignment vertical="center"/>
    </xf>
    <xf numFmtId="0" fontId="107" fillId="0" borderId="3" xfId="0" applyFont="1" applyFill="1" applyBorder="1" applyAlignment="1">
      <alignment horizontal="center" vertical="center"/>
    </xf>
    <xf numFmtId="0" fontId="7" fillId="0" borderId="0" xfId="0" applyFont="1" applyFill="1" applyAlignment="1" applyProtection="1">
      <alignment vertical="center"/>
      <protection locked="0"/>
    </xf>
    <xf numFmtId="0" fontId="110" fillId="0" borderId="0" xfId="0" applyFont="1" applyFill="1">
      <alignment vertical="center"/>
    </xf>
    <xf numFmtId="0" fontId="90" fillId="0" borderId="3" xfId="0" applyFont="1" applyFill="1" applyBorder="1" applyAlignment="1">
      <alignment horizontal="center" vertical="center"/>
    </xf>
    <xf numFmtId="0" fontId="90" fillId="0" borderId="3" xfId="0" applyFont="1" applyFill="1" applyBorder="1" applyAlignment="1">
      <alignment horizontal="left" vertical="center" wrapText="1"/>
    </xf>
    <xf numFmtId="0" fontId="90" fillId="0" borderId="18" xfId="0" applyFont="1" applyFill="1" applyBorder="1" applyAlignment="1">
      <alignment horizontal="center" vertical="center" wrapText="1"/>
    </xf>
    <xf numFmtId="0" fontId="90" fillId="0" borderId="3" xfId="0" applyFont="1" applyFill="1" applyBorder="1" applyAlignment="1">
      <alignment horizontal="center" vertical="center" wrapText="1"/>
    </xf>
    <xf numFmtId="177" fontId="90" fillId="0" borderId="3" xfId="0" applyNumberFormat="1" applyFont="1" applyFill="1" applyBorder="1" applyProtection="1">
      <alignment vertical="center"/>
    </xf>
    <xf numFmtId="0" fontId="90" fillId="0" borderId="17" xfId="0" applyFont="1" applyFill="1" applyBorder="1" applyAlignment="1">
      <alignment horizontal="center" vertical="center"/>
    </xf>
    <xf numFmtId="0" fontId="90" fillId="0" borderId="3" xfId="0" applyFont="1" applyFill="1" applyBorder="1" applyAlignment="1">
      <alignment horizontal="right" vertical="center"/>
    </xf>
    <xf numFmtId="0" fontId="90" fillId="0" borderId="18" xfId="0" applyFont="1" applyFill="1" applyBorder="1" applyAlignment="1">
      <alignment horizontal="right" vertical="center"/>
    </xf>
    <xf numFmtId="0" fontId="90" fillId="0" borderId="17" xfId="0" applyFont="1" applyFill="1" applyBorder="1" applyAlignment="1">
      <alignment horizontal="right" vertical="center"/>
    </xf>
    <xf numFmtId="0" fontId="2" fillId="0" borderId="0" xfId="0" applyFont="1" applyFill="1" applyAlignment="1" applyProtection="1">
      <alignment horizontal="right" vertical="center"/>
      <protection locked="0"/>
    </xf>
    <xf numFmtId="0" fontId="0" fillId="0" borderId="0" xfId="0" applyFill="1" applyAlignment="1" applyProtection="1">
      <alignment vertical="center"/>
      <protection locked="0"/>
    </xf>
    <xf numFmtId="0" fontId="82" fillId="0" borderId="0" xfId="0" applyFont="1" applyFill="1" applyBorder="1" applyAlignment="1" applyProtection="1">
      <alignment vertical="center"/>
      <protection locked="0"/>
    </xf>
    <xf numFmtId="177" fontId="2" fillId="0" borderId="3" xfId="0" applyNumberFormat="1" applyFont="1" applyFill="1" applyBorder="1" applyAlignment="1" applyProtection="1">
      <alignment horizontal="right" vertical="center"/>
    </xf>
    <xf numFmtId="0" fontId="60" fillId="0" borderId="0" xfId="0" applyFont="1" applyFill="1" applyAlignment="1" applyProtection="1">
      <alignment vertical="center" wrapText="1"/>
      <protection locked="0"/>
    </xf>
    <xf numFmtId="177" fontId="2" fillId="0" borderId="3" xfId="0" applyNumberFormat="1" applyFont="1" applyFill="1" applyBorder="1" applyAlignment="1" applyProtection="1">
      <alignment horizontal="right" vertical="center" wrapText="1"/>
      <protection locked="0"/>
    </xf>
    <xf numFmtId="0" fontId="70" fillId="0" borderId="0" xfId="0" applyFont="1" applyFill="1" applyAlignment="1">
      <alignment vertical="center" wrapText="1"/>
    </xf>
    <xf numFmtId="0" fontId="69" fillId="0" borderId="0" xfId="0" applyFont="1" applyFill="1" applyAlignment="1">
      <alignment vertical="center"/>
    </xf>
    <xf numFmtId="0" fontId="69" fillId="0" borderId="0" xfId="0" applyFont="1" applyFill="1" applyAlignment="1">
      <alignment vertical="center" wrapText="1"/>
    </xf>
    <xf numFmtId="0" fontId="67" fillId="0" borderId="0" xfId="0" applyFont="1" applyFill="1" applyAlignment="1">
      <alignment vertical="center" wrapText="1"/>
    </xf>
    <xf numFmtId="0" fontId="67" fillId="0" borderId="0" xfId="0" applyFont="1" applyFill="1" applyBorder="1" applyAlignment="1">
      <alignment horizontal="left" vertical="center" wrapText="1"/>
    </xf>
    <xf numFmtId="0" fontId="67" fillId="0" borderId="0" xfId="0" applyFont="1" applyFill="1" applyAlignment="1">
      <alignment horizontal="right" vertical="center"/>
    </xf>
    <xf numFmtId="0" fontId="69" fillId="0" borderId="21"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7" fillId="0" borderId="8" xfId="0" applyFont="1" applyFill="1" applyBorder="1" applyAlignment="1">
      <alignment horizontal="left" vertical="center" wrapText="1"/>
    </xf>
    <xf numFmtId="0" fontId="20" fillId="0" borderId="0" xfId="0" applyFont="1" applyFill="1" applyAlignment="1">
      <alignment horizontal="justify" vertical="center" wrapText="1"/>
    </xf>
    <xf numFmtId="0" fontId="67" fillId="0" borderId="3" xfId="0" applyFont="1" applyFill="1" applyBorder="1" applyAlignment="1">
      <alignment vertical="center" wrapText="1"/>
    </xf>
    <xf numFmtId="0" fontId="72" fillId="0" borderId="3" xfId="0" applyFont="1" applyFill="1" applyBorder="1" applyAlignment="1">
      <alignment horizontal="left" vertical="center" wrapText="1"/>
    </xf>
    <xf numFmtId="0" fontId="67" fillId="0" borderId="10" xfId="0" applyFont="1" applyFill="1" applyBorder="1" applyAlignment="1">
      <alignment horizontal="left" vertical="center" wrapText="1"/>
    </xf>
    <xf numFmtId="2" fontId="67" fillId="0" borderId="12" xfId="0" applyNumberFormat="1" applyFont="1" applyFill="1" applyBorder="1" applyAlignment="1">
      <alignment vertical="center" wrapText="1"/>
    </xf>
    <xf numFmtId="0" fontId="20" fillId="0" borderId="0" xfId="0" applyFont="1" applyFill="1" applyAlignment="1">
      <alignment vertical="center" wrapText="1"/>
    </xf>
    <xf numFmtId="0" fontId="111" fillId="0" borderId="0" xfId="0" applyFont="1" applyFill="1" applyAlignment="1">
      <alignment horizontal="left" vertical="center" wrapText="1"/>
    </xf>
    <xf numFmtId="0" fontId="112" fillId="0" borderId="0" xfId="0" applyFont="1" applyFill="1" applyAlignment="1">
      <alignment vertical="center" wrapText="1"/>
    </xf>
    <xf numFmtId="0" fontId="113" fillId="0" borderId="0" xfId="0" applyFont="1" applyFill="1" applyAlignment="1">
      <alignment vertical="center"/>
    </xf>
    <xf numFmtId="0" fontId="111" fillId="0" borderId="0" xfId="0" applyFont="1" applyFill="1" applyAlignment="1">
      <alignment vertical="center"/>
    </xf>
    <xf numFmtId="0" fontId="113" fillId="0" borderId="0" xfId="0" applyFont="1" applyFill="1" applyBorder="1" applyAlignment="1">
      <alignment vertical="center"/>
    </xf>
    <xf numFmtId="0" fontId="112" fillId="0" borderId="0" xfId="0" applyFont="1" applyFill="1" applyBorder="1" applyAlignment="1">
      <alignment vertical="center"/>
    </xf>
    <xf numFmtId="0" fontId="112" fillId="0" borderId="0" xfId="0" applyFont="1" applyFill="1" applyAlignment="1">
      <alignment vertical="center"/>
    </xf>
    <xf numFmtId="0" fontId="113" fillId="0" borderId="0" xfId="0" applyFont="1" applyFill="1" applyBorder="1" applyAlignment="1">
      <alignment horizontal="right" vertical="center"/>
    </xf>
    <xf numFmtId="0" fontId="112" fillId="0" borderId="0" xfId="0" applyFont="1" applyFill="1" applyAlignment="1">
      <alignment horizontal="center" vertical="center" wrapText="1"/>
    </xf>
    <xf numFmtId="0" fontId="114" fillId="0" borderId="3" xfId="0" applyFont="1" applyFill="1" applyBorder="1" applyAlignment="1">
      <alignment horizontal="center" vertical="center" wrapText="1"/>
    </xf>
    <xf numFmtId="0" fontId="115" fillId="0" borderId="3" xfId="0" applyFont="1" applyFill="1" applyBorder="1" applyAlignment="1">
      <alignment horizontal="center" vertical="center" wrapText="1"/>
    </xf>
    <xf numFmtId="0" fontId="112" fillId="0" borderId="3" xfId="0" applyFont="1" applyFill="1" applyBorder="1" applyAlignment="1">
      <alignment horizontal="center" vertical="center" wrapText="1"/>
    </xf>
    <xf numFmtId="0" fontId="112" fillId="0" borderId="8" xfId="0" applyFont="1" applyFill="1" applyBorder="1" applyAlignment="1">
      <alignment vertical="center" wrapText="1"/>
    </xf>
    <xf numFmtId="49" fontId="112" fillId="0" borderId="3" xfId="0" applyNumberFormat="1" applyFont="1" applyFill="1" applyBorder="1" applyAlignment="1">
      <alignment horizontal="center" vertical="center" wrapText="1"/>
    </xf>
    <xf numFmtId="0" fontId="112" fillId="0" borderId="9" xfId="0" applyFont="1" applyFill="1" applyBorder="1" applyAlignment="1">
      <alignment horizontal="center" vertical="center" wrapText="1"/>
    </xf>
    <xf numFmtId="0" fontId="112" fillId="0" borderId="8" xfId="0" applyFont="1" applyFill="1" applyBorder="1" applyAlignment="1">
      <alignment horizontal="center" vertical="center" wrapText="1"/>
    </xf>
    <xf numFmtId="2" fontId="112" fillId="0" borderId="3" xfId="0" applyNumberFormat="1" applyFont="1" applyFill="1" applyBorder="1" applyAlignment="1">
      <alignment vertical="center" wrapText="1"/>
    </xf>
    <xf numFmtId="2" fontId="112" fillId="0" borderId="3" xfId="0" applyNumberFormat="1" applyFont="1" applyFill="1" applyBorder="1" applyAlignment="1">
      <alignment horizontal="center" vertical="center" wrapText="1"/>
    </xf>
    <xf numFmtId="43" fontId="112" fillId="0" borderId="0" xfId="0" applyNumberFormat="1" applyFont="1" applyFill="1" applyAlignment="1">
      <alignment vertical="center" wrapText="1"/>
    </xf>
    <xf numFmtId="179" fontId="112" fillId="0" borderId="3" xfId="0" applyNumberFormat="1" applyFont="1" applyFill="1" applyBorder="1" applyAlignment="1">
      <alignment horizontal="center" vertical="center" wrapText="1"/>
    </xf>
    <xf numFmtId="10" fontId="112" fillId="0" borderId="9" xfId="0" applyNumberFormat="1" applyFont="1" applyFill="1" applyBorder="1" applyAlignment="1">
      <alignment horizontal="center" vertical="center" wrapText="1"/>
    </xf>
    <xf numFmtId="0" fontId="112" fillId="0" borderId="3" xfId="0" quotePrefix="1" applyFont="1" applyFill="1" applyBorder="1" applyAlignment="1">
      <alignment vertical="center"/>
    </xf>
    <xf numFmtId="49" fontId="112" fillId="0" borderId="3" xfId="0" applyNumberFormat="1" applyFont="1" applyFill="1" applyBorder="1" applyAlignment="1">
      <alignment vertical="center" wrapText="1"/>
    </xf>
    <xf numFmtId="0" fontId="112" fillId="0" borderId="3" xfId="0" applyFont="1" applyFill="1" applyBorder="1" applyAlignment="1">
      <alignment vertical="center" wrapText="1"/>
    </xf>
    <xf numFmtId="0" fontId="112" fillId="0" borderId="3" xfId="0" quotePrefix="1" applyFont="1" applyFill="1" applyBorder="1" applyAlignment="1">
      <alignment vertical="center" wrapText="1"/>
    </xf>
    <xf numFmtId="179" fontId="112" fillId="0" borderId="3" xfId="0" applyNumberFormat="1" applyFont="1" applyFill="1" applyBorder="1" applyAlignment="1">
      <alignment vertical="center" wrapText="1"/>
    </xf>
    <xf numFmtId="43" fontId="112" fillId="0" borderId="3" xfId="0" applyNumberFormat="1" applyFont="1" applyFill="1" applyBorder="1" applyAlignment="1">
      <alignment vertical="center" wrapText="1"/>
    </xf>
    <xf numFmtId="179" fontId="112" fillId="0" borderId="9" xfId="0" applyNumberFormat="1" applyFont="1" applyFill="1" applyBorder="1" applyAlignment="1">
      <alignment horizontal="center" vertical="center" wrapText="1"/>
    </xf>
    <xf numFmtId="0" fontId="112" fillId="0" borderId="3" xfId="0" applyFont="1" applyFill="1" applyBorder="1" applyAlignment="1">
      <alignment horizontal="center" vertical="center"/>
    </xf>
    <xf numFmtId="0" fontId="112" fillId="0" borderId="11" xfId="0" applyFont="1" applyFill="1" applyBorder="1" applyAlignment="1">
      <alignment horizontal="center" vertical="center" wrapText="1"/>
    </xf>
    <xf numFmtId="0" fontId="113" fillId="0" borderId="11" xfId="0" applyFont="1" applyFill="1" applyBorder="1" applyAlignment="1">
      <alignment horizontal="center" vertical="center" wrapText="1"/>
    </xf>
    <xf numFmtId="49" fontId="112" fillId="0" borderId="11" xfId="0" applyNumberFormat="1" applyFont="1" applyFill="1" applyBorder="1" applyAlignment="1">
      <alignment vertical="center" wrapText="1"/>
    </xf>
    <xf numFmtId="0" fontId="112" fillId="0" borderId="11" xfId="0" applyFont="1" applyFill="1" applyBorder="1" applyAlignment="1">
      <alignment vertical="center" wrapText="1"/>
    </xf>
    <xf numFmtId="43" fontId="112" fillId="0" borderId="11" xfId="0" applyNumberFormat="1" applyFont="1" applyFill="1" applyBorder="1" applyAlignment="1">
      <alignment vertical="center" wrapText="1"/>
    </xf>
    <xf numFmtId="43" fontId="112" fillId="0" borderId="11" xfId="0" applyNumberFormat="1" applyFont="1" applyFill="1" applyBorder="1" applyAlignment="1">
      <alignment horizontal="center" vertical="center" wrapText="1"/>
    </xf>
    <xf numFmtId="0" fontId="112" fillId="0" borderId="12" xfId="0" applyFont="1" applyFill="1" applyBorder="1" applyAlignment="1">
      <alignment horizontal="center" vertical="center" wrapText="1"/>
    </xf>
    <xf numFmtId="0" fontId="112" fillId="0" borderId="0" xfId="0" applyFont="1" applyFill="1" applyBorder="1" applyAlignment="1">
      <alignment horizontal="center" vertical="center" wrapText="1"/>
    </xf>
    <xf numFmtId="49" fontId="112" fillId="0" borderId="0" xfId="0" applyNumberFormat="1" applyFont="1" applyFill="1" applyBorder="1" applyAlignment="1">
      <alignment vertical="center" wrapText="1"/>
    </xf>
    <xf numFmtId="0" fontId="112" fillId="0" borderId="0" xfId="0" applyFont="1" applyFill="1" applyBorder="1" applyAlignment="1">
      <alignment vertical="center" wrapText="1"/>
    </xf>
    <xf numFmtId="0" fontId="113" fillId="0" borderId="0" xfId="0" applyFont="1" applyFill="1" applyBorder="1" applyAlignment="1">
      <alignment horizontal="left" vertical="center" wrapText="1"/>
    </xf>
    <xf numFmtId="0" fontId="7" fillId="0" borderId="0" xfId="0" applyFont="1" applyFill="1" applyProtection="1">
      <alignment vertical="center"/>
      <protection locked="0"/>
    </xf>
    <xf numFmtId="0" fontId="2" fillId="0" borderId="3" xfId="0" applyFont="1" applyFill="1" applyBorder="1" applyProtection="1">
      <alignment vertical="center"/>
      <protection locked="0"/>
    </xf>
    <xf numFmtId="0" fontId="2" fillId="0" borderId="3" xfId="0" applyFont="1" applyFill="1" applyBorder="1" applyAlignment="1" applyProtection="1">
      <alignment horizontal="lef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177" fontId="2" fillId="0" borderId="3" xfId="0" applyNumberFormat="1" applyFont="1" applyFill="1" applyBorder="1" applyAlignment="1" applyProtection="1">
      <alignment vertical="center"/>
    </xf>
    <xf numFmtId="177" fontId="2" fillId="0" borderId="3" xfId="0" applyNumberFormat="1" applyFont="1" applyFill="1" applyBorder="1" applyAlignment="1" applyProtection="1">
      <alignment vertical="center"/>
      <protection locked="0"/>
    </xf>
    <xf numFmtId="0" fontId="79" fillId="0" borderId="3" xfId="2" applyFont="1" applyFill="1" applyBorder="1" applyAlignment="1" applyProtection="1">
      <alignment horizontal="left" vertical="top" wrapText="1"/>
      <protection locked="0"/>
    </xf>
    <xf numFmtId="0" fontId="81"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xf>
    <xf numFmtId="177" fontId="2" fillId="0" borderId="3" xfId="0" applyNumberFormat="1"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21" fillId="0" borderId="0" xfId="0" applyFont="1" applyFill="1" applyAlignment="1" applyProtection="1">
      <alignment vertical="center"/>
      <protection locked="0"/>
    </xf>
    <xf numFmtId="0" fontId="2" fillId="0" borderId="18"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0" fontId="23" fillId="0" borderId="3" xfId="0"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center" vertical="center"/>
    </xf>
    <xf numFmtId="0" fontId="81" fillId="0" borderId="3" xfId="0" applyFont="1" applyFill="1" applyBorder="1" applyAlignment="1" applyProtection="1">
      <alignment horizontal="left" vertical="center"/>
      <protection locked="0"/>
    </xf>
    <xf numFmtId="0" fontId="6" fillId="0" borderId="0" xfId="0" applyFont="1" applyFill="1" applyBorder="1" applyAlignment="1" applyProtection="1">
      <alignment vertical="center" wrapText="1"/>
      <protection locked="0"/>
    </xf>
    <xf numFmtId="0" fontId="6" fillId="0" borderId="0" xfId="0" applyFont="1" applyFill="1" applyBorder="1" applyAlignment="1" applyProtection="1">
      <alignment vertical="center"/>
      <protection locked="0"/>
    </xf>
    <xf numFmtId="0" fontId="6" fillId="0" borderId="0" xfId="0" applyFont="1" applyFill="1" applyAlignment="1" applyProtection="1">
      <alignment vertical="center" wrapText="1"/>
      <protection locked="0"/>
    </xf>
    <xf numFmtId="0" fontId="11" fillId="0" borderId="0" xfId="0" applyFont="1" applyFill="1" applyBorder="1" applyAlignment="1" applyProtection="1">
      <alignment vertical="center"/>
      <protection locked="0"/>
    </xf>
    <xf numFmtId="177" fontId="4" fillId="0" borderId="3" xfId="0" applyNumberFormat="1" applyFont="1" applyFill="1" applyBorder="1" applyAlignment="1" applyProtection="1">
      <alignment horizontal="center" vertical="center"/>
    </xf>
    <xf numFmtId="177" fontId="4" fillId="0" borderId="18" xfId="0" applyNumberFormat="1" applyFont="1" applyFill="1" applyBorder="1" applyAlignment="1" applyProtection="1">
      <alignment horizontal="center" vertical="center"/>
    </xf>
    <xf numFmtId="0" fontId="116" fillId="0" borderId="3" xfId="0" applyFont="1" applyFill="1" applyBorder="1" applyAlignment="1">
      <alignment horizontal="center" vertical="center" wrapText="1"/>
    </xf>
    <xf numFmtId="0" fontId="116" fillId="0" borderId="3" xfId="0" applyFont="1" applyFill="1" applyBorder="1" applyAlignment="1">
      <alignment horizontal="center" vertical="center"/>
    </xf>
    <xf numFmtId="0" fontId="116" fillId="0" borderId="3" xfId="0" applyFont="1" applyFill="1" applyBorder="1" applyAlignment="1">
      <alignment horizontal="left" vertical="center"/>
    </xf>
    <xf numFmtId="0" fontId="116" fillId="0" borderId="3" xfId="0" applyFont="1" applyFill="1" applyBorder="1" applyAlignment="1">
      <alignment horizontal="left" vertical="center" wrapText="1"/>
    </xf>
    <xf numFmtId="0" fontId="116" fillId="0" borderId="3" xfId="0" applyFont="1" applyFill="1" applyBorder="1" applyAlignment="1">
      <alignment horizontal="left" vertical="center" indent="2"/>
    </xf>
    <xf numFmtId="0" fontId="116" fillId="0" borderId="3" xfId="0" applyFont="1" applyFill="1" applyBorder="1" applyAlignment="1">
      <alignment horizontal="left" vertical="center" wrapText="1" indent="2"/>
    </xf>
    <xf numFmtId="0" fontId="23" fillId="0" borderId="0" xfId="0" applyFont="1" applyFill="1" applyAlignment="1" applyProtection="1">
      <alignment horizontal="center" vertical="center"/>
      <protection locked="0"/>
    </xf>
    <xf numFmtId="0" fontId="30" fillId="0" borderId="0" xfId="0" applyFont="1" applyFill="1" applyAlignment="1" applyProtection="1">
      <alignment horizontal="center" vertical="center"/>
      <protection locked="0"/>
    </xf>
    <xf numFmtId="0" fontId="15" fillId="0" borderId="0" xfId="0" applyFont="1" applyFill="1" applyAlignment="1" applyProtection="1">
      <alignment vertical="center"/>
      <protection locked="0"/>
    </xf>
    <xf numFmtId="0" fontId="14" fillId="0" borderId="3" xfId="0" applyFont="1" applyFill="1" applyBorder="1" applyAlignment="1" applyProtection="1">
      <alignment horizontal="center" vertical="center"/>
      <protection locked="0"/>
    </xf>
    <xf numFmtId="0" fontId="81" fillId="0" borderId="3" xfId="0" applyFont="1" applyFill="1" applyBorder="1" applyAlignment="1" applyProtection="1">
      <alignment vertical="center"/>
      <protection locked="0"/>
    </xf>
    <xf numFmtId="0" fontId="79" fillId="0" borderId="3" xfId="2" applyFont="1" applyFill="1" applyBorder="1" applyAlignment="1" applyProtection="1">
      <alignment vertical="top" wrapText="1"/>
      <protection locked="0"/>
    </xf>
    <xf numFmtId="0" fontId="19"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0" fontId="23"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left" vertical="center"/>
      <protection locked="0"/>
    </xf>
    <xf numFmtId="0" fontId="2" fillId="0" borderId="3" xfId="2" applyFont="1" applyFill="1" applyBorder="1" applyAlignment="1" applyProtection="1">
      <alignment horizontal="left" vertical="center" wrapText="1"/>
      <protection locked="0"/>
    </xf>
    <xf numFmtId="0" fontId="10" fillId="0" borderId="3" xfId="2" applyFont="1" applyFill="1" applyBorder="1" applyAlignment="1" applyProtection="1">
      <alignment horizontal="center" vertical="center"/>
      <protection locked="0"/>
    </xf>
    <xf numFmtId="0" fontId="92" fillId="0" borderId="3" xfId="0" applyFont="1" applyFill="1" applyBorder="1" applyAlignment="1" applyProtection="1">
      <alignment vertical="center"/>
      <protection locked="0"/>
    </xf>
    <xf numFmtId="0" fontId="115" fillId="0" borderId="3" xfId="0" applyFont="1" applyFill="1" applyBorder="1" applyAlignment="1" applyProtection="1">
      <alignment vertical="center"/>
      <protection locked="0"/>
    </xf>
    <xf numFmtId="0" fontId="115" fillId="0" borderId="3" xfId="0" applyFont="1" applyFill="1" applyBorder="1" applyAlignment="1" applyProtection="1">
      <alignment horizontal="left" vertical="center" wrapText="1"/>
      <protection locked="0"/>
    </xf>
    <xf numFmtId="0" fontId="115" fillId="0" borderId="3" xfId="0" applyFont="1" applyFill="1" applyBorder="1" applyAlignment="1" applyProtection="1">
      <alignment vertical="center" wrapText="1"/>
      <protection locked="0"/>
    </xf>
    <xf numFmtId="0" fontId="115" fillId="0" borderId="0" xfId="0" applyFont="1" applyFill="1" applyBorder="1" applyAlignment="1" applyProtection="1">
      <alignment vertical="center"/>
      <protection locked="0"/>
    </xf>
    <xf numFmtId="0" fontId="117" fillId="0" borderId="3" xfId="2" applyFont="1" applyFill="1" applyBorder="1" applyAlignment="1" applyProtection="1">
      <alignment vertical="center"/>
    </xf>
    <xf numFmtId="0" fontId="117" fillId="0" borderId="3" xfId="2" applyFont="1" applyFill="1" applyBorder="1" applyAlignment="1" applyProtection="1">
      <alignment vertical="center" wrapText="1"/>
    </xf>
    <xf numFmtId="0" fontId="95" fillId="0" borderId="5" xfId="2" applyFont="1" applyFill="1" applyBorder="1" applyAlignment="1" applyProtection="1">
      <alignment vertical="center" wrapText="1"/>
      <protection locked="0"/>
    </xf>
    <xf numFmtId="0" fontId="95" fillId="0" borderId="19" xfId="2" applyFont="1" applyFill="1" applyBorder="1" applyAlignment="1" applyProtection="1">
      <alignment vertical="center" wrapText="1"/>
      <protection locked="0"/>
    </xf>
    <xf numFmtId="0" fontId="95" fillId="0" borderId="20" xfId="2" applyFont="1" applyFill="1" applyBorder="1" applyAlignment="1" applyProtection="1">
      <alignment vertical="center" wrapText="1"/>
      <protection locked="0"/>
    </xf>
    <xf numFmtId="0" fontId="96" fillId="0" borderId="0" xfId="0" applyFont="1" applyFill="1" applyBorder="1" applyAlignment="1" applyProtection="1">
      <alignment vertical="center"/>
      <protection locked="0"/>
    </xf>
    <xf numFmtId="0" fontId="97" fillId="0" borderId="0" xfId="0" applyFont="1" applyFill="1" applyAlignment="1" applyProtection="1">
      <alignment horizontal="center" vertical="center"/>
      <protection locked="0"/>
    </xf>
    <xf numFmtId="0" fontId="96" fillId="0" borderId="3" xfId="0" applyFont="1" applyFill="1" applyBorder="1" applyAlignment="1" applyProtection="1">
      <alignment vertical="center" wrapText="1"/>
      <protection locked="0"/>
    </xf>
    <xf numFmtId="0" fontId="95" fillId="0" borderId="3" xfId="2" applyFont="1" applyFill="1" applyBorder="1" applyAlignment="1" applyProtection="1">
      <alignment vertical="center" wrapText="1"/>
      <protection locked="0"/>
    </xf>
    <xf numFmtId="0" fontId="96" fillId="0" borderId="3" xfId="0" applyFont="1" applyFill="1" applyBorder="1" applyAlignment="1" applyProtection="1">
      <alignment vertical="center"/>
      <protection locked="0"/>
    </xf>
    <xf numFmtId="0" fontId="127" fillId="0" borderId="0" xfId="0" applyFont="1">
      <alignment vertical="center"/>
    </xf>
    <xf numFmtId="0" fontId="129" fillId="0" borderId="0" xfId="0" applyFont="1">
      <alignment vertical="center"/>
    </xf>
    <xf numFmtId="49" fontId="0" fillId="13" borderId="0" xfId="0" applyNumberFormat="1" applyFill="1">
      <alignment vertical="center"/>
    </xf>
    <xf numFmtId="49" fontId="131" fillId="0" borderId="0" xfId="0" applyNumberFormat="1" applyFont="1">
      <alignment vertical="center"/>
    </xf>
    <xf numFmtId="49" fontId="0" fillId="0" borderId="0" xfId="0" applyNumberFormat="1">
      <alignment vertical="center"/>
    </xf>
    <xf numFmtId="49" fontId="0" fillId="14" borderId="0" xfId="0" applyNumberFormat="1" applyFill="1">
      <alignment vertical="center"/>
    </xf>
    <xf numFmtId="49" fontId="131" fillId="13" borderId="0" xfId="0" applyNumberFormat="1" applyFont="1" applyFill="1">
      <alignment vertical="center"/>
    </xf>
    <xf numFmtId="49" fontId="0" fillId="0" borderId="0" xfId="0" applyNumberFormat="1" applyFill="1">
      <alignment vertical="center"/>
    </xf>
    <xf numFmtId="49" fontId="7" fillId="0" borderId="0" xfId="0" applyNumberFormat="1" applyFont="1">
      <alignment vertical="center"/>
    </xf>
    <xf numFmtId="0" fontId="0" fillId="0" borderId="54" xfId="0" applyFont="1" applyBorder="1">
      <alignment vertical="center"/>
    </xf>
    <xf numFmtId="0" fontId="136" fillId="17" borderId="56" xfId="0" applyFont="1" applyFill="1" applyBorder="1">
      <alignment vertical="center"/>
    </xf>
    <xf numFmtId="0" fontId="136" fillId="17" borderId="57" xfId="0" applyFont="1" applyFill="1" applyBorder="1">
      <alignment vertical="center"/>
    </xf>
    <xf numFmtId="0" fontId="136" fillId="17" borderId="58" xfId="0" applyFont="1" applyFill="1" applyBorder="1">
      <alignment vertical="center"/>
    </xf>
    <xf numFmtId="0" fontId="137" fillId="0" borderId="59" xfId="0" applyFont="1" applyBorder="1">
      <alignment vertical="center"/>
    </xf>
    <xf numFmtId="0" fontId="0" fillId="0" borderId="0" xfId="0" applyFont="1">
      <alignment vertical="center"/>
    </xf>
    <xf numFmtId="0" fontId="0" fillId="0" borderId="60" xfId="0" applyFont="1" applyBorder="1">
      <alignment vertical="center"/>
    </xf>
    <xf numFmtId="0" fontId="0" fillId="0" borderId="0" xfId="0" applyFont="1" applyBorder="1">
      <alignment vertical="center"/>
    </xf>
    <xf numFmtId="0" fontId="137" fillId="0" borderId="61" xfId="0" applyFont="1" applyBorder="1">
      <alignment vertical="center"/>
    </xf>
    <xf numFmtId="0" fontId="0" fillId="0" borderId="55" xfId="0" applyFont="1" applyBorder="1">
      <alignment vertical="center"/>
    </xf>
    <xf numFmtId="0" fontId="0" fillId="0" borderId="62" xfId="0" applyFont="1" applyBorder="1">
      <alignment vertical="center"/>
    </xf>
    <xf numFmtId="0" fontId="136" fillId="17" borderId="63" xfId="0" applyFont="1" applyFill="1" applyBorder="1">
      <alignment vertical="center"/>
    </xf>
    <xf numFmtId="0" fontId="136" fillId="17" borderId="64" xfId="0" applyFont="1" applyFill="1" applyBorder="1">
      <alignment vertical="center"/>
    </xf>
    <xf numFmtId="0" fontId="0" fillId="0" borderId="64" xfId="0" applyFont="1" applyBorder="1">
      <alignment vertical="center"/>
    </xf>
    <xf numFmtId="49" fontId="0" fillId="0" borderId="63" xfId="0" applyNumberFormat="1" applyFont="1" applyBorder="1">
      <alignment vertical="center"/>
    </xf>
    <xf numFmtId="49" fontId="0" fillId="0" borderId="53" xfId="0" applyNumberFormat="1" applyFont="1" applyBorder="1">
      <alignment vertical="center"/>
    </xf>
    <xf numFmtId="49" fontId="0" fillId="0" borderId="3" xfId="0" applyNumberFormat="1" applyBorder="1" applyProtection="1">
      <alignment vertical="center"/>
      <protection locked="0"/>
    </xf>
    <xf numFmtId="0" fontId="0" fillId="0" borderId="63" xfId="0" applyFont="1" applyBorder="1">
      <alignment vertical="center"/>
    </xf>
    <xf numFmtId="0" fontId="0" fillId="4" borderId="18" xfId="0" applyFill="1" applyBorder="1" applyAlignment="1">
      <alignment horizontal="center" vertical="center"/>
    </xf>
    <xf numFmtId="0" fontId="0" fillId="4" borderId="3" xfId="0" applyFill="1" applyBorder="1" applyAlignment="1">
      <alignment horizontal="center" vertical="center"/>
    </xf>
    <xf numFmtId="0" fontId="0" fillId="0" borderId="3" xfId="0" applyBorder="1" applyAlignment="1" applyProtection="1">
      <alignment horizontal="center" vertical="center"/>
      <protection locked="0"/>
    </xf>
    <xf numFmtId="0" fontId="138" fillId="0" borderId="0" xfId="0" applyFont="1">
      <alignment vertical="center"/>
    </xf>
    <xf numFmtId="0" fontId="0" fillId="0" borderId="0" xfId="0" applyFont="1" applyFill="1" applyBorder="1">
      <alignment vertical="center"/>
    </xf>
    <xf numFmtId="43" fontId="0" fillId="12" borderId="3" xfId="3" applyFont="1" applyFill="1" applyBorder="1">
      <alignment vertical="center"/>
    </xf>
    <xf numFmtId="10" fontId="0" fillId="4" borderId="3" xfId="1" applyNumberFormat="1" applyFont="1" applyFill="1" applyBorder="1">
      <alignment vertical="center"/>
    </xf>
    <xf numFmtId="0" fontId="0" fillId="0" borderId="0" xfId="0" applyAlignment="1">
      <alignment horizontal="center" vertical="center"/>
    </xf>
    <xf numFmtId="0" fontId="142" fillId="0" borderId="0" xfId="0" applyFont="1">
      <alignment vertical="center"/>
    </xf>
    <xf numFmtId="0" fontId="0" fillId="16" borderId="3" xfId="0" quotePrefix="1" applyFill="1" applyBorder="1" applyAlignment="1" applyProtection="1">
      <alignment horizontal="center" vertical="center"/>
      <protection locked="0"/>
    </xf>
    <xf numFmtId="0" fontId="0" fillId="0" borderId="3" xfId="0" applyFill="1" applyBorder="1" applyAlignment="1" applyProtection="1">
      <alignment horizontal="center" vertical="center"/>
      <protection locked="0"/>
    </xf>
    <xf numFmtId="43" fontId="0" fillId="0" borderId="3" xfId="3" applyFont="1" applyBorder="1" applyProtection="1">
      <alignment vertical="center"/>
      <protection locked="0"/>
    </xf>
    <xf numFmtId="0" fontId="0" fillId="4" borderId="67" xfId="0" applyFill="1" applyBorder="1" applyAlignment="1">
      <alignment horizontal="center" vertical="center"/>
    </xf>
    <xf numFmtId="49" fontId="0" fillId="0" borderId="67" xfId="0" applyNumberFormat="1" applyBorder="1" applyProtection="1">
      <alignment vertical="center"/>
      <protection locked="0"/>
    </xf>
    <xf numFmtId="182" fontId="0" fillId="0" borderId="68" xfId="0" quotePrefix="1" applyNumberFormat="1" applyBorder="1" applyProtection="1">
      <alignment vertical="center"/>
      <protection locked="0"/>
    </xf>
    <xf numFmtId="182" fontId="0" fillId="0" borderId="70" xfId="0" quotePrefix="1" applyNumberFormat="1" applyBorder="1" applyProtection="1">
      <alignment vertical="center"/>
      <protection locked="0"/>
    </xf>
    <xf numFmtId="0" fontId="0" fillId="0" borderId="72" xfId="0" applyFill="1" applyBorder="1" applyAlignment="1" applyProtection="1">
      <alignment horizontal="center" vertical="center"/>
      <protection locked="0"/>
    </xf>
    <xf numFmtId="0" fontId="0" fillId="0" borderId="72" xfId="0" applyBorder="1" applyProtection="1">
      <alignment vertical="center"/>
      <protection locked="0"/>
    </xf>
    <xf numFmtId="0" fontId="0" fillId="4" borderId="20" xfId="0" applyFill="1" applyBorder="1" applyAlignment="1">
      <alignment horizontal="center" vertical="center"/>
    </xf>
    <xf numFmtId="0" fontId="2" fillId="0" borderId="0" xfId="0" applyFont="1" applyFill="1" applyAlignment="1">
      <alignment vertical="center"/>
    </xf>
    <xf numFmtId="43" fontId="2" fillId="0" borderId="0" xfId="3" applyFont="1" applyFill="1" applyAlignment="1">
      <alignment vertical="center"/>
    </xf>
    <xf numFmtId="43" fontId="135" fillId="0" borderId="3" xfId="3" applyFont="1" applyFill="1" applyBorder="1" applyAlignment="1" applyProtection="1">
      <alignment vertical="center" shrinkToFit="1"/>
      <protection locked="0"/>
    </xf>
    <xf numFmtId="43" fontId="135" fillId="0" borderId="3" xfId="3" applyFont="1" applyFill="1" applyBorder="1" applyAlignment="1" applyProtection="1">
      <alignment horizontal="right" vertical="center" shrinkToFit="1"/>
      <protection locked="0"/>
    </xf>
    <xf numFmtId="43" fontId="135" fillId="0" borderId="70" xfId="3" applyFont="1" applyFill="1" applyBorder="1" applyAlignment="1" applyProtection="1">
      <alignment horizontal="right" vertical="center" shrinkToFit="1"/>
      <protection locked="0"/>
    </xf>
    <xf numFmtId="43" fontId="135" fillId="0" borderId="70" xfId="3" applyFont="1" applyFill="1" applyBorder="1" applyAlignment="1" applyProtection="1">
      <alignment vertical="center" shrinkToFit="1"/>
      <protection locked="0"/>
    </xf>
    <xf numFmtId="49" fontId="7" fillId="0" borderId="0" xfId="0" applyNumberFormat="1" applyFont="1" applyAlignment="1">
      <alignment vertical="center" wrapText="1"/>
    </xf>
    <xf numFmtId="0" fontId="0" fillId="4" borderId="80" xfId="0" applyFill="1" applyBorder="1" applyAlignment="1">
      <alignment horizontal="center" vertical="center"/>
    </xf>
    <xf numFmtId="0" fontId="147" fillId="0" borderId="3" xfId="0" applyFont="1" applyBorder="1" applyAlignment="1" applyProtection="1">
      <alignment vertical="center" wrapText="1"/>
      <protection locked="0"/>
    </xf>
    <xf numFmtId="0" fontId="147" fillId="0" borderId="72" xfId="0" applyFont="1" applyBorder="1" applyAlignment="1" applyProtection="1">
      <alignment vertical="center" wrapText="1"/>
      <protection locked="0"/>
    </xf>
    <xf numFmtId="0" fontId="0" fillId="4" borderId="27" xfId="0" applyFill="1" applyBorder="1" applyAlignment="1">
      <alignment horizontal="center" vertical="center"/>
    </xf>
    <xf numFmtId="0" fontId="0" fillId="0" borderId="18" xfId="0" applyBorder="1">
      <alignment vertical="center"/>
    </xf>
    <xf numFmtId="0" fontId="0" fillId="0" borderId="47" xfId="0" applyBorder="1">
      <alignment vertical="center"/>
    </xf>
    <xf numFmtId="0" fontId="0" fillId="4" borderId="9" xfId="0" applyFill="1" applyBorder="1" applyAlignment="1">
      <alignment horizontal="center" vertical="center"/>
    </xf>
    <xf numFmtId="10" fontId="0" fillId="4" borderId="11" xfId="1" applyNumberFormat="1" applyFont="1" applyFill="1" applyBorder="1">
      <alignment vertical="center"/>
    </xf>
    <xf numFmtId="43" fontId="0" fillId="4" borderId="11" xfId="3" applyFont="1" applyFill="1" applyBorder="1">
      <alignment vertical="center"/>
    </xf>
    <xf numFmtId="0" fontId="0" fillId="4" borderId="95" xfId="0" applyFill="1" applyBorder="1">
      <alignment vertical="center"/>
    </xf>
    <xf numFmtId="43" fontId="0" fillId="4" borderId="96" xfId="3" applyFont="1" applyFill="1" applyBorder="1">
      <alignment vertical="center"/>
    </xf>
    <xf numFmtId="43" fontId="0" fillId="4" borderId="95" xfId="3" applyFont="1" applyFill="1" applyBorder="1">
      <alignment vertical="center"/>
    </xf>
    <xf numFmtId="10" fontId="0" fillId="4" borderId="97" xfId="1" applyNumberFormat="1" applyFont="1" applyFill="1" applyBorder="1">
      <alignment vertical="center"/>
    </xf>
    <xf numFmtId="10" fontId="0" fillId="4" borderId="98" xfId="1" applyNumberFormat="1" applyFont="1" applyFill="1" applyBorder="1">
      <alignment vertical="center"/>
    </xf>
    <xf numFmtId="10" fontId="0" fillId="4" borderId="94" xfId="1" applyNumberFormat="1" applyFont="1" applyFill="1" applyBorder="1">
      <alignment vertical="center"/>
    </xf>
    <xf numFmtId="0" fontId="0" fillId="4" borderId="99" xfId="0" applyFill="1" applyBorder="1">
      <alignment vertical="center"/>
    </xf>
    <xf numFmtId="49" fontId="0" fillId="0" borderId="0" xfId="0" applyNumberFormat="1" applyAlignment="1">
      <alignment horizontal="center" vertical="center"/>
    </xf>
    <xf numFmtId="49" fontId="0" fillId="0" borderId="0" xfId="0" applyNumberFormat="1" applyProtection="1">
      <alignment vertical="center"/>
      <protection locked="0"/>
    </xf>
    <xf numFmtId="43" fontId="0" fillId="0" borderId="0" xfId="3" applyFont="1" applyProtection="1">
      <alignment vertical="center"/>
      <protection locked="0"/>
    </xf>
    <xf numFmtId="0" fontId="0" fillId="0" borderId="0" xfId="0" applyProtection="1">
      <alignment vertical="center"/>
      <protection locked="0"/>
    </xf>
    <xf numFmtId="43" fontId="147" fillId="0" borderId="3" xfId="3" applyFont="1" applyBorder="1" applyProtection="1">
      <alignment vertical="center"/>
      <protection locked="0"/>
    </xf>
    <xf numFmtId="43" fontId="147" fillId="0" borderId="3" xfId="3" applyFont="1" applyFill="1" applyBorder="1">
      <alignment vertical="center"/>
    </xf>
    <xf numFmtId="0" fontId="0" fillId="0" borderId="0" xfId="0" applyProtection="1">
      <alignment vertical="center"/>
      <protection locked="0"/>
    </xf>
    <xf numFmtId="0" fontId="0" fillId="0" borderId="0" xfId="0">
      <alignment vertical="center"/>
    </xf>
    <xf numFmtId="0" fontId="2" fillId="18" borderId="107"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18" borderId="109"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protection locked="0"/>
    </xf>
    <xf numFmtId="0" fontId="9" fillId="0" borderId="0" xfId="0" applyFont="1" applyFill="1" applyBorder="1" applyAlignment="1" applyProtection="1">
      <alignment vertical="center"/>
      <protection locked="0"/>
    </xf>
    <xf numFmtId="0" fontId="2" fillId="18" borderId="103" xfId="0" applyFont="1" applyFill="1" applyBorder="1" applyAlignment="1" applyProtection="1">
      <alignment horizontal="center" vertical="center"/>
      <protection locked="0"/>
    </xf>
    <xf numFmtId="0" fontId="2" fillId="0" borderId="125" xfId="0" applyFont="1" applyBorder="1" applyAlignment="1" applyProtection="1">
      <alignment vertical="center" wrapText="1"/>
      <protection locked="0"/>
    </xf>
    <xf numFmtId="0" fontId="166" fillId="0" borderId="0" xfId="0" applyFont="1">
      <alignment vertical="center"/>
    </xf>
    <xf numFmtId="0" fontId="7" fillId="0" borderId="0" xfId="0" applyFont="1" applyAlignment="1" applyProtection="1">
      <alignment vertical="center"/>
      <protection locked="0"/>
    </xf>
    <xf numFmtId="0" fontId="7" fillId="0" borderId="0" xfId="0" applyFont="1" applyAlignment="1">
      <alignment vertical="center"/>
    </xf>
    <xf numFmtId="0" fontId="7" fillId="0" borderId="0" xfId="0" applyFont="1" applyProtection="1">
      <alignment vertical="center"/>
      <protection locked="0"/>
    </xf>
    <xf numFmtId="0" fontId="7" fillId="0" borderId="0" xfId="0" applyFont="1">
      <alignment vertical="center"/>
    </xf>
    <xf numFmtId="0" fontId="11" fillId="0" borderId="0" xfId="0" applyFont="1">
      <alignment vertical="center"/>
    </xf>
    <xf numFmtId="0" fontId="167" fillId="0" borderId="0" xfId="0" applyFont="1">
      <alignment vertical="center"/>
    </xf>
    <xf numFmtId="185" fontId="143" fillId="0" borderId="103" xfId="0" applyNumberFormat="1" applyFont="1" applyFill="1" applyBorder="1" applyAlignment="1" applyProtection="1">
      <alignment vertical="center"/>
      <protection locked="0"/>
    </xf>
    <xf numFmtId="185" fontId="143" fillId="21" borderId="103" xfId="0" applyNumberFormat="1" applyFont="1" applyFill="1" applyBorder="1" applyAlignment="1" applyProtection="1">
      <alignment horizontal="center" vertical="center"/>
    </xf>
    <xf numFmtId="185" fontId="143" fillId="21" borderId="116" xfId="0" applyNumberFormat="1" applyFont="1" applyFill="1" applyBorder="1" applyAlignment="1" applyProtection="1">
      <alignment horizontal="center" vertical="center"/>
    </xf>
    <xf numFmtId="185" fontId="143" fillId="0" borderId="118" xfId="0" applyNumberFormat="1" applyFont="1" applyFill="1" applyBorder="1" applyAlignment="1" applyProtection="1">
      <alignment vertical="center"/>
      <protection locked="0"/>
    </xf>
    <xf numFmtId="185" fontId="143" fillId="21" borderId="118" xfId="0" applyNumberFormat="1" applyFont="1" applyFill="1" applyBorder="1" applyAlignment="1" applyProtection="1">
      <alignment horizontal="center" vertical="center"/>
    </xf>
    <xf numFmtId="185" fontId="143" fillId="21" borderId="119" xfId="0" applyNumberFormat="1" applyFont="1" applyFill="1" applyBorder="1" applyAlignment="1" applyProtection="1">
      <alignment horizontal="center" vertical="center"/>
    </xf>
    <xf numFmtId="185" fontId="143" fillId="0" borderId="120" xfId="0" applyNumberFormat="1" applyFont="1" applyFill="1" applyBorder="1" applyAlignment="1" applyProtection="1">
      <alignment vertical="center"/>
      <protection locked="0"/>
    </xf>
    <xf numFmtId="0" fontId="143" fillId="0" borderId="121" xfId="0" applyFont="1" applyBorder="1" applyAlignment="1" applyProtection="1">
      <alignment horizontal="center" vertical="center"/>
      <protection locked="0"/>
    </xf>
    <xf numFmtId="0" fontId="143" fillId="0" borderId="122" xfId="0" applyFont="1" applyBorder="1" applyAlignment="1" applyProtection="1">
      <alignment horizontal="center" vertical="center"/>
      <protection locked="0"/>
    </xf>
    <xf numFmtId="185" fontId="143" fillId="21" borderId="107" xfId="0" applyNumberFormat="1" applyFont="1" applyFill="1" applyBorder="1" applyAlignment="1" applyProtection="1">
      <alignment horizontal="center" vertical="center"/>
    </xf>
    <xf numFmtId="185" fontId="143" fillId="21" borderId="108" xfId="0" applyNumberFormat="1" applyFont="1" applyFill="1" applyBorder="1" applyAlignment="1" applyProtection="1">
      <alignment horizontal="center" vertical="center"/>
    </xf>
    <xf numFmtId="185" fontId="143" fillId="0" borderId="118" xfId="0" applyNumberFormat="1" applyFont="1" applyBorder="1" applyAlignment="1" applyProtection="1">
      <alignment horizontal="center" vertical="center"/>
      <protection locked="0"/>
    </xf>
    <xf numFmtId="186" fontId="143" fillId="20" borderId="118" xfId="0" applyNumberFormat="1" applyFont="1" applyFill="1" applyBorder="1" applyAlignment="1" applyProtection="1">
      <alignment horizontal="center" vertical="center"/>
      <protection locked="0"/>
    </xf>
    <xf numFmtId="185" fontId="143" fillId="22" borderId="118" xfId="0" applyNumberFormat="1" applyFont="1" applyFill="1" applyBorder="1" applyAlignment="1" applyProtection="1">
      <alignment horizontal="center" vertical="center"/>
      <protection locked="0"/>
    </xf>
    <xf numFmtId="49" fontId="143" fillId="0" borderId="118" xfId="0" applyNumberFormat="1" applyFont="1" applyBorder="1" applyAlignment="1" applyProtection="1">
      <alignment horizontal="left" vertical="center"/>
      <protection locked="0"/>
    </xf>
    <xf numFmtId="49" fontId="143" fillId="0" borderId="118" xfId="0" applyNumberFormat="1" applyFont="1" applyBorder="1" applyAlignment="1" applyProtection="1">
      <alignment vertical="center"/>
      <protection locked="0"/>
    </xf>
    <xf numFmtId="185" fontId="143" fillId="0" borderId="103" xfId="0" applyNumberFormat="1" applyFont="1" applyBorder="1" applyAlignment="1" applyProtection="1">
      <alignment horizontal="center" vertical="center"/>
      <protection locked="0"/>
    </xf>
    <xf numFmtId="185" fontId="143" fillId="0" borderId="103" xfId="0" applyNumberFormat="1" applyFont="1" applyFill="1" applyBorder="1" applyAlignment="1" applyProtection="1">
      <alignment horizontal="center" vertical="center"/>
      <protection locked="0"/>
    </xf>
    <xf numFmtId="185" fontId="143" fillId="0" borderId="118" xfId="0" applyNumberFormat="1" applyFont="1" applyFill="1" applyBorder="1" applyAlignment="1" applyProtection="1">
      <alignment horizontal="center" vertical="center"/>
      <protection locked="0"/>
    </xf>
    <xf numFmtId="185" fontId="143" fillId="21" borderId="127" xfId="0" applyNumberFormat="1" applyFont="1" applyFill="1" applyBorder="1" applyAlignment="1" applyProtection="1">
      <alignment horizontal="center" vertical="center"/>
    </xf>
    <xf numFmtId="185" fontId="143" fillId="21" borderId="128" xfId="0" applyNumberFormat="1"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43" fillId="19" borderId="141" xfId="0" applyFont="1" applyFill="1" applyBorder="1" applyAlignment="1" applyProtection="1">
      <alignment horizontal="center" vertical="center"/>
    </xf>
    <xf numFmtId="0" fontId="143" fillId="19" borderId="143" xfId="0" applyFont="1" applyFill="1" applyBorder="1" applyAlignment="1" applyProtection="1">
      <alignment horizontal="center" vertical="center"/>
    </xf>
    <xf numFmtId="0" fontId="143" fillId="19" borderId="144" xfId="0" applyFont="1" applyFill="1" applyBorder="1" applyAlignment="1" applyProtection="1">
      <alignment horizontal="center" vertical="center"/>
    </xf>
    <xf numFmtId="0" fontId="0" fillId="0" borderId="0" xfId="0" applyAlignment="1">
      <alignment horizontal="right" vertical="center"/>
    </xf>
    <xf numFmtId="14" fontId="0" fillId="0" borderId="0" xfId="0" applyNumberFormat="1">
      <alignment vertical="center"/>
    </xf>
    <xf numFmtId="49" fontId="143" fillId="0" borderId="135" xfId="0" applyNumberFormat="1" applyFont="1" applyBorder="1" applyAlignment="1" applyProtection="1">
      <alignment horizontal="justify" vertical="center" wrapText="1"/>
      <protection locked="0"/>
    </xf>
    <xf numFmtId="0" fontId="143" fillId="0" borderId="135" xfId="0" applyFont="1" applyBorder="1" applyAlignment="1" applyProtection="1">
      <alignment horizontal="justify" vertical="center" wrapText="1"/>
      <protection locked="0"/>
    </xf>
    <xf numFmtId="0" fontId="143" fillId="0" borderId="136" xfId="0" applyFont="1" applyBorder="1" applyAlignment="1" applyProtection="1">
      <alignment horizontal="justify" vertical="center" wrapText="1"/>
      <protection locked="0"/>
    </xf>
    <xf numFmtId="0" fontId="143" fillId="0" borderId="137" xfId="0" applyFont="1" applyBorder="1" applyAlignment="1" applyProtection="1">
      <alignment horizontal="justify" vertical="center" wrapText="1"/>
      <protection locked="0"/>
    </xf>
    <xf numFmtId="14" fontId="167" fillId="19" borderId="0" xfId="0" applyNumberFormat="1" applyFont="1" applyFill="1" applyBorder="1" applyAlignment="1" applyProtection="1">
      <alignment vertical="center"/>
    </xf>
    <xf numFmtId="0" fontId="167" fillId="19" borderId="0" xfId="0" applyFont="1" applyFill="1" applyBorder="1" applyAlignment="1" applyProtection="1">
      <alignment vertical="center" shrinkToFit="1"/>
    </xf>
    <xf numFmtId="0" fontId="2" fillId="18" borderId="103" xfId="0" applyFont="1" applyFill="1" applyBorder="1" applyProtection="1">
      <alignment vertical="center"/>
      <protection locked="0"/>
    </xf>
    <xf numFmtId="0" fontId="2" fillId="18" borderId="116" xfId="0" applyFont="1" applyFill="1" applyBorder="1" applyAlignment="1" applyProtection="1">
      <alignment horizontal="center" vertical="center"/>
      <protection locked="0"/>
    </xf>
    <xf numFmtId="0" fontId="177" fillId="0" borderId="0" xfId="0" applyFont="1">
      <alignment vertical="center"/>
    </xf>
    <xf numFmtId="0" fontId="2" fillId="18" borderId="118" xfId="0" applyFont="1" applyFill="1" applyBorder="1" applyAlignment="1" applyProtection="1">
      <alignment horizontal="center" vertical="center"/>
      <protection locked="0"/>
    </xf>
    <xf numFmtId="0" fontId="2" fillId="20" borderId="118" xfId="0" applyFont="1" applyFill="1" applyBorder="1" applyAlignment="1" applyProtection="1">
      <alignment horizontal="center" vertical="center"/>
      <protection locked="0"/>
    </xf>
    <xf numFmtId="0" fontId="2" fillId="19" borderId="118" xfId="0" applyFont="1" applyFill="1" applyBorder="1" applyAlignment="1" applyProtection="1">
      <alignment horizontal="center" vertical="center"/>
    </xf>
    <xf numFmtId="0" fontId="177" fillId="0" borderId="0" xfId="0" applyFont="1" applyBorder="1">
      <alignment vertical="center"/>
    </xf>
    <xf numFmtId="0" fontId="2" fillId="18" borderId="113" xfId="0" applyFont="1" applyFill="1" applyBorder="1" applyAlignment="1" applyProtection="1">
      <alignment horizontal="center" vertical="center"/>
      <protection locked="0"/>
    </xf>
    <xf numFmtId="0" fontId="2" fillId="0" borderId="0" xfId="0" applyFont="1" applyAlignment="1">
      <alignment vertical="center"/>
    </xf>
    <xf numFmtId="0" fontId="177" fillId="0" borderId="0" xfId="0" applyFont="1" applyAlignment="1">
      <alignment vertical="center"/>
    </xf>
    <xf numFmtId="0" fontId="2" fillId="20" borderId="130" xfId="0" applyFont="1" applyFill="1" applyBorder="1" applyAlignment="1" applyProtection="1">
      <alignment horizontal="right" vertical="center"/>
      <protection locked="0"/>
    </xf>
    <xf numFmtId="0" fontId="2" fillId="18" borderId="0" xfId="0" applyFont="1" applyFill="1" applyProtection="1">
      <alignment vertical="center"/>
      <protection locked="0"/>
    </xf>
    <xf numFmtId="0" fontId="2" fillId="18" borderId="132" xfId="0" applyFont="1" applyFill="1" applyBorder="1" applyAlignment="1" applyProtection="1">
      <alignment horizontal="center" vertical="center" wrapText="1"/>
      <protection locked="0"/>
    </xf>
    <xf numFmtId="185" fontId="165" fillId="21" borderId="108" xfId="0" applyNumberFormat="1" applyFont="1" applyFill="1" applyBorder="1" applyAlignment="1" applyProtection="1">
      <alignment vertical="center"/>
    </xf>
    <xf numFmtId="0" fontId="2" fillId="18" borderId="129" xfId="0" applyFont="1" applyFill="1" applyBorder="1" applyAlignment="1" applyProtection="1">
      <alignment horizontal="center" vertical="center"/>
      <protection locked="0"/>
    </xf>
    <xf numFmtId="185" fontId="165" fillId="19" borderId="124" xfId="0" applyNumberFormat="1" applyFont="1" applyFill="1" applyBorder="1" applyAlignment="1" applyProtection="1">
      <alignment horizontal="center" vertical="center"/>
    </xf>
    <xf numFmtId="185" fontId="165" fillId="21" borderId="118" xfId="0" applyNumberFormat="1" applyFont="1" applyFill="1" applyBorder="1" applyAlignment="1" applyProtection="1"/>
    <xf numFmtId="185" fontId="165" fillId="21" borderId="123" xfId="0" applyNumberFormat="1" applyFont="1" applyFill="1" applyBorder="1" applyAlignment="1" applyProtection="1">
      <alignment vertical="center"/>
    </xf>
    <xf numFmtId="0" fontId="2" fillId="0" borderId="129" xfId="0" applyFont="1" applyBorder="1" applyAlignment="1" applyProtection="1">
      <alignment vertical="center"/>
      <protection locked="0"/>
    </xf>
    <xf numFmtId="185" fontId="165" fillId="0" borderId="114" xfId="0" applyNumberFormat="1" applyFont="1" applyBorder="1" applyAlignment="1" applyProtection="1">
      <alignment vertical="center"/>
      <protection locked="0"/>
    </xf>
    <xf numFmtId="185" fontId="165" fillId="0" borderId="103" xfId="0" applyNumberFormat="1" applyFont="1" applyBorder="1" applyAlignment="1" applyProtection="1">
      <alignment vertical="center"/>
      <protection locked="0"/>
    </xf>
    <xf numFmtId="185" fontId="165" fillId="21" borderId="103" xfId="0" applyNumberFormat="1" applyFont="1" applyFill="1" applyBorder="1" applyAlignment="1" applyProtection="1"/>
    <xf numFmtId="185" fontId="165" fillId="0" borderId="116" xfId="0" applyNumberFormat="1" applyFont="1" applyBorder="1" applyAlignment="1" applyProtection="1">
      <protection locked="0"/>
    </xf>
    <xf numFmtId="0" fontId="2" fillId="0" borderId="149" xfId="0" applyFont="1" applyBorder="1" applyAlignment="1" applyProtection="1">
      <alignment vertical="center"/>
      <protection locked="0"/>
    </xf>
    <xf numFmtId="185" fontId="165" fillId="0" borderId="117" xfId="0" applyNumberFormat="1" applyFont="1" applyBorder="1" applyAlignment="1" applyProtection="1">
      <alignment vertical="center"/>
      <protection locked="0"/>
    </xf>
    <xf numFmtId="185" fontId="165" fillId="0" borderId="118" xfId="0" applyNumberFormat="1" applyFont="1" applyBorder="1" applyAlignment="1" applyProtection="1">
      <alignment vertical="center"/>
      <protection locked="0"/>
    </xf>
    <xf numFmtId="185" fontId="165" fillId="0" borderId="119" xfId="0" applyNumberFormat="1" applyFont="1" applyBorder="1" applyAlignment="1" applyProtection="1">
      <protection locked="0"/>
    </xf>
    <xf numFmtId="0" fontId="2" fillId="0" borderId="0" xfId="0" applyFont="1">
      <alignment vertical="center"/>
    </xf>
    <xf numFmtId="185" fontId="165" fillId="0" borderId="123" xfId="0" applyNumberFormat="1" applyFont="1" applyBorder="1" applyAlignment="1" applyProtection="1">
      <alignment vertical="center"/>
      <protection locked="0"/>
    </xf>
    <xf numFmtId="185" fontId="165" fillId="0" borderId="107" xfId="0" applyNumberFormat="1" applyFont="1" applyBorder="1" applyAlignment="1" applyProtection="1">
      <alignment vertical="center"/>
      <protection locked="0"/>
    </xf>
    <xf numFmtId="185" fontId="165" fillId="21" borderId="107" xfId="0" applyNumberFormat="1" applyFont="1" applyFill="1" applyBorder="1" applyAlignment="1" applyProtection="1"/>
    <xf numFmtId="185" fontId="165" fillId="0" borderId="108" xfId="0" applyNumberFormat="1" applyFont="1" applyBorder="1" applyAlignment="1" applyProtection="1">
      <protection locked="0"/>
    </xf>
    <xf numFmtId="0" fontId="0" fillId="18" borderId="0" xfId="0" applyFill="1" applyProtection="1">
      <alignment vertical="center"/>
      <protection locked="0"/>
    </xf>
    <xf numFmtId="0" fontId="165" fillId="0" borderId="150" xfId="0" applyFont="1" applyFill="1" applyBorder="1" applyAlignment="1" applyProtection="1">
      <alignment horizontal="center" vertical="center"/>
      <protection locked="0"/>
    </xf>
    <xf numFmtId="185" fontId="165" fillId="19" borderId="151" xfId="0" applyNumberFormat="1" applyFont="1" applyFill="1" applyBorder="1" applyAlignment="1" applyProtection="1">
      <alignment horizontal="center" vertical="center"/>
    </xf>
    <xf numFmtId="185" fontId="165" fillId="21" borderId="107" xfId="0" applyNumberFormat="1" applyFont="1" applyFill="1" applyBorder="1" applyAlignment="1" applyProtection="1">
      <alignment vertical="center"/>
    </xf>
    <xf numFmtId="185" fontId="165" fillId="0" borderId="118" xfId="0" applyNumberFormat="1" applyFont="1" applyBorder="1" applyProtection="1">
      <alignment vertical="center"/>
      <protection locked="0"/>
    </xf>
    <xf numFmtId="0" fontId="7" fillId="0" borderId="0" xfId="0" applyFont="1" applyBorder="1" applyAlignment="1" applyProtection="1">
      <alignment horizontal="center" vertical="center"/>
      <protection locked="0"/>
    </xf>
    <xf numFmtId="0" fontId="177" fillId="0" borderId="0" xfId="0" applyFont="1" applyBorder="1" applyProtection="1">
      <alignment vertical="center"/>
      <protection locked="0"/>
    </xf>
    <xf numFmtId="185" fontId="165" fillId="0" borderId="104" xfId="0" applyNumberFormat="1" applyFont="1" applyBorder="1" applyAlignment="1" applyProtection="1">
      <alignment vertical="center"/>
      <protection locked="0"/>
    </xf>
    <xf numFmtId="0" fontId="177" fillId="0" borderId="0" xfId="0" applyFont="1" applyAlignment="1" applyProtection="1">
      <alignment vertical="center"/>
      <protection locked="0"/>
    </xf>
    <xf numFmtId="0" fontId="2" fillId="0" borderId="0" xfId="0" applyFont="1" applyProtection="1">
      <alignment vertical="center"/>
      <protection locked="0"/>
    </xf>
    <xf numFmtId="0" fontId="2" fillId="18" borderId="129" xfId="0" applyFont="1" applyFill="1" applyBorder="1" applyAlignment="1">
      <alignment horizontal="center" vertical="center"/>
    </xf>
    <xf numFmtId="0" fontId="2" fillId="18" borderId="103" xfId="0" applyFont="1" applyFill="1" applyBorder="1" applyAlignment="1">
      <alignment horizontal="center" vertical="center"/>
    </xf>
    <xf numFmtId="0" fontId="2" fillId="20" borderId="103" xfId="0" applyFont="1" applyFill="1" applyBorder="1" applyAlignment="1">
      <alignment horizontal="center" vertical="center"/>
    </xf>
    <xf numFmtId="0" fontId="2" fillId="19" borderId="103" xfId="0" applyFont="1" applyFill="1" applyBorder="1" applyAlignment="1">
      <alignment horizontal="center" vertical="center"/>
    </xf>
    <xf numFmtId="0" fontId="2" fillId="18" borderId="132" xfId="0" applyFont="1" applyFill="1" applyBorder="1" applyAlignment="1">
      <alignment horizontal="center" vertical="center"/>
    </xf>
    <xf numFmtId="0" fontId="2" fillId="18" borderId="107" xfId="0" applyFont="1" applyFill="1" applyBorder="1" applyAlignment="1">
      <alignment horizontal="center" vertical="center"/>
    </xf>
    <xf numFmtId="0" fontId="2" fillId="19" borderId="107"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11" xfId="0" applyFont="1" applyFill="1" applyBorder="1" applyAlignment="1">
      <alignment horizontal="center" vertical="center" wrapText="1"/>
    </xf>
    <xf numFmtId="0" fontId="2" fillId="18" borderId="112" xfId="0" applyFont="1" applyFill="1" applyBorder="1" applyAlignment="1">
      <alignment horizontal="center" vertical="center" wrapText="1"/>
    </xf>
    <xf numFmtId="185" fontId="165" fillId="0" borderId="103" xfId="0" applyNumberFormat="1" applyFont="1" applyBorder="1" applyAlignment="1">
      <alignment vertical="center"/>
    </xf>
    <xf numFmtId="185" fontId="165" fillId="21" borderId="103" xfId="0" applyNumberFormat="1" applyFont="1" applyFill="1" applyBorder="1" applyAlignment="1">
      <alignment vertical="center" wrapText="1"/>
    </xf>
    <xf numFmtId="185" fontId="165" fillId="21" borderId="116" xfId="0" applyNumberFormat="1" applyFont="1" applyFill="1" applyBorder="1" applyAlignment="1">
      <alignment vertical="center"/>
    </xf>
    <xf numFmtId="0" fontId="2" fillId="18" borderId="118" xfId="0" applyFont="1" applyFill="1" applyBorder="1" applyAlignment="1">
      <alignment horizontal="center" vertical="center"/>
    </xf>
    <xf numFmtId="185" fontId="165" fillId="0" borderId="118" xfId="0" applyNumberFormat="1" applyFont="1" applyBorder="1" applyAlignment="1">
      <alignment vertical="center"/>
    </xf>
    <xf numFmtId="185" fontId="165" fillId="21" borderId="118" xfId="0" applyNumberFormat="1" applyFont="1" applyFill="1" applyBorder="1" applyAlignment="1">
      <alignment vertical="center" wrapText="1"/>
    </xf>
    <xf numFmtId="185" fontId="165" fillId="21" borderId="119" xfId="0" applyNumberFormat="1" applyFont="1" applyFill="1" applyBorder="1" applyAlignment="1">
      <alignment vertical="center"/>
    </xf>
    <xf numFmtId="0" fontId="9" fillId="0" borderId="0" xfId="0" applyFont="1" applyFill="1" applyBorder="1" applyAlignment="1" applyProtection="1">
      <alignment vertical="center"/>
    </xf>
    <xf numFmtId="0" fontId="2" fillId="18" borderId="107" xfId="0" applyFont="1" applyFill="1" applyBorder="1" applyAlignment="1">
      <alignment horizontal="center" vertical="center"/>
    </xf>
    <xf numFmtId="185" fontId="165" fillId="21" borderId="107" xfId="0" applyNumberFormat="1" applyFont="1" applyFill="1" applyBorder="1" applyAlignment="1">
      <alignment vertical="center"/>
    </xf>
    <xf numFmtId="185" fontId="165" fillId="21" borderId="108" xfId="0" applyNumberFormat="1" applyFont="1" applyFill="1" applyBorder="1" applyAlignment="1">
      <alignment vertical="center"/>
    </xf>
    <xf numFmtId="185" fontId="165" fillId="21" borderId="104" xfId="0" applyNumberFormat="1" applyFont="1" applyFill="1" applyBorder="1" applyAlignment="1">
      <alignment vertical="center"/>
    </xf>
    <xf numFmtId="185" fontId="165" fillId="21" borderId="105" xfId="0" applyNumberFormat="1" applyFont="1" applyFill="1" applyBorder="1" applyAlignment="1">
      <alignment vertical="center"/>
    </xf>
    <xf numFmtId="185" fontId="165" fillId="21" borderId="118" xfId="0" applyNumberFormat="1" applyFont="1" applyFill="1" applyBorder="1" applyAlignment="1">
      <alignment vertical="center"/>
    </xf>
    <xf numFmtId="0" fontId="2" fillId="0" borderId="125" xfId="0" applyFont="1" applyBorder="1" applyAlignment="1">
      <alignment vertical="center" wrapText="1"/>
    </xf>
    <xf numFmtId="0" fontId="2" fillId="0" borderId="0" xfId="0" applyFont="1" applyAlignment="1">
      <alignment vertical="center" wrapText="1"/>
    </xf>
    <xf numFmtId="0" fontId="2" fillId="20" borderId="130" xfId="0" applyFont="1" applyFill="1" applyBorder="1" applyAlignment="1">
      <alignment horizontal="right" vertical="center"/>
    </xf>
    <xf numFmtId="0" fontId="2" fillId="0" borderId="0" xfId="0" applyFont="1" applyBorder="1" applyAlignment="1">
      <alignment vertical="center" wrapText="1"/>
    </xf>
    <xf numFmtId="0" fontId="2" fillId="0" borderId="0" xfId="0" applyFont="1" applyBorder="1" applyAlignment="1">
      <alignment vertical="center" wrapText="1"/>
    </xf>
    <xf numFmtId="0" fontId="166" fillId="0" borderId="0" xfId="0" applyFont="1" applyProtection="1">
      <alignment vertical="center"/>
      <protection locked="0"/>
    </xf>
    <xf numFmtId="0" fontId="2" fillId="18" borderId="120" xfId="0" applyFont="1" applyFill="1" applyBorder="1" applyAlignment="1" applyProtection="1">
      <alignment horizontal="center" vertical="center"/>
      <protection locked="0"/>
    </xf>
    <xf numFmtId="0" fontId="2" fillId="0" borderId="149" xfId="0" applyFont="1" applyBorder="1" applyAlignment="1" applyProtection="1">
      <alignment horizontal="center" vertical="center"/>
      <protection locked="0"/>
    </xf>
    <xf numFmtId="0" fontId="2" fillId="0" borderId="118" xfId="0" applyFont="1" applyBorder="1" applyAlignment="1" applyProtection="1">
      <alignment horizontal="left" vertical="center"/>
      <protection locked="0"/>
    </xf>
    <xf numFmtId="185" fontId="165" fillId="0" borderId="118" xfId="0" applyNumberFormat="1" applyFont="1" applyBorder="1" applyAlignment="1" applyProtection="1">
      <alignment horizontal="left" vertical="center"/>
      <protection locked="0"/>
    </xf>
    <xf numFmtId="185" fontId="165" fillId="21" borderId="119" xfId="0" applyNumberFormat="1" applyFont="1" applyFill="1" applyBorder="1" applyProtection="1">
      <alignment vertical="center"/>
    </xf>
    <xf numFmtId="0" fontId="177" fillId="0" borderId="0" xfId="0" applyFont="1" applyProtection="1">
      <alignment vertical="center"/>
      <protection locked="0"/>
    </xf>
    <xf numFmtId="0" fontId="2" fillId="0" borderId="0" xfId="0" applyFont="1" applyAlignment="1" applyProtection="1">
      <alignment vertical="center"/>
      <protection locked="0"/>
    </xf>
    <xf numFmtId="0" fontId="166" fillId="0" borderId="0" xfId="0" applyFont="1" applyAlignment="1">
      <alignment vertical="center"/>
    </xf>
    <xf numFmtId="185" fontId="165" fillId="21" borderId="150" xfId="0" applyNumberFormat="1" applyFont="1" applyFill="1" applyBorder="1" applyAlignment="1" applyProtection="1">
      <alignment horizontal="center" vertical="center"/>
    </xf>
    <xf numFmtId="0" fontId="2" fillId="0" borderId="125" xfId="0" applyFont="1" applyBorder="1" applyAlignment="1" applyProtection="1">
      <alignment vertical="center"/>
      <protection locked="0"/>
    </xf>
    <xf numFmtId="10" fontId="2" fillId="21" borderId="107" xfId="0" applyNumberFormat="1" applyFont="1" applyFill="1" applyBorder="1">
      <alignment vertical="center"/>
    </xf>
    <xf numFmtId="0" fontId="2" fillId="0" borderId="104" xfId="0" applyFont="1" applyBorder="1" applyAlignment="1" applyProtection="1">
      <alignment vertical="center"/>
      <protection locked="0"/>
    </xf>
    <xf numFmtId="185" fontId="165" fillId="0" borderId="104" xfId="0" applyNumberFormat="1" applyFont="1" applyBorder="1" applyAlignment="1" applyProtection="1">
      <alignment vertical="center" shrinkToFit="1"/>
      <protection locked="0"/>
    </xf>
    <xf numFmtId="185" fontId="165" fillId="21" borderId="104" xfId="0" applyNumberFormat="1" applyFont="1" applyFill="1" applyBorder="1" applyAlignment="1" applyProtection="1">
      <alignment vertical="center" shrinkToFit="1"/>
    </xf>
    <xf numFmtId="185" fontId="165" fillId="21" borderId="105" xfId="0" applyNumberFormat="1" applyFont="1" applyFill="1" applyBorder="1" applyAlignment="1" applyProtection="1">
      <alignment vertical="center" shrinkToFit="1"/>
    </xf>
    <xf numFmtId="0" fontId="2" fillId="0" borderId="118" xfId="0" applyFont="1" applyBorder="1" applyAlignment="1" applyProtection="1">
      <alignment vertical="center"/>
      <protection locked="0"/>
    </xf>
    <xf numFmtId="185" fontId="165" fillId="0" borderId="118" xfId="0" applyNumberFormat="1" applyFont="1" applyBorder="1" applyAlignment="1" applyProtection="1">
      <alignment vertical="center" shrinkToFit="1"/>
      <protection locked="0"/>
    </xf>
    <xf numFmtId="185" fontId="165" fillId="21" borderId="118" xfId="0" applyNumberFormat="1" applyFont="1" applyFill="1" applyBorder="1" applyAlignment="1" applyProtection="1">
      <alignment vertical="center" shrinkToFit="1"/>
    </xf>
    <xf numFmtId="185" fontId="165" fillId="21" borderId="119" xfId="0" applyNumberFormat="1" applyFont="1" applyFill="1" applyBorder="1" applyAlignment="1" applyProtection="1">
      <alignment vertical="center" shrinkToFit="1"/>
    </xf>
    <xf numFmtId="0" fontId="9" fillId="0" borderId="0" xfId="0" applyFont="1" applyFill="1" applyBorder="1" applyProtection="1">
      <alignment vertical="center"/>
      <protection locked="0"/>
    </xf>
    <xf numFmtId="0" fontId="2" fillId="0" borderId="120" xfId="0" applyFont="1" applyBorder="1" applyAlignment="1" applyProtection="1">
      <alignment vertical="center"/>
      <protection locked="0"/>
    </xf>
    <xf numFmtId="185" fontId="165" fillId="0" borderId="120" xfId="0" applyNumberFormat="1" applyFont="1" applyBorder="1" applyAlignment="1" applyProtection="1">
      <alignment vertical="center" shrinkToFit="1"/>
      <protection locked="0"/>
    </xf>
    <xf numFmtId="185" fontId="165" fillId="21" borderId="107" xfId="0" applyNumberFormat="1" applyFont="1" applyFill="1" applyBorder="1" applyAlignment="1" applyProtection="1">
      <alignment vertical="center" shrinkToFit="1"/>
    </xf>
    <xf numFmtId="185" fontId="165" fillId="21" borderId="108" xfId="0" applyNumberFormat="1" applyFont="1" applyFill="1" applyBorder="1" applyAlignment="1" applyProtection="1">
      <alignment vertical="center" shrinkToFit="1"/>
    </xf>
    <xf numFmtId="0" fontId="2" fillId="0" borderId="103" xfId="0" applyFont="1" applyBorder="1" applyAlignment="1" applyProtection="1">
      <alignment vertical="center"/>
      <protection locked="0"/>
    </xf>
    <xf numFmtId="185" fontId="165" fillId="0" borderId="103" xfId="0" applyNumberFormat="1" applyFont="1" applyBorder="1" applyAlignment="1" applyProtection="1">
      <alignment vertical="center" shrinkToFit="1"/>
      <protection locked="0"/>
    </xf>
    <xf numFmtId="185" fontId="165" fillId="21" borderId="103" xfId="0" applyNumberFormat="1" applyFont="1" applyFill="1" applyBorder="1" applyAlignment="1" applyProtection="1">
      <alignment vertical="center" shrinkToFit="1"/>
    </xf>
    <xf numFmtId="185" fontId="165" fillId="21" borderId="116" xfId="0" applyNumberFormat="1" applyFont="1" applyFill="1" applyBorder="1" applyAlignment="1" applyProtection="1">
      <alignment vertical="center" shrinkToFit="1"/>
    </xf>
    <xf numFmtId="0" fontId="2" fillId="18" borderId="129" xfId="0" applyFont="1" applyFill="1" applyBorder="1" applyAlignment="1" applyProtection="1">
      <alignment horizontal="center" vertical="center" wrapText="1"/>
      <protection locked="0"/>
    </xf>
    <xf numFmtId="185" fontId="165" fillId="0" borderId="103" xfId="0" applyNumberFormat="1" applyFont="1" applyBorder="1" applyAlignment="1" applyProtection="1">
      <alignment horizontal="center" vertical="center" shrinkToFit="1"/>
      <protection locked="0"/>
    </xf>
    <xf numFmtId="0" fontId="2" fillId="18" borderId="132" xfId="0" applyFont="1" applyFill="1" applyBorder="1" applyAlignment="1" applyProtection="1">
      <alignment horizontal="center" vertical="center"/>
      <protection locked="0"/>
    </xf>
    <xf numFmtId="0" fontId="166" fillId="0" borderId="0" xfId="0" applyFont="1" applyAlignment="1" applyProtection="1">
      <alignment vertical="center"/>
      <protection locked="0"/>
    </xf>
    <xf numFmtId="0" fontId="2" fillId="18" borderId="112" xfId="0" applyFont="1" applyFill="1" applyBorder="1" applyAlignment="1" applyProtection="1">
      <alignment horizontal="center" vertical="center"/>
      <protection locked="0"/>
    </xf>
    <xf numFmtId="185" fontId="165" fillId="19" borderId="104" xfId="0" applyNumberFormat="1" applyFont="1" applyFill="1" applyBorder="1" applyAlignment="1" applyProtection="1">
      <alignment vertical="center"/>
    </xf>
    <xf numFmtId="185" fontId="165" fillId="21" borderId="104" xfId="0" applyNumberFormat="1" applyFont="1" applyFill="1" applyBorder="1" applyAlignment="1" applyProtection="1">
      <alignment vertical="center"/>
    </xf>
    <xf numFmtId="185" fontId="165" fillId="19" borderId="118" xfId="0" applyNumberFormat="1" applyFont="1" applyFill="1" applyBorder="1" applyAlignment="1" applyProtection="1">
      <alignment vertical="center"/>
    </xf>
    <xf numFmtId="185" fontId="165" fillId="21" borderId="118" xfId="0" applyNumberFormat="1" applyFont="1" applyFill="1" applyBorder="1" applyAlignment="1" applyProtection="1">
      <alignment vertical="center"/>
    </xf>
    <xf numFmtId="0" fontId="2" fillId="0" borderId="119" xfId="0" applyFont="1" applyBorder="1" applyAlignment="1" applyProtection="1">
      <alignment horizontal="center" vertical="center"/>
      <protection locked="0"/>
    </xf>
    <xf numFmtId="0" fontId="0" fillId="0" borderId="0" xfId="0" applyBorder="1" applyProtection="1">
      <alignment vertical="center"/>
      <protection locked="0"/>
    </xf>
    <xf numFmtId="0" fontId="14" fillId="18" borderId="0" xfId="0" applyFont="1" applyFill="1" applyAlignment="1" applyProtection="1">
      <alignment horizontal="center" vertical="center"/>
      <protection locked="0"/>
    </xf>
    <xf numFmtId="0" fontId="2" fillId="18" borderId="0" xfId="0" applyFont="1" applyFill="1" applyAlignment="1" applyProtection="1">
      <alignment horizontal="right"/>
      <protection locked="0"/>
    </xf>
    <xf numFmtId="0" fontId="2" fillId="19" borderId="119" xfId="0" applyFont="1" applyFill="1" applyBorder="1" applyAlignment="1" applyProtection="1">
      <alignment horizontal="center" vertical="center"/>
    </xf>
    <xf numFmtId="0" fontId="2" fillId="19" borderId="123" xfId="0" applyFont="1" applyFill="1" applyBorder="1" applyAlignment="1" applyProtection="1">
      <alignment horizontal="center" vertical="center"/>
    </xf>
    <xf numFmtId="0" fontId="2" fillId="18" borderId="109" xfId="0" applyFont="1" applyFill="1" applyBorder="1" applyAlignment="1" applyProtection="1">
      <alignment horizontal="center" vertical="center" wrapText="1"/>
      <protection locked="0"/>
    </xf>
    <xf numFmtId="177" fontId="2" fillId="21" borderId="111" xfId="0" applyNumberFormat="1" applyFont="1" applyFill="1" applyBorder="1" applyAlignment="1" applyProtection="1">
      <alignment horizontal="center" vertical="center"/>
    </xf>
    <xf numFmtId="177" fontId="2" fillId="18" borderId="111" xfId="0" applyNumberFormat="1" applyFont="1" applyFill="1" applyBorder="1" applyAlignment="1" applyProtection="1">
      <alignment horizontal="center" vertical="center"/>
      <protection locked="0"/>
    </xf>
    <xf numFmtId="185" fontId="178" fillId="0" borderId="103" xfId="0" applyNumberFormat="1" applyFont="1" applyBorder="1" applyAlignment="1" applyProtection="1">
      <alignment vertical="center"/>
      <protection locked="0"/>
    </xf>
    <xf numFmtId="185" fontId="178" fillId="0" borderId="114" xfId="0" applyNumberFormat="1" applyFont="1" applyBorder="1" applyAlignment="1" applyProtection="1">
      <alignment vertical="center"/>
      <protection locked="0"/>
    </xf>
    <xf numFmtId="185" fontId="178" fillId="21" borderId="116" xfId="0" applyNumberFormat="1" applyFont="1" applyFill="1" applyBorder="1" applyAlignment="1" applyProtection="1">
      <alignment vertical="center"/>
    </xf>
    <xf numFmtId="185" fontId="178" fillId="0" borderId="118" xfId="0" applyNumberFormat="1" applyFont="1" applyBorder="1" applyAlignment="1" applyProtection="1">
      <alignment vertical="center"/>
      <protection locked="0"/>
    </xf>
    <xf numFmtId="185" fontId="178" fillId="0" borderId="117" xfId="0" applyNumberFormat="1" applyFont="1" applyBorder="1" applyAlignment="1" applyProtection="1">
      <alignment vertical="center"/>
      <protection locked="0"/>
    </xf>
    <xf numFmtId="185" fontId="178" fillId="21" borderId="119" xfId="0" applyNumberFormat="1" applyFont="1" applyFill="1" applyBorder="1" applyAlignment="1" applyProtection="1">
      <alignment vertical="center"/>
    </xf>
    <xf numFmtId="0" fontId="2" fillId="0" borderId="125" xfId="0" applyFont="1" applyFill="1" applyBorder="1" applyAlignment="1" applyProtection="1">
      <alignment vertical="center" wrapText="1"/>
      <protection locked="0"/>
    </xf>
    <xf numFmtId="0" fontId="1" fillId="0" borderId="0" xfId="0" applyFont="1" applyAlignment="1">
      <alignment vertical="center"/>
    </xf>
    <xf numFmtId="58" fontId="60" fillId="18" borderId="118" xfId="0" applyNumberFormat="1" applyFont="1" applyFill="1" applyBorder="1" applyAlignment="1" applyProtection="1">
      <alignment horizontal="center" vertical="center"/>
      <protection locked="0"/>
    </xf>
    <xf numFmtId="0" fontId="60" fillId="18" borderId="118" xfId="0" applyFont="1" applyFill="1" applyBorder="1" applyAlignment="1" applyProtection="1">
      <alignment horizontal="center" vertical="center"/>
      <protection locked="0"/>
    </xf>
    <xf numFmtId="185" fontId="178" fillId="21" borderId="118" xfId="0" applyNumberFormat="1" applyFont="1" applyFill="1" applyBorder="1" applyAlignment="1" applyProtection="1">
      <alignment vertical="center"/>
    </xf>
    <xf numFmtId="185" fontId="178" fillId="24" borderId="120" xfId="0" applyNumberFormat="1" applyFont="1" applyFill="1" applyBorder="1" applyAlignment="1" applyProtection="1">
      <alignment horizontal="center" vertical="center"/>
    </xf>
    <xf numFmtId="185" fontId="178" fillId="24" borderId="121" xfId="0" applyNumberFormat="1" applyFont="1" applyFill="1" applyBorder="1" applyAlignment="1" applyProtection="1">
      <alignment horizontal="center" vertical="center"/>
    </xf>
    <xf numFmtId="185" fontId="178" fillId="21" borderId="160" xfId="0" applyNumberFormat="1" applyFont="1" applyFill="1" applyBorder="1" applyAlignment="1" applyProtection="1">
      <alignment vertical="center"/>
    </xf>
    <xf numFmtId="0" fontId="2" fillId="18" borderId="161" xfId="0" applyFont="1" applyFill="1" applyBorder="1" applyAlignment="1" applyProtection="1">
      <alignment horizontal="center" vertical="center" wrapText="1"/>
      <protection locked="0"/>
    </xf>
    <xf numFmtId="185" fontId="178" fillId="21" borderId="120" xfId="0" applyNumberFormat="1" applyFont="1" applyFill="1" applyBorder="1" applyAlignment="1" applyProtection="1">
      <alignment vertical="center"/>
    </xf>
    <xf numFmtId="185" fontId="178" fillId="0" borderId="107" xfId="0" applyNumberFormat="1" applyFont="1" applyFill="1" applyBorder="1" applyAlignment="1" applyProtection="1">
      <alignment vertical="center"/>
    </xf>
    <xf numFmtId="185" fontId="178" fillId="24" borderId="107" xfId="0" applyNumberFormat="1" applyFont="1" applyFill="1" applyBorder="1" applyAlignment="1" applyProtection="1">
      <alignment horizontal="center" vertical="center"/>
    </xf>
    <xf numFmtId="185" fontId="178" fillId="24" borderId="123" xfId="0" applyNumberFormat="1" applyFont="1" applyFill="1" applyBorder="1" applyAlignment="1" applyProtection="1">
      <alignment horizontal="center" vertical="center"/>
    </xf>
    <xf numFmtId="185" fontId="178" fillId="21" borderId="108" xfId="0" applyNumberFormat="1" applyFont="1" applyFill="1" applyBorder="1" applyAlignment="1" applyProtection="1">
      <alignment vertical="center"/>
    </xf>
    <xf numFmtId="185" fontId="178" fillId="21" borderId="107" xfId="0" applyNumberFormat="1" applyFont="1" applyFill="1" applyBorder="1" applyAlignment="1" applyProtection="1">
      <alignment vertical="center"/>
    </xf>
    <xf numFmtId="0" fontId="2" fillId="0" borderId="0" xfId="0" applyFont="1" applyBorder="1" applyAlignment="1" applyProtection="1">
      <alignment vertical="center" wrapText="1"/>
      <protection locked="0"/>
    </xf>
    <xf numFmtId="0" fontId="180" fillId="0" borderId="0" xfId="0" applyFont="1">
      <alignment vertical="center"/>
    </xf>
    <xf numFmtId="0" fontId="2" fillId="0" borderId="0" xfId="0" applyFont="1" applyBorder="1">
      <alignment vertical="center"/>
    </xf>
    <xf numFmtId="0" fontId="0" fillId="0" borderId="0" xfId="0" applyBorder="1">
      <alignment vertical="center"/>
    </xf>
    <xf numFmtId="0" fontId="167" fillId="0" borderId="0" xfId="0" applyFont="1" applyProtection="1">
      <alignment vertical="center"/>
    </xf>
    <xf numFmtId="0" fontId="0" fillId="0" borderId="0" xfId="0" applyProtection="1">
      <alignment vertical="center"/>
    </xf>
    <xf numFmtId="0" fontId="143" fillId="18" borderId="140" xfId="0" applyFont="1" applyFill="1" applyBorder="1" applyAlignment="1" applyProtection="1">
      <alignment horizontal="center" vertical="center" shrinkToFit="1"/>
    </xf>
    <xf numFmtId="0" fontId="143" fillId="20" borderId="140" xfId="0" applyFont="1" applyFill="1" applyBorder="1" applyAlignment="1" applyProtection="1">
      <alignment horizontal="center" vertical="center"/>
    </xf>
    <xf numFmtId="0" fontId="143" fillId="18" borderId="140" xfId="0" applyFont="1" applyFill="1" applyBorder="1" applyAlignment="1" applyProtection="1">
      <alignment horizontal="center" vertical="center"/>
    </xf>
    <xf numFmtId="0" fontId="143" fillId="18" borderId="143" xfId="0" applyFont="1" applyFill="1" applyBorder="1" applyAlignment="1" applyProtection="1">
      <alignment horizontal="center" vertical="center"/>
    </xf>
    <xf numFmtId="0" fontId="143" fillId="18" borderId="111" xfId="0" applyFont="1" applyFill="1" applyBorder="1" applyAlignment="1" applyProtection="1">
      <alignment horizontal="center" vertical="center"/>
    </xf>
    <xf numFmtId="0" fontId="143" fillId="18" borderId="112" xfId="0" applyFont="1" applyFill="1" applyBorder="1" applyAlignment="1" applyProtection="1">
      <alignment horizontal="center" vertical="center"/>
    </xf>
    <xf numFmtId="0" fontId="168" fillId="0" borderId="0" xfId="2" applyFont="1" applyFill="1" applyBorder="1" applyAlignment="1" applyProtection="1">
      <alignment vertical="center"/>
    </xf>
    <xf numFmtId="0" fontId="168" fillId="0" borderId="0" xfId="0" applyFont="1" applyFill="1" applyBorder="1" applyAlignment="1" applyProtection="1">
      <alignment vertical="center"/>
    </xf>
    <xf numFmtId="0" fontId="143" fillId="18" borderId="103" xfId="0" applyFont="1" applyFill="1" applyBorder="1" applyAlignment="1" applyProtection="1">
      <alignment horizontal="center" vertical="center"/>
    </xf>
    <xf numFmtId="185" fontId="143" fillId="18" borderId="103" xfId="0" applyNumberFormat="1" applyFont="1" applyFill="1" applyBorder="1" applyAlignment="1" applyProtection="1">
      <alignment horizontal="center" vertical="center"/>
    </xf>
    <xf numFmtId="185" fontId="143" fillId="18" borderId="103" xfId="0" applyNumberFormat="1" applyFont="1" applyFill="1" applyBorder="1" applyAlignment="1" applyProtection="1">
      <alignment horizontal="center" vertical="center" wrapText="1"/>
    </xf>
    <xf numFmtId="185" fontId="143" fillId="18" borderId="116" xfId="0" applyNumberFormat="1" applyFont="1" applyFill="1" applyBorder="1" applyAlignment="1" applyProtection="1">
      <alignment horizontal="center" vertical="center"/>
    </xf>
    <xf numFmtId="0" fontId="168" fillId="0" borderId="124" xfId="0" applyFont="1" applyFill="1" applyBorder="1" applyProtection="1">
      <alignment vertical="center"/>
    </xf>
    <xf numFmtId="185" fontId="143" fillId="18" borderId="107" xfId="0" applyNumberFormat="1" applyFont="1" applyFill="1" applyBorder="1" applyAlignment="1" applyProtection="1">
      <alignment horizontal="center" vertical="center"/>
    </xf>
    <xf numFmtId="185" fontId="143" fillId="18" borderId="127" xfId="0" applyNumberFormat="1" applyFont="1" applyFill="1" applyBorder="1" applyAlignment="1" applyProtection="1">
      <alignment horizontal="center" vertical="center"/>
    </xf>
    <xf numFmtId="0" fontId="143" fillId="20" borderId="130" xfId="0" applyFont="1" applyFill="1" applyBorder="1" applyAlignment="1" applyProtection="1">
      <alignment horizontal="right" vertical="center"/>
    </xf>
    <xf numFmtId="0" fontId="166" fillId="0" borderId="0" xfId="0" applyFont="1" applyProtection="1">
      <alignment vertical="center"/>
    </xf>
    <xf numFmtId="49" fontId="143" fillId="0" borderId="118" xfId="0" applyNumberFormat="1" applyFont="1" applyFill="1" applyBorder="1" applyAlignment="1" applyProtection="1">
      <alignment horizontal="left" vertical="center"/>
      <protection locked="0"/>
    </xf>
    <xf numFmtId="0" fontId="143" fillId="0" borderId="118" xfId="0" applyFont="1" applyFill="1" applyBorder="1" applyAlignment="1" applyProtection="1">
      <alignment vertical="center"/>
      <protection locked="0"/>
    </xf>
    <xf numFmtId="0" fontId="145" fillId="4" borderId="69" xfId="0" applyFont="1" applyFill="1" applyBorder="1" applyAlignment="1" applyProtection="1">
      <alignment horizontal="center" vertical="center"/>
      <protection hidden="1"/>
    </xf>
    <xf numFmtId="183" fontId="143" fillId="4" borderId="3" xfId="0" applyNumberFormat="1" applyFont="1" applyFill="1" applyBorder="1" applyAlignment="1" applyProtection="1">
      <alignment horizontal="center" vertical="center" wrapText="1" shrinkToFit="1"/>
      <protection hidden="1"/>
    </xf>
    <xf numFmtId="43" fontId="144" fillId="4" borderId="3" xfId="3" applyFont="1" applyFill="1" applyBorder="1" applyAlignment="1" applyProtection="1">
      <alignment vertical="center" shrinkToFit="1"/>
      <protection hidden="1"/>
    </xf>
    <xf numFmtId="0" fontId="145" fillId="4" borderId="3" xfId="0" applyFont="1" applyFill="1" applyBorder="1" applyAlignment="1" applyProtection="1">
      <alignment horizontal="center" vertical="center"/>
      <protection hidden="1"/>
    </xf>
    <xf numFmtId="43" fontId="144" fillId="4" borderId="70" xfId="3" applyFont="1" applyFill="1" applyBorder="1" applyAlignment="1" applyProtection="1">
      <alignment vertical="center" shrinkToFit="1"/>
      <protection hidden="1"/>
    </xf>
    <xf numFmtId="0" fontId="145" fillId="4" borderId="71" xfId="0" applyFont="1" applyFill="1" applyBorder="1" applyAlignment="1" applyProtection="1">
      <alignment horizontal="center" vertical="center"/>
      <protection hidden="1"/>
    </xf>
    <xf numFmtId="183" fontId="143" fillId="4" borderId="72" xfId="0" applyNumberFormat="1" applyFont="1" applyFill="1" applyBorder="1" applyAlignment="1" applyProtection="1">
      <alignment horizontal="center" vertical="center" wrapText="1" shrinkToFit="1"/>
      <protection hidden="1"/>
    </xf>
    <xf numFmtId="43" fontId="144" fillId="4" borderId="72" xfId="3" applyFont="1" applyFill="1" applyBorder="1" applyAlignment="1" applyProtection="1">
      <alignment vertical="center" shrinkToFit="1"/>
      <protection hidden="1"/>
    </xf>
    <xf numFmtId="0" fontId="145" fillId="4" borderId="72" xfId="0" applyFont="1" applyFill="1" applyBorder="1" applyAlignment="1" applyProtection="1">
      <alignment horizontal="center" vertical="center"/>
      <protection hidden="1"/>
    </xf>
    <xf numFmtId="43" fontId="144" fillId="4" borderId="73" xfId="3" applyFont="1" applyFill="1" applyBorder="1" applyAlignment="1" applyProtection="1">
      <alignment vertical="center" shrinkToFit="1"/>
      <protection hidden="1"/>
    </xf>
    <xf numFmtId="43" fontId="148" fillId="4" borderId="3" xfId="0" applyNumberFormat="1" applyFont="1" applyFill="1" applyBorder="1" applyAlignment="1" applyProtection="1">
      <alignment vertical="center" shrinkToFit="1"/>
      <protection hidden="1"/>
    </xf>
    <xf numFmtId="177" fontId="145" fillId="4" borderId="66" xfId="0" applyNumberFormat="1" applyFont="1" applyFill="1" applyBorder="1" applyAlignment="1" applyProtection="1">
      <alignment horizontal="center" vertical="center" shrinkToFit="1"/>
      <protection hidden="1"/>
    </xf>
    <xf numFmtId="183" fontId="145" fillId="4" borderId="67" xfId="0" applyNumberFormat="1" applyFont="1" applyFill="1" applyBorder="1" applyAlignment="1" applyProtection="1">
      <alignment horizontal="center" vertical="center" wrapText="1" shrinkToFit="1"/>
      <protection hidden="1"/>
    </xf>
    <xf numFmtId="177" fontId="146" fillId="4" borderId="69" xfId="0" applyNumberFormat="1" applyFont="1" applyFill="1" applyBorder="1" applyAlignment="1" applyProtection="1">
      <alignment horizontal="left" vertical="center" shrinkToFit="1"/>
      <protection hidden="1"/>
    </xf>
    <xf numFmtId="177" fontId="176" fillId="4" borderId="69" xfId="0" applyNumberFormat="1" applyFont="1" applyFill="1" applyBorder="1" applyAlignment="1" applyProtection="1">
      <alignment horizontal="left" vertical="center" indent="1" shrinkToFit="1"/>
      <protection hidden="1"/>
    </xf>
    <xf numFmtId="177" fontId="143" fillId="4" borderId="69" xfId="0" applyNumberFormat="1" applyFont="1" applyFill="1" applyBorder="1" applyAlignment="1" applyProtection="1">
      <alignment horizontal="left" vertical="center" indent="1" shrinkToFit="1"/>
      <protection hidden="1"/>
    </xf>
    <xf numFmtId="177" fontId="145" fillId="4" borderId="69" xfId="0" applyNumberFormat="1" applyFont="1" applyFill="1" applyBorder="1" applyAlignment="1" applyProtection="1">
      <alignment horizontal="center" vertical="center" shrinkToFit="1"/>
      <protection hidden="1"/>
    </xf>
    <xf numFmtId="177" fontId="143" fillId="4" borderId="69" xfId="0" applyNumberFormat="1" applyFont="1" applyFill="1" applyBorder="1" applyAlignment="1" applyProtection="1">
      <alignment horizontal="left" vertical="center" indent="2" shrinkToFit="1"/>
      <protection hidden="1"/>
    </xf>
    <xf numFmtId="177" fontId="143" fillId="4" borderId="78" xfId="0" applyNumberFormat="1" applyFont="1" applyFill="1" applyBorder="1" applyAlignment="1" applyProtection="1">
      <alignment horizontal="left" vertical="center" indent="4" shrinkToFit="1"/>
      <protection hidden="1"/>
    </xf>
    <xf numFmtId="0" fontId="143" fillId="4" borderId="69" xfId="0" applyFont="1" applyFill="1" applyBorder="1" applyAlignment="1" applyProtection="1">
      <alignment horizontal="left" vertical="center" indent="1"/>
      <protection hidden="1"/>
    </xf>
    <xf numFmtId="31" fontId="143" fillId="0" borderId="0" xfId="0" applyNumberFormat="1" applyFont="1" applyFill="1" applyBorder="1" applyAlignment="1" applyProtection="1">
      <alignment horizontal="left" vertical="center"/>
      <protection hidden="1"/>
    </xf>
    <xf numFmtId="0" fontId="143" fillId="0" borderId="0" xfId="0" applyFont="1" applyFill="1" applyAlignment="1" applyProtection="1">
      <alignment horizontal="center" vertical="center"/>
      <protection hidden="1"/>
    </xf>
    <xf numFmtId="43" fontId="143" fillId="0" borderId="65" xfId="3" applyFont="1" applyFill="1" applyBorder="1" applyAlignment="1" applyProtection="1">
      <alignment horizontal="right" vertical="center"/>
      <protection hidden="1"/>
    </xf>
    <xf numFmtId="43" fontId="145" fillId="4" borderId="67" xfId="3" applyFont="1" applyFill="1" applyBorder="1" applyAlignment="1" applyProtection="1">
      <alignment horizontal="center" vertical="center"/>
      <protection hidden="1"/>
    </xf>
    <xf numFmtId="177" fontId="145" fillId="4" borderId="67" xfId="0" applyNumberFormat="1" applyFont="1" applyFill="1" applyBorder="1" applyAlignment="1" applyProtection="1">
      <alignment horizontal="center" vertical="center" shrinkToFit="1"/>
      <protection hidden="1"/>
    </xf>
    <xf numFmtId="43" fontId="145" fillId="4" borderId="68" xfId="3" applyFont="1" applyFill="1" applyBorder="1" applyAlignment="1" applyProtection="1">
      <alignment horizontal="center" vertical="center"/>
      <protection hidden="1"/>
    </xf>
    <xf numFmtId="43" fontId="143" fillId="4" borderId="3" xfId="3" applyFont="1" applyFill="1" applyBorder="1" applyAlignment="1" applyProtection="1">
      <alignment vertical="center"/>
      <protection hidden="1"/>
    </xf>
    <xf numFmtId="177" fontId="146" fillId="4" borderId="3" xfId="0" applyNumberFormat="1" applyFont="1" applyFill="1" applyBorder="1" applyAlignment="1" applyProtection="1">
      <alignment vertical="center" shrinkToFit="1"/>
      <protection hidden="1"/>
    </xf>
    <xf numFmtId="43" fontId="143" fillId="4" borderId="3" xfId="3" applyFont="1" applyFill="1" applyBorder="1" applyAlignment="1" applyProtection="1">
      <alignment horizontal="right" vertical="center"/>
      <protection hidden="1"/>
    </xf>
    <xf numFmtId="43" fontId="143" fillId="4" borderId="70" xfId="3" applyFont="1" applyFill="1" applyBorder="1" applyAlignment="1" applyProtection="1">
      <alignment horizontal="right" vertical="center"/>
      <protection hidden="1"/>
    </xf>
    <xf numFmtId="177" fontId="143" fillId="4" borderId="3" xfId="0" applyNumberFormat="1" applyFont="1" applyFill="1" applyBorder="1" applyAlignment="1" applyProtection="1">
      <alignment horizontal="left" vertical="center" indent="1" shrinkToFit="1"/>
      <protection hidden="1"/>
    </xf>
    <xf numFmtId="177" fontId="145" fillId="4" borderId="3" xfId="0" applyNumberFormat="1" applyFont="1" applyFill="1" applyBorder="1" applyAlignment="1" applyProtection="1">
      <alignment horizontal="center" vertical="center" shrinkToFit="1"/>
      <protection hidden="1"/>
    </xf>
    <xf numFmtId="0" fontId="143" fillId="4" borderId="3" xfId="0" applyFont="1" applyFill="1" applyBorder="1" applyAlignment="1" applyProtection="1">
      <alignment horizontal="center" vertical="center"/>
      <protection hidden="1"/>
    </xf>
    <xf numFmtId="0" fontId="146" fillId="4" borderId="3" xfId="0" applyFont="1" applyFill="1" applyBorder="1" applyAlignment="1" applyProtection="1">
      <alignment vertical="center"/>
      <protection hidden="1"/>
    </xf>
    <xf numFmtId="0" fontId="143" fillId="4" borderId="3" xfId="0" applyFont="1" applyFill="1" applyBorder="1" applyAlignment="1" applyProtection="1">
      <alignment horizontal="left" vertical="center" indent="1"/>
      <protection hidden="1"/>
    </xf>
    <xf numFmtId="43" fontId="135" fillId="4" borderId="3" xfId="3" applyFont="1" applyFill="1" applyBorder="1" applyAlignment="1" applyProtection="1">
      <alignment vertical="center" shrinkToFit="1"/>
      <protection hidden="1"/>
    </xf>
    <xf numFmtId="43" fontId="144" fillId="4" borderId="3" xfId="3" applyFont="1" applyFill="1" applyBorder="1" applyAlignment="1" applyProtection="1">
      <alignment horizontal="right" vertical="center" shrinkToFit="1"/>
      <protection hidden="1"/>
    </xf>
    <xf numFmtId="43" fontId="144" fillId="4" borderId="70" xfId="3" applyFont="1" applyFill="1" applyBorder="1" applyAlignment="1" applyProtection="1">
      <alignment horizontal="right" vertical="center" shrinkToFit="1"/>
      <protection hidden="1"/>
    </xf>
    <xf numFmtId="43" fontId="135" fillId="4" borderId="3" xfId="3" applyFont="1" applyFill="1" applyBorder="1" applyAlignment="1" applyProtection="1">
      <alignment horizontal="right" vertical="center" shrinkToFit="1"/>
      <protection hidden="1"/>
    </xf>
    <xf numFmtId="43" fontId="135" fillId="4" borderId="70" xfId="3" applyFont="1" applyFill="1" applyBorder="1" applyAlignment="1" applyProtection="1">
      <alignment horizontal="right" vertical="center" shrinkToFit="1"/>
      <protection hidden="1"/>
    </xf>
    <xf numFmtId="43" fontId="135" fillId="4" borderId="70" xfId="3" applyFont="1" applyFill="1" applyBorder="1" applyAlignment="1" applyProtection="1">
      <alignment vertical="center" shrinkToFit="1"/>
      <protection hidden="1"/>
    </xf>
    <xf numFmtId="0" fontId="0" fillId="4" borderId="66" xfId="0" applyFill="1" applyBorder="1" applyProtection="1">
      <alignment vertical="center"/>
      <protection hidden="1"/>
    </xf>
    <xf numFmtId="0" fontId="0" fillId="4" borderId="67" xfId="0" applyFill="1" applyBorder="1" applyAlignment="1" applyProtection="1">
      <alignment horizontal="center" vertical="center"/>
      <protection hidden="1"/>
    </xf>
    <xf numFmtId="0" fontId="0" fillId="4" borderId="68" xfId="0" applyFill="1" applyBorder="1" applyAlignment="1" applyProtection="1">
      <alignment horizontal="center" vertical="center"/>
      <protection hidden="1"/>
    </xf>
    <xf numFmtId="0" fontId="0" fillId="4" borderId="69" xfId="0" applyFill="1" applyBorder="1" applyProtection="1">
      <alignment vertical="center"/>
      <protection hidden="1"/>
    </xf>
    <xf numFmtId="43" fontId="147" fillId="4" borderId="3" xfId="3" applyFont="1" applyFill="1" applyBorder="1" applyProtection="1">
      <alignment vertical="center"/>
      <protection hidden="1"/>
    </xf>
    <xf numFmtId="43" fontId="147" fillId="4" borderId="70" xfId="3" applyFont="1" applyFill="1" applyBorder="1" applyProtection="1">
      <alignment vertical="center"/>
      <protection hidden="1"/>
    </xf>
    <xf numFmtId="0" fontId="0" fillId="4" borderId="71" xfId="0" applyFill="1" applyBorder="1" applyProtection="1">
      <alignment vertical="center"/>
      <protection hidden="1"/>
    </xf>
    <xf numFmtId="43" fontId="0" fillId="4" borderId="72" xfId="0" applyNumberFormat="1" applyFill="1" applyBorder="1" applyProtection="1">
      <alignment vertical="center"/>
      <protection hidden="1"/>
    </xf>
    <xf numFmtId="43" fontId="147" fillId="4" borderId="73" xfId="0" applyNumberFormat="1" applyFont="1" applyFill="1" applyBorder="1" applyProtection="1">
      <alignment vertical="center"/>
      <protection hidden="1"/>
    </xf>
    <xf numFmtId="0" fontId="143" fillId="0" borderId="0" xfId="0" applyFont="1" applyFill="1" applyBorder="1" applyAlignment="1" applyProtection="1">
      <alignment vertical="center"/>
      <protection hidden="1"/>
    </xf>
    <xf numFmtId="0" fontId="143" fillId="0" borderId="0" xfId="0" applyFont="1" applyFill="1" applyAlignment="1" applyProtection="1">
      <alignment horizontal="right" vertical="center"/>
      <protection hidden="1"/>
    </xf>
    <xf numFmtId="177" fontId="145" fillId="4" borderId="66" xfId="0" applyNumberFormat="1" applyFont="1" applyFill="1" applyBorder="1" applyAlignment="1" applyProtection="1">
      <alignment horizontal="center" vertical="center"/>
      <protection hidden="1"/>
    </xf>
    <xf numFmtId="183" fontId="145" fillId="4" borderId="67" xfId="0" applyNumberFormat="1" applyFont="1" applyFill="1" applyBorder="1" applyAlignment="1" applyProtection="1">
      <alignment horizontal="center" vertical="center"/>
      <protection hidden="1"/>
    </xf>
    <xf numFmtId="177" fontId="145" fillId="4" borderId="69" xfId="0" applyNumberFormat="1" applyFont="1" applyFill="1" applyBorder="1" applyAlignment="1" applyProtection="1">
      <alignment vertical="center"/>
      <protection hidden="1"/>
    </xf>
    <xf numFmtId="183" fontId="143" fillId="4" borderId="3" xfId="0" applyNumberFormat="1" applyFont="1" applyFill="1" applyBorder="1" applyAlignment="1" applyProtection="1">
      <alignment horizontal="center" vertical="center"/>
      <protection hidden="1"/>
    </xf>
    <xf numFmtId="177" fontId="143" fillId="4" borderId="69" xfId="0" applyNumberFormat="1" applyFont="1" applyFill="1" applyBorder="1" applyAlignment="1" applyProtection="1">
      <alignment horizontal="left" vertical="center" indent="2"/>
      <protection hidden="1"/>
    </xf>
    <xf numFmtId="177" fontId="143" fillId="4" borderId="69" xfId="0" applyNumberFormat="1" applyFont="1" applyFill="1" applyBorder="1" applyAlignment="1" applyProtection="1">
      <alignment horizontal="left" vertical="center" indent="5"/>
      <protection hidden="1"/>
    </xf>
    <xf numFmtId="177" fontId="143" fillId="4" borderId="69" xfId="0" applyNumberFormat="1" applyFont="1" applyFill="1" applyBorder="1" applyAlignment="1" applyProtection="1">
      <alignment horizontal="left" vertical="center" indent="1"/>
      <protection hidden="1"/>
    </xf>
    <xf numFmtId="177" fontId="143" fillId="4" borderId="69" xfId="0" applyNumberFormat="1" applyFont="1" applyFill="1" applyBorder="1" applyAlignment="1" applyProtection="1">
      <alignment horizontal="left" vertical="center" indent="3"/>
      <protection hidden="1"/>
    </xf>
    <xf numFmtId="177" fontId="143" fillId="4" borderId="69" xfId="0" applyNumberFormat="1" applyFont="1" applyFill="1" applyBorder="1" applyAlignment="1" applyProtection="1">
      <alignment horizontal="left" vertical="center" indent="6"/>
      <protection hidden="1"/>
    </xf>
    <xf numFmtId="0" fontId="143" fillId="4" borderId="69" xfId="0" applyFont="1" applyFill="1" applyBorder="1" applyAlignment="1" applyProtection="1">
      <alignment horizontal="left" vertical="center" indent="3"/>
      <protection hidden="1"/>
    </xf>
    <xf numFmtId="0" fontId="145" fillId="4" borderId="71" xfId="0" applyFont="1" applyFill="1" applyBorder="1" applyAlignment="1" applyProtection="1">
      <alignment vertical="center"/>
      <protection hidden="1"/>
    </xf>
    <xf numFmtId="183" fontId="143" fillId="4" borderId="72" xfId="0" applyNumberFormat="1" applyFont="1" applyFill="1" applyBorder="1" applyAlignment="1" applyProtection="1">
      <alignment horizontal="center" vertical="center"/>
      <protection hidden="1"/>
    </xf>
    <xf numFmtId="0" fontId="7" fillId="0" borderId="0" xfId="0" applyFont="1" applyAlignment="1" applyProtection="1">
      <alignment vertical="center"/>
    </xf>
    <xf numFmtId="0" fontId="167" fillId="18" borderId="0" xfId="0" applyFont="1" applyFill="1" applyBorder="1" applyAlignment="1" applyProtection="1">
      <alignment horizontal="right" vertical="center"/>
    </xf>
    <xf numFmtId="0" fontId="143" fillId="18" borderId="3" xfId="0" applyFont="1" applyFill="1" applyBorder="1" applyAlignment="1" applyProtection="1">
      <alignment horizontal="justify" vertical="center" wrapText="1"/>
    </xf>
    <xf numFmtId="0" fontId="143" fillId="18" borderId="135" xfId="0" applyFont="1" applyFill="1" applyBorder="1" applyAlignment="1" applyProtection="1">
      <alignment horizontal="justify" vertical="center" wrapText="1"/>
    </xf>
    <xf numFmtId="0" fontId="143" fillId="18" borderId="134" xfId="0" applyFont="1" applyFill="1" applyBorder="1" applyAlignment="1" applyProtection="1">
      <alignment horizontal="justify" vertical="center" wrapText="1"/>
    </xf>
    <xf numFmtId="0" fontId="167" fillId="0" borderId="0" xfId="0" applyFont="1" applyAlignment="1" applyProtection="1">
      <alignment horizontal="center" vertical="center"/>
    </xf>
    <xf numFmtId="0" fontId="167" fillId="0" borderId="0" xfId="0" applyFont="1" applyAlignment="1" applyProtection="1">
      <alignment vertical="center"/>
    </xf>
    <xf numFmtId="0" fontId="167" fillId="0" borderId="0" xfId="0" applyFont="1" applyAlignment="1" applyProtection="1">
      <alignment horizontal="justify" vertical="center"/>
    </xf>
    <xf numFmtId="0" fontId="167" fillId="18" borderId="0" xfId="0" applyFont="1" applyFill="1" applyProtection="1">
      <alignment vertical="center"/>
    </xf>
    <xf numFmtId="0" fontId="171" fillId="18" borderId="0" xfId="0" applyFont="1" applyFill="1" applyAlignment="1" applyProtection="1"/>
    <xf numFmtId="0" fontId="171" fillId="18" borderId="0" xfId="0" applyFont="1" applyFill="1" applyAlignment="1" applyProtection="1">
      <alignment horizontal="left"/>
    </xf>
    <xf numFmtId="0" fontId="140" fillId="18" borderId="0" xfId="0" applyFont="1" applyFill="1" applyProtection="1">
      <alignment vertical="center"/>
    </xf>
    <xf numFmtId="0" fontId="140" fillId="18" borderId="0" xfId="0" applyFont="1" applyFill="1" applyAlignment="1" applyProtection="1">
      <alignment horizontal="right"/>
    </xf>
    <xf numFmtId="0" fontId="2" fillId="18" borderId="0" xfId="0" applyFont="1" applyFill="1" applyProtection="1">
      <alignment vertical="center"/>
    </xf>
    <xf numFmtId="0" fontId="2" fillId="18" borderId="0" xfId="0" applyFont="1" applyFill="1" applyBorder="1" applyProtection="1">
      <alignment vertical="center"/>
    </xf>
    <xf numFmtId="0" fontId="7" fillId="18" borderId="0" xfId="0" applyFont="1" applyFill="1" applyProtection="1">
      <alignment vertical="center"/>
    </xf>
    <xf numFmtId="0" fontId="9" fillId="18" borderId="0" xfId="0" applyFont="1" applyFill="1" applyBorder="1" applyAlignment="1" applyProtection="1">
      <alignment vertical="center"/>
    </xf>
    <xf numFmtId="0" fontId="2" fillId="18" borderId="0" xfId="0" applyFont="1" applyFill="1" applyAlignment="1" applyProtection="1">
      <alignment vertical="center"/>
    </xf>
    <xf numFmtId="0" fontId="177" fillId="18" borderId="0" xfId="0" applyFont="1" applyFill="1" applyAlignment="1" applyProtection="1">
      <alignment vertical="center"/>
    </xf>
    <xf numFmtId="0" fontId="143" fillId="18" borderId="140" xfId="0" applyFont="1" applyFill="1" applyBorder="1" applyProtection="1">
      <alignment vertical="center"/>
    </xf>
    <xf numFmtId="0" fontId="143" fillId="18" borderId="141" xfId="0" applyFont="1" applyFill="1" applyBorder="1" applyAlignment="1" applyProtection="1">
      <alignment horizontal="center" vertical="center"/>
    </xf>
    <xf numFmtId="0" fontId="143" fillId="18" borderId="118" xfId="0" applyFont="1" applyFill="1" applyBorder="1" applyAlignment="1" applyProtection="1">
      <alignment horizontal="center" vertical="center"/>
    </xf>
    <xf numFmtId="0" fontId="143" fillId="20" borderId="118" xfId="0" applyFont="1" applyFill="1" applyBorder="1" applyAlignment="1" applyProtection="1">
      <alignment horizontal="center" vertical="center"/>
    </xf>
    <xf numFmtId="0" fontId="143" fillId="19" borderId="166" xfId="0" applyFont="1" applyFill="1" applyBorder="1" applyAlignment="1" applyProtection="1">
      <alignment horizontal="center" vertical="center"/>
    </xf>
    <xf numFmtId="0" fontId="143" fillId="19" borderId="143" xfId="0" applyFont="1" applyFill="1" applyBorder="1" applyAlignment="1" applyProtection="1">
      <alignment horizontal="center" vertical="center"/>
    </xf>
    <xf numFmtId="0" fontId="143" fillId="18" borderId="113" xfId="0" applyFont="1" applyFill="1" applyBorder="1" applyAlignment="1" applyProtection="1">
      <alignment horizontal="center" vertical="center"/>
    </xf>
    <xf numFmtId="0" fontId="143" fillId="18" borderId="132" xfId="0" applyFont="1" applyFill="1" applyBorder="1" applyAlignment="1" applyProtection="1">
      <alignment horizontal="center" vertical="center" wrapText="1"/>
    </xf>
    <xf numFmtId="0" fontId="143" fillId="18" borderId="114" xfId="0" applyFont="1" applyFill="1" applyBorder="1" applyAlignment="1" applyProtection="1">
      <alignment horizontal="center" vertical="center"/>
    </xf>
    <xf numFmtId="0" fontId="143" fillId="18" borderId="116" xfId="0" applyFont="1" applyFill="1" applyBorder="1" applyAlignment="1" applyProtection="1">
      <alignment horizontal="center" vertical="center"/>
    </xf>
    <xf numFmtId="185" fontId="143" fillId="0" borderId="123" xfId="0" applyNumberFormat="1" applyFont="1" applyFill="1" applyBorder="1" applyAlignment="1" applyProtection="1">
      <alignment vertical="center" wrapText="1"/>
      <protection locked="0"/>
    </xf>
    <xf numFmtId="185" fontId="143" fillId="25" borderId="147" xfId="0" applyNumberFormat="1" applyFont="1" applyFill="1" applyBorder="1" applyAlignment="1" applyProtection="1">
      <alignment vertical="center"/>
      <protection locked="0"/>
    </xf>
    <xf numFmtId="185" fontId="143" fillId="21" borderId="108" xfId="0" applyNumberFormat="1" applyFont="1" applyFill="1" applyBorder="1" applyAlignment="1" applyProtection="1">
      <alignment vertical="center"/>
    </xf>
    <xf numFmtId="0" fontId="143" fillId="18" borderId="129" xfId="0" applyFont="1" applyFill="1" applyBorder="1" applyAlignment="1" applyProtection="1">
      <alignment horizontal="center" vertical="center"/>
    </xf>
    <xf numFmtId="0" fontId="143" fillId="18" borderId="148" xfId="0" applyFont="1" applyFill="1" applyBorder="1" applyAlignment="1" applyProtection="1">
      <alignment horizontal="center" vertical="center"/>
    </xf>
    <xf numFmtId="185" fontId="143" fillId="19" borderId="124" xfId="0" applyNumberFormat="1" applyFont="1" applyFill="1" applyBorder="1" applyAlignment="1" applyProtection="1">
      <alignment horizontal="center" vertical="center"/>
    </xf>
    <xf numFmtId="185" fontId="143" fillId="0" borderId="124" xfId="0" applyNumberFormat="1" applyFont="1" applyFill="1" applyBorder="1" applyAlignment="1" applyProtection="1">
      <alignment horizontal="center" vertical="center"/>
      <protection locked="0"/>
    </xf>
    <xf numFmtId="185" fontId="143" fillId="21" borderId="118" xfId="0" applyNumberFormat="1" applyFont="1" applyFill="1" applyBorder="1" applyAlignment="1" applyProtection="1"/>
    <xf numFmtId="185" fontId="143" fillId="19" borderId="119" xfId="0" applyNumberFormat="1" applyFont="1" applyFill="1" applyBorder="1" applyAlignment="1" applyProtection="1">
      <alignment horizontal="center" vertical="center"/>
    </xf>
    <xf numFmtId="185" fontId="143" fillId="21" borderId="123" xfId="0" applyNumberFormat="1" applyFont="1" applyFill="1" applyBorder="1" applyAlignment="1" applyProtection="1">
      <alignment vertical="center"/>
    </xf>
    <xf numFmtId="0" fontId="143" fillId="0" borderId="129" xfId="0" applyFont="1" applyBorder="1" applyAlignment="1" applyProtection="1">
      <alignment vertical="center"/>
      <protection locked="0"/>
    </xf>
    <xf numFmtId="185" fontId="143" fillId="0" borderId="114" xfId="0" applyNumberFormat="1" applyFont="1" applyBorder="1" applyAlignment="1" applyProtection="1">
      <alignment vertical="center"/>
      <protection locked="0"/>
    </xf>
    <xf numFmtId="185" fontId="143" fillId="0" borderId="103" xfId="0" applyNumberFormat="1" applyFont="1" applyBorder="1" applyAlignment="1" applyProtection="1">
      <alignment vertical="center"/>
      <protection locked="0"/>
    </xf>
    <xf numFmtId="185" fontId="143" fillId="21" borderId="103" xfId="0" applyNumberFormat="1" applyFont="1" applyFill="1" applyBorder="1" applyAlignment="1" applyProtection="1"/>
    <xf numFmtId="185" fontId="143" fillId="0" borderId="116" xfId="0" applyNumberFormat="1" applyFont="1" applyBorder="1" applyAlignment="1" applyProtection="1">
      <protection locked="0"/>
    </xf>
    <xf numFmtId="0" fontId="143" fillId="0" borderId="149" xfId="0" applyFont="1" applyBorder="1" applyAlignment="1" applyProtection="1">
      <alignment vertical="center"/>
      <protection locked="0"/>
    </xf>
    <xf numFmtId="185" fontId="143" fillId="0" borderId="117" xfId="0" applyNumberFormat="1" applyFont="1" applyBorder="1" applyAlignment="1" applyProtection="1">
      <alignment vertical="center"/>
      <protection locked="0"/>
    </xf>
    <xf numFmtId="185" fontId="143" fillId="0" borderId="118" xfId="0" applyNumberFormat="1" applyFont="1" applyBorder="1" applyAlignment="1" applyProtection="1">
      <alignment vertical="center"/>
      <protection locked="0"/>
    </xf>
    <xf numFmtId="185" fontId="143" fillId="0" borderId="119" xfId="0" applyNumberFormat="1" applyFont="1" applyBorder="1" applyAlignment="1" applyProtection="1">
      <protection locked="0"/>
    </xf>
    <xf numFmtId="0" fontId="143" fillId="0" borderId="132" xfId="0" applyFont="1" applyBorder="1" applyAlignment="1" applyProtection="1">
      <alignment vertical="center"/>
      <protection locked="0"/>
    </xf>
    <xf numFmtId="185" fontId="143" fillId="0" borderId="123" xfId="0" applyNumberFormat="1" applyFont="1" applyBorder="1" applyAlignment="1" applyProtection="1">
      <alignment vertical="center"/>
      <protection locked="0"/>
    </xf>
    <xf numFmtId="185" fontId="143" fillId="0" borderId="107" xfId="0" applyNumberFormat="1" applyFont="1" applyBorder="1" applyAlignment="1" applyProtection="1">
      <alignment vertical="center"/>
      <protection locked="0"/>
    </xf>
    <xf numFmtId="185" fontId="143" fillId="21" borderId="107" xfId="0" applyNumberFormat="1" applyFont="1" applyFill="1" applyBorder="1" applyAlignment="1" applyProtection="1"/>
    <xf numFmtId="185" fontId="143" fillId="0" borderId="108" xfId="0" applyNumberFormat="1" applyFont="1" applyBorder="1" applyAlignment="1" applyProtection="1">
      <protection locked="0"/>
    </xf>
    <xf numFmtId="0" fontId="143" fillId="18" borderId="168" xfId="0" applyFont="1" applyFill="1" applyBorder="1" applyAlignment="1" applyProtection="1">
      <alignment horizontal="center" vertical="center"/>
    </xf>
    <xf numFmtId="0" fontId="143" fillId="18" borderId="169" xfId="0" applyFont="1" applyFill="1" applyBorder="1" applyAlignment="1" applyProtection="1">
      <alignment horizontal="center" vertical="center"/>
    </xf>
    <xf numFmtId="0" fontId="143" fillId="18" borderId="0" xfId="0" applyFont="1" applyFill="1" applyBorder="1" applyProtection="1">
      <alignment vertical="center"/>
    </xf>
    <xf numFmtId="0" fontId="143" fillId="18" borderId="125" xfId="0" applyFont="1" applyFill="1" applyBorder="1" applyAlignment="1" applyProtection="1">
      <alignment vertical="top" wrapText="1"/>
    </xf>
    <xf numFmtId="0" fontId="143" fillId="18" borderId="0" xfId="0" applyFont="1" applyFill="1" applyAlignment="1" applyProtection="1">
      <alignment vertical="center"/>
    </xf>
    <xf numFmtId="0" fontId="143" fillId="0" borderId="150" xfId="0" applyFont="1" applyFill="1" applyBorder="1" applyAlignment="1" applyProtection="1">
      <alignment horizontal="center" vertical="center"/>
      <protection locked="0"/>
    </xf>
    <xf numFmtId="186" fontId="143" fillId="21" borderId="118" xfId="0" applyNumberFormat="1" applyFont="1" applyFill="1" applyBorder="1" applyAlignment="1" applyProtection="1">
      <alignment horizontal="center" vertical="center"/>
    </xf>
    <xf numFmtId="185" fontId="143" fillId="19" borderId="151" xfId="0" applyNumberFormat="1" applyFont="1" applyFill="1" applyBorder="1" applyAlignment="1" applyProtection="1">
      <alignment horizontal="center" vertical="center"/>
    </xf>
    <xf numFmtId="185" fontId="143" fillId="21" borderId="107" xfId="0" applyNumberFormat="1" applyFont="1" applyFill="1" applyBorder="1" applyAlignment="1" applyProtection="1">
      <alignment vertical="center"/>
    </xf>
    <xf numFmtId="0" fontId="143" fillId="0" borderId="129" xfId="0" applyFont="1" applyBorder="1" applyProtection="1">
      <alignment vertical="center"/>
      <protection locked="0"/>
    </xf>
    <xf numFmtId="185" fontId="143" fillId="0" borderId="103" xfId="0" applyNumberFormat="1" applyFont="1" applyBorder="1" applyProtection="1">
      <alignment vertical="center"/>
      <protection locked="0"/>
    </xf>
    <xf numFmtId="0" fontId="143" fillId="0" borderId="149" xfId="0" applyFont="1" applyBorder="1" applyProtection="1">
      <alignment vertical="center"/>
      <protection locked="0"/>
    </xf>
    <xf numFmtId="185" fontId="143" fillId="0" borderId="118" xfId="0" applyNumberFormat="1" applyFont="1" applyBorder="1" applyProtection="1">
      <alignment vertical="center"/>
      <protection locked="0"/>
    </xf>
    <xf numFmtId="0" fontId="143" fillId="18" borderId="0" xfId="0" applyFont="1" applyFill="1" applyProtection="1">
      <alignment vertical="center"/>
    </xf>
    <xf numFmtId="0" fontId="143" fillId="0" borderId="132" xfId="0" applyFont="1" applyBorder="1" applyProtection="1">
      <alignment vertical="center"/>
      <protection locked="0"/>
    </xf>
    <xf numFmtId="185" fontId="143" fillId="0" borderId="107" xfId="0" applyNumberFormat="1" applyFont="1" applyBorder="1" applyProtection="1">
      <alignment vertical="center"/>
      <protection locked="0"/>
    </xf>
    <xf numFmtId="0" fontId="143" fillId="18" borderId="158" xfId="0" applyFont="1" applyFill="1" applyBorder="1" applyAlignment="1" applyProtection="1">
      <alignment horizontal="center" vertical="center"/>
    </xf>
    <xf numFmtId="0" fontId="143" fillId="18" borderId="174" xfId="0" applyFont="1" applyFill="1" applyBorder="1" applyProtection="1">
      <alignment vertical="center"/>
    </xf>
    <xf numFmtId="0" fontId="143" fillId="18" borderId="0" xfId="0" applyFont="1" applyFill="1" applyBorder="1" applyAlignment="1" applyProtection="1">
      <alignment horizontal="left" vertical="top" wrapText="1"/>
    </xf>
    <xf numFmtId="0" fontId="167" fillId="18" borderId="0" xfId="0" applyFont="1" applyFill="1" applyAlignment="1" applyProtection="1">
      <alignment horizontal="left" vertical="top" wrapText="1"/>
    </xf>
    <xf numFmtId="0" fontId="143" fillId="18" borderId="0" xfId="0" applyFont="1" applyFill="1" applyAlignment="1" applyProtection="1">
      <alignment horizontal="left" vertical="top" wrapText="1"/>
    </xf>
    <xf numFmtId="185" fontId="143" fillId="0" borderId="104" xfId="0" applyNumberFormat="1" applyFont="1" applyBorder="1" applyAlignment="1" applyProtection="1">
      <alignment vertical="center"/>
      <protection locked="0"/>
    </xf>
    <xf numFmtId="185" fontId="143" fillId="21" borderId="105" xfId="0" applyNumberFormat="1" applyFont="1" applyFill="1" applyBorder="1" applyAlignment="1" applyProtection="1">
      <alignment vertical="center"/>
    </xf>
    <xf numFmtId="185" fontId="143" fillId="21" borderId="119" xfId="0" applyNumberFormat="1" applyFont="1" applyFill="1" applyBorder="1" applyAlignment="1" applyProtection="1">
      <alignment vertical="center"/>
    </xf>
    <xf numFmtId="185" fontId="143" fillId="21" borderId="120" xfId="0" applyNumberFormat="1" applyFont="1" applyFill="1" applyBorder="1" applyAlignment="1" applyProtection="1">
      <alignment vertical="center"/>
    </xf>
    <xf numFmtId="0" fontId="143" fillId="0" borderId="0" xfId="0" applyFont="1" applyBorder="1" applyProtection="1">
      <alignment vertical="center"/>
    </xf>
    <xf numFmtId="0" fontId="143" fillId="0" borderId="0" xfId="0" applyFont="1" applyAlignment="1" applyProtection="1">
      <alignment vertical="center"/>
    </xf>
    <xf numFmtId="0" fontId="143" fillId="0" borderId="0" xfId="0" applyFont="1" applyProtection="1">
      <alignment vertical="center"/>
    </xf>
    <xf numFmtId="0" fontId="143" fillId="18" borderId="102" xfId="0" applyFont="1" applyFill="1" applyBorder="1" applyAlignment="1" applyProtection="1">
      <alignment horizontal="center" vertical="center" wrapText="1"/>
    </xf>
    <xf numFmtId="0" fontId="143" fillId="20" borderId="121" xfId="0" applyFont="1" applyFill="1" applyBorder="1" applyAlignment="1" applyProtection="1">
      <alignment horizontal="right" vertical="center"/>
    </xf>
    <xf numFmtId="0" fontId="143" fillId="18" borderId="103" xfId="0" applyFont="1" applyFill="1" applyBorder="1" applyAlignment="1">
      <alignment horizontal="center" vertical="center"/>
    </xf>
    <xf numFmtId="0" fontId="143" fillId="18" borderId="113" xfId="0" applyFont="1" applyFill="1" applyBorder="1" applyAlignment="1">
      <alignment horizontal="center" vertical="center" wrapText="1"/>
    </xf>
    <xf numFmtId="0" fontId="143" fillId="18" borderId="111" xfId="0" applyFont="1" applyFill="1" applyBorder="1" applyAlignment="1">
      <alignment horizontal="center" vertical="center" wrapText="1"/>
    </xf>
    <xf numFmtId="0" fontId="143" fillId="18" borderId="112" xfId="0" applyFont="1" applyFill="1" applyBorder="1" applyAlignment="1">
      <alignment horizontal="center" vertical="center" wrapText="1"/>
    </xf>
    <xf numFmtId="185" fontId="143" fillId="21" borderId="103" xfId="0" applyNumberFormat="1" applyFont="1" applyFill="1" applyBorder="1" applyAlignment="1">
      <alignment vertical="center" wrapText="1"/>
    </xf>
    <xf numFmtId="185" fontId="143" fillId="21" borderId="116" xfId="0" applyNumberFormat="1" applyFont="1" applyFill="1" applyBorder="1" applyAlignment="1">
      <alignment vertical="center"/>
    </xf>
    <xf numFmtId="0" fontId="143" fillId="18" borderId="118" xfId="0" applyFont="1" applyFill="1" applyBorder="1" applyAlignment="1">
      <alignment horizontal="center" vertical="center"/>
    </xf>
    <xf numFmtId="185" fontId="143" fillId="21" borderId="118" xfId="0" applyNumberFormat="1" applyFont="1" applyFill="1" applyBorder="1" applyAlignment="1">
      <alignment vertical="center" wrapText="1"/>
    </xf>
    <xf numFmtId="185" fontId="143" fillId="21" borderId="119" xfId="0" applyNumberFormat="1" applyFont="1" applyFill="1" applyBorder="1" applyAlignment="1">
      <alignment vertical="center"/>
    </xf>
    <xf numFmtId="185" fontId="143" fillId="21" borderId="107" xfId="0" applyNumberFormat="1" applyFont="1" applyFill="1" applyBorder="1" applyAlignment="1">
      <alignment vertical="center"/>
    </xf>
    <xf numFmtId="185" fontId="143" fillId="21" borderId="108" xfId="0" applyNumberFormat="1" applyFont="1" applyFill="1" applyBorder="1" applyAlignment="1">
      <alignment vertical="center"/>
    </xf>
    <xf numFmtId="0" fontId="143" fillId="18" borderId="104" xfId="0" applyFont="1" applyFill="1" applyBorder="1" applyAlignment="1">
      <alignment horizontal="center" vertical="center"/>
    </xf>
    <xf numFmtId="185" fontId="143" fillId="21" borderId="104" xfId="0" applyNumberFormat="1" applyFont="1" applyFill="1" applyBorder="1" applyAlignment="1">
      <alignment vertical="center"/>
    </xf>
    <xf numFmtId="185" fontId="143" fillId="21" borderId="105" xfId="0" applyNumberFormat="1" applyFont="1" applyFill="1" applyBorder="1" applyAlignment="1">
      <alignment vertical="center"/>
    </xf>
    <xf numFmtId="185" fontId="143" fillId="21" borderId="118" xfId="0" applyNumberFormat="1" applyFont="1" applyFill="1" applyBorder="1" applyAlignment="1">
      <alignment vertical="center"/>
    </xf>
    <xf numFmtId="0" fontId="143" fillId="20" borderId="130" xfId="0" applyFont="1" applyFill="1" applyBorder="1" applyAlignment="1">
      <alignment horizontal="right" vertical="center"/>
    </xf>
    <xf numFmtId="0" fontId="143" fillId="18" borderId="140" xfId="0" applyFont="1" applyFill="1" applyBorder="1" applyAlignment="1">
      <alignment horizontal="center" vertical="center"/>
    </xf>
    <xf numFmtId="0" fontId="143" fillId="20" borderId="140" xfId="0" applyFont="1" applyFill="1" applyBorder="1" applyAlignment="1">
      <alignment horizontal="center" vertical="center"/>
    </xf>
    <xf numFmtId="0" fontId="143" fillId="19" borderId="141" xfId="0" applyFont="1" applyFill="1" applyBorder="1" applyAlignment="1">
      <alignment horizontal="center" vertical="center"/>
    </xf>
    <xf numFmtId="0" fontId="143" fillId="18" borderId="143" xfId="0" applyFont="1" applyFill="1" applyBorder="1" applyAlignment="1">
      <alignment horizontal="center" vertical="center"/>
    </xf>
    <xf numFmtId="0" fontId="143" fillId="19" borderId="143" xfId="0" applyFont="1" applyFill="1" applyBorder="1" applyAlignment="1">
      <alignment horizontal="center" vertical="center"/>
    </xf>
    <xf numFmtId="0" fontId="143" fillId="19" borderId="144" xfId="0" applyFont="1" applyFill="1" applyBorder="1" applyAlignment="1">
      <alignment horizontal="center" vertical="center"/>
    </xf>
    <xf numFmtId="0" fontId="143" fillId="0" borderId="103" xfId="0" applyFont="1" applyBorder="1" applyAlignment="1" applyProtection="1">
      <alignment horizontal="center" vertical="center"/>
      <protection locked="0"/>
    </xf>
    <xf numFmtId="0" fontId="143" fillId="0" borderId="118" xfId="0" applyFont="1" applyBorder="1" applyAlignment="1" applyProtection="1">
      <alignment horizontal="center" vertical="center"/>
      <protection locked="0"/>
    </xf>
    <xf numFmtId="0" fontId="143" fillId="0" borderId="104" xfId="0" applyFont="1" applyBorder="1" applyAlignment="1" applyProtection="1">
      <alignment horizontal="center" vertical="center"/>
      <protection locked="0"/>
    </xf>
    <xf numFmtId="185" fontId="143" fillId="0" borderId="104" xfId="0" applyNumberFormat="1" applyFont="1" applyBorder="1" applyAlignment="1" applyProtection="1">
      <alignment horizontal="center" vertical="center"/>
      <protection locked="0"/>
    </xf>
    <xf numFmtId="49" fontId="7" fillId="18" borderId="116" xfId="0" applyNumberFormat="1" applyFont="1" applyFill="1" applyBorder="1" applyAlignment="1" applyProtection="1">
      <alignment horizontal="center" vertical="center"/>
      <protection locked="0"/>
    </xf>
    <xf numFmtId="0" fontId="7" fillId="18" borderId="132" xfId="0" applyFont="1" applyFill="1" applyBorder="1" applyAlignment="1" applyProtection="1">
      <alignment horizontal="center" vertical="center"/>
      <protection locked="0"/>
    </xf>
    <xf numFmtId="31" fontId="7" fillId="19" borderId="107" xfId="0" applyNumberFormat="1" applyFont="1" applyFill="1" applyBorder="1" applyAlignment="1" applyProtection="1">
      <alignment vertical="center"/>
    </xf>
    <xf numFmtId="0" fontId="7" fillId="18" borderId="109" xfId="0" applyFont="1" applyFill="1" applyBorder="1" applyAlignment="1" applyProtection="1">
      <alignment horizontal="center" vertical="center"/>
      <protection locked="0"/>
    </xf>
    <xf numFmtId="0" fontId="183" fillId="25" borderId="0" xfId="0" applyFont="1" applyFill="1" applyProtection="1">
      <alignment vertical="center"/>
      <protection locked="0"/>
    </xf>
    <xf numFmtId="0" fontId="183" fillId="0" borderId="0" xfId="0" applyFont="1" applyProtection="1">
      <alignment vertical="center"/>
      <protection locked="0"/>
    </xf>
    <xf numFmtId="0" fontId="183" fillId="0" borderId="0" xfId="0" applyFont="1">
      <alignment vertical="center"/>
    </xf>
    <xf numFmtId="0" fontId="2" fillId="19" borderId="0" xfId="0" applyFont="1" applyFill="1" applyAlignment="1" applyProtection="1"/>
    <xf numFmtId="0" fontId="7" fillId="25" borderId="0" xfId="0" applyFont="1" applyFill="1" applyProtection="1">
      <alignment vertical="center"/>
      <protection locked="0"/>
    </xf>
    <xf numFmtId="0" fontId="7" fillId="18" borderId="109" xfId="0" applyFont="1" applyFill="1" applyBorder="1" applyAlignment="1" applyProtection="1">
      <alignment horizontal="center" vertical="center" wrapText="1"/>
      <protection locked="0"/>
    </xf>
    <xf numFmtId="176" fontId="7" fillId="29" borderId="109" xfId="0" applyNumberFormat="1" applyFont="1" applyFill="1" applyBorder="1" applyAlignment="1" applyProtection="1">
      <alignment horizontal="left" vertical="center" wrapText="1"/>
      <protection locked="0"/>
    </xf>
    <xf numFmtId="31" fontId="7" fillId="19" borderId="109" xfId="0" applyNumberFormat="1" applyFont="1" applyFill="1" applyBorder="1" applyAlignment="1" applyProtection="1">
      <alignment vertical="center" wrapText="1"/>
    </xf>
    <xf numFmtId="0" fontId="22" fillId="0" borderId="102" xfId="0" applyFont="1" applyFill="1" applyBorder="1" applyAlignment="1" applyProtection="1">
      <alignment wrapText="1"/>
      <protection locked="0"/>
    </xf>
    <xf numFmtId="0" fontId="22" fillId="0" borderId="106" xfId="0" applyFont="1" applyFill="1" applyBorder="1" applyAlignment="1" applyProtection="1">
      <alignment wrapText="1"/>
      <protection locked="0"/>
    </xf>
    <xf numFmtId="0" fontId="7" fillId="0" borderId="0" xfId="0" applyFont="1" applyAlignment="1">
      <alignment horizontal="center"/>
    </xf>
    <xf numFmtId="0" fontId="22" fillId="18" borderId="116" xfId="0" applyFont="1" applyFill="1" applyBorder="1" applyAlignment="1" applyProtection="1">
      <alignment horizontal="center" vertical="center"/>
      <protection locked="0"/>
    </xf>
    <xf numFmtId="0" fontId="22" fillId="22" borderId="118" xfId="0" applyFont="1" applyFill="1" applyBorder="1" applyAlignment="1" applyProtection="1">
      <alignment vertical="center"/>
      <protection locked="0"/>
    </xf>
    <xf numFmtId="0" fontId="22" fillId="22" borderId="158" xfId="0" applyFont="1" applyFill="1" applyBorder="1" applyAlignment="1" applyProtection="1">
      <alignment vertical="center"/>
      <protection locked="0"/>
    </xf>
    <xf numFmtId="0" fontId="22" fillId="19" borderId="132" xfId="0" applyFont="1" applyFill="1" applyBorder="1" applyAlignment="1" applyProtection="1">
      <alignment vertical="center"/>
    </xf>
    <xf numFmtId="0" fontId="22" fillId="19" borderId="147" xfId="0" applyFont="1" applyFill="1" applyBorder="1" applyAlignment="1" applyProtection="1">
      <alignment vertical="center"/>
    </xf>
    <xf numFmtId="0" fontId="7" fillId="19" borderId="107" xfId="0" applyFont="1" applyFill="1" applyBorder="1" applyAlignment="1" applyProtection="1">
      <alignment vertical="center"/>
    </xf>
    <xf numFmtId="0" fontId="7" fillId="19" borderId="123" xfId="0" applyFont="1" applyFill="1" applyBorder="1" applyAlignment="1" applyProtection="1">
      <alignment vertical="center"/>
    </xf>
    <xf numFmtId="0" fontId="7" fillId="19" borderId="181" xfId="0" applyFont="1" applyFill="1" applyBorder="1" applyAlignment="1" applyProtection="1">
      <alignment vertical="center"/>
    </xf>
    <xf numFmtId="0" fontId="22" fillId="18" borderId="129" xfId="0" applyFont="1" applyFill="1" applyBorder="1" applyAlignment="1" applyProtection="1">
      <alignment horizontal="center" vertical="center" wrapText="1"/>
      <protection locked="0"/>
    </xf>
    <xf numFmtId="0" fontId="22" fillId="18" borderId="103" xfId="0" applyFont="1" applyFill="1" applyBorder="1" applyAlignment="1" applyProtection="1">
      <alignment horizontal="center" vertical="center" wrapText="1"/>
      <protection locked="0"/>
    </xf>
    <xf numFmtId="0" fontId="22" fillId="18" borderId="116" xfId="0" applyFont="1" applyFill="1" applyBorder="1" applyAlignment="1" applyProtection="1">
      <alignment horizontal="center" vertical="center" wrapText="1"/>
      <protection locked="0"/>
    </xf>
    <xf numFmtId="0" fontId="185" fillId="0" borderId="0" xfId="0" applyFont="1" applyFill="1" applyBorder="1" applyAlignment="1" applyProtection="1"/>
    <xf numFmtId="0" fontId="184" fillId="0" borderId="0" xfId="0" applyFont="1" applyBorder="1" applyAlignment="1" applyProtection="1">
      <protection locked="0"/>
    </xf>
    <xf numFmtId="0" fontId="7" fillId="0" borderId="101" xfId="0" applyFont="1" applyBorder="1" applyProtection="1">
      <alignment vertical="center"/>
      <protection locked="0"/>
    </xf>
    <xf numFmtId="0" fontId="7" fillId="0" borderId="186" xfId="0" applyFont="1" applyBorder="1" applyProtection="1">
      <alignment vertical="center"/>
      <protection locked="0"/>
    </xf>
    <xf numFmtId="0" fontId="184" fillId="0" borderId="0" xfId="0" applyFont="1" applyAlignment="1" applyProtection="1">
      <alignment horizontal="justify"/>
      <protection locked="0"/>
    </xf>
    <xf numFmtId="0" fontId="0" fillId="24" borderId="0" xfId="0" applyFill="1">
      <alignment vertical="center"/>
    </xf>
    <xf numFmtId="0" fontId="0" fillId="24" borderId="0" xfId="0" applyFill="1" applyProtection="1">
      <alignment vertical="center"/>
      <protection locked="0"/>
    </xf>
    <xf numFmtId="0" fontId="0" fillId="24" borderId="0" xfId="0" applyFill="1" applyProtection="1">
      <alignment vertical="center"/>
    </xf>
    <xf numFmtId="0" fontId="186" fillId="24" borderId="0" xfId="0" applyFont="1" applyFill="1" applyAlignment="1" applyProtection="1">
      <alignment horizontal="justify" vertical="center"/>
      <protection locked="0"/>
    </xf>
    <xf numFmtId="0" fontId="184" fillId="24" borderId="51" xfId="0" applyFont="1" applyFill="1" applyBorder="1" applyAlignment="1" applyProtection="1">
      <alignment horizontal="center" wrapText="1"/>
      <protection locked="0"/>
    </xf>
    <xf numFmtId="0" fontId="184" fillId="24" borderId="41" xfId="0" applyFont="1" applyFill="1" applyBorder="1" applyAlignment="1" applyProtection="1">
      <alignment horizontal="center" wrapText="1"/>
      <protection locked="0"/>
    </xf>
    <xf numFmtId="0" fontId="184" fillId="24" borderId="190" xfId="0" applyFont="1" applyFill="1" applyBorder="1" applyAlignment="1" applyProtection="1">
      <alignment horizontal="center" wrapText="1"/>
      <protection locked="0"/>
    </xf>
    <xf numFmtId="10" fontId="184" fillId="24" borderId="51" xfId="0" applyNumberFormat="1" applyFont="1" applyFill="1" applyBorder="1" applyAlignment="1" applyProtection="1">
      <alignment horizontal="center" wrapText="1"/>
      <protection locked="0"/>
    </xf>
    <xf numFmtId="10" fontId="184" fillId="24" borderId="43" xfId="0" applyNumberFormat="1" applyFont="1" applyFill="1" applyBorder="1" applyAlignment="1" applyProtection="1">
      <alignment horizontal="center" wrapText="1"/>
      <protection locked="0"/>
    </xf>
    <xf numFmtId="0" fontId="184" fillId="24" borderId="187" xfId="0" applyFont="1" applyFill="1" applyBorder="1" applyAlignment="1" applyProtection="1">
      <alignment horizontal="center" wrapText="1"/>
      <protection locked="0"/>
    </xf>
    <xf numFmtId="0" fontId="184" fillId="24" borderId="188" xfId="0" applyFont="1" applyFill="1" applyBorder="1" applyAlignment="1" applyProtection="1">
      <alignment horizontal="center" wrapText="1"/>
      <protection locked="0"/>
    </xf>
    <xf numFmtId="0" fontId="184" fillId="24" borderId="189" xfId="0" applyFont="1" applyFill="1" applyBorder="1" applyAlignment="1" applyProtection="1">
      <alignment wrapText="1"/>
      <protection locked="0"/>
    </xf>
    <xf numFmtId="0" fontId="184" fillId="24" borderId="190" xfId="0" applyFont="1" applyFill="1" applyBorder="1" applyAlignment="1" applyProtection="1">
      <alignment wrapText="1"/>
      <protection locked="0"/>
    </xf>
    <xf numFmtId="0" fontId="184" fillId="24" borderId="191" xfId="0" applyFont="1" applyFill="1" applyBorder="1" applyAlignment="1" applyProtection="1">
      <alignment wrapText="1"/>
      <protection locked="0"/>
    </xf>
    <xf numFmtId="0" fontId="193" fillId="24" borderId="51" xfId="0" applyFont="1" applyFill="1" applyBorder="1" applyAlignment="1" applyProtection="1">
      <alignment horizontal="center" wrapText="1"/>
      <protection locked="0"/>
    </xf>
    <xf numFmtId="0" fontId="193" fillId="24" borderId="30" xfId="0" applyFont="1" applyFill="1" applyBorder="1" applyAlignment="1" applyProtection="1">
      <alignment horizontal="center" wrapText="1"/>
      <protection locked="0"/>
    </xf>
    <xf numFmtId="0" fontId="195" fillId="24" borderId="0" xfId="0" applyFont="1" applyFill="1" applyProtection="1">
      <alignment vertical="center"/>
      <protection locked="0"/>
    </xf>
    <xf numFmtId="0" fontId="2" fillId="24" borderId="17" xfId="0" applyFont="1" applyFill="1" applyBorder="1" applyAlignment="1" applyProtection="1">
      <alignment vertical="center" wrapText="1"/>
      <protection locked="0"/>
    </xf>
    <xf numFmtId="0" fontId="0" fillId="24" borderId="0" xfId="0" applyFill="1" applyAlignment="1" applyProtection="1">
      <alignment horizontal="center" vertical="center"/>
      <protection locked="0"/>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193" fillId="24" borderId="51" xfId="0" applyFont="1" applyFill="1" applyBorder="1" applyAlignment="1" applyProtection="1">
      <alignment horizontal="center" vertical="center" wrapText="1"/>
    </xf>
    <xf numFmtId="0" fontId="0" fillId="24" borderId="32" xfId="0" applyFill="1" applyBorder="1" applyProtection="1">
      <alignment vertical="center"/>
    </xf>
    <xf numFmtId="0" fontId="193" fillId="24" borderId="30" xfId="0" applyFont="1" applyFill="1" applyBorder="1" applyAlignment="1" applyProtection="1">
      <alignment horizontal="center" vertical="center" wrapText="1"/>
    </xf>
    <xf numFmtId="177" fontId="0" fillId="16" borderId="3" xfId="0" applyNumberFormat="1" applyFill="1" applyBorder="1" applyAlignment="1" applyProtection="1">
      <alignment horizontal="center" vertical="center"/>
      <protection locked="0"/>
    </xf>
    <xf numFmtId="0" fontId="0" fillId="24" borderId="3" xfId="0" applyFill="1" applyBorder="1" applyAlignment="1" applyProtection="1">
      <alignment vertical="center" wrapText="1"/>
    </xf>
    <xf numFmtId="0" fontId="0" fillId="24" borderId="3" xfId="0" applyFill="1" applyBorder="1" applyProtection="1">
      <alignment vertical="center"/>
      <protection locked="0"/>
    </xf>
    <xf numFmtId="177" fontId="0" fillId="26" borderId="3" xfId="0" applyNumberFormat="1" applyFill="1" applyBorder="1" applyProtection="1">
      <alignment vertical="center"/>
    </xf>
    <xf numFmtId="177" fontId="0" fillId="12" borderId="3" xfId="0" applyNumberFormat="1" applyFill="1" applyBorder="1" applyProtection="1">
      <alignment vertical="center"/>
      <protection locked="0"/>
    </xf>
    <xf numFmtId="0" fontId="0" fillId="16" borderId="3" xfId="0" applyFill="1" applyBorder="1" applyProtection="1">
      <alignment vertical="center"/>
      <protection locked="0"/>
    </xf>
    <xf numFmtId="0" fontId="15" fillId="24" borderId="3" xfId="0" applyFont="1" applyFill="1" applyBorder="1" applyAlignment="1" applyProtection="1">
      <alignment horizontal="center" vertical="center" wrapText="1"/>
    </xf>
    <xf numFmtId="0" fontId="198" fillId="24" borderId="3" xfId="0" applyFont="1" applyFill="1" applyBorder="1" applyAlignment="1" applyProtection="1">
      <alignment horizontal="center" vertical="center" wrapText="1"/>
    </xf>
    <xf numFmtId="0" fontId="198" fillId="24" borderId="3" xfId="0" applyFont="1" applyFill="1" applyBorder="1" applyAlignment="1" applyProtection="1">
      <alignment horizontal="center" vertical="center" wrapText="1"/>
      <protection locked="0"/>
    </xf>
    <xf numFmtId="49" fontId="7" fillId="19" borderId="0" xfId="0" applyNumberFormat="1" applyFont="1" applyFill="1" applyAlignment="1" applyProtection="1">
      <alignment horizontal="center" vertical="center"/>
    </xf>
    <xf numFmtId="0" fontId="7" fillId="0" borderId="0" xfId="0" applyFont="1" applyFill="1" applyAlignment="1" applyProtection="1">
      <alignment vertical="center"/>
      <protection locked="0"/>
    </xf>
    <xf numFmtId="0" fontId="7" fillId="0" borderId="0" xfId="0" applyFont="1" applyBorder="1" applyAlignment="1">
      <alignment vertical="center"/>
    </xf>
    <xf numFmtId="0" fontId="11" fillId="0" borderId="0" xfId="0" applyFont="1" applyAlignment="1" applyProtection="1">
      <alignment vertical="center"/>
      <protection locked="0"/>
    </xf>
    <xf numFmtId="49" fontId="14" fillId="0" borderId="0" xfId="0" applyNumberFormat="1" applyFont="1" applyAlignment="1">
      <alignment vertical="center"/>
    </xf>
    <xf numFmtId="0" fontId="184" fillId="0" borderId="0" xfId="0" applyFont="1" applyAlignment="1" applyProtection="1">
      <alignment horizontal="center" vertical="center"/>
      <protection locked="0"/>
    </xf>
    <xf numFmtId="0" fontId="164" fillId="0" borderId="0" xfId="0" applyFont="1" applyBorder="1" applyAlignment="1">
      <alignment vertical="center"/>
    </xf>
    <xf numFmtId="0" fontId="2" fillId="0" borderId="108" xfId="0" applyFont="1" applyBorder="1" applyAlignment="1" applyProtection="1">
      <alignment vertical="center"/>
      <protection locked="0"/>
    </xf>
    <xf numFmtId="0" fontId="2" fillId="22" borderId="107" xfId="0" applyFont="1" applyFill="1" applyBorder="1" applyAlignment="1" applyProtection="1">
      <alignment horizontal="center" vertical="center"/>
      <protection locked="0"/>
    </xf>
    <xf numFmtId="0" fontId="2" fillId="22" borderId="132" xfId="0" applyFont="1" applyFill="1" applyBorder="1" applyAlignment="1" applyProtection="1">
      <alignment horizontal="center" vertical="center"/>
      <protection locked="0"/>
    </xf>
    <xf numFmtId="0" fontId="2" fillId="0" borderId="119" xfId="0" applyFont="1" applyBorder="1" applyAlignment="1" applyProtection="1">
      <alignment vertical="center"/>
      <protection locked="0"/>
    </xf>
    <xf numFmtId="0" fontId="2" fillId="22" borderId="118" xfId="0" applyFont="1" applyFill="1" applyBorder="1" applyAlignment="1" applyProtection="1">
      <alignment horizontal="center" vertical="center"/>
      <protection locked="0"/>
    </xf>
    <xf numFmtId="0" fontId="2" fillId="22" borderId="149" xfId="0" applyFont="1" applyFill="1" applyBorder="1" applyAlignment="1" applyProtection="1">
      <alignment horizontal="center" vertical="center"/>
      <protection locked="0"/>
    </xf>
    <xf numFmtId="0" fontId="0" fillId="0" borderId="0" xfId="0" applyAlignment="1">
      <alignment horizontal="center"/>
    </xf>
    <xf numFmtId="0" fontId="0" fillId="0" borderId="0" xfId="0" applyAlignment="1" applyProtection="1">
      <alignment horizontal="center"/>
      <protection locked="0"/>
    </xf>
    <xf numFmtId="0" fontId="2" fillId="18" borderId="119" xfId="0"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locked="0"/>
    </xf>
    <xf numFmtId="49" fontId="2" fillId="18" borderId="177" xfId="0" applyNumberFormat="1" applyFont="1" applyFill="1" applyBorder="1" applyAlignment="1" applyProtection="1">
      <alignment vertical="center"/>
      <protection locked="0"/>
    </xf>
    <xf numFmtId="49" fontId="2" fillId="18" borderId="196" xfId="0" applyNumberFormat="1" applyFont="1" applyFill="1" applyBorder="1" applyAlignment="1" applyProtection="1">
      <alignment vertical="center"/>
      <protection locked="0"/>
    </xf>
    <xf numFmtId="49" fontId="2" fillId="18" borderId="117" xfId="0" applyNumberFormat="1" applyFont="1" applyFill="1" applyBorder="1" applyAlignment="1" applyProtection="1">
      <alignment vertical="center"/>
      <protection locked="0"/>
    </xf>
    <xf numFmtId="189" fontId="2" fillId="18" borderId="158" xfId="0" applyNumberFormat="1" applyFont="1" applyFill="1" applyBorder="1" applyAlignment="1" applyProtection="1">
      <alignment horizontal="center" vertical="center"/>
      <protection locked="0"/>
    </xf>
    <xf numFmtId="189" fontId="2" fillId="21" borderId="117" xfId="0" applyNumberFormat="1" applyFont="1" applyFill="1" applyBorder="1" applyAlignment="1" applyProtection="1">
      <alignment vertical="center"/>
      <protection locked="0"/>
    </xf>
    <xf numFmtId="189" fontId="2" fillId="18" borderId="177" xfId="0" applyNumberFormat="1" applyFont="1" applyFill="1" applyBorder="1" applyAlignment="1" applyProtection="1">
      <alignment vertical="center"/>
      <protection locked="0"/>
    </xf>
    <xf numFmtId="0" fontId="2" fillId="21" borderId="196" xfId="0" applyFont="1" applyFill="1" applyBorder="1" applyAlignment="1" applyProtection="1">
      <alignment horizontal="center" vertical="center"/>
      <protection locked="0"/>
    </xf>
    <xf numFmtId="189" fontId="2" fillId="18" borderId="196" xfId="0" applyNumberFormat="1" applyFont="1" applyFill="1" applyBorder="1" applyAlignment="1" applyProtection="1">
      <alignment vertical="center"/>
      <protection locked="0"/>
    </xf>
    <xf numFmtId="0" fontId="2" fillId="0" borderId="196" xfId="0" applyFont="1" applyFill="1" applyBorder="1" applyAlignment="1" applyProtection="1">
      <alignment horizontal="center" vertical="center"/>
      <protection locked="0"/>
    </xf>
    <xf numFmtId="189" fontId="2" fillId="18" borderId="117" xfId="0" applyNumberFormat="1" applyFont="1" applyFill="1" applyBorder="1" applyAlignment="1" applyProtection="1">
      <alignment horizontal="center" vertical="center"/>
      <protection locked="0"/>
    </xf>
    <xf numFmtId="189" fontId="2" fillId="21" borderId="118" xfId="0" applyNumberFormat="1" applyFont="1" applyFill="1" applyBorder="1" applyAlignment="1" applyProtection="1">
      <alignment horizontal="center" vertical="center"/>
      <protection locked="0"/>
    </xf>
    <xf numFmtId="0" fontId="15" fillId="0" borderId="0" xfId="0" applyFont="1" applyBorder="1">
      <alignment vertical="center"/>
    </xf>
    <xf numFmtId="189" fontId="2" fillId="19" borderId="108" xfId="0" applyNumberFormat="1" applyFont="1" applyFill="1" applyBorder="1" applyAlignment="1" applyProtection="1">
      <alignment horizontal="center" vertical="center"/>
      <protection locked="0"/>
    </xf>
    <xf numFmtId="0" fontId="2" fillId="20" borderId="116" xfId="0" applyFont="1" applyFill="1" applyBorder="1" applyAlignment="1" applyProtection="1">
      <alignment horizontal="center" vertical="center"/>
      <protection locked="0"/>
    </xf>
    <xf numFmtId="0" fontId="164" fillId="18" borderId="0" xfId="0" applyFont="1" applyFill="1" applyBorder="1" applyAlignment="1" applyProtection="1">
      <alignment horizontal="center" vertical="top"/>
      <protection locked="0"/>
    </xf>
    <xf numFmtId="0" fontId="0" fillId="0" borderId="0" xfId="0" applyAlignment="1">
      <alignment vertical="center"/>
    </xf>
    <xf numFmtId="0" fontId="0" fillId="0" borderId="0" xfId="0" applyAlignment="1" applyProtection="1">
      <alignment vertical="center"/>
      <protection locked="0"/>
    </xf>
    <xf numFmtId="0" fontId="0" fillId="22" borderId="108" xfId="0" applyFill="1" applyBorder="1" applyAlignment="1" applyProtection="1">
      <alignment vertical="center"/>
      <protection locked="0"/>
    </xf>
    <xf numFmtId="0" fontId="0" fillId="22" borderId="107" xfId="0" applyFill="1" applyBorder="1" applyAlignment="1" applyProtection="1">
      <alignment vertical="center"/>
      <protection locked="0"/>
    </xf>
    <xf numFmtId="0" fontId="0" fillId="22" borderId="119" xfId="0" applyFill="1" applyBorder="1" applyAlignment="1" applyProtection="1">
      <alignment vertical="center"/>
      <protection locked="0"/>
    </xf>
    <xf numFmtId="0" fontId="0" fillId="22" borderId="118" xfId="0" applyFill="1" applyBorder="1" applyAlignment="1" applyProtection="1">
      <alignment vertical="center"/>
      <protection locked="0"/>
    </xf>
    <xf numFmtId="0" fontId="202" fillId="0" borderId="0" xfId="0" applyFont="1" applyAlignment="1">
      <alignment horizontal="left" vertical="center"/>
    </xf>
    <xf numFmtId="0" fontId="0" fillId="22" borderId="116" xfId="0" applyFill="1" applyBorder="1" applyAlignment="1" applyProtection="1">
      <alignment vertical="center"/>
      <protection locked="0"/>
    </xf>
    <xf numFmtId="0" fontId="0" fillId="22" borderId="103" xfId="0" applyFill="1" applyBorder="1" applyAlignment="1" applyProtection="1">
      <alignment vertical="center"/>
      <protection locked="0"/>
    </xf>
    <xf numFmtId="0" fontId="7" fillId="18" borderId="108" xfId="0" applyFont="1" applyFill="1" applyBorder="1" applyAlignment="1" applyProtection="1">
      <alignment horizontal="center" vertical="center"/>
      <protection locked="0"/>
    </xf>
    <xf numFmtId="0" fontId="7" fillId="18" borderId="107" xfId="0" applyFont="1" applyFill="1" applyBorder="1" applyAlignment="1" applyProtection="1">
      <alignment horizontal="center" vertical="center"/>
      <protection locked="0"/>
    </xf>
    <xf numFmtId="0" fontId="2" fillId="0" borderId="137" xfId="0" applyFont="1" applyBorder="1" applyAlignment="1" applyProtection="1">
      <protection locked="0"/>
    </xf>
    <xf numFmtId="0" fontId="2" fillId="22" borderId="101" xfId="0" applyFont="1" applyFill="1" applyBorder="1" applyAlignment="1" applyProtection="1">
      <protection locked="0"/>
    </xf>
    <xf numFmtId="0" fontId="2" fillId="0" borderId="138" xfId="0" applyFont="1" applyBorder="1" applyAlignment="1" applyProtection="1">
      <protection locked="0"/>
    </xf>
    <xf numFmtId="0" fontId="2" fillId="22" borderId="0" xfId="0" applyFont="1" applyFill="1" applyBorder="1" applyAlignment="1" applyProtection="1">
      <protection locked="0"/>
    </xf>
    <xf numFmtId="0" fontId="2" fillId="0" borderId="0" xfId="0" applyFont="1" applyBorder="1" applyAlignment="1" applyProtection="1">
      <alignment vertical="center"/>
      <protection locked="0"/>
    </xf>
    <xf numFmtId="0" fontId="2" fillId="0" borderId="197" xfId="0" applyFont="1" applyBorder="1" applyAlignment="1" applyProtection="1">
      <protection locked="0"/>
    </xf>
    <xf numFmtId="0" fontId="2" fillId="0" borderId="109" xfId="0" applyFont="1" applyBorder="1" applyAlignment="1" applyProtection="1">
      <protection locked="0"/>
    </xf>
    <xf numFmtId="0" fontId="2" fillId="0" borderId="184" xfId="0" applyFont="1" applyBorder="1" applyAlignment="1" applyProtection="1">
      <alignment vertical="center"/>
      <protection locked="0"/>
    </xf>
    <xf numFmtId="0" fontId="2" fillId="22" borderId="101" xfId="0" applyFont="1" applyFill="1" applyBorder="1" applyAlignment="1" applyProtection="1">
      <alignment vertical="center"/>
      <protection locked="0"/>
    </xf>
    <xf numFmtId="0" fontId="2" fillId="0" borderId="101" xfId="0" applyFont="1" applyBorder="1" applyAlignment="1" applyProtection="1">
      <alignment vertical="center"/>
      <protection locked="0"/>
    </xf>
    <xf numFmtId="0" fontId="2" fillId="0" borderId="184" xfId="0" applyFont="1" applyBorder="1" applyAlignment="1" applyProtection="1">
      <protection locked="0"/>
    </xf>
    <xf numFmtId="0" fontId="2" fillId="0" borderId="0" xfId="0" applyFont="1" applyBorder="1" applyAlignment="1" applyProtection="1">
      <protection locked="0"/>
    </xf>
    <xf numFmtId="0" fontId="2" fillId="0" borderId="125" xfId="0" applyFont="1" applyBorder="1" applyAlignment="1" applyProtection="1">
      <protection locked="0"/>
    </xf>
    <xf numFmtId="0" fontId="2" fillId="0" borderId="198" xfId="0" applyFont="1" applyBorder="1" applyAlignment="1" applyProtection="1">
      <protection locked="0"/>
    </xf>
    <xf numFmtId="0" fontId="2" fillId="0" borderId="109" xfId="0" applyFont="1" applyBorder="1" applyAlignment="1" applyProtection="1">
      <alignment vertical="center" wrapText="1"/>
      <protection locked="0"/>
    </xf>
    <xf numFmtId="0" fontId="2" fillId="0" borderId="138" xfId="0" applyFont="1" applyBorder="1" applyAlignment="1" applyProtection="1">
      <alignment vertical="center"/>
      <protection locked="0"/>
    </xf>
    <xf numFmtId="0" fontId="2" fillId="0" borderId="133" xfId="0" applyFont="1" applyBorder="1" applyAlignment="1" applyProtection="1">
      <alignment vertical="center" wrapText="1"/>
      <protection locked="0"/>
    </xf>
    <xf numFmtId="0" fontId="2" fillId="22" borderId="198" xfId="0" applyFont="1" applyFill="1" applyBorder="1" applyAlignment="1" applyProtection="1">
      <protection locked="0"/>
    </xf>
    <xf numFmtId="0" fontId="2" fillId="0" borderId="186" xfId="0" applyFont="1" applyBorder="1" applyAlignment="1" applyProtection="1">
      <alignment vertical="center"/>
      <protection locked="0"/>
    </xf>
    <xf numFmtId="0" fontId="2" fillId="0" borderId="110" xfId="0" applyFont="1" applyBorder="1" applyAlignment="1" applyProtection="1">
      <alignment vertical="center"/>
      <protection locked="0"/>
    </xf>
    <xf numFmtId="0" fontId="2" fillId="0" borderId="109" xfId="0" applyFont="1" applyBorder="1" applyAlignment="1" applyProtection="1">
      <alignment vertical="top"/>
      <protection locked="0"/>
    </xf>
    <xf numFmtId="0" fontId="2" fillId="22" borderId="0" xfId="0" applyFont="1" applyFill="1" applyBorder="1" applyAlignment="1" applyProtection="1">
      <alignment vertical="top"/>
      <protection locked="0"/>
    </xf>
    <xf numFmtId="0" fontId="2" fillId="0" borderId="0" xfId="0" applyFont="1" applyBorder="1" applyAlignment="1" applyProtection="1">
      <alignment vertical="top"/>
      <protection locked="0"/>
    </xf>
    <xf numFmtId="0" fontId="2" fillId="0" borderId="125" xfId="0" applyFont="1" applyBorder="1" applyAlignment="1" applyProtection="1">
      <alignment vertical="top"/>
      <protection locked="0"/>
    </xf>
    <xf numFmtId="0" fontId="2" fillId="0" borderId="198" xfId="0" applyFont="1" applyBorder="1" applyAlignment="1" applyProtection="1">
      <alignment vertical="top"/>
      <protection locked="0"/>
    </xf>
    <xf numFmtId="0" fontId="2" fillId="0" borderId="197" xfId="0" applyFont="1" applyBorder="1" applyAlignment="1" applyProtection="1">
      <alignment vertical="top"/>
      <protection locked="0"/>
    </xf>
    <xf numFmtId="0" fontId="2" fillId="0" borderId="101" xfId="0" applyFont="1" applyBorder="1" applyAlignment="1" applyProtection="1">
      <protection locked="0"/>
    </xf>
    <xf numFmtId="0" fontId="2" fillId="0" borderId="131" xfId="0" applyFont="1" applyBorder="1" applyAlignment="1" applyProtection="1">
      <protection locked="0"/>
    </xf>
    <xf numFmtId="0" fontId="2" fillId="22" borderId="186" xfId="0" applyFont="1" applyFill="1" applyBorder="1" applyAlignment="1" applyProtection="1">
      <protection locked="0"/>
    </xf>
    <xf numFmtId="0" fontId="2" fillId="0" borderId="186" xfId="0" applyFont="1" applyBorder="1" applyAlignment="1" applyProtection="1">
      <protection locked="0"/>
    </xf>
    <xf numFmtId="0" fontId="2" fillId="0" borderId="110" xfId="0" applyFont="1" applyBorder="1" applyAlignment="1" applyProtection="1">
      <protection locked="0"/>
    </xf>
    <xf numFmtId="0" fontId="2" fillId="0" borderId="186" xfId="0" applyFont="1" applyBorder="1" applyAlignment="1" applyProtection="1">
      <alignment vertical="top"/>
      <protection locked="0"/>
    </xf>
    <xf numFmtId="0" fontId="2" fillId="0" borderId="110" xfId="0" applyFont="1" applyBorder="1" applyAlignment="1" applyProtection="1">
      <alignment vertical="top"/>
      <protection locked="0"/>
    </xf>
    <xf numFmtId="0" fontId="2" fillId="0" borderId="131" xfId="0" applyFont="1" applyBorder="1" applyAlignment="1" applyProtection="1">
      <alignment vertical="center"/>
      <protection locked="0"/>
    </xf>
    <xf numFmtId="0" fontId="2" fillId="22" borderId="186" xfId="0" applyFont="1" applyFill="1" applyBorder="1" applyAlignment="1" applyProtection="1">
      <alignment vertical="center"/>
      <protection locked="0"/>
    </xf>
    <xf numFmtId="0" fontId="2" fillId="0" borderId="131" xfId="0" applyFont="1" applyBorder="1" applyAlignment="1" applyProtection="1">
      <alignment vertical="top"/>
      <protection locked="0"/>
    </xf>
    <xf numFmtId="0" fontId="2" fillId="22" borderId="198" xfId="0" applyFont="1" applyFill="1" applyBorder="1" applyAlignment="1" applyProtection="1">
      <alignment vertical="top"/>
      <protection locked="0"/>
    </xf>
    <xf numFmtId="0" fontId="7" fillId="18" borderId="0" xfId="0" applyFont="1" applyFill="1" applyBorder="1" applyAlignment="1" applyProtection="1">
      <alignment horizontal="left"/>
      <protection locked="0"/>
    </xf>
    <xf numFmtId="0" fontId="203" fillId="0" borderId="0" xfId="0" applyFont="1" applyProtection="1">
      <alignment vertical="center"/>
      <protection locked="0"/>
    </xf>
    <xf numFmtId="0" fontId="204" fillId="0" borderId="0" xfId="0" applyFont="1" applyProtection="1">
      <alignment vertical="center"/>
      <protection locked="0"/>
    </xf>
    <xf numFmtId="31" fontId="7" fillId="19" borderId="109" xfId="0" applyNumberFormat="1" applyFont="1" applyFill="1" applyBorder="1" applyAlignment="1" applyProtection="1">
      <alignment horizontal="center" vertical="center" wrapText="1"/>
    </xf>
    <xf numFmtId="0" fontId="7" fillId="18" borderId="135" xfId="0" applyFont="1" applyFill="1" applyBorder="1" applyAlignment="1" applyProtection="1">
      <alignment horizontal="center" vertical="center"/>
      <protection locked="0"/>
    </xf>
    <xf numFmtId="0" fontId="7" fillId="19" borderId="134" xfId="0" applyFont="1" applyFill="1" applyBorder="1" applyAlignment="1" applyProtection="1">
      <alignment horizontal="center" vertical="center"/>
    </xf>
    <xf numFmtId="0" fontId="7" fillId="0" borderId="109" xfId="0" applyFont="1" applyFill="1" applyBorder="1" applyAlignment="1" applyProtection="1">
      <alignment vertical="center"/>
      <protection locked="0"/>
    </xf>
    <xf numFmtId="0" fontId="7" fillId="19" borderId="137" xfId="0" applyFont="1" applyFill="1" applyBorder="1" applyAlignment="1" applyProtection="1">
      <alignment horizontal="center" vertical="center" wrapText="1"/>
    </xf>
    <xf numFmtId="0" fontId="22" fillId="0" borderId="0" xfId="0" applyFont="1" applyAlignment="1">
      <alignment vertical="center"/>
    </xf>
    <xf numFmtId="0" fontId="22" fillId="0" borderId="0" xfId="0" applyFont="1" applyAlignment="1" applyProtection="1">
      <alignment vertical="center"/>
      <protection locked="0"/>
    </xf>
    <xf numFmtId="0" fontId="22" fillId="0" borderId="185" xfId="0" applyFont="1" applyBorder="1" applyAlignment="1" applyProtection="1">
      <alignment vertical="center"/>
      <protection locked="0"/>
    </xf>
    <xf numFmtId="0" fontId="22" fillId="0" borderId="101" xfId="0" applyFont="1" applyBorder="1" applyAlignment="1" applyProtection="1">
      <alignment vertical="center"/>
      <protection locked="0"/>
    </xf>
    <xf numFmtId="0" fontId="22" fillId="0" borderId="138" xfId="0" applyFont="1" applyBorder="1" applyAlignment="1" applyProtection="1">
      <alignment vertical="center"/>
      <protection locked="0"/>
    </xf>
    <xf numFmtId="0" fontId="22" fillId="0" borderId="184" xfId="0" applyFont="1" applyBorder="1" applyAlignment="1" applyProtection="1">
      <alignment vertical="center"/>
      <protection locked="0"/>
    </xf>
    <xf numFmtId="0" fontId="22" fillId="0" borderId="0" xfId="0" applyFont="1" applyBorder="1" applyAlignment="1" applyProtection="1">
      <alignment vertical="center"/>
      <protection locked="0"/>
    </xf>
    <xf numFmtId="0" fontId="22" fillId="0" borderId="125" xfId="0" applyFont="1" applyBorder="1" applyAlignment="1" applyProtection="1">
      <alignment horizontal="center" vertical="center"/>
      <protection locked="0"/>
    </xf>
    <xf numFmtId="0" fontId="22" fillId="0" borderId="125" xfId="0" applyFont="1" applyBorder="1" applyAlignment="1" applyProtection="1">
      <alignment vertical="center"/>
      <protection locked="0"/>
    </xf>
    <xf numFmtId="0" fontId="22" fillId="19" borderId="153" xfId="0" applyFont="1" applyFill="1" applyBorder="1" applyAlignment="1" applyProtection="1">
      <alignment vertical="center"/>
    </xf>
    <xf numFmtId="0" fontId="22" fillId="0" borderId="0" xfId="0" applyFont="1" applyBorder="1" applyAlignment="1">
      <alignment vertical="center"/>
    </xf>
    <xf numFmtId="0" fontId="22" fillId="0" borderId="0" xfId="0" applyFont="1" applyBorder="1" applyAlignment="1" applyProtection="1">
      <alignment horizontal="center" vertical="center"/>
      <protection locked="0"/>
    </xf>
    <xf numFmtId="0" fontId="22" fillId="18" borderId="111" xfId="0" applyFont="1" applyFill="1" applyBorder="1" applyAlignment="1" applyProtection="1">
      <alignment horizontal="center" vertical="center"/>
      <protection locked="0"/>
    </xf>
    <xf numFmtId="0" fontId="22" fillId="18" borderId="113" xfId="0" applyFont="1" applyFill="1" applyBorder="1" applyAlignment="1" applyProtection="1">
      <alignment horizontal="center" vertical="center"/>
      <protection locked="0"/>
    </xf>
    <xf numFmtId="0" fontId="14" fillId="0" borderId="0" xfId="0" applyFont="1">
      <alignment vertical="center"/>
    </xf>
    <xf numFmtId="0" fontId="14" fillId="0" borderId="0" xfId="0" applyFont="1" applyProtection="1">
      <alignment vertical="center"/>
      <protection locked="0"/>
    </xf>
    <xf numFmtId="0" fontId="3" fillId="0" borderId="0" xfId="0" applyFont="1" applyAlignment="1" applyProtection="1">
      <alignment horizontal="center"/>
      <protection locked="0"/>
    </xf>
    <xf numFmtId="0" fontId="0" fillId="0" borderId="0" xfId="0" applyAlignment="1"/>
    <xf numFmtId="0" fontId="0" fillId="0" borderId="0" xfId="0" applyAlignment="1" applyProtection="1">
      <protection locked="0"/>
    </xf>
    <xf numFmtId="0" fontId="0" fillId="0" borderId="0" xfId="0" applyBorder="1" applyAlignment="1" applyProtection="1">
      <alignment vertical="center"/>
      <protection locked="0"/>
    </xf>
    <xf numFmtId="0" fontId="7" fillId="0" borderId="109" xfId="0" applyFont="1" applyBorder="1" applyAlignment="1" applyProtection="1">
      <alignment horizontal="center" vertical="center"/>
      <protection locked="0"/>
    </xf>
    <xf numFmtId="0" fontId="7" fillId="0" borderId="109" xfId="0" applyFont="1" applyBorder="1" applyAlignment="1" applyProtection="1">
      <alignment vertical="center"/>
      <protection locked="0"/>
    </xf>
    <xf numFmtId="0" fontId="205" fillId="20" borderId="109" xfId="0" applyFont="1" applyFill="1" applyBorder="1" applyAlignment="1" applyProtection="1">
      <alignment horizontal="center" vertical="center"/>
    </xf>
    <xf numFmtId="0" fontId="7" fillId="0" borderId="109" xfId="0" applyFont="1" applyFill="1" applyBorder="1" applyAlignment="1" applyProtection="1">
      <alignment horizontal="center" vertical="center"/>
      <protection locked="0"/>
    </xf>
    <xf numFmtId="0" fontId="7" fillId="20" borderId="109" xfId="0" applyFont="1" applyFill="1" applyBorder="1" applyAlignment="1" applyProtection="1">
      <alignment vertical="center"/>
    </xf>
    <xf numFmtId="0" fontId="7" fillId="20" borderId="109" xfId="0" applyFont="1" applyFill="1" applyBorder="1" applyAlignment="1" applyProtection="1">
      <alignment horizontal="center" vertical="center"/>
    </xf>
    <xf numFmtId="0" fontId="2" fillId="18" borderId="0" xfId="0" applyFont="1" applyFill="1" applyAlignment="1" applyProtection="1">
      <alignment horizontal="center" vertical="center"/>
      <protection locked="0"/>
    </xf>
    <xf numFmtId="0" fontId="0" fillId="18" borderId="0" xfId="0" applyFill="1" applyAlignment="1" applyProtection="1">
      <alignment vertical="center"/>
      <protection locked="0"/>
    </xf>
    <xf numFmtId="0" fontId="7" fillId="0" borderId="0" xfId="0" applyFont="1" applyBorder="1">
      <alignment vertical="center"/>
    </xf>
    <xf numFmtId="0" fontId="7" fillId="0" borderId="0" xfId="0" applyFont="1" applyBorder="1" applyAlignment="1" applyProtection="1">
      <alignment horizontal="center" wrapText="1"/>
      <protection locked="0"/>
    </xf>
    <xf numFmtId="0" fontId="7" fillId="18" borderId="109" xfId="0" applyFont="1" applyFill="1" applyBorder="1" applyAlignment="1" applyProtection="1">
      <alignment horizontal="center" wrapText="1"/>
      <protection locked="0"/>
    </xf>
    <xf numFmtId="186" fontId="206" fillId="21" borderId="109" xfId="0" applyNumberFormat="1" applyFont="1" applyFill="1" applyBorder="1" applyAlignment="1" applyProtection="1">
      <alignment horizontal="center" wrapText="1"/>
      <protection locked="0"/>
    </xf>
    <xf numFmtId="186" fontId="7" fillId="18" borderId="109" xfId="0" applyNumberFormat="1" applyFont="1" applyFill="1" applyBorder="1" applyAlignment="1" applyProtection="1">
      <alignment horizontal="center" wrapText="1"/>
      <protection locked="0"/>
    </xf>
    <xf numFmtId="0" fontId="7" fillId="0" borderId="108" xfId="0" applyFont="1" applyBorder="1" applyAlignment="1" applyProtection="1">
      <alignment horizontal="center" wrapText="1"/>
      <protection locked="0"/>
    </xf>
    <xf numFmtId="186" fontId="7" fillId="0" borderId="107" xfId="0" applyNumberFormat="1" applyFont="1" applyBorder="1" applyAlignment="1" applyProtection="1">
      <alignment horizontal="center" wrapText="1"/>
      <protection locked="0"/>
    </xf>
    <xf numFmtId="0" fontId="7" fillId="0" borderId="107" xfId="0" applyFont="1" applyBorder="1" applyAlignment="1" applyProtection="1">
      <alignment horizontal="center" wrapText="1"/>
      <protection locked="0"/>
    </xf>
    <xf numFmtId="0" fontId="7" fillId="0" borderId="132" xfId="0" applyFont="1" applyBorder="1" applyAlignment="1" applyProtection="1">
      <alignment horizontal="center" wrapText="1"/>
      <protection locked="0"/>
    </xf>
    <xf numFmtId="0" fontId="7" fillId="0" borderId="119" xfId="0" applyFont="1" applyBorder="1" applyAlignment="1" applyProtection="1">
      <alignment horizontal="center" wrapText="1"/>
      <protection locked="0"/>
    </xf>
    <xf numFmtId="186" fontId="7" fillId="0" borderId="118" xfId="0" applyNumberFormat="1" applyFont="1" applyBorder="1" applyAlignment="1" applyProtection="1">
      <alignment horizontal="center" wrapText="1"/>
      <protection locked="0"/>
    </xf>
    <xf numFmtId="0" fontId="7" fillId="0" borderId="118" xfId="0" applyFont="1" applyBorder="1" applyAlignment="1" applyProtection="1">
      <alignment horizontal="center" wrapText="1"/>
      <protection locked="0"/>
    </xf>
    <xf numFmtId="0" fontId="7" fillId="0" borderId="149" xfId="0" applyFont="1" applyBorder="1" applyAlignment="1" applyProtection="1">
      <alignment horizontal="center" wrapText="1"/>
      <protection locked="0"/>
    </xf>
    <xf numFmtId="0" fontId="7" fillId="0" borderId="116" xfId="0" applyFont="1" applyBorder="1" applyAlignment="1" applyProtection="1">
      <alignment horizontal="center" wrapText="1"/>
      <protection locked="0"/>
    </xf>
    <xf numFmtId="186" fontId="7" fillId="0" borderId="103" xfId="0" applyNumberFormat="1" applyFont="1" applyBorder="1" applyAlignment="1" applyProtection="1">
      <alignment horizontal="center" wrapText="1"/>
      <protection locked="0"/>
    </xf>
    <xf numFmtId="0" fontId="7" fillId="0" borderId="103" xfId="0" applyFont="1" applyBorder="1" applyAlignment="1" applyProtection="1">
      <alignment horizontal="center" wrapText="1"/>
      <protection locked="0"/>
    </xf>
    <xf numFmtId="0" fontId="7" fillId="0" borderId="129" xfId="0" applyFont="1" applyBorder="1" applyAlignment="1" applyProtection="1">
      <alignment horizontal="center" wrapText="1"/>
      <protection locked="0"/>
    </xf>
    <xf numFmtId="0" fontId="22" fillId="0" borderId="0" xfId="0" applyFont="1">
      <alignment vertical="center"/>
    </xf>
    <xf numFmtId="0" fontId="22" fillId="19" borderId="108" xfId="0" applyFont="1" applyFill="1" applyBorder="1" applyAlignment="1" applyProtection="1">
      <alignment horizontal="center"/>
    </xf>
    <xf numFmtId="0" fontId="22" fillId="18" borderId="132" xfId="0" applyFont="1" applyFill="1" applyBorder="1" applyAlignment="1" applyProtection="1">
      <alignment vertical="center"/>
      <protection locked="0"/>
    </xf>
    <xf numFmtId="0" fontId="22" fillId="22" borderId="185" xfId="0" applyFont="1" applyFill="1" applyBorder="1" applyAlignment="1" applyProtection="1">
      <alignment horizontal="center"/>
      <protection locked="0"/>
    </xf>
    <xf numFmtId="0" fontId="22" fillId="0" borderId="185" xfId="0" applyFont="1" applyBorder="1" applyAlignment="1" applyProtection="1">
      <protection locked="0"/>
    </xf>
    <xf numFmtId="0" fontId="22" fillId="0" borderId="101" xfId="0" applyFont="1" applyBorder="1" applyAlignment="1" applyProtection="1">
      <protection locked="0"/>
    </xf>
    <xf numFmtId="0" fontId="22" fillId="0" borderId="138" xfId="0" applyFont="1" applyBorder="1" applyAlignment="1" applyProtection="1">
      <protection locked="0"/>
    </xf>
    <xf numFmtId="0" fontId="22" fillId="0" borderId="184" xfId="0" applyFont="1" applyBorder="1" applyAlignment="1" applyProtection="1">
      <protection locked="0"/>
    </xf>
    <xf numFmtId="0" fontId="22" fillId="0" borderId="0" xfId="0" applyFont="1" applyBorder="1" applyAlignment="1" applyProtection="1">
      <protection locked="0"/>
    </xf>
    <xf numFmtId="0" fontId="22" fillId="0" borderId="125" xfId="0" applyFont="1" applyBorder="1" applyAlignment="1" applyProtection="1">
      <protection locked="0"/>
    </xf>
    <xf numFmtId="0" fontId="22" fillId="0" borderId="131" xfId="0" applyFont="1" applyBorder="1" applyAlignment="1" applyProtection="1">
      <protection locked="0"/>
    </xf>
    <xf numFmtId="0" fontId="22" fillId="0" borderId="198" xfId="0" applyFont="1" applyBorder="1" applyAlignment="1" applyProtection="1">
      <protection locked="0"/>
    </xf>
    <xf numFmtId="0" fontId="22" fillId="0" borderId="197" xfId="0" applyFont="1" applyBorder="1" applyAlignment="1" applyProtection="1">
      <protection locked="0"/>
    </xf>
    <xf numFmtId="0" fontId="22" fillId="18" borderId="107" xfId="0" applyFont="1" applyFill="1" applyBorder="1" applyAlignment="1" applyProtection="1">
      <alignment horizontal="center" vertical="center"/>
      <protection locked="0"/>
    </xf>
    <xf numFmtId="0" fontId="22" fillId="18" borderId="132" xfId="0" applyFont="1" applyFill="1" applyBorder="1" applyAlignment="1" applyProtection="1">
      <alignment horizontal="center" vertical="center"/>
      <protection locked="0"/>
    </xf>
    <xf numFmtId="0" fontId="22" fillId="18" borderId="103" xfId="0" applyFont="1" applyFill="1" applyBorder="1" applyAlignment="1" applyProtection="1">
      <alignment horizontal="center" vertical="center"/>
      <protection locked="0"/>
    </xf>
    <xf numFmtId="0" fontId="22" fillId="18" borderId="129" xfId="0" applyFont="1" applyFill="1" applyBorder="1" applyAlignment="1" applyProtection="1">
      <alignment horizontal="center" vertical="center"/>
      <protection locked="0"/>
    </xf>
    <xf numFmtId="0" fontId="207" fillId="18" borderId="0" xfId="0" applyFont="1" applyFill="1" applyAlignment="1" applyProtection="1">
      <alignment horizontal="center"/>
      <protection locked="0"/>
    </xf>
    <xf numFmtId="0" fontId="7" fillId="18" borderId="0" xfId="0" applyFont="1" applyFill="1" applyAlignment="1" applyProtection="1">
      <protection locked="0"/>
    </xf>
    <xf numFmtId="0" fontId="7" fillId="0" borderId="0" xfId="0" applyFont="1" applyAlignment="1" applyProtection="1">
      <alignment wrapText="1"/>
      <protection locked="0"/>
    </xf>
    <xf numFmtId="0" fontId="0" fillId="0" borderId="198" xfId="0" applyBorder="1">
      <alignment vertical="center"/>
    </xf>
    <xf numFmtId="0" fontId="2" fillId="0" borderId="200" xfId="0" applyFont="1" applyFill="1" applyBorder="1" applyAlignment="1" applyProtection="1">
      <alignment horizontal="center" vertical="center"/>
      <protection locked="0"/>
    </xf>
    <xf numFmtId="0" fontId="2" fillId="0" borderId="124" xfId="0" applyFont="1" applyFill="1" applyBorder="1" applyAlignment="1" applyProtection="1">
      <alignment horizontal="center" vertical="center"/>
      <protection locked="0"/>
    </xf>
    <xf numFmtId="0" fontId="2" fillId="0" borderId="130" xfId="0" applyFont="1" applyFill="1" applyBorder="1" applyAlignment="1" applyProtection="1">
      <alignment horizontal="center" vertical="center"/>
      <protection locked="0"/>
    </xf>
    <xf numFmtId="0" fontId="165" fillId="0" borderId="117" xfId="0" applyFont="1" applyBorder="1" applyAlignment="1" applyProtection="1">
      <alignment horizontal="center" vertical="center"/>
      <protection locked="0"/>
    </xf>
    <xf numFmtId="0" fontId="2" fillId="0" borderId="203" xfId="0" applyFont="1" applyBorder="1" applyAlignment="1" applyProtection="1">
      <alignment vertical="center"/>
      <protection locked="0"/>
    </xf>
    <xf numFmtId="0" fontId="7" fillId="0" borderId="0" xfId="0" applyFont="1" applyFill="1" applyProtection="1">
      <alignment vertical="center"/>
      <protection locked="0"/>
    </xf>
    <xf numFmtId="0" fontId="0" fillId="0" borderId="0" xfId="0" applyFill="1" applyProtection="1">
      <alignment vertical="center"/>
      <protection locked="0"/>
    </xf>
    <xf numFmtId="0" fontId="7" fillId="0" borderId="0" xfId="0" applyFont="1" applyFill="1" applyBorder="1" applyAlignment="1" applyProtection="1">
      <alignment vertical="center"/>
      <protection locked="0"/>
    </xf>
    <xf numFmtId="0" fontId="2" fillId="0" borderId="117" xfId="0" applyFont="1" applyBorder="1" applyAlignment="1" applyProtection="1">
      <alignment vertical="center"/>
      <protection locked="0"/>
    </xf>
    <xf numFmtId="0" fontId="2" fillId="0" borderId="116" xfId="0" applyFont="1" applyBorder="1" applyAlignment="1" applyProtection="1">
      <alignment vertical="center"/>
      <protection locked="0"/>
    </xf>
    <xf numFmtId="0" fontId="165" fillId="0" borderId="114" xfId="0" applyFont="1" applyBorder="1" applyAlignment="1" applyProtection="1">
      <alignment horizontal="center" vertical="center"/>
      <protection locked="0"/>
    </xf>
    <xf numFmtId="0" fontId="2" fillId="0" borderId="115" xfId="0" applyFont="1" applyBorder="1" applyAlignment="1" applyProtection="1">
      <alignment vertical="center"/>
      <protection locked="0"/>
    </xf>
    <xf numFmtId="0" fontId="2" fillId="0" borderId="130" xfId="0" applyFont="1" applyBorder="1" applyAlignment="1" applyProtection="1">
      <alignment vertical="center"/>
      <protection locked="0"/>
    </xf>
    <xf numFmtId="0" fontId="2" fillId="18" borderId="123" xfId="0" applyFont="1" applyFill="1" applyBorder="1" applyAlignment="1" applyProtection="1">
      <alignment horizontal="center" vertical="center"/>
      <protection locked="0"/>
    </xf>
    <xf numFmtId="190" fontId="2" fillId="18" borderId="107" xfId="0" applyNumberFormat="1" applyFont="1" applyFill="1" applyBorder="1" applyAlignment="1" applyProtection="1">
      <alignment horizontal="center" vertical="center"/>
      <protection locked="0"/>
    </xf>
    <xf numFmtId="190" fontId="2" fillId="18" borderId="115" xfId="0" applyNumberFormat="1" applyFont="1" applyFill="1" applyBorder="1" applyAlignment="1" applyProtection="1">
      <alignment horizontal="center" vertical="center"/>
      <protection locked="0"/>
    </xf>
    <xf numFmtId="0" fontId="164" fillId="0" borderId="0" xfId="0" applyFont="1" applyFill="1" applyBorder="1" applyAlignment="1" applyProtection="1">
      <protection locked="0"/>
    </xf>
    <xf numFmtId="0" fontId="0" fillId="30" borderId="0" xfId="0" applyFill="1">
      <alignment vertical="center"/>
    </xf>
    <xf numFmtId="0" fontId="208" fillId="30" borderId="0" xfId="0" applyFont="1" applyFill="1" applyAlignment="1">
      <alignment horizontal="left" vertical="top" wrapText="1"/>
    </xf>
    <xf numFmtId="0" fontId="0" fillId="30" borderId="0" xfId="0" applyFill="1" applyProtection="1">
      <alignment vertical="center"/>
    </xf>
    <xf numFmtId="0" fontId="209" fillId="30" borderId="0" xfId="0" applyFont="1" applyFill="1" applyBorder="1" applyProtection="1">
      <alignment vertical="center"/>
    </xf>
    <xf numFmtId="0" fontId="210" fillId="30" borderId="0" xfId="0" applyFont="1" applyFill="1" applyAlignment="1">
      <alignment horizontal="left" vertical="top" wrapText="1"/>
    </xf>
    <xf numFmtId="0" fontId="12" fillId="30" borderId="0" xfId="0" applyFont="1" applyFill="1" applyAlignment="1">
      <alignment horizontal="left" vertical="top" wrapText="1"/>
    </xf>
    <xf numFmtId="0" fontId="12" fillId="18" borderId="0" xfId="0" applyFont="1" applyFill="1" applyAlignment="1">
      <alignment horizontal="left" vertical="top" wrapText="1"/>
    </xf>
    <xf numFmtId="0" fontId="12" fillId="31" borderId="0" xfId="0" applyFont="1" applyFill="1" applyAlignment="1">
      <alignment horizontal="left" vertical="top" wrapText="1"/>
    </xf>
    <xf numFmtId="0" fontId="12" fillId="19" borderId="0" xfId="0" applyFont="1" applyFill="1" applyAlignment="1">
      <alignment horizontal="left" vertical="top" wrapText="1"/>
    </xf>
    <xf numFmtId="0" fontId="12" fillId="20" borderId="0" xfId="0" applyFont="1" applyFill="1" applyAlignment="1">
      <alignment horizontal="left" vertical="top" wrapText="1"/>
    </xf>
    <xf numFmtId="0" fontId="12" fillId="32" borderId="0" xfId="0" applyFont="1" applyFill="1" applyAlignment="1">
      <alignment horizontal="left" vertical="top" wrapText="1"/>
    </xf>
    <xf numFmtId="0" fontId="12" fillId="22" borderId="0" xfId="0" applyFont="1" applyFill="1" applyAlignment="1">
      <alignment horizontal="left" vertical="top" wrapText="1"/>
    </xf>
    <xf numFmtId="0" fontId="12" fillId="25" borderId="0" xfId="0" applyFont="1" applyFill="1" applyAlignment="1">
      <alignment horizontal="left" vertical="top" wrapText="1"/>
    </xf>
    <xf numFmtId="0" fontId="0" fillId="30" borderId="0" xfId="0" applyFill="1" applyProtection="1">
      <alignment vertical="center"/>
      <protection locked="0"/>
    </xf>
    <xf numFmtId="0" fontId="210" fillId="30" borderId="0" xfId="0" applyFont="1" applyFill="1">
      <alignment vertical="center"/>
    </xf>
    <xf numFmtId="185" fontId="165" fillId="0" borderId="118" xfId="0" applyNumberFormat="1" applyFont="1" applyFill="1" applyBorder="1" applyAlignment="1" applyProtection="1">
      <alignment horizontal="center" vertical="center"/>
      <protection locked="0"/>
    </xf>
    <xf numFmtId="185" fontId="165" fillId="0" borderId="104" xfId="0" applyNumberFormat="1" applyFont="1" applyFill="1" applyBorder="1" applyAlignment="1" applyProtection="1">
      <alignment vertical="center" wrapText="1"/>
      <protection locked="0"/>
    </xf>
    <xf numFmtId="185" fontId="165" fillId="0" borderId="118" xfId="0" applyNumberFormat="1" applyFont="1" applyFill="1" applyBorder="1" applyAlignment="1" applyProtection="1">
      <alignment vertical="center"/>
      <protection locked="0"/>
    </xf>
    <xf numFmtId="0" fontId="165" fillId="0" borderId="118" xfId="0" applyFont="1" applyBorder="1" applyAlignment="1" applyProtection="1">
      <alignment vertical="center" wrapText="1"/>
      <protection locked="0"/>
    </xf>
    <xf numFmtId="0" fontId="2" fillId="0" borderId="119" xfId="0" applyFont="1" applyBorder="1" applyAlignment="1" applyProtection="1">
      <alignment vertical="top" wrapText="1"/>
      <protection locked="0"/>
    </xf>
    <xf numFmtId="185" fontId="165" fillId="19" borderId="118" xfId="0" applyNumberFormat="1" applyFont="1" applyFill="1" applyBorder="1" applyAlignment="1" applyProtection="1">
      <alignment vertical="center" wrapText="1"/>
    </xf>
    <xf numFmtId="185" fontId="165" fillId="0" borderId="118" xfId="0" applyNumberFormat="1" applyFont="1" applyBorder="1" applyAlignment="1" applyProtection="1">
      <alignment vertical="center" wrapText="1"/>
      <protection locked="0"/>
    </xf>
    <xf numFmtId="185" fontId="165" fillId="0" borderId="120" xfId="0" applyNumberFormat="1" applyFont="1" applyFill="1" applyBorder="1" applyAlignment="1" applyProtection="1">
      <alignment vertical="center"/>
      <protection locked="0"/>
    </xf>
    <xf numFmtId="186" fontId="165" fillId="21" borderId="118" xfId="0" applyNumberFormat="1" applyFont="1" applyFill="1" applyBorder="1" applyAlignment="1" applyProtection="1">
      <alignment vertical="center"/>
    </xf>
    <xf numFmtId="185" fontId="165" fillId="0" borderId="118" xfId="0" applyNumberFormat="1" applyFont="1" applyBorder="1" applyAlignment="1" applyProtection="1">
      <alignment vertical="top" wrapText="1"/>
      <protection locked="0"/>
    </xf>
    <xf numFmtId="185" fontId="2" fillId="18" borderId="118" xfId="0" applyNumberFormat="1" applyFont="1" applyFill="1" applyBorder="1" applyAlignment="1" applyProtection="1">
      <alignment horizontal="center" vertical="center"/>
    </xf>
    <xf numFmtId="185" fontId="165" fillId="0" borderId="120" xfId="0" applyNumberFormat="1" applyFont="1" applyFill="1" applyBorder="1" applyAlignment="1" applyProtection="1">
      <alignment horizontal="center" vertical="center"/>
      <protection locked="0"/>
    </xf>
    <xf numFmtId="185" fontId="2" fillId="18" borderId="104" xfId="0" applyNumberFormat="1" applyFont="1" applyFill="1" applyBorder="1" applyAlignment="1" applyProtection="1">
      <alignment horizontal="center" vertical="center"/>
    </xf>
    <xf numFmtId="185" fontId="2" fillId="18" borderId="203" xfId="0" applyNumberFormat="1" applyFont="1" applyFill="1" applyBorder="1" applyAlignment="1" applyProtection="1">
      <alignment horizontal="center" vertical="center"/>
    </xf>
    <xf numFmtId="0" fontId="9" fillId="0" borderId="0" xfId="0" applyFont="1" applyFill="1" applyBorder="1" applyAlignment="1" applyProtection="1">
      <protection locked="0"/>
    </xf>
    <xf numFmtId="0" fontId="0" fillId="0" borderId="0" xfId="0" applyAlignment="1">
      <alignment vertical="center" wrapText="1"/>
    </xf>
    <xf numFmtId="185" fontId="2" fillId="18" borderId="107" xfId="0" applyNumberFormat="1" applyFont="1" applyFill="1" applyBorder="1" applyAlignment="1" applyProtection="1">
      <alignment horizontal="center" vertical="center"/>
    </xf>
    <xf numFmtId="0" fontId="0" fillId="0" borderId="198" xfId="0" applyBorder="1" applyProtection="1">
      <alignment vertical="center"/>
      <protection locked="0"/>
    </xf>
    <xf numFmtId="0" fontId="2" fillId="18" borderId="103" xfId="0" applyFont="1" applyFill="1" applyBorder="1" applyAlignment="1" applyProtection="1">
      <alignment horizontal="right" vertical="center"/>
      <protection locked="0"/>
    </xf>
    <xf numFmtId="0" fontId="2" fillId="18" borderId="110" xfId="0" applyFont="1" applyFill="1" applyBorder="1" applyAlignment="1" applyProtection="1">
      <alignment horizontal="left" vertical="center"/>
      <protection locked="0"/>
    </xf>
    <xf numFmtId="0" fontId="2" fillId="18" borderId="186" xfId="0" applyFont="1" applyFill="1" applyBorder="1" applyAlignment="1" applyProtection="1">
      <alignment horizontal="left" vertical="center"/>
      <protection locked="0"/>
    </xf>
    <xf numFmtId="0" fontId="2" fillId="18" borderId="186" xfId="0" applyFont="1" applyFill="1" applyBorder="1" applyAlignment="1" applyProtection="1">
      <alignment vertical="center"/>
      <protection locked="0"/>
    </xf>
    <xf numFmtId="0" fontId="2" fillId="18" borderId="186" xfId="0" applyFont="1" applyFill="1" applyBorder="1" applyAlignment="1" applyProtection="1">
      <alignment horizontal="center" vertical="center"/>
      <protection locked="0"/>
    </xf>
    <xf numFmtId="0" fontId="2" fillId="18" borderId="137" xfId="0" applyFont="1" applyFill="1" applyBorder="1" applyAlignment="1" applyProtection="1">
      <alignment horizontal="center" vertical="center"/>
      <protection locked="0"/>
    </xf>
    <xf numFmtId="0" fontId="2" fillId="18" borderId="115" xfId="0" applyFont="1" applyFill="1" applyBorder="1" applyAlignment="1" applyProtection="1">
      <alignment horizontal="center" vertical="center"/>
      <protection locked="0"/>
    </xf>
    <xf numFmtId="0" fontId="2" fillId="18" borderId="146" xfId="0" applyFont="1" applyFill="1" applyBorder="1" applyAlignment="1" applyProtection="1">
      <alignment horizontal="center" vertical="center"/>
      <protection locked="0"/>
    </xf>
    <xf numFmtId="0" fontId="2" fillId="18" borderId="102" xfId="0" applyFont="1" applyFill="1" applyBorder="1" applyAlignment="1" applyProtection="1">
      <alignment vertical="center" wrapText="1"/>
      <protection locked="0"/>
    </xf>
    <xf numFmtId="0" fontId="2" fillId="18" borderId="103" xfId="0" applyFont="1" applyFill="1" applyBorder="1" applyAlignment="1" applyProtection="1">
      <alignment vertical="center"/>
      <protection locked="0"/>
    </xf>
    <xf numFmtId="0" fontId="2" fillId="18" borderId="116" xfId="0" applyFont="1" applyFill="1" applyBorder="1" applyProtection="1">
      <alignment vertical="center"/>
      <protection locked="0"/>
    </xf>
    <xf numFmtId="0" fontId="2" fillId="21" borderId="104" xfId="0" applyFont="1" applyFill="1" applyBorder="1" applyAlignment="1" applyProtection="1">
      <alignment horizontal="center" vertical="center"/>
    </xf>
    <xf numFmtId="185" fontId="165" fillId="19" borderId="104" xfId="0" applyNumberFormat="1" applyFont="1" applyFill="1" applyBorder="1" applyProtection="1">
      <alignment vertical="center"/>
    </xf>
    <xf numFmtId="185" fontId="165" fillId="19" borderId="118" xfId="0" applyNumberFormat="1" applyFont="1" applyFill="1" applyBorder="1" applyProtection="1">
      <alignment vertical="center"/>
    </xf>
    <xf numFmtId="185" fontId="165" fillId="21" borderId="105" xfId="0" applyNumberFormat="1" applyFont="1" applyFill="1" applyBorder="1" applyProtection="1">
      <alignment vertical="center"/>
    </xf>
    <xf numFmtId="0" fontId="9" fillId="0" borderId="0" xfId="0" applyFont="1" applyFill="1" applyBorder="1" applyAlignment="1" applyProtection="1">
      <alignment horizontal="left" vertical="center"/>
      <protection locked="0"/>
    </xf>
    <xf numFmtId="0" fontId="2" fillId="21" borderId="118" xfId="0" applyFont="1" applyFill="1" applyBorder="1" applyAlignment="1" applyProtection="1">
      <alignment horizontal="center" vertical="center"/>
    </xf>
    <xf numFmtId="0" fontId="2" fillId="21" borderId="120" xfId="0" applyFont="1" applyFill="1" applyBorder="1" applyAlignment="1" applyProtection="1">
      <alignment horizontal="center" vertical="center"/>
    </xf>
    <xf numFmtId="185" fontId="165" fillId="19" borderId="120" xfId="0" applyNumberFormat="1" applyFont="1" applyFill="1" applyBorder="1" applyProtection="1">
      <alignment vertical="center"/>
    </xf>
    <xf numFmtId="185" fontId="165" fillId="19" borderId="150" xfId="0" applyNumberFormat="1" applyFont="1" applyFill="1" applyBorder="1" applyProtection="1">
      <alignment vertical="center"/>
    </xf>
    <xf numFmtId="185" fontId="165" fillId="21" borderId="111" xfId="0" applyNumberFormat="1" applyFont="1" applyFill="1" applyBorder="1" applyAlignment="1" applyProtection="1">
      <alignment horizontal="center" vertical="center"/>
    </xf>
    <xf numFmtId="185" fontId="165" fillId="21" borderId="112" xfId="0" applyNumberFormat="1" applyFont="1" applyFill="1" applyBorder="1" applyAlignment="1" applyProtection="1">
      <alignment horizontal="center" vertical="center"/>
    </xf>
    <xf numFmtId="0" fontId="2" fillId="0" borderId="157" xfId="0" applyFont="1" applyFill="1" applyBorder="1" applyProtection="1">
      <alignment vertical="center"/>
      <protection locked="0"/>
    </xf>
    <xf numFmtId="0" fontId="2" fillId="18" borderId="104" xfId="0" applyFont="1" applyFill="1" applyBorder="1" applyAlignment="1" applyProtection="1">
      <alignment horizontal="center" vertical="center" wrapText="1"/>
      <protection locked="0"/>
    </xf>
    <xf numFmtId="185" fontId="165" fillId="0" borderId="104" xfId="0" applyNumberFormat="1" applyFont="1" applyFill="1" applyBorder="1" applyAlignment="1" applyProtection="1">
      <alignment horizontal="center" vertical="center"/>
    </xf>
    <xf numFmtId="185" fontId="165" fillId="21" borderId="104" xfId="0" applyNumberFormat="1" applyFont="1" applyFill="1" applyBorder="1" applyAlignment="1" applyProtection="1">
      <alignment horizontal="center" vertical="center"/>
    </xf>
    <xf numFmtId="185" fontId="165" fillId="21" borderId="105" xfId="0" applyNumberFormat="1" applyFont="1" applyFill="1" applyBorder="1" applyAlignment="1" applyProtection="1">
      <alignment horizontal="center" vertical="center"/>
    </xf>
    <xf numFmtId="0" fontId="0" fillId="0" borderId="0" xfId="0" applyFill="1" applyBorder="1" applyProtection="1">
      <alignment vertical="center"/>
      <protection locked="0"/>
    </xf>
    <xf numFmtId="0" fontId="2" fillId="0" borderId="132" xfId="0" applyFont="1" applyFill="1" applyBorder="1" applyProtection="1">
      <alignment vertical="center"/>
      <protection locked="0"/>
    </xf>
    <xf numFmtId="0" fontId="2" fillId="18" borderId="150" xfId="0" applyFont="1" applyFill="1" applyBorder="1" applyAlignment="1" applyProtection="1">
      <alignment horizontal="center" vertical="center" wrapText="1"/>
      <protection locked="0"/>
    </xf>
    <xf numFmtId="185" fontId="165" fillId="0" borderId="150" xfId="0" applyNumberFormat="1" applyFont="1" applyFill="1" applyBorder="1" applyAlignment="1" applyProtection="1">
      <alignment horizontal="center" vertical="center"/>
    </xf>
    <xf numFmtId="185" fontId="165" fillId="21" borderId="151" xfId="0" applyNumberFormat="1" applyFont="1" applyFill="1" applyBorder="1" applyAlignment="1" applyProtection="1">
      <alignment horizontal="center" vertical="center"/>
    </xf>
    <xf numFmtId="0" fontId="2" fillId="18" borderId="113" xfId="0" applyFont="1" applyFill="1" applyBorder="1" applyProtection="1">
      <alignment vertical="center"/>
      <protection locked="0"/>
    </xf>
    <xf numFmtId="0" fontId="2" fillId="18" borderId="111" xfId="0" applyFont="1" applyFill="1" applyBorder="1" applyAlignment="1" applyProtection="1">
      <alignment horizontal="center" vertical="center" wrapText="1"/>
      <protection locked="0"/>
    </xf>
    <xf numFmtId="0" fontId="2" fillId="18" borderId="109" xfId="0" applyFont="1" applyFill="1" applyBorder="1" applyProtection="1">
      <alignment vertical="center"/>
      <protection locked="0"/>
    </xf>
    <xf numFmtId="0" fontId="2" fillId="18" borderId="113" xfId="0" applyFont="1" applyFill="1" applyBorder="1" applyAlignment="1" applyProtection="1">
      <alignment vertical="center" wrapText="1"/>
      <protection locked="0"/>
    </xf>
    <xf numFmtId="0" fontId="2" fillId="18" borderId="116" xfId="0" applyFont="1" applyFill="1" applyBorder="1" applyAlignment="1" applyProtection="1">
      <alignment horizontal="center" vertical="center" wrapText="1"/>
      <protection locked="0"/>
    </xf>
    <xf numFmtId="0" fontId="2" fillId="0" borderId="157" xfId="0" applyFont="1" applyFill="1" applyBorder="1" applyAlignment="1" applyProtection="1">
      <alignment vertical="center"/>
      <protection locked="0"/>
    </xf>
    <xf numFmtId="185" fontId="165" fillId="0" borderId="104" xfId="0" applyNumberFormat="1" applyFont="1" applyBorder="1" applyProtection="1">
      <alignment vertical="center"/>
      <protection locked="0"/>
    </xf>
    <xf numFmtId="185" fontId="165" fillId="21" borderId="104" xfId="0" applyNumberFormat="1" applyFont="1" applyFill="1" applyBorder="1" applyProtection="1">
      <alignment vertical="center"/>
    </xf>
    <xf numFmtId="185" fontId="165" fillId="19" borderId="105" xfId="0" applyNumberFormat="1" applyFont="1" applyFill="1" applyBorder="1" applyProtection="1">
      <alignment vertical="center"/>
    </xf>
    <xf numFmtId="0" fontId="2" fillId="0" borderId="149" xfId="0" applyFont="1" applyFill="1" applyBorder="1" applyAlignment="1" applyProtection="1">
      <alignment vertical="center"/>
      <protection locked="0"/>
    </xf>
    <xf numFmtId="185" fontId="165" fillId="21" borderId="118" xfId="0" applyNumberFormat="1" applyFont="1" applyFill="1" applyBorder="1" applyProtection="1">
      <alignment vertical="center"/>
    </xf>
    <xf numFmtId="0" fontId="2" fillId="0" borderId="178" xfId="0" applyFont="1" applyFill="1" applyBorder="1" applyAlignment="1" applyProtection="1">
      <alignment vertical="center"/>
      <protection locked="0"/>
    </xf>
    <xf numFmtId="185" fontId="165" fillId="0" borderId="120" xfId="0" applyNumberFormat="1" applyFont="1" applyBorder="1" applyAlignment="1" applyProtection="1">
      <alignment vertical="center"/>
      <protection locked="0"/>
    </xf>
    <xf numFmtId="185" fontId="165" fillId="0" borderId="120" xfId="0" applyNumberFormat="1" applyFont="1" applyBorder="1" applyProtection="1">
      <alignment vertical="center"/>
      <protection locked="0"/>
    </xf>
    <xf numFmtId="185" fontId="165" fillId="21" borderId="120" xfId="0" applyNumberFormat="1" applyFont="1" applyFill="1" applyBorder="1" applyProtection="1">
      <alignment vertical="center"/>
    </xf>
    <xf numFmtId="185" fontId="165" fillId="21" borderId="111" xfId="0" applyNumberFormat="1" applyFont="1" applyFill="1" applyBorder="1" applyAlignment="1" applyProtection="1">
      <alignment vertical="center"/>
    </xf>
    <xf numFmtId="185" fontId="165" fillId="21" borderId="112" xfId="0" applyNumberFormat="1" applyFont="1" applyFill="1" applyBorder="1" applyAlignment="1" applyProtection="1">
      <alignment vertical="center"/>
    </xf>
    <xf numFmtId="0" fontId="2" fillId="34" borderId="0" xfId="0" applyFont="1" applyFill="1" applyProtection="1">
      <alignment vertical="center"/>
      <protection locked="0"/>
    </xf>
    <xf numFmtId="0" fontId="2" fillId="0" borderId="0" xfId="0" applyFont="1" applyAlignment="1" applyProtection="1">
      <alignment vertical="center" wrapText="1"/>
      <protection locked="0"/>
    </xf>
    <xf numFmtId="0" fontId="2" fillId="0" borderId="129" xfId="0" applyFont="1" applyFill="1" applyBorder="1" applyAlignment="1" applyProtection="1">
      <alignment vertical="center"/>
      <protection locked="0"/>
    </xf>
    <xf numFmtId="185" fontId="165" fillId="0" borderId="103" xfId="0" applyNumberFormat="1" applyFont="1" applyFill="1" applyBorder="1" applyAlignment="1" applyProtection="1">
      <alignment vertical="center"/>
    </xf>
    <xf numFmtId="185" fontId="165" fillId="21" borderId="103" xfId="0" applyNumberFormat="1" applyFont="1" applyFill="1" applyBorder="1" applyAlignment="1" applyProtection="1">
      <alignment horizontal="center" vertical="center"/>
    </xf>
    <xf numFmtId="185" fontId="165" fillId="0" borderId="116" xfId="0" applyNumberFormat="1" applyFont="1" applyFill="1" applyBorder="1" applyAlignment="1" applyProtection="1">
      <alignment horizontal="center" vertical="center"/>
    </xf>
    <xf numFmtId="0" fontId="2" fillId="0" borderId="0" xfId="0" applyFont="1" applyFill="1" applyProtection="1">
      <alignment vertical="center"/>
      <protection locked="0"/>
    </xf>
    <xf numFmtId="0" fontId="2" fillId="0" borderId="126" xfId="0" applyFont="1" applyFill="1" applyBorder="1" applyAlignment="1" applyProtection="1">
      <alignment vertical="center"/>
      <protection locked="0"/>
    </xf>
    <xf numFmtId="0" fontId="2" fillId="18" borderId="127" xfId="0" applyFont="1" applyFill="1" applyBorder="1" applyAlignment="1" applyProtection="1">
      <alignment horizontal="center" vertical="center"/>
      <protection locked="0"/>
    </xf>
    <xf numFmtId="185" fontId="165" fillId="0" borderId="127" xfId="0" applyNumberFormat="1" applyFont="1" applyFill="1" applyBorder="1" applyAlignment="1" applyProtection="1">
      <alignment vertical="center"/>
    </xf>
    <xf numFmtId="185" fontId="165" fillId="0" borderId="105" xfId="0" applyNumberFormat="1" applyFont="1" applyFill="1" applyBorder="1" applyAlignment="1" applyProtection="1">
      <alignment horizontal="center" vertical="center"/>
    </xf>
    <xf numFmtId="0" fontId="2" fillId="18" borderId="161" xfId="0" applyFont="1" applyFill="1" applyBorder="1" applyAlignment="1" applyProtection="1">
      <alignment vertical="center"/>
      <protection locked="0"/>
    </xf>
    <xf numFmtId="0" fontId="2" fillId="18" borderId="115" xfId="0" applyFont="1" applyFill="1" applyBorder="1" applyAlignment="1" applyProtection="1">
      <alignment horizontal="center" vertical="center" wrapText="1"/>
      <protection locked="0"/>
    </xf>
    <xf numFmtId="185" fontId="165" fillId="21" borderId="115" xfId="0" applyNumberFormat="1" applyFont="1" applyFill="1" applyBorder="1" applyAlignment="1" applyProtection="1">
      <alignment horizontal="center" vertical="center"/>
    </xf>
    <xf numFmtId="0" fontId="2" fillId="18" borderId="137" xfId="0" applyFont="1" applyFill="1" applyBorder="1" applyAlignment="1" applyProtection="1">
      <alignment vertical="center"/>
      <protection locked="0"/>
    </xf>
    <xf numFmtId="0" fontId="2" fillId="18" borderId="104" xfId="0" applyFont="1" applyFill="1" applyBorder="1" applyAlignment="1" applyProtection="1">
      <alignment horizontal="center" vertical="center"/>
      <protection locked="0"/>
    </xf>
    <xf numFmtId="0" fontId="2" fillId="18" borderId="105" xfId="0" applyFont="1" applyFill="1" applyBorder="1" applyAlignment="1" applyProtection="1">
      <alignment horizontal="center" vertical="center"/>
      <protection locked="0"/>
    </xf>
    <xf numFmtId="185" fontId="165" fillId="0" borderId="107" xfId="0" applyNumberFormat="1" applyFont="1" applyFill="1" applyBorder="1" applyAlignment="1" applyProtection="1">
      <alignment vertical="center"/>
      <protection locked="0"/>
    </xf>
    <xf numFmtId="185" fontId="165" fillId="19" borderId="107" xfId="0" applyNumberFormat="1" applyFont="1" applyFill="1" applyBorder="1" applyAlignment="1" applyProtection="1">
      <alignment vertical="center"/>
    </xf>
    <xf numFmtId="0" fontId="2" fillId="0" borderId="198" xfId="0" applyFont="1" applyBorder="1" applyAlignment="1">
      <alignment horizontal="right" vertical="center"/>
    </xf>
    <xf numFmtId="0" fontId="2" fillId="18" borderId="204" xfId="0" applyFont="1" applyFill="1" applyBorder="1" applyAlignment="1" applyProtection="1">
      <alignment horizontal="center" vertical="center"/>
      <protection locked="0"/>
    </xf>
    <xf numFmtId="0" fontId="2" fillId="19" borderId="130" xfId="0" applyFont="1" applyFill="1" applyBorder="1" applyAlignment="1" applyProtection="1">
      <alignment horizontal="center" vertical="center"/>
    </xf>
    <xf numFmtId="0" fontId="2" fillId="18" borderId="122" xfId="0" applyFont="1" applyFill="1" applyBorder="1" applyAlignment="1" applyProtection="1">
      <alignment horizontal="center" vertical="center"/>
      <protection locked="0"/>
    </xf>
    <xf numFmtId="0" fontId="2" fillId="19" borderId="124" xfId="0" applyFont="1" applyFill="1" applyBorder="1" applyAlignment="1" applyProtection="1">
      <alignment horizontal="center" vertical="center"/>
    </xf>
    <xf numFmtId="190" fontId="2" fillId="18" borderId="104" xfId="0" applyNumberFormat="1" applyFont="1" applyFill="1" applyBorder="1" applyAlignment="1" applyProtection="1">
      <alignment horizontal="center" vertical="center" wrapText="1"/>
      <protection locked="0"/>
    </xf>
    <xf numFmtId="0" fontId="2" fillId="18" borderId="178" xfId="0" applyFont="1" applyFill="1" applyBorder="1" applyAlignment="1" applyProtection="1">
      <alignment horizontal="center" vertical="center" wrapText="1"/>
      <protection locked="0"/>
    </xf>
    <xf numFmtId="0" fontId="2" fillId="18" borderId="120" xfId="0" applyFont="1" applyFill="1" applyBorder="1" applyAlignment="1" applyProtection="1">
      <alignment horizontal="center" vertical="center" wrapText="1"/>
      <protection locked="0"/>
    </xf>
    <xf numFmtId="49" fontId="2" fillId="18" borderId="120" xfId="0" applyNumberFormat="1" applyFont="1" applyFill="1" applyBorder="1" applyAlignment="1" applyProtection="1">
      <alignment horizontal="center" vertical="center" wrapText="1"/>
      <protection locked="0"/>
    </xf>
    <xf numFmtId="190" fontId="2" fillId="18" borderId="150" xfId="0" applyNumberFormat="1" applyFont="1" applyFill="1" applyBorder="1" applyAlignment="1" applyProtection="1">
      <alignment horizontal="center" vertical="center" wrapText="1"/>
      <protection locked="0"/>
    </xf>
    <xf numFmtId="49" fontId="2" fillId="18" borderId="150" xfId="0" applyNumberFormat="1" applyFont="1" applyFill="1" applyBorder="1" applyAlignment="1" applyProtection="1">
      <alignment horizontal="center" vertical="center" wrapText="1"/>
      <protection locked="0"/>
    </xf>
    <xf numFmtId="49" fontId="2" fillId="18" borderId="107" xfId="0" applyNumberFormat="1" applyFont="1" applyFill="1" applyBorder="1" applyAlignment="1" applyProtection="1">
      <alignment horizontal="center" vertical="center" wrapText="1"/>
      <protection locked="0"/>
    </xf>
    <xf numFmtId="0" fontId="2" fillId="18" borderId="107" xfId="0" applyFont="1" applyFill="1" applyBorder="1" applyAlignment="1" applyProtection="1">
      <alignment horizontal="center" vertical="center" wrapText="1"/>
      <protection locked="0"/>
    </xf>
    <xf numFmtId="0" fontId="2" fillId="18" borderId="108" xfId="0" applyFont="1" applyFill="1" applyBorder="1" applyAlignment="1" applyProtection="1">
      <alignment horizontal="center" vertical="center" wrapText="1"/>
      <protection locked="0"/>
    </xf>
    <xf numFmtId="185" fontId="165" fillId="21" borderId="111" xfId="0" applyNumberFormat="1" applyFont="1" applyFill="1" applyBorder="1" applyAlignment="1" applyProtection="1">
      <alignment vertical="center" shrinkToFit="1"/>
    </xf>
    <xf numFmtId="190" fontId="2" fillId="18" borderId="111" xfId="0" applyNumberFormat="1" applyFont="1" applyFill="1" applyBorder="1" applyAlignment="1" applyProtection="1">
      <alignment horizontal="center" vertical="center" shrinkToFit="1"/>
      <protection locked="0"/>
    </xf>
    <xf numFmtId="186" fontId="165" fillId="21" borderId="111" xfId="0" applyNumberFormat="1" applyFont="1" applyFill="1" applyBorder="1" applyAlignment="1" applyProtection="1">
      <alignment vertical="center" shrinkToFit="1"/>
    </xf>
    <xf numFmtId="186" fontId="165" fillId="21" borderId="159" xfId="0" applyNumberFormat="1" applyFont="1" applyFill="1" applyBorder="1" applyAlignment="1" applyProtection="1">
      <alignment horizontal="center" vertical="center" shrinkToFit="1"/>
    </xf>
    <xf numFmtId="186" fontId="165" fillId="21" borderId="112" xfId="0" applyNumberFormat="1" applyFont="1" applyFill="1" applyBorder="1" applyAlignment="1" applyProtection="1">
      <alignment horizontal="center" vertical="center" shrinkToFit="1"/>
    </xf>
    <xf numFmtId="0" fontId="2" fillId="22" borderId="129" xfId="0" applyFont="1" applyFill="1" applyBorder="1" applyProtection="1">
      <alignment vertical="center"/>
      <protection locked="0"/>
    </xf>
    <xf numFmtId="10" fontId="2" fillId="0" borderId="103" xfId="0" applyNumberFormat="1" applyFont="1" applyBorder="1" applyProtection="1">
      <alignment vertical="center"/>
      <protection locked="0"/>
    </xf>
    <xf numFmtId="186" fontId="165" fillId="0" borderId="103" xfId="0" applyNumberFormat="1" applyFont="1" applyBorder="1" applyAlignment="1" applyProtection="1">
      <alignment vertical="center" shrinkToFit="1"/>
      <protection locked="0"/>
    </xf>
    <xf numFmtId="190" fontId="2" fillId="0" borderId="103" xfId="0" applyNumberFormat="1" applyFont="1" applyBorder="1" applyAlignment="1" applyProtection="1">
      <alignment vertical="center" shrinkToFit="1"/>
      <protection locked="0"/>
    </xf>
    <xf numFmtId="186" fontId="165" fillId="21" borderId="103" xfId="0" applyNumberFormat="1" applyFont="1" applyFill="1" applyBorder="1" applyAlignment="1" applyProtection="1">
      <alignment vertical="center" shrinkToFit="1"/>
    </xf>
    <xf numFmtId="190" fontId="2" fillId="0" borderId="115" xfId="0" applyNumberFormat="1" applyFont="1" applyBorder="1" applyAlignment="1" applyProtection="1">
      <alignment vertical="center" shrinkToFit="1"/>
      <protection locked="0"/>
    </xf>
    <xf numFmtId="186" fontId="165" fillId="0" borderId="115" xfId="0" applyNumberFormat="1" applyFont="1" applyBorder="1" applyAlignment="1" applyProtection="1">
      <alignment vertical="center" shrinkToFit="1"/>
      <protection locked="0"/>
    </xf>
    <xf numFmtId="186" fontId="165" fillId="21" borderId="115" xfId="0" applyNumberFormat="1" applyFont="1" applyFill="1" applyBorder="1" applyAlignment="1" applyProtection="1">
      <alignment vertical="center" shrinkToFit="1"/>
    </xf>
    <xf numFmtId="186" fontId="165" fillId="0" borderId="130" xfId="0" applyNumberFormat="1" applyFont="1" applyBorder="1" applyAlignment="1" applyProtection="1">
      <alignment vertical="center" shrinkToFit="1"/>
      <protection locked="0"/>
    </xf>
    <xf numFmtId="186" fontId="165" fillId="21" borderId="114" xfId="0" applyNumberFormat="1" applyFont="1" applyFill="1" applyBorder="1" applyAlignment="1" applyProtection="1">
      <alignment vertical="center" shrinkToFit="1"/>
    </xf>
    <xf numFmtId="186" fontId="165" fillId="21" borderId="116" xfId="0" applyNumberFormat="1" applyFont="1" applyFill="1" applyBorder="1" applyAlignment="1" applyProtection="1">
      <alignment vertical="center" shrinkToFit="1"/>
    </xf>
    <xf numFmtId="0" fontId="2" fillId="22" borderId="149" xfId="0" applyFont="1" applyFill="1" applyBorder="1" applyProtection="1">
      <alignment vertical="center"/>
      <protection locked="0"/>
    </xf>
    <xf numFmtId="10" fontId="2" fillId="0" borderId="118" xfId="0" applyNumberFormat="1" applyFont="1" applyBorder="1" applyProtection="1">
      <alignment vertical="center"/>
      <protection locked="0"/>
    </xf>
    <xf numFmtId="186" fontId="165" fillId="0" borderId="118" xfId="0" applyNumberFormat="1" applyFont="1" applyBorder="1" applyAlignment="1" applyProtection="1">
      <alignment vertical="center" shrinkToFit="1"/>
      <protection locked="0"/>
    </xf>
    <xf numFmtId="190" fontId="2" fillId="0" borderId="118" xfId="0" applyNumberFormat="1" applyFont="1" applyBorder="1" applyAlignment="1" applyProtection="1">
      <alignment vertical="center" shrinkToFit="1"/>
      <protection locked="0"/>
    </xf>
    <xf numFmtId="186" fontId="165" fillId="21" borderId="118" xfId="0" applyNumberFormat="1" applyFont="1" applyFill="1" applyBorder="1" applyAlignment="1" applyProtection="1">
      <alignment vertical="center" shrinkToFit="1"/>
    </xf>
    <xf numFmtId="186" fontId="165" fillId="21" borderId="117" xfId="0" applyNumberFormat="1" applyFont="1" applyFill="1" applyBorder="1" applyAlignment="1" applyProtection="1">
      <alignment vertical="center" shrinkToFit="1"/>
    </xf>
    <xf numFmtId="186" fontId="165" fillId="21" borderId="119" xfId="0" applyNumberFormat="1" applyFont="1" applyFill="1" applyBorder="1" applyAlignment="1" applyProtection="1">
      <alignment vertical="center" shrinkToFit="1"/>
    </xf>
    <xf numFmtId="0" fontId="0" fillId="0" borderId="0" xfId="0" applyFont="1" applyFill="1" applyBorder="1" applyAlignment="1" applyProtection="1">
      <alignment horizontal="left" vertical="center"/>
      <protection locked="0"/>
    </xf>
    <xf numFmtId="0" fontId="212"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2" fillId="22" borderId="132" xfId="0" applyFont="1" applyFill="1" applyBorder="1" applyProtection="1">
      <alignment vertical="center"/>
      <protection locked="0"/>
    </xf>
    <xf numFmtId="10" fontId="2" fillId="0" borderId="107" xfId="0" applyNumberFormat="1" applyFont="1" applyBorder="1" applyProtection="1">
      <alignment vertical="center"/>
      <protection locked="0"/>
    </xf>
    <xf numFmtId="186" fontId="165" fillId="0" borderId="107" xfId="0" applyNumberFormat="1" applyFont="1" applyBorder="1" applyAlignment="1" applyProtection="1">
      <alignment vertical="center" shrinkToFit="1"/>
      <protection locked="0"/>
    </xf>
    <xf numFmtId="190" fontId="2" fillId="0" borderId="107" xfId="0" applyNumberFormat="1" applyFont="1" applyBorder="1" applyAlignment="1" applyProtection="1">
      <alignment vertical="center" shrinkToFit="1"/>
      <protection locked="0"/>
    </xf>
    <xf numFmtId="186" fontId="165" fillId="21" borderId="107" xfId="0" applyNumberFormat="1" applyFont="1" applyFill="1" applyBorder="1" applyAlignment="1" applyProtection="1">
      <alignment vertical="center" shrinkToFit="1"/>
    </xf>
    <xf numFmtId="186" fontId="165" fillId="0" borderId="120" xfId="0" applyNumberFormat="1" applyFont="1" applyBorder="1" applyAlignment="1" applyProtection="1">
      <alignment vertical="center" shrinkToFit="1"/>
      <protection locked="0"/>
    </xf>
    <xf numFmtId="185" fontId="2" fillId="0" borderId="0" xfId="0" applyNumberFormat="1" applyFont="1">
      <alignment vertical="center"/>
    </xf>
    <xf numFmtId="190" fontId="2" fillId="0" borderId="0" xfId="0" applyNumberFormat="1" applyFont="1">
      <alignment vertical="center"/>
    </xf>
    <xf numFmtId="185" fontId="2" fillId="0" borderId="0" xfId="0" applyNumberFormat="1" applyFont="1" applyFill="1" applyBorder="1" applyAlignment="1">
      <alignment vertical="center" shrinkToFit="1"/>
    </xf>
    <xf numFmtId="0" fontId="2" fillId="19" borderId="114" xfId="0" applyFont="1" applyFill="1" applyBorder="1" applyAlignment="1" applyProtection="1">
      <alignment horizontal="center" vertical="center"/>
    </xf>
    <xf numFmtId="0" fontId="2" fillId="18" borderId="121" xfId="0" applyFont="1" applyFill="1" applyBorder="1" applyAlignment="1" applyProtection="1">
      <alignment horizontal="center" vertical="center" wrapText="1"/>
      <protection locked="0"/>
    </xf>
    <xf numFmtId="0" fontId="2" fillId="21" borderId="129" xfId="0" applyFont="1" applyFill="1" applyBorder="1" applyProtection="1">
      <alignment vertical="center"/>
    </xf>
    <xf numFmtId="190" fontId="2" fillId="0" borderId="103" xfId="0" applyNumberFormat="1" applyFont="1" applyFill="1" applyBorder="1" applyAlignment="1" applyProtection="1">
      <alignment vertical="center" shrinkToFit="1"/>
      <protection locked="0"/>
    </xf>
    <xf numFmtId="0" fontId="2" fillId="0" borderId="103" xfId="0" applyFont="1" applyFill="1" applyBorder="1" applyAlignment="1" applyProtection="1">
      <alignment vertical="center" shrinkToFit="1"/>
      <protection locked="0"/>
    </xf>
    <xf numFmtId="0" fontId="2" fillId="21" borderId="157" xfId="0" applyFont="1" applyFill="1" applyBorder="1" applyAlignment="1" applyProtection="1">
      <alignment vertical="center" wrapText="1"/>
    </xf>
    <xf numFmtId="190" fontId="2" fillId="0" borderId="104" xfId="0" applyNumberFormat="1" applyFont="1" applyFill="1" applyBorder="1" applyAlignment="1" applyProtection="1">
      <alignment vertical="center" shrinkToFit="1"/>
      <protection locked="0"/>
    </xf>
    <xf numFmtId="0" fontId="2" fillId="0" borderId="104" xfId="0" applyFont="1" applyFill="1" applyBorder="1" applyAlignment="1" applyProtection="1">
      <alignment vertical="center" shrinkToFit="1"/>
      <protection locked="0"/>
    </xf>
    <xf numFmtId="185" fontId="2" fillId="0" borderId="104" xfId="0" applyNumberFormat="1" applyFont="1" applyBorder="1" applyAlignment="1" applyProtection="1">
      <alignment vertical="center" shrinkToFit="1"/>
      <protection locked="0"/>
    </xf>
    <xf numFmtId="0" fontId="2" fillId="0" borderId="104" xfId="0" applyFont="1" applyBorder="1" applyAlignment="1" applyProtection="1">
      <alignment vertical="center" shrinkToFit="1"/>
      <protection locked="0"/>
    </xf>
    <xf numFmtId="185" fontId="2" fillId="0" borderId="203" xfId="0" applyNumberFormat="1" applyFont="1" applyBorder="1" applyAlignment="1" applyProtection="1">
      <alignment vertical="center" shrinkToFit="1"/>
      <protection locked="0"/>
    </xf>
    <xf numFmtId="0" fontId="2" fillId="21" borderId="149" xfId="0" applyFont="1" applyFill="1" applyBorder="1" applyAlignment="1" applyProtection="1">
      <alignment vertical="center" wrapText="1"/>
    </xf>
    <xf numFmtId="190" fontId="2" fillId="0" borderId="118" xfId="0" applyNumberFormat="1" applyFont="1" applyFill="1" applyBorder="1" applyAlignment="1" applyProtection="1">
      <alignment vertical="center" shrinkToFit="1"/>
      <protection locked="0"/>
    </xf>
    <xf numFmtId="0" fontId="2" fillId="0" borderId="118" xfId="0" applyFont="1" applyFill="1" applyBorder="1" applyAlignment="1" applyProtection="1">
      <alignment vertical="center" shrinkToFit="1"/>
      <protection locked="0"/>
    </xf>
    <xf numFmtId="185" fontId="2" fillId="0" borderId="118" xfId="0" applyNumberFormat="1" applyFont="1" applyBorder="1" applyAlignment="1" applyProtection="1">
      <alignment vertical="center" shrinkToFit="1"/>
      <protection locked="0"/>
    </xf>
    <xf numFmtId="0" fontId="2" fillId="0" borderId="118" xfId="0" applyFont="1" applyBorder="1" applyAlignment="1" applyProtection="1">
      <alignment vertical="center" shrinkToFit="1"/>
      <protection locked="0"/>
    </xf>
    <xf numFmtId="185" fontId="2" fillId="0" borderId="117" xfId="0" applyNumberFormat="1" applyFont="1" applyBorder="1" applyAlignment="1" applyProtection="1">
      <alignment vertical="center" shrinkToFit="1"/>
      <protection locked="0"/>
    </xf>
    <xf numFmtId="185" fontId="165" fillId="0" borderId="117" xfId="0" applyNumberFormat="1" applyFont="1" applyBorder="1" applyAlignment="1" applyProtection="1">
      <alignment vertical="center" shrinkToFit="1"/>
      <protection locked="0"/>
    </xf>
    <xf numFmtId="185" fontId="165" fillId="0" borderId="203" xfId="0" applyNumberFormat="1" applyFont="1" applyBorder="1" applyAlignment="1" applyProtection="1">
      <alignment vertical="center" shrinkToFit="1"/>
      <protection locked="0"/>
    </xf>
    <xf numFmtId="185" fontId="165" fillId="21" borderId="118" xfId="0" applyNumberFormat="1" applyFont="1" applyFill="1" applyBorder="1" applyAlignment="1" applyProtection="1">
      <alignment horizontal="center" vertical="center" shrinkToFit="1"/>
    </xf>
    <xf numFmtId="185" fontId="165" fillId="21" borderId="117" xfId="0" applyNumberFormat="1" applyFont="1" applyFill="1" applyBorder="1" applyAlignment="1" applyProtection="1">
      <alignment vertical="center" shrinkToFit="1"/>
    </xf>
    <xf numFmtId="0" fontId="43" fillId="0" borderId="0" xfId="0" applyFont="1" applyBorder="1" applyProtection="1">
      <alignment vertical="center"/>
      <protection locked="0"/>
    </xf>
    <xf numFmtId="0" fontId="2" fillId="0" borderId="149" xfId="0" applyFont="1" applyBorder="1" applyAlignment="1" applyProtection="1">
      <alignment vertical="center" wrapText="1"/>
      <protection locked="0"/>
    </xf>
    <xf numFmtId="185" fontId="165" fillId="0" borderId="118" xfId="0" applyNumberFormat="1" applyFont="1" applyBorder="1" applyAlignment="1" applyProtection="1">
      <alignment horizontal="center" vertical="center" shrinkToFit="1"/>
      <protection locked="0"/>
    </xf>
    <xf numFmtId="0" fontId="2" fillId="0" borderId="178" xfId="0" applyFont="1" applyBorder="1" applyAlignment="1" applyProtection="1">
      <alignment vertical="center" wrapText="1"/>
      <protection locked="0"/>
    </xf>
    <xf numFmtId="190" fontId="2" fillId="0" borderId="120" xfId="0" applyNumberFormat="1" applyFont="1" applyFill="1" applyBorder="1" applyAlignment="1" applyProtection="1">
      <alignment vertical="center" shrinkToFit="1"/>
      <protection locked="0"/>
    </xf>
    <xf numFmtId="185" fontId="165" fillId="21" borderId="120" xfId="0" applyNumberFormat="1" applyFont="1" applyFill="1" applyBorder="1" applyAlignment="1" applyProtection="1">
      <alignment vertical="center" shrinkToFit="1"/>
    </xf>
    <xf numFmtId="0" fontId="2" fillId="0" borderId="120" xfId="0" applyFont="1" applyFill="1" applyBorder="1" applyAlignment="1" applyProtection="1">
      <alignment vertical="center" shrinkToFit="1"/>
      <protection locked="0"/>
    </xf>
    <xf numFmtId="185" fontId="165" fillId="0" borderId="120" xfId="0" applyNumberFormat="1" applyFont="1" applyBorder="1" applyAlignment="1" applyProtection="1">
      <alignment horizontal="center" vertical="center" shrinkToFit="1"/>
      <protection locked="0"/>
    </xf>
    <xf numFmtId="0" fontId="2" fillId="0" borderId="120" xfId="0" applyFont="1" applyBorder="1" applyAlignment="1" applyProtection="1">
      <alignment vertical="center" shrinkToFit="1"/>
      <protection locked="0"/>
    </xf>
    <xf numFmtId="185" fontId="165" fillId="0" borderId="121" xfId="0" applyNumberFormat="1" applyFont="1" applyBorder="1" applyAlignment="1" applyProtection="1">
      <alignment vertical="center" shrinkToFit="1"/>
      <protection locked="0"/>
    </xf>
    <xf numFmtId="185" fontId="165" fillId="0" borderId="124" xfId="0" applyNumberFormat="1" applyFont="1" applyBorder="1" applyAlignment="1" applyProtection="1">
      <alignment vertical="center" shrinkToFit="1"/>
      <protection locked="0"/>
    </xf>
    <xf numFmtId="185" fontId="165" fillId="21" borderId="114" xfId="0" applyNumberFormat="1" applyFont="1" applyFill="1" applyBorder="1" applyAlignment="1" applyProtection="1">
      <alignment vertical="center" shrinkToFit="1"/>
    </xf>
    <xf numFmtId="190" fontId="2" fillId="25" borderId="118" xfId="0" applyNumberFormat="1" applyFont="1" applyFill="1" applyBorder="1" applyAlignment="1" applyProtection="1">
      <alignment vertical="center" shrinkToFit="1"/>
      <protection locked="0"/>
    </xf>
    <xf numFmtId="0" fontId="2" fillId="21" borderId="178" xfId="0" applyFont="1" applyFill="1" applyBorder="1" applyAlignment="1" applyProtection="1">
      <alignment vertical="center" wrapText="1"/>
    </xf>
    <xf numFmtId="190" fontId="2" fillId="25" borderId="107" xfId="0" applyNumberFormat="1" applyFont="1" applyFill="1" applyBorder="1" applyAlignment="1" applyProtection="1">
      <alignment vertical="center" shrinkToFit="1"/>
      <protection locked="0"/>
    </xf>
    <xf numFmtId="185" fontId="165" fillId="0" borderId="107" xfId="0" applyNumberFormat="1" applyFont="1" applyBorder="1" applyAlignment="1" applyProtection="1">
      <alignment vertical="center" shrinkToFit="1"/>
      <protection locked="0"/>
    </xf>
    <xf numFmtId="0" fontId="2" fillId="0" borderId="107" xfId="0" applyFont="1" applyBorder="1" applyAlignment="1" applyProtection="1">
      <alignment vertical="center" shrinkToFit="1"/>
      <protection locked="0"/>
    </xf>
    <xf numFmtId="185" fontId="165" fillId="0" borderId="123" xfId="0" applyNumberFormat="1" applyFont="1" applyBorder="1" applyAlignment="1" applyProtection="1">
      <alignment vertical="center" shrinkToFit="1"/>
      <protection locked="0"/>
    </xf>
    <xf numFmtId="185" fontId="165" fillId="21" borderId="151" xfId="0" applyNumberFormat="1" applyFont="1" applyFill="1" applyBorder="1" applyAlignment="1" applyProtection="1">
      <alignment vertical="center" shrinkToFit="1"/>
    </xf>
    <xf numFmtId="0" fontId="2" fillId="21" borderId="129" xfId="0" applyFont="1" applyFill="1" applyBorder="1" applyAlignment="1" applyProtection="1">
      <alignment vertical="center" wrapText="1"/>
    </xf>
    <xf numFmtId="190" fontId="2" fillId="25" borderId="145" xfId="0" applyNumberFormat="1" applyFont="1" applyFill="1" applyBorder="1" applyAlignment="1" applyProtection="1">
      <alignment vertical="center" shrinkToFit="1"/>
      <protection locked="0"/>
    </xf>
    <xf numFmtId="185" fontId="165" fillId="26" borderId="150" xfId="0" applyNumberFormat="1" applyFont="1" applyFill="1" applyBorder="1" applyAlignment="1" applyProtection="1">
      <alignment vertical="center" shrinkToFit="1"/>
      <protection locked="0"/>
    </xf>
    <xf numFmtId="185" fontId="165" fillId="35" borderId="150" xfId="0" applyNumberFormat="1" applyFont="1" applyFill="1" applyBorder="1" applyAlignment="1" applyProtection="1">
      <alignment vertical="center" shrinkToFit="1"/>
    </xf>
    <xf numFmtId="185" fontId="165" fillId="0" borderId="150" xfId="0" applyNumberFormat="1" applyFont="1" applyBorder="1" applyAlignment="1" applyProtection="1">
      <alignment vertical="center" shrinkToFit="1"/>
      <protection locked="0"/>
    </xf>
    <xf numFmtId="0" fontId="2" fillId="0" borderId="124" xfId="0" applyFont="1" applyBorder="1" applyAlignment="1" applyProtection="1">
      <alignment vertical="center" shrinkToFit="1"/>
      <protection locked="0"/>
    </xf>
    <xf numFmtId="190" fontId="2" fillId="25" borderId="158" xfId="0" applyNumberFormat="1" applyFont="1" applyFill="1" applyBorder="1" applyAlignment="1" applyProtection="1">
      <alignment vertical="center" shrinkToFit="1"/>
      <protection locked="0"/>
    </xf>
    <xf numFmtId="0" fontId="2" fillId="0" borderId="117" xfId="0" applyFont="1" applyBorder="1" applyAlignment="1" applyProtection="1">
      <alignment vertical="center" shrinkToFit="1"/>
      <protection locked="0"/>
    </xf>
    <xf numFmtId="190" fontId="2" fillId="25" borderId="201" xfId="0" applyNumberFormat="1" applyFont="1" applyFill="1" applyBorder="1" applyAlignment="1" applyProtection="1">
      <alignment vertical="center" shrinkToFit="1"/>
      <protection locked="0"/>
    </xf>
    <xf numFmtId="185" fontId="165" fillId="0" borderId="127" xfId="0" applyNumberFormat="1" applyFont="1" applyBorder="1" applyAlignment="1" applyProtection="1">
      <alignment vertical="center" shrinkToFit="1"/>
      <protection locked="0"/>
    </xf>
    <xf numFmtId="0" fontId="2" fillId="0" borderId="200" xfId="0" applyFont="1" applyBorder="1" applyAlignment="1" applyProtection="1">
      <alignment vertical="center" shrinkToFit="1"/>
      <protection locked="0"/>
    </xf>
    <xf numFmtId="185" fontId="165" fillId="0" borderId="200" xfId="0" applyNumberFormat="1" applyFont="1" applyBorder="1" applyAlignment="1" applyProtection="1">
      <alignment vertical="center" shrinkToFit="1"/>
      <protection locked="0"/>
    </xf>
    <xf numFmtId="0" fontId="43" fillId="0" borderId="0" xfId="0" applyFont="1" applyBorder="1">
      <alignment vertical="center"/>
    </xf>
    <xf numFmtId="0" fontId="2" fillId="0" borderId="0" xfId="0" applyFont="1" applyBorder="1" applyAlignment="1">
      <alignment horizontal="center" vertical="center"/>
    </xf>
    <xf numFmtId="190" fontId="2" fillId="0" borderId="0" xfId="0" applyNumberFormat="1" applyFont="1" applyBorder="1">
      <alignment vertical="center"/>
    </xf>
    <xf numFmtId="190" fontId="7" fillId="0" borderId="0" xfId="0" applyNumberFormat="1" applyFont="1" applyBorder="1">
      <alignment vertical="center"/>
    </xf>
    <xf numFmtId="0" fontId="177" fillId="0" borderId="0" xfId="0" applyFont="1" applyBorder="1" applyAlignment="1">
      <alignment horizontal="center" vertical="center"/>
    </xf>
    <xf numFmtId="0" fontId="177" fillId="0" borderId="0" xfId="0" applyFont="1" applyAlignment="1">
      <alignment horizontal="center" vertical="center"/>
    </xf>
    <xf numFmtId="0" fontId="166" fillId="0" borderId="0" xfId="0" applyFont="1" applyAlignment="1">
      <alignment horizontal="center" vertical="center"/>
    </xf>
    <xf numFmtId="0" fontId="164" fillId="0" borderId="0" xfId="0" applyFont="1" applyAlignment="1" applyProtection="1">
      <alignment vertical="center"/>
      <protection locked="0"/>
    </xf>
    <xf numFmtId="185" fontId="165" fillId="29" borderId="118" xfId="0" applyNumberFormat="1" applyFont="1" applyFill="1" applyBorder="1" applyAlignment="1" applyProtection="1">
      <alignment vertical="center"/>
      <protection locked="0"/>
    </xf>
    <xf numFmtId="185" fontId="2" fillId="18" borderId="119" xfId="0" applyNumberFormat="1" applyFont="1" applyFill="1" applyBorder="1" applyAlignment="1" applyProtection="1">
      <alignment horizontal="center" vertical="center"/>
    </xf>
    <xf numFmtId="185" fontId="165" fillId="36" borderId="118" xfId="0" applyNumberFormat="1"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5" fillId="21" borderId="111" xfId="0" applyNumberFormat="1" applyFont="1" applyFill="1" applyBorder="1" applyAlignment="1" applyProtection="1"/>
    <xf numFmtId="185" fontId="2" fillId="18" borderId="112" xfId="0" applyNumberFormat="1" applyFont="1" applyFill="1" applyBorder="1" applyAlignment="1" applyProtection="1"/>
    <xf numFmtId="185" fontId="165" fillId="21" borderId="119" xfId="0" applyNumberFormat="1" applyFont="1" applyFill="1" applyBorder="1" applyAlignment="1" applyProtection="1">
      <alignment vertical="center"/>
    </xf>
    <xf numFmtId="49" fontId="177" fillId="0" borderId="0" xfId="0" applyNumberFormat="1" applyFont="1" applyProtection="1">
      <alignment vertical="center"/>
      <protection locked="0"/>
    </xf>
    <xf numFmtId="185" fontId="165" fillId="19" borderId="120" xfId="0" applyNumberFormat="1" applyFont="1" applyFill="1" applyBorder="1" applyAlignment="1" applyProtection="1">
      <alignment vertical="center"/>
    </xf>
    <xf numFmtId="185" fontId="165" fillId="21" borderId="160" xfId="0" applyNumberFormat="1" applyFont="1" applyFill="1" applyBorder="1" applyAlignment="1" applyProtection="1">
      <alignment vertical="center"/>
    </xf>
    <xf numFmtId="0" fontId="2" fillId="0" borderId="0" xfId="0" applyFont="1" applyAlignment="1">
      <alignment horizontal="justify" vertical="center"/>
    </xf>
    <xf numFmtId="0" fontId="0" fillId="25" borderId="0" xfId="0" applyFill="1">
      <alignment vertical="center"/>
    </xf>
    <xf numFmtId="0" fontId="2" fillId="18" borderId="146" xfId="0" applyFont="1" applyFill="1" applyBorder="1" applyAlignment="1" applyProtection="1">
      <alignment horizontal="center" vertical="center" wrapText="1"/>
      <protection locked="0"/>
    </xf>
    <xf numFmtId="0" fontId="2" fillId="0" borderId="119" xfId="0" applyFont="1" applyFill="1" applyBorder="1" applyAlignment="1" applyProtection="1">
      <alignment vertical="center" wrapText="1"/>
      <protection locked="0"/>
    </xf>
    <xf numFmtId="0" fontId="0" fillId="18" borderId="149" xfId="0" applyFill="1" applyBorder="1">
      <alignment vertical="center"/>
    </xf>
    <xf numFmtId="185" fontId="165" fillId="0" borderId="119" xfId="0" applyNumberFormat="1" applyFont="1" applyBorder="1">
      <alignment vertical="center"/>
    </xf>
    <xf numFmtId="0" fontId="9" fillId="25" borderId="0" xfId="0" applyFont="1" applyFill="1" applyBorder="1" applyProtection="1">
      <alignment vertical="center"/>
    </xf>
    <xf numFmtId="0" fontId="9" fillId="25" borderId="0" xfId="0" applyFont="1" applyFill="1">
      <alignment vertical="center"/>
    </xf>
    <xf numFmtId="0" fontId="7" fillId="18" borderId="132" xfId="0" applyFont="1" applyFill="1" applyBorder="1">
      <alignment vertical="center"/>
    </xf>
    <xf numFmtId="185" fontId="165" fillId="36" borderId="108" xfId="0" applyNumberFormat="1" applyFont="1" applyFill="1" applyBorder="1">
      <alignment vertical="center"/>
    </xf>
    <xf numFmtId="49" fontId="2" fillId="18" borderId="103" xfId="0" applyNumberFormat="1" applyFont="1" applyFill="1" applyBorder="1" applyAlignment="1" applyProtection="1">
      <alignment horizontal="center" vertical="center"/>
      <protection locked="0"/>
    </xf>
    <xf numFmtId="0" fontId="2" fillId="19" borderId="103" xfId="0" applyFont="1" applyFill="1" applyBorder="1" applyAlignment="1" applyProtection="1">
      <alignment horizontal="center" vertical="center"/>
    </xf>
    <xf numFmtId="49" fontId="2" fillId="18" borderId="107" xfId="0" applyNumberFormat="1" applyFont="1" applyFill="1" applyBorder="1" applyAlignment="1" applyProtection="1">
      <alignment horizontal="center" vertical="center"/>
      <protection locked="0"/>
    </xf>
    <xf numFmtId="0" fontId="2" fillId="18" borderId="112" xfId="0" applyFont="1" applyFill="1" applyBorder="1" applyAlignment="1" applyProtection="1">
      <alignment horizontal="center" vertical="center" wrapText="1"/>
      <protection locked="0"/>
    </xf>
    <xf numFmtId="185" fontId="165" fillId="21" borderId="103" xfId="0" applyNumberFormat="1" applyFont="1" applyFill="1" applyBorder="1" applyAlignment="1" applyProtection="1">
      <alignment vertical="center"/>
    </xf>
    <xf numFmtId="0" fontId="2" fillId="0" borderId="0" xfId="0" applyFont="1" applyAlignment="1"/>
    <xf numFmtId="0" fontId="2" fillId="0" borderId="154" xfId="0" applyFont="1" applyFill="1" applyBorder="1" applyAlignment="1" applyProtection="1">
      <alignment vertical="center"/>
      <protection locked="0"/>
    </xf>
    <xf numFmtId="0" fontId="2" fillId="0" borderId="177" xfId="0" applyFont="1" applyFill="1" applyBorder="1" applyAlignment="1" applyProtection="1">
      <alignment vertical="center"/>
      <protection locked="0"/>
    </xf>
    <xf numFmtId="185" fontId="165" fillId="21" borderId="120" xfId="0" applyNumberFormat="1" applyFont="1" applyFill="1" applyBorder="1" applyAlignment="1" applyProtection="1">
      <alignment vertical="center"/>
    </xf>
    <xf numFmtId="185" fontId="2" fillId="0" borderId="155" xfId="0" applyNumberFormat="1" applyFont="1" applyFill="1" applyBorder="1" applyAlignment="1" applyProtection="1">
      <alignment vertical="center"/>
      <protection locked="0"/>
    </xf>
    <xf numFmtId="185" fontId="2" fillId="0" borderId="112" xfId="0" applyNumberFormat="1" applyFont="1" applyFill="1" applyBorder="1" applyAlignment="1" applyProtection="1">
      <alignment vertical="center"/>
      <protection locked="0"/>
    </xf>
    <xf numFmtId="185" fontId="165" fillId="19" borderId="103" xfId="0" applyNumberFormat="1" applyFont="1" applyFill="1" applyBorder="1" applyAlignment="1" applyProtection="1">
      <alignment vertical="center"/>
    </xf>
    <xf numFmtId="0" fontId="2" fillId="18" borderId="118" xfId="0" applyFont="1" applyFill="1" applyBorder="1" applyAlignment="1" applyProtection="1">
      <alignment horizontal="center" vertical="center"/>
    </xf>
    <xf numFmtId="9" fontId="60" fillId="22" borderId="118" xfId="0" applyNumberFormat="1" applyFont="1" applyFill="1" applyBorder="1" applyAlignment="1" applyProtection="1">
      <alignment horizontal="center" vertical="center"/>
      <protection locked="0"/>
    </xf>
    <xf numFmtId="185" fontId="165" fillId="0" borderId="118" xfId="0" applyNumberFormat="1" applyFont="1" applyFill="1" applyBorder="1" applyAlignment="1" applyProtection="1">
      <alignment vertical="center"/>
    </xf>
    <xf numFmtId="185" fontId="0" fillId="0" borderId="0" xfId="0" applyNumberFormat="1" applyProtection="1">
      <alignment vertical="center"/>
      <protection locked="0"/>
    </xf>
    <xf numFmtId="0" fontId="2" fillId="18" borderId="103" xfId="0" applyFont="1" applyFill="1" applyBorder="1" applyAlignment="1" applyProtection="1">
      <alignment horizontal="center" vertical="center" wrapText="1"/>
      <protection locked="0"/>
    </xf>
    <xf numFmtId="0" fontId="2" fillId="25" borderId="118" xfId="0" applyFont="1" applyFill="1" applyBorder="1" applyAlignment="1" applyProtection="1">
      <alignment vertical="center"/>
      <protection locked="0"/>
    </xf>
    <xf numFmtId="185" fontId="165" fillId="25" borderId="118" xfId="0" applyNumberFormat="1" applyFont="1" applyFill="1" applyBorder="1" applyAlignment="1" applyProtection="1">
      <alignment vertical="center"/>
      <protection locked="0"/>
    </xf>
    <xf numFmtId="185" fontId="2" fillId="22" borderId="118" xfId="0" applyNumberFormat="1" applyFont="1" applyFill="1" applyBorder="1" applyAlignment="1" applyProtection="1">
      <alignment vertical="center"/>
      <protection locked="0"/>
    </xf>
    <xf numFmtId="185" fontId="2" fillId="25" borderId="118" xfId="0" applyNumberFormat="1" applyFont="1" applyFill="1" applyBorder="1" applyAlignment="1" applyProtection="1">
      <alignment vertical="center"/>
      <protection locked="0"/>
    </xf>
    <xf numFmtId="185" fontId="165" fillId="21" borderId="119" xfId="0" applyNumberFormat="1" applyFont="1" applyFill="1" applyBorder="1" applyAlignment="1" applyProtection="1">
      <alignment horizontal="center" vertical="center"/>
    </xf>
    <xf numFmtId="0" fontId="2" fillId="25" borderId="120" xfId="0" applyFont="1" applyFill="1" applyBorder="1" applyAlignment="1" applyProtection="1">
      <alignment vertical="center"/>
      <protection locked="0"/>
    </xf>
    <xf numFmtId="185" fontId="165" fillId="25" borderId="120" xfId="0" applyNumberFormat="1" applyFont="1" applyFill="1" applyBorder="1" applyAlignment="1" applyProtection="1">
      <alignment vertical="center"/>
      <protection locked="0"/>
    </xf>
    <xf numFmtId="185" fontId="2" fillId="22" borderId="120" xfId="0" applyNumberFormat="1" applyFont="1" applyFill="1" applyBorder="1" applyAlignment="1" applyProtection="1">
      <alignment vertical="center"/>
      <protection locked="0"/>
    </xf>
    <xf numFmtId="185" fontId="2" fillId="25" borderId="120" xfId="0" applyNumberFormat="1" applyFont="1" applyFill="1" applyBorder="1" applyAlignment="1" applyProtection="1">
      <alignment vertical="center"/>
      <protection locked="0"/>
    </xf>
    <xf numFmtId="185" fontId="165" fillId="21" borderId="160" xfId="0" applyNumberFormat="1" applyFont="1" applyFill="1" applyBorder="1" applyAlignment="1" applyProtection="1">
      <alignment horizontal="center" vertical="center"/>
    </xf>
    <xf numFmtId="185" fontId="2" fillId="18" borderId="111" xfId="0" applyNumberFormat="1" applyFont="1" applyFill="1" applyBorder="1" applyAlignment="1" applyProtection="1">
      <alignment vertical="center"/>
      <protection locked="0"/>
    </xf>
    <xf numFmtId="0" fontId="166" fillId="18" borderId="0" xfId="0" applyFont="1" applyFill="1" applyAlignment="1">
      <alignment horizontal="left" vertical="top" wrapText="1"/>
    </xf>
    <xf numFmtId="0" fontId="166" fillId="18" borderId="0" xfId="0" applyFont="1" applyFill="1" applyAlignment="1">
      <alignment vertical="center"/>
    </xf>
    <xf numFmtId="0" fontId="177" fillId="18" borderId="0" xfId="0" applyFont="1" applyFill="1" applyAlignment="1">
      <alignment vertical="center"/>
    </xf>
    <xf numFmtId="0" fontId="0" fillId="18" borderId="0" xfId="0" applyFill="1">
      <alignment vertical="center"/>
    </xf>
    <xf numFmtId="185" fontId="2" fillId="0" borderId="103" xfId="0" applyNumberFormat="1" applyFont="1" applyBorder="1" applyAlignment="1">
      <alignment vertical="center"/>
    </xf>
    <xf numFmtId="185" fontId="2" fillId="0" borderId="103" xfId="0" applyNumberFormat="1" applyFont="1" applyFill="1" applyBorder="1" applyAlignment="1" applyProtection="1">
      <alignment vertical="center"/>
    </xf>
    <xf numFmtId="0" fontId="2" fillId="18" borderId="149" xfId="0" applyFont="1" applyFill="1" applyBorder="1" applyAlignment="1">
      <alignment horizontal="center" vertical="center"/>
    </xf>
    <xf numFmtId="185" fontId="2" fillId="0" borderId="118" xfId="0" applyNumberFormat="1" applyFont="1" applyBorder="1" applyAlignment="1">
      <alignment vertical="center"/>
    </xf>
    <xf numFmtId="185" fontId="2" fillId="0" borderId="118" xfId="0" applyNumberFormat="1" applyFont="1" applyFill="1" applyBorder="1" applyAlignment="1" applyProtection="1">
      <alignment vertical="center"/>
    </xf>
    <xf numFmtId="185" fontId="2" fillId="0" borderId="107" xfId="0" applyNumberFormat="1" applyFont="1" applyBorder="1" applyAlignment="1">
      <alignment vertical="center"/>
    </xf>
    <xf numFmtId="185" fontId="165" fillId="0" borderId="107" xfId="0" applyNumberFormat="1" applyFont="1" applyBorder="1" applyAlignment="1">
      <alignment vertical="center"/>
    </xf>
    <xf numFmtId="185" fontId="2" fillId="0" borderId="107" xfId="0" applyNumberFormat="1" applyFont="1" applyFill="1" applyBorder="1" applyAlignment="1" applyProtection="1">
      <alignment vertical="center"/>
    </xf>
    <xf numFmtId="185" fontId="165" fillId="0" borderId="107" xfId="0" applyNumberFormat="1" applyFont="1" applyFill="1" applyBorder="1" applyAlignment="1" applyProtection="1">
      <alignment vertical="center"/>
    </xf>
    <xf numFmtId="191" fontId="2" fillId="0" borderId="111" xfId="0" applyNumberFormat="1" applyFont="1" applyFill="1" applyBorder="1" applyAlignment="1" applyProtection="1">
      <alignment vertical="center"/>
    </xf>
    <xf numFmtId="10" fontId="165" fillId="0" borderId="111" xfId="0" applyNumberFormat="1" applyFont="1" applyBorder="1" applyAlignment="1">
      <alignment vertical="center"/>
    </xf>
    <xf numFmtId="10" fontId="165" fillId="0" borderId="111" xfId="0" applyNumberFormat="1" applyFont="1" applyFill="1" applyBorder="1" applyAlignment="1" applyProtection="1">
      <alignment vertical="center"/>
    </xf>
    <xf numFmtId="185" fontId="165" fillId="19" borderId="120" xfId="0" applyNumberFormat="1" applyFont="1" applyFill="1" applyBorder="1" applyAlignment="1">
      <alignment vertical="center"/>
    </xf>
    <xf numFmtId="185" fontId="165" fillId="21" borderId="120" xfId="0" applyNumberFormat="1" applyFont="1" applyFill="1" applyBorder="1" applyAlignment="1">
      <alignment vertical="center"/>
    </xf>
    <xf numFmtId="0" fontId="2" fillId="20" borderId="103" xfId="0" applyFont="1" applyFill="1" applyBorder="1" applyAlignment="1" applyProtection="1">
      <alignment horizontal="center" vertical="center"/>
      <protection locked="0"/>
    </xf>
    <xf numFmtId="0" fontId="2" fillId="0" borderId="107" xfId="0" applyFont="1" applyFill="1" applyBorder="1" applyAlignment="1" applyProtection="1">
      <alignment horizontal="center" vertical="center"/>
      <protection locked="0"/>
    </xf>
    <xf numFmtId="0" fontId="0" fillId="0" borderId="107" xfId="0" applyFill="1" applyBorder="1" applyAlignment="1" applyProtection="1">
      <alignment horizontal="center" vertical="center"/>
      <protection locked="0"/>
    </xf>
    <xf numFmtId="0" fontId="0" fillId="0" borderId="108" xfId="0" applyFill="1" applyBorder="1" applyAlignment="1" applyProtection="1">
      <alignment horizontal="center" vertical="center"/>
      <protection locked="0"/>
    </xf>
    <xf numFmtId="185" fontId="165" fillId="0" borderId="103" xfId="0" applyNumberFormat="1" applyFont="1" applyFill="1" applyBorder="1" applyAlignment="1" applyProtection="1">
      <alignment vertical="center"/>
      <protection locked="0"/>
    </xf>
    <xf numFmtId="185" fontId="206" fillId="0" borderId="103" xfId="0" applyNumberFormat="1" applyFont="1" applyBorder="1" applyAlignment="1" applyProtection="1">
      <alignment vertical="center"/>
      <protection locked="0"/>
    </xf>
    <xf numFmtId="185" fontId="206" fillId="0" borderId="116" xfId="0" applyNumberFormat="1" applyFont="1" applyBorder="1" applyAlignment="1" applyProtection="1">
      <alignment vertical="center"/>
      <protection locked="0"/>
    </xf>
    <xf numFmtId="185" fontId="206" fillId="0" borderId="118" xfId="0" applyNumberFormat="1" applyFont="1" applyBorder="1" applyAlignment="1" applyProtection="1">
      <alignment vertical="center"/>
      <protection locked="0"/>
    </xf>
    <xf numFmtId="185" fontId="206" fillId="0" borderId="119" xfId="0" applyNumberFormat="1" applyFont="1" applyBorder="1" applyAlignment="1" applyProtection="1">
      <alignment vertical="center"/>
      <protection locked="0"/>
    </xf>
    <xf numFmtId="0" fontId="2" fillId="18" borderId="118" xfId="0" applyFont="1" applyFill="1" applyBorder="1" applyAlignment="1" applyProtection="1">
      <alignment horizontal="center" vertical="center"/>
      <protection locked="0"/>
    </xf>
    <xf numFmtId="0" fontId="165" fillId="0" borderId="118" xfId="0" applyFont="1" applyFill="1" applyBorder="1" applyAlignment="1" applyProtection="1">
      <alignment vertical="center"/>
      <protection locked="0"/>
    </xf>
    <xf numFmtId="0" fontId="206" fillId="0" borderId="118" xfId="0" applyFont="1" applyBorder="1" applyAlignment="1" applyProtection="1">
      <alignment vertical="center"/>
      <protection locked="0"/>
    </xf>
    <xf numFmtId="0" fontId="206" fillId="0" borderId="119" xfId="0" applyFont="1" applyBorder="1" applyAlignment="1" applyProtection="1">
      <alignment vertical="center"/>
      <protection locked="0"/>
    </xf>
    <xf numFmtId="185" fontId="206" fillId="0" borderId="107" xfId="0" applyNumberFormat="1" applyFont="1" applyBorder="1" applyAlignment="1" applyProtection="1">
      <alignment vertical="center"/>
      <protection locked="0"/>
    </xf>
    <xf numFmtId="185" fontId="206" fillId="0" borderId="108" xfId="0" applyNumberFormat="1" applyFont="1" applyBorder="1" applyAlignment="1" applyProtection="1">
      <alignment vertical="center"/>
      <protection locked="0"/>
    </xf>
    <xf numFmtId="0" fontId="2" fillId="21" borderId="124" xfId="0" applyFont="1" applyFill="1" applyBorder="1" applyAlignment="1" applyProtection="1">
      <alignment vertical="center"/>
    </xf>
    <xf numFmtId="0" fontId="2" fillId="21" borderId="0" xfId="0" applyFont="1" applyFill="1" applyBorder="1" applyAlignment="1" applyProtection="1">
      <alignment vertical="center"/>
    </xf>
    <xf numFmtId="0" fontId="2" fillId="21" borderId="184" xfId="0"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protection locked="0"/>
    </xf>
    <xf numFmtId="0" fontId="2" fillId="18" borderId="159" xfId="0" applyFont="1" applyFill="1" applyBorder="1" applyAlignment="1" applyProtection="1">
      <alignment horizontal="center" vertical="center"/>
      <protection locked="0"/>
    </xf>
    <xf numFmtId="0" fontId="2" fillId="18" borderId="207" xfId="0" applyFont="1" applyFill="1" applyBorder="1" applyAlignment="1" applyProtection="1">
      <alignment horizontal="center" vertical="center" wrapText="1"/>
      <protection locked="0"/>
    </xf>
    <xf numFmtId="185" fontId="165" fillId="0" borderId="103" xfId="0" applyNumberFormat="1" applyFont="1" applyBorder="1">
      <alignment vertical="center"/>
    </xf>
    <xf numFmtId="0" fontId="7" fillId="22" borderId="116" xfId="0" applyFont="1" applyFill="1" applyBorder="1" applyAlignment="1">
      <alignment horizontal="center" vertical="center"/>
    </xf>
    <xf numFmtId="0" fontId="0" fillId="18" borderId="149" xfId="0" applyFill="1" applyBorder="1" applyAlignment="1">
      <alignment horizontal="center" vertical="center"/>
    </xf>
    <xf numFmtId="185" fontId="165" fillId="0" borderId="118" xfId="0" applyNumberFormat="1" applyFont="1" applyBorder="1">
      <alignment vertical="center"/>
    </xf>
    <xf numFmtId="0" fontId="7" fillId="22" borderId="119" xfId="0" applyFont="1" applyFill="1" applyBorder="1" applyAlignment="1">
      <alignment horizontal="center" vertical="center"/>
    </xf>
    <xf numFmtId="0" fontId="0" fillId="18" borderId="152" xfId="0" applyFill="1" applyBorder="1" applyAlignment="1">
      <alignment horizontal="center" vertical="center"/>
    </xf>
    <xf numFmtId="185" fontId="165" fillId="12" borderId="124" xfId="0" applyNumberFormat="1" applyFont="1" applyFill="1" applyBorder="1">
      <alignment vertical="center"/>
    </xf>
    <xf numFmtId="185" fontId="165" fillId="0" borderId="124" xfId="0" applyNumberFormat="1" applyFont="1" applyBorder="1">
      <alignment vertical="center"/>
    </xf>
    <xf numFmtId="0" fontId="7" fillId="22" borderId="184" xfId="0" applyFont="1" applyFill="1" applyBorder="1" applyAlignment="1">
      <alignment horizontal="center" vertical="center"/>
    </xf>
    <xf numFmtId="185" fontId="165" fillId="21" borderId="116" xfId="0" applyNumberFormat="1" applyFont="1" applyFill="1" applyBorder="1" applyAlignment="1" applyProtection="1">
      <alignment vertical="center"/>
    </xf>
    <xf numFmtId="0" fontId="0" fillId="0" borderId="0" xfId="0" applyFill="1" applyProtection="1">
      <alignment vertical="center"/>
      <protection locked="0"/>
    </xf>
    <xf numFmtId="0" fontId="0" fillId="0" borderId="0" xfId="0" applyProtection="1">
      <alignment vertical="center"/>
      <protection locked="0"/>
    </xf>
    <xf numFmtId="0" fontId="2" fillId="28" borderId="129" xfId="0" applyFont="1" applyFill="1" applyBorder="1" applyAlignment="1">
      <alignment horizontal="justify" vertical="center"/>
    </xf>
    <xf numFmtId="0" fontId="2" fillId="28" borderId="103" xfId="0" applyFont="1" applyFill="1" applyBorder="1" applyAlignment="1">
      <alignment vertical="center"/>
    </xf>
    <xf numFmtId="0" fontId="2" fillId="29" borderId="103" xfId="0" applyFont="1" applyFill="1" applyBorder="1" applyAlignment="1">
      <alignment vertical="center"/>
    </xf>
    <xf numFmtId="0" fontId="2" fillId="28" borderId="103" xfId="0" applyFont="1" applyFill="1" applyBorder="1">
      <alignment vertical="center"/>
    </xf>
    <xf numFmtId="0" fontId="2" fillId="28" borderId="132" xfId="0" applyFont="1" applyFill="1" applyBorder="1" applyAlignment="1">
      <alignment horizontal="justify" vertical="center"/>
    </xf>
    <xf numFmtId="0" fontId="2" fillId="28" borderId="107" xfId="0" applyFont="1" applyFill="1" applyBorder="1" applyAlignment="1">
      <alignment vertical="center"/>
    </xf>
    <xf numFmtId="0" fontId="2" fillId="29" borderId="107" xfId="0" applyFont="1" applyFill="1" applyBorder="1" applyAlignment="1">
      <alignment vertical="center"/>
    </xf>
    <xf numFmtId="0" fontId="0" fillId="28" borderId="107" xfId="0" applyFill="1" applyBorder="1">
      <alignment vertical="center"/>
    </xf>
    <xf numFmtId="0" fontId="2" fillId="28" borderId="107" xfId="0" applyFont="1" applyFill="1" applyBorder="1">
      <alignment vertical="center"/>
    </xf>
    <xf numFmtId="0" fontId="0" fillId="28" borderId="3" xfId="0" applyFill="1" applyBorder="1" applyAlignment="1">
      <alignment horizontal="center" vertical="center"/>
    </xf>
    <xf numFmtId="0" fontId="0" fillId="0" borderId="216" xfId="0" applyBorder="1">
      <alignment vertical="center"/>
    </xf>
    <xf numFmtId="0" fontId="0" fillId="0" borderId="220" xfId="0" applyBorder="1">
      <alignment vertical="center"/>
    </xf>
    <xf numFmtId="0" fontId="0" fillId="0" borderId="225" xfId="0" applyBorder="1">
      <alignment vertical="center"/>
    </xf>
    <xf numFmtId="0" fontId="0" fillId="0" borderId="3" xfId="0" applyBorder="1">
      <alignment vertical="center"/>
    </xf>
    <xf numFmtId="0" fontId="213" fillId="0" borderId="0" xfId="0" applyFont="1" applyAlignment="1">
      <alignment horizontal="justify" vertical="center"/>
    </xf>
    <xf numFmtId="0" fontId="214" fillId="28" borderId="102" xfId="0" applyFont="1" applyFill="1" applyBorder="1" applyAlignment="1">
      <alignment horizontal="justify" vertical="center"/>
    </xf>
    <xf numFmtId="0" fontId="214" fillId="28" borderId="204" xfId="0" applyFont="1" applyFill="1" applyBorder="1" applyAlignment="1">
      <alignment horizontal="justify" vertical="center"/>
    </xf>
    <xf numFmtId="0" fontId="0" fillId="28" borderId="204" xfId="0" applyFill="1" applyBorder="1">
      <alignment vertical="center"/>
    </xf>
    <xf numFmtId="0" fontId="0" fillId="28" borderId="156" xfId="0" applyFill="1" applyBorder="1">
      <alignment vertical="center"/>
    </xf>
    <xf numFmtId="0" fontId="2" fillId="28" borderId="149" xfId="0" applyFont="1" applyFill="1" applyBorder="1" applyAlignment="1">
      <alignment horizontal="justify" vertical="center"/>
    </xf>
    <xf numFmtId="0" fontId="2" fillId="28" borderId="118" xfId="0" applyFont="1" applyFill="1" applyBorder="1">
      <alignment vertical="center"/>
    </xf>
    <xf numFmtId="0" fontId="0" fillId="29" borderId="118" xfId="0" applyFill="1" applyBorder="1">
      <alignment vertical="center"/>
    </xf>
    <xf numFmtId="0" fontId="0" fillId="0" borderId="0" xfId="0" applyFill="1">
      <alignment vertical="center"/>
    </xf>
    <xf numFmtId="0" fontId="2" fillId="28" borderId="132" xfId="0" applyFont="1" applyFill="1" applyBorder="1">
      <alignment vertical="center"/>
    </xf>
    <xf numFmtId="0" fontId="2" fillId="29" borderId="107" xfId="0" applyFont="1" applyFill="1" applyBorder="1">
      <alignment vertical="center"/>
    </xf>
    <xf numFmtId="0" fontId="0" fillId="0" borderId="0" xfId="0" applyFill="1" applyBorder="1">
      <alignment vertical="center"/>
    </xf>
    <xf numFmtId="0" fontId="2" fillId="0" borderId="0" xfId="0" applyFont="1" applyFill="1" applyBorder="1" applyAlignment="1" applyProtection="1">
      <alignment vertical="center"/>
      <protection locked="0"/>
    </xf>
    <xf numFmtId="0" fontId="2" fillId="28" borderId="3" xfId="0" applyFont="1" applyFill="1" applyBorder="1" applyAlignment="1">
      <alignment horizontal="center" vertical="center" wrapText="1"/>
    </xf>
    <xf numFmtId="49" fontId="2" fillId="0" borderId="215" xfId="0" applyNumberFormat="1" applyFont="1" applyBorder="1" applyAlignment="1">
      <alignment horizontal="center" vertical="top" wrapText="1"/>
    </xf>
    <xf numFmtId="176" fontId="165" fillId="0" borderId="215" xfId="0" applyNumberFormat="1" applyFont="1" applyBorder="1" applyAlignment="1">
      <alignment horizontal="center" vertical="top" wrapText="1"/>
    </xf>
    <xf numFmtId="0" fontId="2" fillId="0" borderId="215" xfId="0" applyFont="1" applyBorder="1" applyAlignment="1">
      <alignment horizontal="center" vertical="top" wrapText="1"/>
    </xf>
    <xf numFmtId="49" fontId="2" fillId="0" borderId="219" xfId="0" applyNumberFormat="1" applyFont="1" applyBorder="1" applyAlignment="1">
      <alignment horizontal="center" vertical="top" wrapText="1"/>
    </xf>
    <xf numFmtId="176" fontId="165" fillId="0" borderId="219" xfId="0" applyNumberFormat="1" applyFont="1" applyBorder="1" applyAlignment="1">
      <alignment horizontal="center" vertical="top" wrapText="1"/>
    </xf>
    <xf numFmtId="0" fontId="2" fillId="0" borderId="219" xfId="0" applyFont="1" applyBorder="1" applyAlignment="1">
      <alignment horizontal="center" vertical="top" wrapText="1"/>
    </xf>
    <xf numFmtId="49" fontId="2" fillId="0" borderId="219" xfId="0" applyNumberFormat="1" applyFont="1" applyBorder="1" applyAlignment="1">
      <alignment horizontal="justify" vertical="top" wrapText="1"/>
    </xf>
    <xf numFmtId="176" fontId="165" fillId="0" borderId="219" xfId="0" applyNumberFormat="1" applyFont="1" applyBorder="1" applyAlignment="1">
      <alignment horizontal="justify" vertical="top" wrapText="1"/>
    </xf>
    <xf numFmtId="0" fontId="2" fillId="0" borderId="219" xfId="0" applyFont="1" applyBorder="1" applyAlignment="1">
      <alignment horizontal="justify" vertical="top" wrapText="1"/>
    </xf>
    <xf numFmtId="49" fontId="2" fillId="0" borderId="228" xfId="0" applyNumberFormat="1" applyFont="1" applyBorder="1" applyAlignment="1">
      <alignment horizontal="center" vertical="top" wrapText="1"/>
    </xf>
    <xf numFmtId="176" fontId="165" fillId="0" borderId="228" xfId="0" applyNumberFormat="1" applyFont="1" applyBorder="1" applyAlignment="1">
      <alignment horizontal="center" vertical="top" wrapText="1"/>
    </xf>
    <xf numFmtId="0" fontId="2" fillId="0" borderId="228" xfId="0" applyFont="1" applyBorder="1" applyAlignment="1">
      <alignment horizontal="center" vertical="top" wrapText="1"/>
    </xf>
    <xf numFmtId="0" fontId="0" fillId="0" borderId="229" xfId="0" applyBorder="1">
      <alignment vertical="center"/>
    </xf>
    <xf numFmtId="0" fontId="192" fillId="0" borderId="3" xfId="0" applyFont="1" applyBorder="1" applyAlignment="1">
      <alignment horizontal="justify" vertical="center" wrapText="1"/>
    </xf>
    <xf numFmtId="176" fontId="165" fillId="36" borderId="3" xfId="0" applyNumberFormat="1" applyFont="1" applyFill="1" applyBorder="1" applyAlignment="1">
      <alignment horizontal="justify" vertical="center" wrapText="1"/>
    </xf>
    <xf numFmtId="0" fontId="192" fillId="24" borderId="0" xfId="0" applyFont="1" applyFill="1" applyAlignment="1">
      <alignment horizontal="justify" vertical="center"/>
    </xf>
    <xf numFmtId="0" fontId="192" fillId="0" borderId="0" xfId="0" applyFont="1" applyAlignment="1">
      <alignment horizontal="justify" vertical="center"/>
    </xf>
    <xf numFmtId="0" fontId="7" fillId="24" borderId="0" xfId="0" applyFont="1" applyFill="1" applyAlignment="1">
      <alignment vertical="center"/>
    </xf>
    <xf numFmtId="0" fontId="2" fillId="24" borderId="129" xfId="0" applyFont="1" applyFill="1" applyBorder="1" applyAlignment="1">
      <alignment horizontal="left" vertical="center"/>
    </xf>
    <xf numFmtId="0" fontId="2" fillId="12" borderId="103" xfId="0" applyFont="1" applyFill="1" applyBorder="1" applyAlignment="1">
      <alignment horizontal="left" vertical="center"/>
    </xf>
    <xf numFmtId="0" fontId="2" fillId="24" borderId="103" xfId="0" applyFont="1" applyFill="1" applyBorder="1" applyAlignment="1">
      <alignment horizontal="left" vertical="center"/>
    </xf>
    <xf numFmtId="0" fontId="2" fillId="15" borderId="103" xfId="0" applyFont="1" applyFill="1" applyBorder="1" applyAlignment="1">
      <alignment horizontal="left" vertical="center"/>
    </xf>
    <xf numFmtId="0" fontId="2" fillId="12" borderId="116" xfId="0" applyFont="1" applyFill="1" applyBorder="1" applyAlignment="1">
      <alignment vertical="center"/>
    </xf>
    <xf numFmtId="0" fontId="2" fillId="24" borderId="132" xfId="0" applyFont="1" applyFill="1" applyBorder="1" applyAlignment="1">
      <alignment horizontal="left" vertical="center"/>
    </xf>
    <xf numFmtId="31" fontId="2" fillId="12" borderId="107" xfId="0" applyNumberFormat="1" applyFont="1" applyFill="1" applyBorder="1" applyAlignment="1">
      <alignment horizontal="left" vertical="center"/>
    </xf>
    <xf numFmtId="0" fontId="2" fillId="24" borderId="107" xfId="0" applyFont="1" applyFill="1" applyBorder="1" applyAlignment="1">
      <alignment horizontal="left" vertical="center"/>
    </xf>
    <xf numFmtId="0" fontId="2" fillId="12" borderId="107" xfId="0" applyFont="1" applyFill="1" applyBorder="1" applyAlignment="1">
      <alignment horizontal="left" vertical="center"/>
    </xf>
    <xf numFmtId="0" fontId="2" fillId="12" borderId="108" xfId="0" applyFont="1" applyFill="1" applyBorder="1" applyAlignment="1">
      <alignment vertical="center"/>
    </xf>
    <xf numFmtId="0" fontId="2" fillId="24" borderId="3" xfId="0" applyFont="1" applyFill="1" applyBorder="1" applyAlignment="1">
      <alignment horizontal="center" vertical="center"/>
    </xf>
    <xf numFmtId="0" fontId="2" fillId="24" borderId="3" xfId="0" applyFont="1" applyFill="1" applyBorder="1" applyAlignment="1">
      <alignment vertical="center"/>
    </xf>
    <xf numFmtId="0" fontId="165" fillId="26" borderId="3" xfId="0" applyFont="1" applyFill="1" applyBorder="1">
      <alignment vertical="center"/>
    </xf>
    <xf numFmtId="0" fontId="165" fillId="0" borderId="3" xfId="0" applyFont="1" applyFill="1" applyBorder="1">
      <alignment vertical="center"/>
    </xf>
    <xf numFmtId="0" fontId="0" fillId="0" borderId="0" xfId="0">
      <alignment vertical="center"/>
    </xf>
    <xf numFmtId="0" fontId="2" fillId="24" borderId="3" xfId="0" applyFont="1" applyFill="1" applyBorder="1" applyAlignment="1">
      <alignment vertical="center" wrapText="1"/>
    </xf>
    <xf numFmtId="0" fontId="2" fillId="24" borderId="5" xfId="0" applyFont="1" applyFill="1" applyBorder="1" applyAlignment="1">
      <alignment vertical="center"/>
    </xf>
    <xf numFmtId="0" fontId="165" fillId="0" borderId="5" xfId="0" applyFont="1" applyFill="1" applyBorder="1">
      <alignment vertical="center"/>
    </xf>
    <xf numFmtId="0" fontId="2" fillId="24" borderId="5" xfId="0" applyFont="1" applyFill="1" applyBorder="1" applyAlignment="1">
      <alignment horizontal="center" vertical="center"/>
    </xf>
    <xf numFmtId="0" fontId="2" fillId="24" borderId="5" xfId="0" applyFont="1" applyFill="1" applyBorder="1" applyAlignment="1">
      <alignment horizontal="left" vertical="center" wrapText="1"/>
    </xf>
    <xf numFmtId="0" fontId="165" fillId="26" borderId="5" xfId="0" applyFont="1" applyFill="1" applyBorder="1">
      <alignment vertical="center"/>
    </xf>
    <xf numFmtId="0" fontId="0" fillId="24" borderId="3" xfId="0" applyFill="1" applyBorder="1" applyAlignment="1">
      <alignment horizontal="center" vertical="center"/>
    </xf>
    <xf numFmtId="0" fontId="2" fillId="0" borderId="0" xfId="0" applyFont="1" applyFill="1" applyAlignment="1">
      <alignment vertical="center"/>
    </xf>
    <xf numFmtId="0" fontId="7" fillId="24" borderId="0" xfId="0" applyFont="1" applyFill="1" applyAlignment="1">
      <alignment horizontal="center" vertical="center"/>
    </xf>
    <xf numFmtId="0" fontId="7" fillId="0" borderId="0" xfId="0" applyFont="1" applyAlignment="1">
      <alignment horizontal="center" vertical="center"/>
    </xf>
    <xf numFmtId="0" fontId="2" fillId="24" borderId="5" xfId="0" applyFont="1" applyFill="1" applyBorder="1" applyAlignment="1">
      <alignment horizontal="center" vertical="center" wrapText="1"/>
    </xf>
    <xf numFmtId="0" fontId="2" fillId="24" borderId="3" xfId="0" applyFont="1" applyFill="1" applyBorder="1" applyAlignment="1">
      <alignment horizontal="center" vertical="center" wrapText="1"/>
    </xf>
    <xf numFmtId="0" fontId="2" fillId="24" borderId="0" xfId="0" applyFont="1" applyFill="1" applyAlignment="1">
      <alignment horizontal="center" vertical="center"/>
    </xf>
    <xf numFmtId="0" fontId="2" fillId="24" borderId="0" xfId="0" applyFont="1" applyFill="1" applyAlignment="1">
      <alignment vertical="center"/>
    </xf>
    <xf numFmtId="0" fontId="2" fillId="0" borderId="0" xfId="0" applyFont="1" applyAlignment="1">
      <alignment horizontal="center" vertical="center"/>
    </xf>
    <xf numFmtId="0" fontId="7" fillId="24" borderId="3" xfId="0" applyFont="1" applyFill="1" applyBorder="1" applyAlignment="1">
      <alignment vertical="center"/>
    </xf>
    <xf numFmtId="0" fontId="2" fillId="24" borderId="17" xfId="0" applyFont="1" applyFill="1" applyBorder="1" applyAlignment="1">
      <alignment vertical="center"/>
    </xf>
    <xf numFmtId="0" fontId="2" fillId="24" borderId="3" xfId="0" applyFont="1" applyFill="1" applyBorder="1" applyAlignment="1">
      <alignment horizontal="left" vertical="center"/>
    </xf>
    <xf numFmtId="0" fontId="2" fillId="24" borderId="3" xfId="0" applyFont="1" applyFill="1" applyBorder="1" applyAlignment="1">
      <alignment horizontal="left" vertical="center" wrapText="1"/>
    </xf>
    <xf numFmtId="0" fontId="2" fillId="24" borderId="18" xfId="0" applyFont="1" applyFill="1" applyBorder="1" applyAlignment="1">
      <alignment vertical="center"/>
    </xf>
    <xf numFmtId="0" fontId="7" fillId="24" borderId="0" xfId="0" applyFont="1" applyFill="1" applyAlignment="1">
      <alignment horizontal="right"/>
    </xf>
    <xf numFmtId="0" fontId="7" fillId="0" borderId="0" xfId="0" applyFont="1" applyAlignment="1"/>
    <xf numFmtId="0" fontId="2" fillId="24" borderId="5" xfId="0" applyFont="1" applyFill="1" applyBorder="1" applyAlignment="1" applyProtection="1">
      <alignment horizontal="center" vertical="center" wrapText="1"/>
    </xf>
    <xf numFmtId="0" fontId="2" fillId="24" borderId="3" xfId="0" applyFont="1" applyFill="1" applyBorder="1" applyAlignment="1" applyProtection="1">
      <alignment horizontal="center" vertical="center"/>
    </xf>
    <xf numFmtId="0" fontId="7" fillId="24" borderId="3" xfId="0" applyFont="1" applyFill="1" applyBorder="1" applyAlignment="1">
      <alignment horizontal="center" vertical="center"/>
    </xf>
    <xf numFmtId="0" fontId="2" fillId="24" borderId="3" xfId="0" applyFont="1" applyFill="1" applyBorder="1" applyAlignment="1" applyProtection="1">
      <alignment horizontal="left" vertical="center"/>
    </xf>
    <xf numFmtId="0" fontId="1" fillId="26" borderId="3" xfId="0" applyFont="1" applyFill="1" applyBorder="1" applyAlignment="1" applyProtection="1">
      <alignment horizontal="center" vertical="center"/>
    </xf>
    <xf numFmtId="0" fontId="165" fillId="0" borderId="3" xfId="0" applyFont="1" applyFill="1" applyBorder="1" applyProtection="1">
      <alignment vertical="center"/>
    </xf>
    <xf numFmtId="0" fontId="165" fillId="26" borderId="3" xfId="0" applyFont="1" applyFill="1" applyBorder="1" applyProtection="1">
      <alignment vertical="center"/>
    </xf>
    <xf numFmtId="0" fontId="7" fillId="24" borderId="3" xfId="0" applyFont="1" applyFill="1" applyBorder="1" applyAlignment="1"/>
    <xf numFmtId="0" fontId="7" fillId="0" borderId="0" xfId="0" applyFont="1" applyFill="1" applyAlignment="1"/>
    <xf numFmtId="0" fontId="1" fillId="24" borderId="3" xfId="0" applyFont="1" applyFill="1" applyBorder="1" applyAlignment="1">
      <alignment horizontal="center" vertical="center"/>
    </xf>
    <xf numFmtId="0" fontId="2" fillId="24" borderId="5" xfId="0" applyFont="1" applyFill="1" applyBorder="1" applyAlignment="1" applyProtection="1">
      <alignment horizontal="center" vertical="center"/>
    </xf>
    <xf numFmtId="0" fontId="2" fillId="24" borderId="5" xfId="0" applyFont="1" applyFill="1" applyBorder="1" applyAlignment="1" applyProtection="1">
      <alignment horizontal="left" vertical="center" wrapText="1"/>
    </xf>
    <xf numFmtId="0" fontId="1" fillId="24" borderId="5" xfId="0" applyFont="1" applyFill="1" applyBorder="1" applyAlignment="1">
      <alignment horizontal="center" vertical="center"/>
    </xf>
    <xf numFmtId="0" fontId="165" fillId="26" borderId="5" xfId="0" applyFont="1" applyFill="1" applyBorder="1" applyProtection="1">
      <alignment vertical="center"/>
    </xf>
    <xf numFmtId="0" fontId="1" fillId="24" borderId="5" xfId="0" applyFont="1" applyFill="1" applyBorder="1" applyAlignment="1">
      <alignment horizontal="center" vertical="center"/>
    </xf>
    <xf numFmtId="0" fontId="165" fillId="24" borderId="5" xfId="0" applyFont="1" applyFill="1" applyBorder="1">
      <alignment vertical="center"/>
    </xf>
    <xf numFmtId="0" fontId="2" fillId="24" borderId="26" xfId="0" applyFont="1" applyFill="1" applyBorder="1" applyAlignment="1">
      <alignment vertical="center"/>
    </xf>
    <xf numFmtId="0" fontId="7" fillId="24" borderId="0" xfId="0" applyFont="1" applyFill="1" applyAlignment="1"/>
    <xf numFmtId="0" fontId="11" fillId="0" borderId="0" xfId="0" applyFont="1" applyAlignment="1">
      <alignment horizontal="center" vertical="center"/>
    </xf>
    <xf numFmtId="0" fontId="1" fillId="24" borderId="3" xfId="0" applyFont="1" applyFill="1" applyBorder="1" applyAlignment="1">
      <alignment horizontal="center" vertical="center"/>
    </xf>
    <xf numFmtId="0" fontId="15" fillId="0" borderId="0" xfId="0" applyFont="1" applyAlignment="1"/>
    <xf numFmtId="0" fontId="11" fillId="0" borderId="0" xfId="0" applyFont="1" applyAlignment="1"/>
    <xf numFmtId="0" fontId="42" fillId="24" borderId="5" xfId="0" applyFont="1" applyFill="1" applyBorder="1" applyAlignment="1">
      <alignment horizontal="center" vertical="center" wrapText="1"/>
    </xf>
    <xf numFmtId="0" fontId="2" fillId="0" borderId="0" xfId="0" applyFont="1" applyAlignment="1">
      <alignment wrapText="1"/>
    </xf>
    <xf numFmtId="0" fontId="165" fillId="0" borderId="3" xfId="0" applyFont="1" applyBorder="1">
      <alignment vertical="center"/>
    </xf>
    <xf numFmtId="0" fontId="7" fillId="0" borderId="0" xfId="0" applyFont="1" applyAlignment="1">
      <alignment wrapText="1"/>
    </xf>
    <xf numFmtId="0" fontId="44" fillId="0" borderId="0" xfId="0" applyFont="1" applyAlignment="1"/>
    <xf numFmtId="0" fontId="7" fillId="0" borderId="0" xfId="0" applyFont="1" applyAlignment="1">
      <alignment horizontal="left" vertical="center"/>
    </xf>
    <xf numFmtId="0" fontId="7" fillId="0" borderId="0" xfId="0" applyFont="1" applyAlignment="1">
      <alignment horizontal="center" vertical="center" wrapText="1"/>
    </xf>
    <xf numFmtId="0" fontId="7" fillId="0" borderId="0" xfId="0" applyFont="1" applyFill="1" applyAlignment="1">
      <alignment horizontal="center" vertical="center"/>
    </xf>
    <xf numFmtId="0" fontId="2" fillId="0" borderId="0" xfId="0" applyFont="1" applyFill="1" applyAlignment="1">
      <alignment horizontal="center" vertical="center"/>
    </xf>
    <xf numFmtId="0" fontId="2" fillId="24" borderId="26" xfId="0" applyFont="1" applyFill="1" applyBorder="1" applyAlignment="1">
      <alignment horizontal="right"/>
    </xf>
    <xf numFmtId="0" fontId="2" fillId="24" borderId="0" xfId="0" applyFont="1" applyFill="1" applyBorder="1" applyAlignment="1">
      <alignment horizontal="right"/>
    </xf>
    <xf numFmtId="0" fontId="2" fillId="0" borderId="0" xfId="0" applyFont="1" applyBorder="1" applyAlignment="1">
      <alignment vertical="center"/>
    </xf>
    <xf numFmtId="0" fontId="7" fillId="0" borderId="0" xfId="0" applyFont="1" applyAlignment="1">
      <alignment vertical="center" wrapText="1"/>
    </xf>
    <xf numFmtId="0" fontId="2" fillId="24" borderId="3" xfId="0" applyFont="1" applyFill="1" applyBorder="1">
      <alignment vertical="center"/>
    </xf>
    <xf numFmtId="0" fontId="15" fillId="0" borderId="0" xfId="0" applyFont="1" applyFill="1">
      <alignment vertical="center"/>
    </xf>
    <xf numFmtId="0" fontId="7" fillId="0" borderId="0" xfId="0" applyFont="1" applyFill="1">
      <alignment vertical="center"/>
    </xf>
    <xf numFmtId="0" fontId="2" fillId="0" borderId="0" xfId="0" applyFont="1" applyFill="1" applyAlignment="1">
      <alignment horizontal="center"/>
    </xf>
    <xf numFmtId="0" fontId="0" fillId="0" borderId="0" xfId="0" applyFill="1">
      <alignment vertical="center"/>
    </xf>
    <xf numFmtId="0" fontId="11" fillId="0" borderId="0" xfId="0" applyFont="1" applyFill="1">
      <alignment vertical="center"/>
    </xf>
    <xf numFmtId="0" fontId="7" fillId="0" borderId="0" xfId="0" applyFont="1" applyFill="1" applyAlignment="1">
      <alignment vertical="center"/>
    </xf>
    <xf numFmtId="0" fontId="7" fillId="0" borderId="0" xfId="0" applyFont="1" applyFill="1" applyBorder="1" applyAlignment="1">
      <alignment vertical="center"/>
    </xf>
    <xf numFmtId="0" fontId="2" fillId="0" borderId="0" xfId="0" applyFont="1" applyFill="1" applyAlignment="1">
      <alignment vertical="center" wrapText="1"/>
    </xf>
    <xf numFmtId="0" fontId="2" fillId="0" borderId="3" xfId="0" applyFont="1" applyFill="1" applyBorder="1" applyAlignment="1">
      <alignment vertical="center" wrapText="1"/>
    </xf>
    <xf numFmtId="0" fontId="2" fillId="0" borderId="0" xfId="0" applyFont="1" applyFill="1">
      <alignment vertical="center"/>
    </xf>
    <xf numFmtId="0" fontId="7" fillId="0" borderId="0" xfId="0" applyFont="1" applyFill="1" applyAlignment="1">
      <alignment vertical="center" wrapText="1"/>
    </xf>
    <xf numFmtId="0" fontId="102" fillId="24" borderId="5" xfId="0" applyFont="1" applyFill="1" applyBorder="1" applyAlignment="1">
      <alignment vertical="center"/>
    </xf>
    <xf numFmtId="0" fontId="2" fillId="24" borderId="0" xfId="0" applyFont="1" applyFill="1">
      <alignment vertical="center"/>
    </xf>
    <xf numFmtId="0" fontId="57" fillId="0" borderId="0" xfId="0" applyFont="1" applyFill="1" applyAlignment="1">
      <alignment vertical="center" wrapText="1"/>
    </xf>
    <xf numFmtId="0" fontId="2" fillId="0" borderId="0" xfId="0" applyFont="1" applyFill="1" applyAlignment="1">
      <alignment horizontal="center" vertical="center" wrapText="1"/>
    </xf>
    <xf numFmtId="0" fontId="2" fillId="26" borderId="3" xfId="0" applyFont="1" applyFill="1" applyBorder="1" applyAlignment="1">
      <alignment vertical="center" wrapText="1"/>
    </xf>
    <xf numFmtId="0" fontId="57" fillId="24" borderId="3" xfId="0" applyFont="1" applyFill="1" applyBorder="1" applyAlignment="1">
      <alignment vertical="center" wrapText="1"/>
    </xf>
    <xf numFmtId="0" fontId="59" fillId="0" borderId="0" xfId="0" applyFont="1" applyFill="1" applyAlignment="1">
      <alignment vertical="center" wrapText="1"/>
    </xf>
    <xf numFmtId="0" fontId="15" fillId="0" borderId="0" xfId="0" applyFont="1" applyFill="1" applyAlignment="1">
      <alignment vertical="center"/>
    </xf>
    <xf numFmtId="0" fontId="11" fillId="0" borderId="0" xfId="0" applyFont="1" applyFill="1" applyAlignment="1">
      <alignment vertical="center"/>
    </xf>
    <xf numFmtId="0" fontId="2" fillId="26" borderId="3" xfId="0" applyFont="1" applyFill="1" applyBorder="1" applyAlignment="1">
      <alignment vertical="center"/>
    </xf>
    <xf numFmtId="0" fontId="57" fillId="0" borderId="0" xfId="0" applyFont="1" applyFill="1">
      <alignment vertical="center"/>
    </xf>
    <xf numFmtId="0" fontId="14" fillId="0" borderId="0" xfId="0" applyFont="1" applyFill="1" applyAlignment="1">
      <alignment vertical="center"/>
    </xf>
    <xf numFmtId="0" fontId="14" fillId="0" borderId="0" xfId="0" applyFont="1" applyFill="1" applyAlignment="1">
      <alignment vertical="center" wrapText="1"/>
    </xf>
    <xf numFmtId="0" fontId="57" fillId="0" borderId="0" xfId="0" applyFont="1" applyFill="1" applyAlignment="1">
      <alignment vertical="center"/>
    </xf>
    <xf numFmtId="185" fontId="165" fillId="25" borderId="109" xfId="0" applyNumberFormat="1" applyFont="1" applyFill="1" applyBorder="1" applyProtection="1">
      <alignment vertical="center"/>
      <protection locked="0"/>
    </xf>
    <xf numFmtId="185" fontId="165" fillId="21" borderId="109" xfId="0" applyNumberFormat="1" applyFont="1" applyFill="1" applyBorder="1" applyProtection="1">
      <alignment vertical="center"/>
    </xf>
    <xf numFmtId="0" fontId="2" fillId="18" borderId="109" xfId="0" applyFont="1" applyFill="1" applyBorder="1" applyAlignment="1" applyProtection="1">
      <alignment horizontal="center" vertical="center"/>
    </xf>
    <xf numFmtId="185" fontId="165" fillId="0" borderId="109" xfId="0" applyNumberFormat="1" applyFont="1" applyFill="1" applyBorder="1" applyProtection="1">
      <alignment vertical="center"/>
      <protection locked="0"/>
    </xf>
    <xf numFmtId="185" fontId="165" fillId="38" borderId="109" xfId="0" applyNumberFormat="1" applyFont="1" applyFill="1" applyBorder="1" applyProtection="1">
      <alignment vertical="center"/>
    </xf>
    <xf numFmtId="0" fontId="0" fillId="18" borderId="0" xfId="0" applyFill="1" applyAlignment="1">
      <alignment vertical="center"/>
    </xf>
    <xf numFmtId="185" fontId="165" fillId="0" borderId="109" xfId="0" applyNumberFormat="1" applyFont="1" applyBorder="1" applyProtection="1">
      <alignment vertical="center"/>
      <protection locked="0"/>
    </xf>
    <xf numFmtId="0" fontId="2" fillId="18" borderId="103" xfId="0" applyFont="1" applyFill="1" applyBorder="1" applyAlignment="1" applyProtection="1">
      <alignment horizontal="left" vertical="center"/>
      <protection locked="0"/>
    </xf>
    <xf numFmtId="0" fontId="2" fillId="21" borderId="107" xfId="0" applyFont="1" applyFill="1" applyBorder="1" applyAlignment="1" applyProtection="1">
      <alignment horizontal="center" vertical="center"/>
    </xf>
    <xf numFmtId="185" fontId="165" fillId="0" borderId="103" xfId="0" applyNumberFormat="1" applyFont="1" applyFill="1" applyBorder="1" applyProtection="1">
      <alignment vertical="center"/>
      <protection locked="0"/>
    </xf>
    <xf numFmtId="185" fontId="165" fillId="0" borderId="103" xfId="0" applyNumberFormat="1" applyFont="1" applyBorder="1" applyProtection="1">
      <alignment vertical="center"/>
      <protection locked="0"/>
    </xf>
    <xf numFmtId="185" fontId="165" fillId="21" borderId="103" xfId="0" applyNumberFormat="1" applyFont="1" applyFill="1" applyBorder="1" applyProtection="1">
      <alignment vertical="center"/>
    </xf>
    <xf numFmtId="185" fontId="2" fillId="0" borderId="116" xfId="0" applyNumberFormat="1" applyFont="1" applyFill="1" applyBorder="1" applyAlignment="1" applyProtection="1">
      <alignment horizontal="center" vertical="center"/>
    </xf>
    <xf numFmtId="0" fontId="2" fillId="18" borderId="118" xfId="0" applyFont="1" applyFill="1" applyBorder="1" applyProtection="1">
      <alignment vertical="center"/>
      <protection locked="0"/>
    </xf>
    <xf numFmtId="185" fontId="2" fillId="0" borderId="119" xfId="0" applyNumberFormat="1" applyFont="1" applyFill="1" applyBorder="1" applyAlignment="1" applyProtection="1">
      <alignment horizontal="center" vertical="center"/>
    </xf>
    <xf numFmtId="0" fontId="2" fillId="18" borderId="120" xfId="0" applyFont="1" applyFill="1" applyBorder="1" applyProtection="1">
      <alignment vertical="center"/>
      <protection locked="0"/>
    </xf>
    <xf numFmtId="185" fontId="165" fillId="0" borderId="120" xfId="0" applyNumberFormat="1" applyFont="1" applyFill="1" applyBorder="1" applyProtection="1">
      <alignment vertical="center"/>
    </xf>
    <xf numFmtId="0" fontId="2" fillId="18" borderId="107" xfId="0" applyFont="1" applyFill="1" applyBorder="1" applyProtection="1">
      <alignment vertical="center"/>
      <protection locked="0"/>
    </xf>
    <xf numFmtId="0" fontId="0" fillId="0" borderId="0" xfId="0" applyFont="1" applyFill="1" applyBorder="1" applyAlignment="1" applyProtection="1">
      <alignment vertical="center"/>
      <protection locked="0"/>
    </xf>
    <xf numFmtId="0" fontId="7" fillId="25" borderId="0" xfId="0" applyFont="1" applyFill="1" applyBorder="1" applyProtection="1">
      <alignment vertical="center"/>
      <protection locked="0"/>
    </xf>
    <xf numFmtId="177" fontId="2" fillId="21" borderId="115" xfId="0" applyNumberFormat="1" applyFont="1" applyFill="1" applyBorder="1" applyAlignment="1" applyProtection="1">
      <alignment horizontal="center" vertical="center"/>
    </xf>
    <xf numFmtId="177" fontId="2" fillId="18" borderId="115" xfId="0" applyNumberFormat="1" applyFont="1" applyFill="1" applyBorder="1" applyAlignment="1" applyProtection="1">
      <alignment horizontal="center" vertical="center"/>
      <protection locked="0"/>
    </xf>
    <xf numFmtId="10" fontId="165" fillId="19" borderId="103" xfId="0" applyNumberFormat="1" applyFont="1" applyFill="1" applyBorder="1" applyAlignment="1" applyProtection="1">
      <alignment vertical="center"/>
    </xf>
    <xf numFmtId="185" fontId="2" fillId="0" borderId="116" xfId="0" applyNumberFormat="1" applyFont="1" applyFill="1" applyBorder="1" applyAlignment="1" applyProtection="1">
      <alignment vertical="center"/>
      <protection locked="0"/>
    </xf>
    <xf numFmtId="10" fontId="165" fillId="19" borderId="118" xfId="0" applyNumberFormat="1" applyFont="1" applyFill="1" applyBorder="1" applyAlignment="1" applyProtection="1">
      <alignment vertical="center"/>
    </xf>
    <xf numFmtId="185" fontId="2" fillId="0" borderId="119" xfId="0" applyNumberFormat="1" applyFont="1" applyFill="1" applyBorder="1" applyAlignment="1" applyProtection="1">
      <alignment vertical="center"/>
      <protection locked="0"/>
    </xf>
    <xf numFmtId="10" fontId="165" fillId="19" borderId="120" xfId="0" applyNumberFormat="1" applyFont="1" applyFill="1" applyBorder="1" applyAlignment="1" applyProtection="1">
      <alignment vertical="center"/>
    </xf>
    <xf numFmtId="185" fontId="2" fillId="0" borderId="160" xfId="0" applyNumberFormat="1" applyFont="1" applyFill="1" applyBorder="1" applyAlignment="1" applyProtection="1">
      <alignment vertical="center"/>
      <protection locked="0"/>
    </xf>
    <xf numFmtId="185" fontId="2" fillId="0" borderId="105" xfId="0" applyNumberFormat="1" applyFont="1" applyFill="1" applyBorder="1" applyAlignment="1" applyProtection="1">
      <alignment vertical="center"/>
      <protection locked="0"/>
    </xf>
    <xf numFmtId="185" fontId="2" fillId="0" borderId="108" xfId="0" applyNumberFormat="1" applyFont="1" applyFill="1" applyBorder="1" applyAlignment="1" applyProtection="1">
      <alignment vertical="center"/>
      <protection locked="0"/>
    </xf>
    <xf numFmtId="0" fontId="2" fillId="19" borderId="108" xfId="0" applyFont="1" applyFill="1" applyBorder="1" applyAlignment="1" applyProtection="1">
      <alignment horizontal="center" vertical="center"/>
    </xf>
    <xf numFmtId="0" fontId="2" fillId="18" borderId="129" xfId="0" applyFont="1" applyFill="1" applyBorder="1" applyAlignment="1" applyProtection="1">
      <alignment vertical="center" wrapText="1"/>
      <protection locked="0"/>
    </xf>
    <xf numFmtId="0" fontId="2" fillId="18" borderId="149" xfId="0" applyFont="1" applyFill="1" applyBorder="1" applyAlignment="1" applyProtection="1">
      <alignment vertical="center" wrapText="1"/>
      <protection locked="0"/>
    </xf>
    <xf numFmtId="0" fontId="204" fillId="25" borderId="0" xfId="0" applyFont="1" applyFill="1" applyProtection="1">
      <alignment vertical="center"/>
      <protection locked="0"/>
    </xf>
    <xf numFmtId="0" fontId="9" fillId="25" borderId="0" xfId="0" applyFont="1" applyFill="1" applyBorder="1" applyProtection="1">
      <alignment vertical="center"/>
      <protection locked="0"/>
    </xf>
    <xf numFmtId="0" fontId="2" fillId="0" borderId="149" xfId="0" applyFont="1" applyFill="1" applyBorder="1" applyAlignment="1" applyProtection="1">
      <alignment vertical="center" wrapText="1"/>
      <protection locked="0"/>
    </xf>
    <xf numFmtId="0" fontId="2" fillId="0" borderId="132" xfId="0" applyFont="1" applyFill="1" applyBorder="1" applyAlignment="1" applyProtection="1">
      <alignment horizontal="center" vertical="center"/>
      <protection locked="0"/>
    </xf>
    <xf numFmtId="185" fontId="165" fillId="0" borderId="107" xfId="0" applyNumberFormat="1" applyFont="1" applyFill="1" applyBorder="1" applyAlignment="1" applyProtection="1">
      <alignment horizontal="center" vertical="center"/>
      <protection locked="0"/>
    </xf>
    <xf numFmtId="0" fontId="2" fillId="25" borderId="0" xfId="0" applyFont="1" applyFill="1" applyProtection="1">
      <alignment vertical="center"/>
      <protection locked="0"/>
    </xf>
    <xf numFmtId="0" fontId="2" fillId="21" borderId="149" xfId="0" applyFont="1" applyFill="1" applyBorder="1" applyProtection="1">
      <alignment vertical="center"/>
    </xf>
    <xf numFmtId="0" fontId="2" fillId="21" borderId="149" xfId="0" applyFont="1" applyFill="1" applyBorder="1" applyProtection="1">
      <alignment vertical="center"/>
      <protection locked="0"/>
    </xf>
    <xf numFmtId="0" fontId="0" fillId="25" borderId="0" xfId="0" applyFill="1" applyBorder="1" applyProtection="1">
      <alignment vertical="center"/>
      <protection locked="0"/>
    </xf>
    <xf numFmtId="0" fontId="2" fillId="18" borderId="149" xfId="0" applyFont="1" applyFill="1" applyBorder="1" applyProtection="1">
      <alignment vertical="center"/>
      <protection locked="0"/>
    </xf>
    <xf numFmtId="0" fontId="2" fillId="25" borderId="0" xfId="0" applyFont="1" applyFill="1" applyBorder="1" applyProtection="1">
      <alignment vertical="center"/>
      <protection locked="0"/>
    </xf>
    <xf numFmtId="0" fontId="179" fillId="18" borderId="149" xfId="0" applyFont="1" applyFill="1" applyBorder="1" applyProtection="1">
      <alignment vertical="center"/>
      <protection locked="0"/>
    </xf>
    <xf numFmtId="0" fontId="2" fillId="0" borderId="132" xfId="0" applyFont="1" applyFill="1" applyBorder="1" applyAlignment="1" applyProtection="1">
      <alignment vertical="center" wrapText="1"/>
      <protection locked="0"/>
    </xf>
    <xf numFmtId="0" fontId="2" fillId="0" borderId="116" xfId="0" applyFont="1" applyFill="1" applyBorder="1" applyAlignment="1" applyProtection="1">
      <alignment vertical="center" wrapText="1"/>
      <protection locked="0"/>
    </xf>
    <xf numFmtId="0" fontId="2" fillId="0" borderId="108" xfId="0" applyFont="1" applyFill="1" applyBorder="1" applyAlignment="1" applyProtection="1">
      <alignment vertical="center" wrapText="1"/>
      <protection locked="0"/>
    </xf>
    <xf numFmtId="0" fontId="2" fillId="0" borderId="105" xfId="0" applyFont="1" applyFill="1" applyBorder="1" applyAlignment="1" applyProtection="1">
      <alignment vertical="center" wrapText="1"/>
      <protection locked="0"/>
    </xf>
    <xf numFmtId="0" fontId="2" fillId="0" borderId="108" xfId="0" applyFont="1" applyFill="1" applyBorder="1" applyAlignment="1" applyProtection="1">
      <alignment vertical="center"/>
      <protection locked="0"/>
    </xf>
    <xf numFmtId="0" fontId="2" fillId="0" borderId="112" xfId="0" applyFont="1" applyFill="1" applyBorder="1" applyAlignment="1" applyProtection="1">
      <alignment horizontal="center" vertical="center"/>
      <protection locked="0"/>
    </xf>
    <xf numFmtId="0" fontId="22" fillId="18" borderId="0" xfId="0" applyFont="1" applyFill="1" applyProtection="1">
      <alignment vertical="center"/>
      <protection locked="0"/>
    </xf>
    <xf numFmtId="0" fontId="2" fillId="0" borderId="108" xfId="0" applyFont="1" applyFill="1" applyBorder="1" applyAlignment="1" applyProtection="1">
      <alignment horizontal="center"/>
      <protection locked="0"/>
    </xf>
    <xf numFmtId="185" fontId="165" fillId="20" borderId="118" xfId="0" applyNumberFormat="1" applyFont="1" applyFill="1" applyBorder="1" applyAlignment="1" applyProtection="1">
      <alignment vertical="center"/>
      <protection locked="0"/>
    </xf>
    <xf numFmtId="0" fontId="14" fillId="18" borderId="113" xfId="0" applyFont="1" applyFill="1" applyBorder="1" applyAlignment="1" applyProtection="1">
      <alignment horizontal="center" vertical="center"/>
      <protection locked="0"/>
    </xf>
    <xf numFmtId="0" fontId="44" fillId="0" borderId="0" xfId="0" applyFont="1" applyFill="1" applyBorder="1" applyAlignment="1" applyProtection="1">
      <alignment vertical="center"/>
      <protection locked="0"/>
    </xf>
    <xf numFmtId="0" fontId="2" fillId="0" borderId="0" xfId="0" applyFont="1" applyFill="1" applyBorder="1" applyAlignment="1" applyProtection="1">
      <alignment vertical="center" wrapText="1"/>
      <protection locked="0"/>
    </xf>
    <xf numFmtId="0" fontId="2" fillId="0" borderId="120" xfId="0" applyFont="1" applyFill="1" applyBorder="1" applyAlignment="1" applyProtection="1">
      <alignment horizontal="center" vertical="center"/>
      <protection locked="0"/>
    </xf>
    <xf numFmtId="9" fontId="2" fillId="0" borderId="120" xfId="0" applyNumberFormat="1" applyFont="1" applyFill="1" applyBorder="1" applyAlignment="1" applyProtection="1">
      <alignment horizontal="center" vertical="center"/>
      <protection locked="0"/>
    </xf>
    <xf numFmtId="0" fontId="180" fillId="0" borderId="0" xfId="0" applyFont="1" applyAlignment="1">
      <alignment vertical="center"/>
    </xf>
    <xf numFmtId="0" fontId="2" fillId="18" borderId="129" xfId="0" applyFont="1" applyFill="1" applyBorder="1" applyAlignment="1" applyProtection="1">
      <alignment horizontal="center" vertical="center" wrapText="1"/>
      <protection hidden="1"/>
    </xf>
    <xf numFmtId="0" fontId="2" fillId="18" borderId="103" xfId="0" applyFont="1" applyFill="1" applyBorder="1" applyAlignment="1" applyProtection="1">
      <alignment horizontal="center" vertical="center" wrapText="1"/>
      <protection hidden="1"/>
    </xf>
    <xf numFmtId="188" fontId="2" fillId="18" borderId="103" xfId="0" applyNumberFormat="1" applyFont="1" applyFill="1" applyBorder="1" applyAlignment="1" applyProtection="1">
      <alignment horizontal="center" vertical="center" wrapText="1"/>
      <protection hidden="1"/>
    </xf>
    <xf numFmtId="0" fontId="2" fillId="18" borderId="157" xfId="0" applyFont="1" applyFill="1" applyBorder="1" applyAlignment="1" applyProtection="1">
      <alignment horizontal="center" vertical="center" wrapText="1"/>
      <protection hidden="1"/>
    </xf>
    <xf numFmtId="0" fontId="2" fillId="18" borderId="104" xfId="0" applyFont="1" applyFill="1" applyBorder="1" applyAlignment="1" applyProtection="1">
      <alignment horizontal="center" vertical="center" wrapText="1"/>
      <protection hidden="1"/>
    </xf>
    <xf numFmtId="0" fontId="2" fillId="0" borderId="104" xfId="0" applyFont="1" applyFill="1" applyBorder="1" applyAlignment="1" applyProtection="1">
      <alignment horizontal="center" vertical="center" wrapText="1"/>
      <protection hidden="1"/>
    </xf>
    <xf numFmtId="188" fontId="2" fillId="0" borderId="104" xfId="0" applyNumberFormat="1" applyFont="1" applyFill="1" applyBorder="1" applyAlignment="1" applyProtection="1">
      <alignment horizontal="center" vertical="center" wrapText="1"/>
      <protection hidden="1"/>
    </xf>
    <xf numFmtId="185" fontId="165" fillId="21" borderId="118" xfId="0" applyNumberFormat="1" applyFont="1" applyFill="1" applyBorder="1" applyAlignment="1" applyProtection="1">
      <alignment horizontal="right" vertical="center" wrapText="1"/>
      <protection hidden="1"/>
    </xf>
    <xf numFmtId="0" fontId="2" fillId="0" borderId="105" xfId="0" applyFont="1" applyFill="1" applyBorder="1" applyAlignment="1" applyProtection="1">
      <alignment horizontal="center" vertical="center"/>
      <protection locked="0"/>
    </xf>
    <xf numFmtId="185" fontId="165" fillId="0" borderId="118" xfId="0" applyNumberFormat="1" applyFont="1" applyFill="1" applyBorder="1" applyAlignment="1" applyProtection="1">
      <alignment horizontal="right" vertical="center" wrapText="1"/>
      <protection locked="0"/>
    </xf>
    <xf numFmtId="0" fontId="2" fillId="18" borderId="149" xfId="0" applyFont="1" applyFill="1" applyBorder="1" applyAlignment="1" applyProtection="1">
      <alignment horizontal="center" vertical="center" wrapText="1"/>
      <protection hidden="1"/>
    </xf>
    <xf numFmtId="0" fontId="2" fillId="18" borderId="118" xfId="0" applyFont="1" applyFill="1" applyBorder="1" applyAlignment="1" applyProtection="1">
      <alignment horizontal="center" vertical="center" wrapText="1"/>
      <protection hidden="1"/>
    </xf>
    <xf numFmtId="185" fontId="218" fillId="21" borderId="118" xfId="0" applyNumberFormat="1" applyFont="1" applyFill="1" applyBorder="1" applyProtection="1">
      <alignment vertical="center"/>
      <protection hidden="1"/>
    </xf>
    <xf numFmtId="185" fontId="218" fillId="21" borderId="118" xfId="0" applyNumberFormat="1" applyFont="1" applyFill="1" applyBorder="1" applyProtection="1">
      <alignment vertical="center"/>
      <protection locked="0"/>
    </xf>
    <xf numFmtId="185" fontId="165" fillId="0" borderId="118" xfId="0" applyNumberFormat="1" applyFont="1" applyFill="1" applyBorder="1" applyAlignment="1" applyProtection="1">
      <alignment horizontal="center"/>
      <protection locked="0"/>
    </xf>
    <xf numFmtId="185" fontId="165" fillId="19" borderId="118" xfId="0" applyNumberFormat="1" applyFont="1" applyFill="1" applyBorder="1" applyAlignment="1" applyProtection="1">
      <alignment horizontal="right" vertical="center" wrapText="1"/>
      <protection hidden="1"/>
    </xf>
    <xf numFmtId="0" fontId="2" fillId="18" borderId="118" xfId="0" applyFont="1" applyFill="1" applyBorder="1" applyAlignment="1" applyProtection="1">
      <alignment horizontal="center" vertical="center" wrapText="1"/>
      <protection locked="0"/>
    </xf>
    <xf numFmtId="185" fontId="218" fillId="0" borderId="118" xfId="0" applyNumberFormat="1" applyFont="1" applyFill="1" applyBorder="1" applyAlignment="1" applyProtection="1">
      <alignment horizontal="right" vertical="center" wrapText="1"/>
      <protection locked="0"/>
    </xf>
    <xf numFmtId="0" fontId="2" fillId="18" borderId="132" xfId="0" applyFont="1" applyFill="1" applyBorder="1" applyAlignment="1" applyProtection="1">
      <alignment vertical="center" wrapText="1"/>
      <protection hidden="1"/>
    </xf>
    <xf numFmtId="0" fontId="2" fillId="18" borderId="107" xfId="0" applyFont="1" applyFill="1" applyBorder="1" applyAlignment="1" applyProtection="1">
      <alignment horizontal="center" vertical="center" wrapText="1"/>
      <protection hidden="1"/>
    </xf>
    <xf numFmtId="185" fontId="165" fillId="21" borderId="107" xfId="0" applyNumberFormat="1" applyFont="1" applyFill="1" applyBorder="1" applyAlignment="1" applyProtection="1">
      <alignment horizontal="right" vertical="center" wrapText="1"/>
      <protection hidden="1"/>
    </xf>
    <xf numFmtId="0" fontId="2" fillId="18" borderId="116" xfId="0" applyFont="1" applyFill="1" applyBorder="1" applyAlignment="1" applyProtection="1">
      <alignment vertical="center"/>
      <protection hidden="1"/>
    </xf>
    <xf numFmtId="188" fontId="2" fillId="18" borderId="118" xfId="0" applyNumberFormat="1" applyFont="1" applyFill="1" applyBorder="1" applyAlignment="1" applyProtection="1">
      <alignment horizontal="center" vertical="center"/>
      <protection hidden="1"/>
    </xf>
    <xf numFmtId="0" fontId="2" fillId="18" borderId="118" xfId="0" applyFont="1" applyFill="1" applyBorder="1" applyAlignment="1" applyProtection="1">
      <alignment horizontal="center" vertical="center"/>
      <protection hidden="1"/>
    </xf>
    <xf numFmtId="0" fontId="2" fillId="18" borderId="119" xfId="0" applyFont="1" applyFill="1" applyBorder="1" applyAlignment="1" applyProtection="1">
      <alignment horizontal="center" vertical="center"/>
      <protection hidden="1"/>
    </xf>
    <xf numFmtId="0" fontId="2" fillId="18" borderId="129" xfId="0" applyFont="1" applyFill="1" applyBorder="1" applyAlignment="1" applyProtection="1">
      <alignment horizontal="center" vertical="center"/>
      <protection hidden="1"/>
    </xf>
    <xf numFmtId="49" fontId="2" fillId="18" borderId="103" xfId="0" applyNumberFormat="1" applyFont="1" applyFill="1" applyBorder="1" applyAlignment="1" applyProtection="1">
      <alignment vertical="center"/>
      <protection hidden="1"/>
    </xf>
    <xf numFmtId="185" fontId="165" fillId="21" borderId="103" xfId="0" applyNumberFormat="1" applyFont="1" applyFill="1" applyBorder="1" applyAlignment="1" applyProtection="1">
      <alignment vertical="center"/>
      <protection hidden="1"/>
    </xf>
    <xf numFmtId="0" fontId="2" fillId="0" borderId="103" xfId="0" applyFont="1" applyBorder="1" applyAlignment="1" applyProtection="1">
      <alignment horizontal="center" vertical="center"/>
      <protection hidden="1"/>
    </xf>
    <xf numFmtId="185" fontId="165" fillId="21" borderId="103" xfId="0" applyNumberFormat="1" applyFont="1" applyFill="1" applyBorder="1" applyAlignment="1" applyProtection="1">
      <alignment horizontal="right" vertical="center"/>
      <protection hidden="1"/>
    </xf>
    <xf numFmtId="192" fontId="2" fillId="25" borderId="116" xfId="0" applyNumberFormat="1"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hidden="1"/>
    </xf>
    <xf numFmtId="0" fontId="2" fillId="18" borderId="118" xfId="0" applyFont="1" applyFill="1" applyBorder="1" applyAlignment="1" applyProtection="1">
      <alignment vertical="center"/>
      <protection hidden="1"/>
    </xf>
    <xf numFmtId="185" fontId="165" fillId="0" borderId="118" xfId="0" applyNumberFormat="1" applyFont="1" applyFill="1" applyBorder="1" applyAlignment="1" applyProtection="1">
      <alignment vertical="center"/>
      <protection locked="0"/>
    </xf>
    <xf numFmtId="185" fontId="165" fillId="21" borderId="118" xfId="0" applyNumberFormat="1" applyFont="1" applyFill="1" applyBorder="1" applyAlignment="1" applyProtection="1">
      <alignment vertical="center"/>
      <protection hidden="1"/>
    </xf>
    <xf numFmtId="185" fontId="165" fillId="21" borderId="118" xfId="0" applyNumberFormat="1" applyFont="1" applyFill="1" applyBorder="1" applyAlignment="1" applyProtection="1">
      <alignment horizontal="right" vertical="center"/>
      <protection hidden="1"/>
    </xf>
    <xf numFmtId="192" fontId="165" fillId="0" borderId="119" xfId="0" applyNumberFormat="1" applyFont="1" applyFill="1" applyBorder="1" applyAlignment="1" applyProtection="1">
      <alignment vertical="center"/>
      <protection locked="0"/>
    </xf>
    <xf numFmtId="0" fontId="2" fillId="18" borderId="118" xfId="0" applyFont="1" applyFill="1" applyBorder="1" applyAlignment="1" applyProtection="1">
      <alignment vertical="center" wrapText="1"/>
      <protection hidden="1"/>
    </xf>
    <xf numFmtId="0" fontId="2" fillId="0" borderId="118" xfId="0" applyFont="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locked="0"/>
    </xf>
    <xf numFmtId="10" fontId="2" fillId="18" borderId="118" xfId="0" applyNumberFormat="1" applyFont="1" applyFill="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hidden="1"/>
    </xf>
    <xf numFmtId="0" fontId="7" fillId="18" borderId="149" xfId="0" applyFont="1" applyFill="1" applyBorder="1" applyAlignment="1">
      <alignment horizontal="center" vertical="center"/>
    </xf>
    <xf numFmtId="0" fontId="2" fillId="0" borderId="118" xfId="0" applyFont="1" applyFill="1" applyBorder="1" applyAlignment="1" applyProtection="1">
      <alignment vertical="center"/>
      <protection hidden="1"/>
    </xf>
    <xf numFmtId="192" fontId="2" fillId="0" borderId="118" xfId="0" applyNumberFormat="1" applyFont="1" applyFill="1" applyBorder="1" applyAlignment="1" applyProtection="1">
      <alignment vertical="center"/>
      <protection hidden="1"/>
    </xf>
    <xf numFmtId="0" fontId="2" fillId="0" borderId="118" xfId="0" applyFont="1" applyFill="1" applyBorder="1" applyAlignment="1" applyProtection="1">
      <alignment horizontal="center" vertical="center"/>
      <protection hidden="1"/>
    </xf>
    <xf numFmtId="0" fontId="2" fillId="18" borderId="132" xfId="0" applyFont="1" applyFill="1" applyBorder="1" applyAlignment="1" applyProtection="1">
      <alignment horizontal="center" vertical="center"/>
      <protection hidden="1"/>
    </xf>
    <xf numFmtId="0" fontId="2" fillId="0" borderId="107" xfId="0" applyFont="1" applyFill="1" applyBorder="1" applyAlignment="1" applyProtection="1">
      <alignment vertical="center"/>
      <protection locked="0"/>
    </xf>
    <xf numFmtId="192" fontId="2" fillId="0" borderId="107" xfId="0" applyNumberFormat="1" applyFont="1" applyFill="1" applyBorder="1" applyAlignment="1" applyProtection="1">
      <alignment vertical="center"/>
      <protection locked="0"/>
    </xf>
    <xf numFmtId="185" fontId="165" fillId="0" borderId="107" xfId="0" applyNumberFormat="1" applyFont="1" applyFill="1" applyBorder="1" applyAlignment="1" applyProtection="1">
      <alignment vertical="center"/>
      <protection locked="0"/>
    </xf>
    <xf numFmtId="185" fontId="165" fillId="21" borderId="107" xfId="0" applyNumberFormat="1" applyFont="1" applyFill="1" applyBorder="1" applyAlignment="1" applyProtection="1">
      <alignment horizontal="right" vertical="center"/>
      <protection hidden="1"/>
    </xf>
    <xf numFmtId="192" fontId="165" fillId="0" borderId="108" xfId="0" applyNumberFormat="1" applyFont="1" applyFill="1" applyBorder="1" applyAlignment="1" applyProtection="1">
      <alignment vertical="center"/>
      <protection locked="0"/>
    </xf>
    <xf numFmtId="0" fontId="2" fillId="0" borderId="111" xfId="0" applyFont="1" applyBorder="1" applyAlignment="1" applyProtection="1">
      <alignment vertical="center"/>
      <protection hidden="1"/>
    </xf>
    <xf numFmtId="185" fontId="165" fillId="21" borderId="111" xfId="0" applyNumberFormat="1" applyFont="1" applyFill="1" applyBorder="1" applyAlignment="1" applyProtection="1">
      <alignment vertical="center"/>
      <protection hidden="1"/>
    </xf>
    <xf numFmtId="192" fontId="165" fillId="0" borderId="112" xfId="0" applyNumberFormat="1" applyFont="1" applyFill="1" applyBorder="1" applyAlignment="1" applyProtection="1">
      <alignment horizontal="center" vertical="center"/>
      <protection locked="0"/>
    </xf>
    <xf numFmtId="0" fontId="182" fillId="0" borderId="0" xfId="0" applyFont="1" applyBorder="1" applyAlignment="1" applyProtection="1">
      <alignment vertical="center"/>
      <protection locked="0"/>
    </xf>
    <xf numFmtId="0" fontId="192" fillId="0" borderId="0" xfId="0" applyFont="1" applyBorder="1" applyAlignment="1" applyProtection="1">
      <alignment vertical="top" wrapText="1"/>
      <protection locked="0"/>
    </xf>
    <xf numFmtId="9" fontId="192" fillId="0" borderId="0" xfId="0" applyNumberFormat="1" applyFont="1" applyBorder="1" applyAlignment="1" applyProtection="1">
      <alignment vertical="top" wrapText="1"/>
      <protection locked="0"/>
    </xf>
    <xf numFmtId="0" fontId="184" fillId="0" borderId="0" xfId="0" applyFont="1" applyBorder="1" applyAlignment="1" applyProtection="1">
      <alignment vertical="center"/>
      <protection locked="0"/>
    </xf>
    <xf numFmtId="185" fontId="165" fillId="0" borderId="104" xfId="0" applyNumberFormat="1" applyFont="1" applyFill="1" applyBorder="1" applyAlignment="1" applyProtection="1">
      <alignment vertical="center"/>
      <protection locked="0"/>
    </xf>
    <xf numFmtId="0" fontId="219" fillId="0" borderId="0" xfId="0" applyFont="1" applyProtection="1">
      <alignment vertical="center"/>
    </xf>
    <xf numFmtId="0" fontId="7" fillId="0" borderId="0" xfId="0" applyFont="1" applyFill="1" applyBorder="1" applyAlignment="1" applyProtection="1">
      <alignment horizontal="left" vertical="center"/>
      <protection locked="0"/>
    </xf>
    <xf numFmtId="0" fontId="2" fillId="21" borderId="104" xfId="0" applyFont="1" applyFill="1" applyBorder="1" applyAlignment="1" applyProtection="1">
      <alignment vertical="center"/>
    </xf>
    <xf numFmtId="185" fontId="165" fillId="0" borderId="203" xfId="0" applyNumberFormat="1" applyFont="1" applyBorder="1" applyAlignment="1" applyProtection="1">
      <alignment vertical="center"/>
      <protection locked="0"/>
    </xf>
    <xf numFmtId="185" fontId="165" fillId="21" borderId="105" xfId="0" applyNumberFormat="1" applyFont="1" applyFill="1" applyBorder="1" applyAlignment="1" applyProtection="1">
      <alignment vertical="center"/>
    </xf>
    <xf numFmtId="0" fontId="2" fillId="21" borderId="118" xfId="0" applyFont="1" applyFill="1" applyBorder="1" applyAlignment="1" applyProtection="1">
      <alignment vertical="center"/>
    </xf>
    <xf numFmtId="0" fontId="2" fillId="21" borderId="118" xfId="0" applyFont="1" applyFill="1" applyBorder="1" applyAlignment="1" applyProtection="1">
      <alignment vertical="center" shrinkToFit="1"/>
    </xf>
    <xf numFmtId="0" fontId="2" fillId="26" borderId="118" xfId="0" applyFont="1" applyFill="1" applyBorder="1" applyAlignment="1" applyProtection="1">
      <alignment vertical="center"/>
      <protection locked="0"/>
    </xf>
    <xf numFmtId="0" fontId="2" fillId="0" borderId="118" xfId="0" applyFont="1" applyFill="1" applyBorder="1" applyAlignment="1" applyProtection="1">
      <alignment vertical="center"/>
      <protection locked="0"/>
    </xf>
    <xf numFmtId="0" fontId="2" fillId="20" borderId="121" xfId="0" applyFont="1" applyFill="1" applyBorder="1" applyAlignment="1" applyProtection="1">
      <alignment horizontal="right" vertical="center"/>
      <protection locked="0"/>
    </xf>
    <xf numFmtId="0" fontId="180" fillId="0" borderId="0" xfId="0" applyFont="1" applyAlignment="1">
      <alignment horizontal="center"/>
    </xf>
    <xf numFmtId="0" fontId="2" fillId="0" borderId="0" xfId="0" applyFont="1" applyFill="1" applyBorder="1" applyAlignment="1" applyProtection="1">
      <alignment horizontal="center" vertical="center"/>
      <protection locked="0"/>
    </xf>
    <xf numFmtId="0" fontId="2" fillId="21" borderId="118" xfId="0" applyFont="1" applyFill="1" applyBorder="1" applyAlignment="1" applyProtection="1">
      <alignment horizontal="left" vertical="center"/>
    </xf>
    <xf numFmtId="0" fontId="2" fillId="0" borderId="0" xfId="0" applyFont="1" applyAlignment="1">
      <alignment horizontal="center"/>
    </xf>
    <xf numFmtId="0" fontId="2" fillId="21" borderId="0" xfId="0" applyFont="1" applyFill="1" applyBorder="1" applyProtection="1">
      <alignment vertical="center"/>
    </xf>
    <xf numFmtId="0" fontId="2" fillId="0" borderId="118" xfId="0" applyFont="1" applyFill="1" applyBorder="1" applyAlignment="1" applyProtection="1">
      <alignment horizontal="left" vertical="center" indent="1"/>
    </xf>
    <xf numFmtId="0" fontId="2" fillId="0" borderId="118" xfId="0" applyFont="1" applyFill="1" applyBorder="1" applyAlignment="1" applyProtection="1">
      <alignment horizontal="left" vertical="center"/>
      <protection locked="0"/>
    </xf>
    <xf numFmtId="0" fontId="2" fillId="21" borderId="103" xfId="0" applyFont="1" applyFill="1" applyBorder="1" applyProtection="1">
      <alignment vertical="center"/>
    </xf>
    <xf numFmtId="0" fontId="14" fillId="0" borderId="0" xfId="0" applyFont="1" applyFill="1" applyBorder="1">
      <alignment vertical="center"/>
    </xf>
    <xf numFmtId="0" fontId="2" fillId="21" borderId="118" xfId="0" applyFont="1" applyFill="1" applyBorder="1" applyProtection="1">
      <alignment vertical="center"/>
    </xf>
    <xf numFmtId="0" fontId="2" fillId="0" borderId="0" xfId="0" applyFont="1" applyFill="1" applyBorder="1">
      <alignment vertical="center"/>
    </xf>
    <xf numFmtId="0" fontId="2" fillId="25" borderId="118" xfId="0" applyFont="1" applyFill="1" applyBorder="1" applyProtection="1">
      <alignment vertical="center"/>
      <protection locked="0"/>
    </xf>
    <xf numFmtId="0" fontId="2" fillId="25" borderId="107" xfId="0" applyFont="1" applyFill="1" applyBorder="1" applyProtection="1">
      <alignment vertical="center"/>
      <protection locked="0"/>
    </xf>
    <xf numFmtId="0" fontId="2" fillId="0" borderId="112" xfId="0" applyFont="1" applyBorder="1" applyAlignment="1" applyProtection="1">
      <alignment vertical="center"/>
      <protection locked="0"/>
    </xf>
    <xf numFmtId="0" fontId="43" fillId="0" borderId="0" xfId="0" applyFont="1" applyProtection="1">
      <alignment vertical="center"/>
      <protection locked="0"/>
    </xf>
    <xf numFmtId="0" fontId="2" fillId="0" borderId="118" xfId="0" applyFont="1" applyFill="1" applyBorder="1" applyProtection="1">
      <alignment vertical="center"/>
    </xf>
    <xf numFmtId="0" fontId="14" fillId="18" borderId="0" xfId="0" applyFont="1" applyFill="1" applyAlignment="1" applyProtection="1">
      <alignment vertical="center"/>
      <protection locked="0"/>
    </xf>
    <xf numFmtId="0" fontId="7" fillId="18" borderId="0" xfId="0" applyFont="1" applyFill="1" applyAlignment="1" applyProtection="1">
      <alignment vertical="center"/>
      <protection locked="0"/>
    </xf>
    <xf numFmtId="0" fontId="7" fillId="25" borderId="0" xfId="0" applyFont="1" applyFill="1" applyAlignment="1" applyProtection="1">
      <alignment vertical="center"/>
      <protection locked="0"/>
    </xf>
    <xf numFmtId="0" fontId="7" fillId="25" borderId="0" xfId="0" applyFont="1" applyFill="1" applyAlignment="1">
      <alignment vertical="center"/>
    </xf>
    <xf numFmtId="0" fontId="2" fillId="25" borderId="0" xfId="0" applyFont="1" applyFill="1" applyAlignment="1" applyProtection="1">
      <alignment vertical="center"/>
      <protection locked="0"/>
    </xf>
    <xf numFmtId="0" fontId="2" fillId="25" borderId="0" xfId="0" applyFont="1" applyFill="1" applyAlignment="1">
      <alignment vertical="center"/>
    </xf>
    <xf numFmtId="0" fontId="2" fillId="19" borderId="0" xfId="0" applyFont="1" applyFill="1" applyAlignment="1" applyProtection="1">
      <protection locked="0"/>
    </xf>
    <xf numFmtId="0" fontId="2" fillId="19" borderId="0" xfId="0" applyFont="1" applyFill="1" applyAlignment="1" applyProtection="1">
      <alignment horizontal="center"/>
    </xf>
    <xf numFmtId="0" fontId="2" fillId="18" borderId="0" xfId="0" applyFont="1" applyFill="1" applyAlignment="1" applyProtection="1">
      <alignment horizontal="center"/>
      <protection locked="0"/>
    </xf>
    <xf numFmtId="0" fontId="2" fillId="25" borderId="0" xfId="0" applyFont="1" applyFill="1" applyAlignment="1" applyProtection="1">
      <protection locked="0"/>
    </xf>
    <xf numFmtId="0" fontId="2" fillId="25" borderId="0" xfId="0" applyFont="1" applyFill="1" applyAlignment="1"/>
    <xf numFmtId="0" fontId="2" fillId="18" borderId="109" xfId="0" applyFont="1" applyFill="1" applyBorder="1" applyAlignment="1" applyProtection="1">
      <alignment vertical="center" wrapText="1"/>
      <protection locked="0"/>
    </xf>
    <xf numFmtId="185" fontId="2" fillId="25" borderId="109" xfId="0" applyNumberFormat="1" applyFont="1" applyFill="1" applyBorder="1" applyAlignment="1" applyProtection="1">
      <alignment vertical="center" wrapText="1"/>
      <protection locked="0"/>
    </xf>
    <xf numFmtId="185" fontId="165" fillId="19" borderId="109" xfId="0" applyNumberFormat="1" applyFont="1" applyFill="1" applyBorder="1" applyAlignment="1" applyProtection="1">
      <alignment vertical="center" wrapText="1"/>
    </xf>
    <xf numFmtId="185" fontId="165" fillId="21" borderId="109" xfId="0" applyNumberFormat="1" applyFont="1" applyFill="1" applyBorder="1" applyAlignment="1" applyProtection="1">
      <alignment vertical="center" wrapText="1"/>
    </xf>
    <xf numFmtId="185" fontId="2" fillId="25" borderId="0" xfId="0" applyNumberFormat="1" applyFont="1" applyFill="1" applyAlignment="1" applyProtection="1">
      <alignment vertical="center"/>
      <protection locked="0"/>
    </xf>
    <xf numFmtId="0" fontId="9" fillId="25" borderId="0" xfId="0" applyFont="1" applyFill="1" applyBorder="1" applyAlignment="1" applyProtection="1">
      <alignment vertical="center"/>
      <protection locked="0"/>
    </xf>
    <xf numFmtId="185" fontId="165" fillId="25" borderId="109" xfId="0" applyNumberFormat="1" applyFont="1" applyFill="1" applyBorder="1" applyAlignment="1" applyProtection="1">
      <alignment vertical="center" wrapText="1"/>
      <protection locked="0"/>
    </xf>
    <xf numFmtId="0" fontId="0" fillId="25" borderId="0" xfId="0" applyFill="1" applyProtection="1">
      <alignment vertical="center"/>
      <protection locked="0"/>
    </xf>
    <xf numFmtId="185" fontId="2" fillId="25" borderId="0" xfId="0" applyNumberFormat="1" applyFont="1" applyFill="1" applyAlignment="1">
      <alignment vertical="center"/>
    </xf>
    <xf numFmtId="185" fontId="165" fillId="21" borderId="109" xfId="0" applyNumberFormat="1" applyFont="1" applyFill="1" applyBorder="1" applyAlignment="1" applyProtection="1">
      <alignment vertical="center" wrapText="1"/>
      <protection locked="0"/>
    </xf>
    <xf numFmtId="185" fontId="165" fillId="0" borderId="109" xfId="0" applyNumberFormat="1" applyFont="1" applyFill="1" applyBorder="1" applyAlignment="1" applyProtection="1">
      <alignment vertical="center" wrapText="1"/>
    </xf>
    <xf numFmtId="0" fontId="221" fillId="0" borderId="3" xfId="0" applyFont="1" applyBorder="1" applyAlignment="1">
      <alignment horizontal="center" vertical="center"/>
    </xf>
    <xf numFmtId="0" fontId="7" fillId="0" borderId="3" xfId="0" applyFont="1" applyBorder="1">
      <alignment vertical="center"/>
    </xf>
    <xf numFmtId="0" fontId="181" fillId="27" borderId="0" xfId="4">
      <alignment vertical="center"/>
    </xf>
    <xf numFmtId="0" fontId="222" fillId="27" borderId="0" xfId="4" applyFont="1">
      <alignment vertical="center"/>
    </xf>
    <xf numFmtId="0" fontId="88" fillId="0" borderId="3" xfId="0" applyFont="1" applyBorder="1">
      <alignment vertical="center"/>
    </xf>
    <xf numFmtId="187" fontId="7" fillId="0" borderId="0" xfId="0" applyNumberFormat="1" applyFont="1" applyAlignment="1">
      <alignment horizontal="right" vertical="center"/>
    </xf>
    <xf numFmtId="0" fontId="0" fillId="0" borderId="3" xfId="0" applyBorder="1">
      <alignment vertical="center"/>
    </xf>
    <xf numFmtId="0" fontId="88" fillId="0" borderId="3" xfId="0" applyFont="1" applyFill="1" applyBorder="1">
      <alignment vertical="center"/>
    </xf>
    <xf numFmtId="0" fontId="0" fillId="0" borderId="3" xfId="0" applyFill="1" applyBorder="1">
      <alignment vertical="center"/>
    </xf>
    <xf numFmtId="0" fontId="223" fillId="0" borderId="0" xfId="0" applyFont="1" applyFill="1" applyAlignment="1">
      <alignment vertical="center"/>
    </xf>
    <xf numFmtId="0" fontId="106" fillId="0" borderId="0" xfId="0" applyFont="1" applyFill="1" applyAlignment="1">
      <alignment vertical="center"/>
    </xf>
    <xf numFmtId="0" fontId="7" fillId="42" borderId="0" xfId="0" applyFont="1" applyFill="1">
      <alignment vertical="center"/>
    </xf>
    <xf numFmtId="0" fontId="0" fillId="0" borderId="0" xfId="0" applyFill="1" applyAlignment="1">
      <alignment vertical="center"/>
    </xf>
    <xf numFmtId="0" fontId="0" fillId="0" borderId="0" xfId="0" applyAlignment="1">
      <alignment vertical="center"/>
    </xf>
    <xf numFmtId="0" fontId="2" fillId="0" borderId="0" xfId="0" applyFont="1" applyFill="1" applyAlignment="1">
      <alignment vertical="center"/>
    </xf>
    <xf numFmtId="193" fontId="0" fillId="0" borderId="0" xfId="0" applyNumberFormat="1" applyAlignment="1">
      <alignment vertical="center"/>
    </xf>
    <xf numFmtId="0" fontId="2" fillId="0" borderId="0" xfId="0" applyFont="1" applyFill="1" applyBorder="1" applyAlignment="1">
      <alignment vertical="center"/>
    </xf>
    <xf numFmtId="0" fontId="0" fillId="0" borderId="0" xfId="0" applyFill="1" applyBorder="1" applyAlignment="1">
      <alignment vertical="center"/>
    </xf>
    <xf numFmtId="49" fontId="87" fillId="0" borderId="0" xfId="0" applyNumberFormat="1" applyFont="1" applyFill="1" applyBorder="1" applyAlignment="1">
      <alignment vertical="center" wrapText="1"/>
    </xf>
    <xf numFmtId="0" fontId="2" fillId="0" borderId="0" xfId="0" applyFont="1" applyFill="1" applyBorder="1" applyAlignment="1">
      <alignment vertical="center" wrapText="1"/>
    </xf>
    <xf numFmtId="49" fontId="87" fillId="0" borderId="0" xfId="0" applyNumberFormat="1" applyFont="1" applyFill="1" applyBorder="1" applyAlignment="1">
      <alignment horizontal="left" vertical="center" wrapText="1"/>
    </xf>
    <xf numFmtId="185" fontId="227" fillId="0" borderId="0" xfId="0" applyNumberFormat="1" applyFont="1" applyFill="1" applyBorder="1" applyAlignment="1" applyProtection="1">
      <alignment horizontal="center"/>
      <protection locked="0"/>
    </xf>
    <xf numFmtId="49" fontId="87" fillId="0" borderId="3" xfId="0" applyNumberFormat="1" applyFont="1" applyFill="1" applyBorder="1" applyAlignment="1">
      <alignment horizontal="center" vertical="center" wrapText="1"/>
    </xf>
    <xf numFmtId="188" fontId="87" fillId="0" borderId="3" xfId="0" applyNumberFormat="1" applyFont="1" applyFill="1" applyBorder="1" applyAlignment="1">
      <alignment horizontal="center" vertical="center" wrapText="1"/>
    </xf>
    <xf numFmtId="0" fontId="2" fillId="0" borderId="3" xfId="0" applyFont="1" applyFill="1" applyBorder="1" applyAlignment="1">
      <alignment horizontal="center" vertical="center"/>
    </xf>
    <xf numFmtId="0" fontId="1" fillId="0" borderId="3" xfId="0" applyFont="1" applyFill="1" applyBorder="1" applyAlignment="1">
      <alignment vertical="center" wrapText="1"/>
    </xf>
    <xf numFmtId="58" fontId="0" fillId="0" borderId="0" xfId="0" quotePrefix="1" applyNumberFormat="1" applyFill="1" applyAlignment="1">
      <alignment vertical="center"/>
    </xf>
    <xf numFmtId="188" fontId="42" fillId="0" borderId="0" xfId="0" applyNumberFormat="1" applyFont="1" applyFill="1" applyBorder="1" applyAlignment="1">
      <alignment vertical="center" wrapText="1"/>
    </xf>
    <xf numFmtId="0" fontId="1" fillId="0" borderId="3" xfId="0" applyFont="1" applyFill="1" applyBorder="1" applyAlignment="1">
      <alignment horizontal="center" vertical="center"/>
    </xf>
    <xf numFmtId="0" fontId="87" fillId="0" borderId="3" xfId="0" applyFont="1" applyFill="1" applyBorder="1" applyAlignment="1">
      <alignment horizontal="center" vertical="center" wrapText="1"/>
    </xf>
    <xf numFmtId="183" fontId="42" fillId="0" borderId="3" xfId="0" applyNumberFormat="1" applyFont="1" applyFill="1" applyBorder="1" applyAlignment="1">
      <alignment horizontal="center" vertical="center" wrapText="1"/>
    </xf>
    <xf numFmtId="0" fontId="42" fillId="0" borderId="0" xfId="0" applyFont="1" applyFill="1" applyBorder="1" applyAlignment="1">
      <alignment vertical="center" wrapText="1"/>
    </xf>
    <xf numFmtId="49" fontId="42" fillId="0" borderId="0" xfId="0" applyNumberFormat="1" applyFont="1" applyFill="1" applyBorder="1" applyAlignment="1">
      <alignment horizontal="center" vertical="center" wrapText="1"/>
    </xf>
    <xf numFmtId="0" fontId="42" fillId="0" borderId="0" xfId="0" applyFont="1" applyFill="1" applyAlignment="1">
      <alignment vertical="center" wrapText="1"/>
    </xf>
    <xf numFmtId="0" fontId="42" fillId="0" borderId="0" xfId="0" applyFont="1" applyFill="1" applyBorder="1" applyAlignment="1">
      <alignment horizontal="center" vertical="center" wrapText="1"/>
    </xf>
    <xf numFmtId="0" fontId="42" fillId="0" borderId="0" xfId="0" applyFont="1" applyFill="1" applyAlignment="1">
      <alignment vertical="center" wrapText="1"/>
    </xf>
    <xf numFmtId="49" fontId="42" fillId="0" borderId="3" xfId="0" applyNumberFormat="1" applyFont="1" applyFill="1" applyBorder="1" applyAlignment="1">
      <alignment horizontal="right" vertical="center" indent="1"/>
    </xf>
    <xf numFmtId="0" fontId="42" fillId="0" borderId="3" xfId="0" applyFont="1" applyFill="1" applyBorder="1">
      <alignment vertical="center"/>
    </xf>
    <xf numFmtId="0" fontId="42" fillId="0" borderId="3" xfId="0" applyFont="1" applyFill="1" applyBorder="1" applyAlignment="1">
      <alignment horizontal="right" vertical="center" indent="1"/>
    </xf>
    <xf numFmtId="0" fontId="42" fillId="0" borderId="0" xfId="0" applyFont="1" applyFill="1" applyBorder="1" applyAlignment="1">
      <alignment horizontal="center" vertical="center" wrapText="1"/>
    </xf>
    <xf numFmtId="0" fontId="0" fillId="0" borderId="0" xfId="0" applyFill="1" applyAlignment="1">
      <alignment vertical="center"/>
    </xf>
    <xf numFmtId="0" fontId="226" fillId="37" borderId="0" xfId="0" applyFont="1" applyFill="1" applyBorder="1" applyAlignment="1">
      <alignment vertical="center" wrapText="1"/>
    </xf>
    <xf numFmtId="0" fontId="42" fillId="37" borderId="0" xfId="0" applyFont="1" applyFill="1" applyAlignment="1">
      <alignment vertical="center" wrapText="1"/>
    </xf>
    <xf numFmtId="0" fontId="0" fillId="0" borderId="0" xfId="0">
      <alignment vertical="center"/>
    </xf>
    <xf numFmtId="49" fontId="14" fillId="37" borderId="3" xfId="0" applyNumberFormat="1" applyFont="1" applyFill="1" applyBorder="1" applyAlignment="1">
      <alignment horizontal="center" vertical="center" wrapText="1"/>
    </xf>
    <xf numFmtId="188" fontId="14" fillId="37" borderId="3" xfId="0" applyNumberFormat="1" applyFont="1" applyFill="1" applyBorder="1" applyAlignment="1">
      <alignment horizontal="center" vertical="center" wrapText="1"/>
    </xf>
    <xf numFmtId="49" fontId="42" fillId="37" borderId="3" xfId="0" applyNumberFormat="1" applyFont="1" applyFill="1" applyBorder="1" applyAlignment="1">
      <alignment horizontal="center" vertical="center" wrapText="1"/>
    </xf>
    <xf numFmtId="49" fontId="42" fillId="37" borderId="3" xfId="0" applyNumberFormat="1" applyFont="1" applyFill="1" applyBorder="1" applyAlignment="1">
      <alignment vertical="center" wrapText="1"/>
    </xf>
    <xf numFmtId="188" fontId="42" fillId="37" borderId="3" xfId="0" applyNumberFormat="1" applyFont="1" applyFill="1" applyBorder="1" applyAlignment="1">
      <alignment horizontal="right" vertical="center" wrapText="1" indent="1"/>
    </xf>
    <xf numFmtId="49" fontId="0" fillId="0" borderId="3" xfId="0" applyNumberFormat="1" applyBorder="1" applyAlignment="1">
      <alignment vertical="center" wrapText="1"/>
    </xf>
    <xf numFmtId="188" fontId="0" fillId="0" borderId="3" xfId="0" applyNumberFormat="1" applyBorder="1" applyAlignment="1">
      <alignment horizontal="right" vertical="center" indent="1"/>
    </xf>
    <xf numFmtId="0" fontId="62" fillId="0" borderId="0" xfId="0" applyFont="1">
      <alignment vertical="center"/>
    </xf>
    <xf numFmtId="49" fontId="0" fillId="0" borderId="0" xfId="0" applyNumberFormat="1" applyAlignment="1">
      <alignment vertical="center" wrapText="1"/>
    </xf>
    <xf numFmtId="188" fontId="0" fillId="0" borderId="0" xfId="0" applyNumberFormat="1" applyAlignment="1">
      <alignment horizontal="right" vertical="center" indent="1"/>
    </xf>
    <xf numFmtId="0" fontId="2" fillId="0" borderId="118" xfId="0" applyFont="1" applyBorder="1" applyAlignment="1" applyProtection="1">
      <alignment horizontal="center" vertical="center"/>
      <protection locked="0"/>
    </xf>
    <xf numFmtId="0" fontId="2" fillId="0" borderId="103" xfId="0" applyFont="1" applyBorder="1" applyAlignment="1" applyProtection="1">
      <alignment horizontal="center" vertical="center"/>
      <protection locked="0"/>
    </xf>
    <xf numFmtId="185" fontId="165" fillId="21" borderId="107" xfId="0" applyNumberFormat="1" applyFont="1" applyFill="1" applyBorder="1" applyAlignment="1" applyProtection="1">
      <alignment vertical="center"/>
    </xf>
    <xf numFmtId="185" fontId="165" fillId="0" borderId="118" xfId="0" applyNumberFormat="1" applyFont="1" applyFill="1" applyBorder="1" applyAlignment="1" applyProtection="1">
      <alignment vertical="center"/>
      <protection locked="0"/>
    </xf>
    <xf numFmtId="186" fontId="165" fillId="21" borderId="118" xfId="0" applyNumberFormat="1" applyFont="1" applyFill="1" applyBorder="1" applyAlignment="1" applyProtection="1">
      <alignment horizontal="center" vertical="center"/>
    </xf>
    <xf numFmtId="185" fontId="165" fillId="21" borderId="118" xfId="0" applyNumberFormat="1" applyFont="1" applyFill="1" applyBorder="1" applyAlignment="1" applyProtection="1">
      <alignment horizontal="center" vertical="center"/>
    </xf>
    <xf numFmtId="185" fontId="165" fillId="21" borderId="119" xfId="0" applyNumberFormat="1" applyFont="1" applyFill="1" applyBorder="1" applyAlignment="1" applyProtection="1">
      <alignment vertical="center" shrinkToFit="1"/>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0" fontId="2" fillId="0" borderId="132" xfId="0" applyFont="1" applyBorder="1" applyAlignment="1" applyProtection="1">
      <alignment vertical="center"/>
      <protection locked="0"/>
    </xf>
    <xf numFmtId="185" fontId="165" fillId="0" borderId="118" xfId="0" applyNumberFormat="1" applyFont="1" applyBorder="1" applyAlignment="1" applyProtection="1">
      <alignment vertical="center"/>
      <protection locked="0"/>
    </xf>
    <xf numFmtId="185" fontId="165" fillId="0" borderId="107"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18" borderId="112" xfId="0" applyFont="1" applyFill="1" applyBorder="1" applyAlignment="1" applyProtection="1">
      <alignment horizontal="center" vertical="center"/>
    </xf>
    <xf numFmtId="185" fontId="165" fillId="21" borderId="108" xfId="0" applyNumberFormat="1" applyFont="1" applyFill="1" applyBorder="1" applyAlignment="1" applyProtection="1">
      <alignment vertical="center"/>
    </xf>
    <xf numFmtId="185" fontId="2" fillId="0" borderId="118" xfId="0" applyNumberFormat="1" applyFont="1" applyBorder="1" applyAlignment="1" applyProtection="1">
      <alignment vertical="center"/>
      <protection locked="0"/>
    </xf>
    <xf numFmtId="185" fontId="2" fillId="0" borderId="107" xfId="0" applyNumberFormat="1" applyFont="1" applyBorder="1" applyAlignment="1" applyProtection="1">
      <alignment vertical="center"/>
      <protection locked="0"/>
    </xf>
    <xf numFmtId="185" fontId="2" fillId="0" borderId="103" xfId="0" applyNumberFormat="1" applyFont="1" applyBorder="1" applyAlignment="1" applyProtection="1">
      <alignment vertical="center"/>
      <protection locked="0"/>
    </xf>
    <xf numFmtId="0" fontId="2" fillId="0" borderId="103" xfId="0" applyFont="1" applyFill="1" applyBorder="1" applyAlignment="1" applyProtection="1">
      <alignment vertical="center"/>
      <protection locked="0"/>
    </xf>
    <xf numFmtId="185" fontId="165" fillId="0" borderId="118" xfId="0" applyNumberFormat="1" applyFont="1" applyFill="1" applyBorder="1" applyAlignment="1" applyProtection="1">
      <alignment vertical="center"/>
      <protection locked="0"/>
    </xf>
    <xf numFmtId="185" fontId="165" fillId="21" borderId="107" xfId="0" applyNumberFormat="1" applyFont="1" applyFill="1" applyBorder="1" applyAlignment="1" applyProtection="1">
      <alignment vertical="center"/>
    </xf>
    <xf numFmtId="185" fontId="165" fillId="21" borderId="118" xfId="0" applyNumberFormat="1" applyFont="1" applyFill="1" applyBorder="1" applyAlignment="1" applyProtection="1">
      <alignment vertical="center"/>
    </xf>
    <xf numFmtId="185" fontId="165" fillId="21" borderId="111" xfId="0" applyNumberFormat="1" applyFont="1" applyFill="1" applyBorder="1" applyAlignment="1" applyProtection="1">
      <alignment vertical="center"/>
    </xf>
    <xf numFmtId="185" fontId="165" fillId="21" borderId="103" xfId="0" applyNumberFormat="1" applyFont="1" applyFill="1" applyBorder="1" applyAlignment="1" applyProtection="1">
      <alignment vertical="center"/>
    </xf>
    <xf numFmtId="0" fontId="2" fillId="0" borderId="119" xfId="0" applyFont="1" applyFill="1" applyBorder="1" applyAlignment="1" applyProtection="1">
      <alignment vertical="center"/>
      <protection locked="0"/>
    </xf>
    <xf numFmtId="185" fontId="165" fillId="19" borderId="118" xfId="0" applyNumberFormat="1" applyFont="1" applyFill="1" applyBorder="1" applyAlignment="1" applyProtection="1">
      <alignment vertical="center"/>
    </xf>
    <xf numFmtId="185" fontId="165" fillId="0" borderId="103" xfId="0" applyNumberFormat="1" applyFont="1" applyFill="1" applyBorder="1" applyAlignment="1" applyProtection="1">
      <alignment vertical="center"/>
      <protection locked="0"/>
    </xf>
    <xf numFmtId="185" fontId="165"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185" fontId="165" fillId="0" borderId="118" xfId="0" applyNumberFormat="1" applyFont="1" applyBorder="1" applyAlignment="1" applyProtection="1">
      <alignment vertical="center"/>
      <protection locked="0"/>
    </xf>
    <xf numFmtId="0" fontId="2" fillId="18" borderId="112" xfId="0" applyFont="1" applyFill="1" applyBorder="1" applyAlignment="1" applyProtection="1">
      <alignment horizontal="center" vertical="center"/>
    </xf>
    <xf numFmtId="0" fontId="9" fillId="0" borderId="0" xfId="2" applyAlignment="1" applyProtection="1">
      <alignment vertical="center"/>
      <protection locked="0"/>
    </xf>
    <xf numFmtId="0" fontId="9" fillId="0" borderId="0" xfId="2" applyFill="1" applyBorder="1" applyAlignment="1" applyProtection="1">
      <alignment vertical="center"/>
      <protection locked="0"/>
    </xf>
    <xf numFmtId="0" fontId="7" fillId="0" borderId="0" xfId="0" applyFont="1" applyProtection="1">
      <alignment vertical="center"/>
    </xf>
    <xf numFmtId="0" fontId="62" fillId="0" borderId="0" xfId="0" applyFont="1" applyProtection="1">
      <alignment vertical="center"/>
    </xf>
    <xf numFmtId="0" fontId="140" fillId="0" borderId="0" xfId="0" applyFont="1" applyProtection="1">
      <alignment vertical="center"/>
    </xf>
    <xf numFmtId="0" fontId="11" fillId="0" borderId="0" xfId="0" applyFont="1" applyProtection="1">
      <alignment vertical="center"/>
    </xf>
    <xf numFmtId="0" fontId="7" fillId="0" borderId="0" xfId="0" applyFont="1" applyAlignment="1" applyProtection="1">
      <alignment horizontal="right" indent="1"/>
    </xf>
    <xf numFmtId="0" fontId="167" fillId="18" borderId="0" xfId="0" applyFont="1" applyFill="1" applyAlignment="1" applyProtection="1">
      <alignment vertical="center"/>
      <protection locked="0"/>
    </xf>
    <xf numFmtId="0" fontId="173" fillId="21" borderId="0" xfId="0" applyFont="1" applyFill="1" applyAlignment="1" applyProtection="1">
      <alignment horizontal="right" vertical="center" wrapText="1"/>
      <protection locked="0"/>
    </xf>
    <xf numFmtId="186" fontId="174" fillId="20" borderId="0" xfId="0" applyNumberFormat="1" applyFont="1" applyFill="1" applyAlignment="1" applyProtection="1">
      <alignment horizontal="right" vertical="center"/>
      <protection locked="0"/>
    </xf>
    <xf numFmtId="0" fontId="167" fillId="18" borderId="0" xfId="0" applyFont="1" applyFill="1" applyProtection="1">
      <alignment vertical="center"/>
      <protection locked="0"/>
    </xf>
    <xf numFmtId="0" fontId="173" fillId="21" borderId="0" xfId="0" applyFont="1" applyFill="1" applyAlignment="1" applyProtection="1">
      <alignment wrapText="1"/>
      <protection locked="0"/>
    </xf>
    <xf numFmtId="186" fontId="174" fillId="24" borderId="0" xfId="0" applyNumberFormat="1" applyFont="1" applyFill="1" applyProtection="1">
      <alignment vertical="center"/>
      <protection locked="0"/>
    </xf>
    <xf numFmtId="0" fontId="175" fillId="18" borderId="0" xfId="0" applyFont="1" applyFill="1" applyAlignment="1" applyProtection="1">
      <alignment horizontal="justify" vertical="center"/>
      <protection locked="0"/>
    </xf>
    <xf numFmtId="0" fontId="175" fillId="18" borderId="0" xfId="0" applyFont="1" applyFill="1" applyAlignment="1" applyProtection="1">
      <alignment horizontal="justify"/>
      <protection locked="0"/>
    </xf>
    <xf numFmtId="177" fontId="9" fillId="4" borderId="69" xfId="2" applyNumberFormat="1" applyFill="1" applyBorder="1" applyAlignment="1" applyProtection="1">
      <alignment horizontal="left" vertical="center" indent="1" shrinkToFit="1"/>
      <protection hidden="1"/>
    </xf>
    <xf numFmtId="0" fontId="2" fillId="19" borderId="166"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9" borderId="144" xfId="0" applyFont="1" applyFill="1" applyBorder="1" applyAlignment="1" applyProtection="1">
      <alignment horizontal="center" vertical="center"/>
    </xf>
    <xf numFmtId="0" fontId="7" fillId="0" borderId="0" xfId="0" applyFont="1" applyBorder="1" applyAlignment="1" applyProtection="1">
      <alignmen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8" borderId="143" xfId="0" applyFont="1" applyFill="1" applyBorder="1" applyAlignment="1" applyProtection="1">
      <alignment horizontal="center" vertical="center"/>
    </xf>
    <xf numFmtId="0" fontId="177" fillId="0" borderId="0" xfId="0" applyFont="1" applyBorder="1" applyProtection="1">
      <alignment vertical="center"/>
    </xf>
    <xf numFmtId="0" fontId="2" fillId="18" borderId="129" xfId="0" applyFont="1" applyFill="1" applyBorder="1" applyAlignment="1" applyProtection="1">
      <alignment horizontal="center" vertical="center"/>
    </xf>
    <xf numFmtId="0" fontId="2" fillId="18" borderId="103" xfId="0" applyFont="1" applyFill="1" applyBorder="1" applyAlignment="1" applyProtection="1">
      <alignment horizontal="center" vertical="center"/>
    </xf>
    <xf numFmtId="0" fontId="2" fillId="18" borderId="116"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0" fillId="0" borderId="103" xfId="0" applyBorder="1" applyProtection="1">
      <alignment vertical="center"/>
      <protection locked="0"/>
    </xf>
    <xf numFmtId="0" fontId="0" fillId="0" borderId="118" xfId="0" applyBorder="1" applyProtection="1">
      <alignment vertical="center"/>
      <protection locked="0"/>
    </xf>
    <xf numFmtId="0" fontId="2" fillId="0" borderId="120" xfId="0" applyFont="1" applyBorder="1" applyAlignment="1" applyProtection="1">
      <alignment horizontal="center" vertical="center"/>
      <protection locked="0"/>
    </xf>
    <xf numFmtId="0" fontId="0" fillId="0" borderId="120" xfId="0" applyBorder="1" applyProtection="1">
      <alignment vertical="center"/>
      <protection locked="0"/>
    </xf>
    <xf numFmtId="0" fontId="2" fillId="0" borderId="104" xfId="0" applyFont="1" applyBorder="1" applyAlignment="1" applyProtection="1">
      <alignment horizontal="center" vertical="center"/>
      <protection locked="0"/>
    </xf>
    <xf numFmtId="0" fontId="0" fillId="0" borderId="104" xfId="0" applyBorder="1" applyProtection="1">
      <alignment vertical="center"/>
      <protection locked="0"/>
    </xf>
    <xf numFmtId="185" fontId="165" fillId="0" borderId="104" xfId="0" applyNumberFormat="1" applyFont="1" applyBorder="1" applyAlignment="1" applyProtection="1">
      <alignment horizontal="center" vertical="center"/>
      <protection locked="0"/>
    </xf>
    <xf numFmtId="185" fontId="165" fillId="0" borderId="118" xfId="0" applyNumberFormat="1" applyFont="1" applyBorder="1" applyAlignment="1" applyProtection="1">
      <alignment horizontal="center" vertical="center"/>
      <protection locked="0"/>
    </xf>
    <xf numFmtId="0" fontId="177" fillId="0" borderId="0" xfId="0" applyFont="1" applyProtection="1">
      <alignment vertical="center"/>
    </xf>
    <xf numFmtId="0" fontId="2" fillId="18" borderId="113" xfId="0" applyFont="1" applyFill="1" applyBorder="1" applyAlignment="1" applyProtection="1">
      <alignment horizontal="center" vertical="center"/>
    </xf>
    <xf numFmtId="0" fontId="177" fillId="0" borderId="0" xfId="0" applyFont="1" applyAlignment="1" applyProtection="1">
      <alignment vertical="center"/>
    </xf>
    <xf numFmtId="0" fontId="2" fillId="0" borderId="0" xfId="0" applyFont="1" applyAlignment="1" applyProtection="1">
      <alignment vertical="center"/>
    </xf>
    <xf numFmtId="0" fontId="2" fillId="18" borderId="132" xfId="0" applyFont="1" applyFill="1" applyBorder="1" applyAlignment="1" applyProtection="1">
      <alignment horizontal="center" vertical="center" wrapText="1"/>
    </xf>
    <xf numFmtId="0" fontId="2" fillId="18" borderId="114" xfId="0" applyFont="1" applyFill="1" applyBorder="1" applyAlignment="1" applyProtection="1">
      <alignment horizontal="center" vertical="center"/>
    </xf>
    <xf numFmtId="0" fontId="2" fillId="18" borderId="148"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0" borderId="0" xfId="0" applyFont="1" applyProtection="1">
      <alignment vertical="center"/>
    </xf>
    <xf numFmtId="0" fontId="166" fillId="0" borderId="0" xfId="0" applyFont="1" applyAlignment="1" applyProtection="1">
      <alignment vertical="center"/>
    </xf>
    <xf numFmtId="0" fontId="2" fillId="18" borderId="140" xfId="0" applyFont="1" applyFill="1" applyBorder="1" applyProtection="1">
      <alignment vertical="center"/>
    </xf>
    <xf numFmtId="0" fontId="2" fillId="0" borderId="125" xfId="0" applyFont="1" applyBorder="1" applyAlignment="1" applyProtection="1">
      <alignment vertical="center"/>
    </xf>
    <xf numFmtId="0" fontId="177" fillId="18" borderId="0" xfId="0" applyFont="1" applyFill="1" applyProtection="1">
      <alignment vertical="center"/>
    </xf>
    <xf numFmtId="0" fontId="177" fillId="18" borderId="0" xfId="0" applyFont="1" applyFill="1" applyBorder="1" applyProtection="1">
      <alignment vertical="center"/>
    </xf>
    <xf numFmtId="0" fontId="0" fillId="18" borderId="0" xfId="0" applyFill="1" applyProtection="1">
      <alignment vertical="center"/>
    </xf>
    <xf numFmtId="0" fontId="2" fillId="18" borderId="125" xfId="0" applyFont="1" applyFill="1" applyBorder="1" applyAlignment="1" applyProtection="1">
      <alignment vertical="top" wrapText="1"/>
    </xf>
    <xf numFmtId="0" fontId="2" fillId="18" borderId="0" xfId="0" applyFont="1" applyFill="1" applyAlignment="1" applyProtection="1">
      <alignment horizontal="left" vertical="top" wrapText="1"/>
    </xf>
    <xf numFmtId="14" fontId="165" fillId="0" borderId="103" xfId="0" applyNumberFormat="1" applyFont="1" applyBorder="1" applyAlignment="1" applyProtection="1">
      <alignment vertical="center"/>
      <protection locked="0"/>
    </xf>
    <xf numFmtId="185" fontId="165" fillId="0" borderId="103" xfId="0" applyNumberFormat="1" applyFont="1" applyFill="1" applyBorder="1" applyAlignment="1" applyProtection="1">
      <alignment vertical="center" wrapText="1"/>
      <protection locked="0"/>
    </xf>
    <xf numFmtId="14" fontId="165" fillId="0" borderId="118" xfId="0" applyNumberFormat="1" applyFont="1" applyBorder="1" applyAlignment="1" applyProtection="1">
      <alignment vertical="center"/>
      <protection locked="0"/>
    </xf>
    <xf numFmtId="185" fontId="165" fillId="0" borderId="118" xfId="0" applyNumberFormat="1" applyFont="1" applyFill="1" applyBorder="1" applyAlignment="1" applyProtection="1">
      <alignment vertical="center" wrapText="1"/>
      <protection locked="0"/>
    </xf>
    <xf numFmtId="10" fontId="2" fillId="0" borderId="120" xfId="0" applyNumberFormat="1" applyFont="1" applyBorder="1" applyProtection="1">
      <alignment vertical="center"/>
      <protection locked="0"/>
    </xf>
    <xf numFmtId="14" fontId="165" fillId="0" borderId="120" xfId="0" applyNumberFormat="1" applyFont="1" applyBorder="1" applyAlignment="1" applyProtection="1">
      <alignment vertical="center"/>
      <protection locked="0"/>
    </xf>
    <xf numFmtId="10" fontId="2" fillId="0" borderId="104" xfId="0" applyNumberFormat="1" applyFont="1" applyBorder="1" applyProtection="1">
      <alignment vertical="center"/>
      <protection locked="0"/>
    </xf>
    <xf numFmtId="14" fontId="165" fillId="0" borderId="104" xfId="0" applyNumberFormat="1" applyFont="1" applyBorder="1" applyAlignment="1" applyProtection="1">
      <alignment horizontal="center" vertical="center"/>
      <protection locked="0"/>
    </xf>
    <xf numFmtId="14" fontId="165" fillId="0" borderId="118" xfId="0" applyNumberFormat="1" applyFont="1" applyBorder="1" applyAlignment="1" applyProtection="1">
      <alignment horizontal="center" vertical="center"/>
      <protection locked="0"/>
    </xf>
    <xf numFmtId="0" fontId="2" fillId="20" borderId="140" xfId="0" applyFont="1" applyFill="1" applyBorder="1" applyAlignment="1">
      <alignment horizontal="center" vertical="center"/>
    </xf>
    <xf numFmtId="0" fontId="2" fillId="18" borderId="140" xfId="0" applyFont="1" applyFill="1" applyBorder="1" applyAlignment="1">
      <alignment horizontal="center" vertical="center"/>
    </xf>
    <xf numFmtId="0" fontId="2" fillId="19" borderId="141" xfId="0" applyFont="1" applyFill="1" applyBorder="1" applyAlignment="1">
      <alignment horizontal="center" vertical="center"/>
    </xf>
    <xf numFmtId="0" fontId="2" fillId="19" borderId="143" xfId="0" applyFont="1" applyFill="1" applyBorder="1" applyAlignment="1">
      <alignment horizontal="center" vertical="center"/>
    </xf>
    <xf numFmtId="0" fontId="2" fillId="18" borderId="143" xfId="0" applyFont="1" applyFill="1" applyBorder="1" applyAlignment="1">
      <alignment horizontal="center" vertical="center"/>
    </xf>
    <xf numFmtId="0" fontId="2" fillId="19" borderId="144" xfId="0" applyFont="1" applyFill="1" applyBorder="1" applyAlignment="1">
      <alignment horizontal="center" vertical="center"/>
    </xf>
    <xf numFmtId="0" fontId="177" fillId="0" borderId="0" xfId="0" applyFont="1" applyAlignment="1" applyProtection="1">
      <alignment horizontal="center" vertical="center"/>
    </xf>
    <xf numFmtId="0" fontId="177" fillId="0" borderId="0" xfId="0" applyFont="1" applyBorder="1" applyAlignment="1" applyProtection="1">
      <alignment vertical="center"/>
    </xf>
    <xf numFmtId="0" fontId="2" fillId="18" borderId="111" xfId="0" applyFont="1" applyFill="1" applyBorder="1" applyAlignment="1" applyProtection="1">
      <alignment horizontal="center" vertical="center"/>
    </xf>
    <xf numFmtId="0" fontId="2" fillId="18" borderId="126" xfId="0" applyFont="1" applyFill="1" applyBorder="1" applyAlignment="1" applyProtection="1">
      <alignment horizontal="center" vertical="center" wrapText="1"/>
    </xf>
    <xf numFmtId="0" fontId="9" fillId="0" borderId="0" xfId="0" applyFont="1" applyFill="1" applyBorder="1" applyProtection="1">
      <alignment vertical="center"/>
    </xf>
    <xf numFmtId="0" fontId="2" fillId="22" borderId="103" xfId="0" applyFont="1" applyFill="1" applyBorder="1" applyAlignment="1" applyProtection="1">
      <alignment horizontal="center" vertical="center" shrinkToFit="1"/>
    </xf>
    <xf numFmtId="0" fontId="2" fillId="18" borderId="103" xfId="0" applyFont="1" applyFill="1" applyBorder="1" applyAlignment="1" applyProtection="1">
      <alignment horizontal="center" vertical="center" shrinkToFit="1"/>
    </xf>
    <xf numFmtId="0" fontId="0" fillId="0" borderId="0" xfId="0" applyProtection="1">
      <alignment vertical="center"/>
      <protection locked="0"/>
    </xf>
    <xf numFmtId="0" fontId="2" fillId="18" borderId="103"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0" borderId="125" xfId="0" applyFont="1" applyFill="1" applyBorder="1" applyAlignment="1" applyProtection="1">
      <alignment vertical="center" wrapText="1"/>
      <protection locked="0"/>
    </xf>
    <xf numFmtId="185" fontId="165" fillId="21" borderId="107" xfId="0" applyNumberFormat="1" applyFont="1" applyFill="1" applyBorder="1" applyAlignment="1" applyProtection="1">
      <alignment vertical="center"/>
    </xf>
    <xf numFmtId="185" fontId="165" fillId="21"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8" borderId="103" xfId="0" applyFont="1" applyFill="1" applyBorder="1" applyAlignment="1" applyProtection="1">
      <alignment vertical="center"/>
      <protection locked="0"/>
    </xf>
    <xf numFmtId="185" fontId="165" fillId="0" borderId="118" xfId="0" applyNumberFormat="1" applyFont="1" applyBorder="1" applyAlignment="1" applyProtection="1">
      <alignment vertical="center"/>
      <protection locked="0"/>
    </xf>
    <xf numFmtId="185" fontId="165" fillId="0" borderId="120" xfId="0" applyNumberFormat="1" applyFont="1" applyFill="1" applyBorder="1" applyAlignment="1" applyProtection="1">
      <alignment vertical="center"/>
      <protection locked="0"/>
    </xf>
    <xf numFmtId="0" fontId="2" fillId="19" borderId="11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185" fontId="165" fillId="0" borderId="119" xfId="5" applyNumberFormat="1" applyFont="1" applyBorder="1" applyProtection="1">
      <alignment vertical="center"/>
      <protection locked="0"/>
    </xf>
    <xf numFmtId="185" fontId="165" fillId="25" borderId="119" xfId="5" applyNumberFormat="1" applyFont="1" applyFill="1" applyBorder="1" applyProtection="1">
      <alignment vertical="center"/>
      <protection locked="0"/>
    </xf>
    <xf numFmtId="185" fontId="165" fillId="21" borderId="119" xfId="5" applyNumberFormat="1" applyFont="1" applyFill="1" applyBorder="1" applyProtection="1">
      <alignment vertical="center"/>
    </xf>
    <xf numFmtId="0" fontId="0" fillId="0" borderId="0" xfId="0" applyBorder="1" applyProtection="1">
      <alignment vertical="center"/>
    </xf>
    <xf numFmtId="0" fontId="2" fillId="0" borderId="0" xfId="0" applyFont="1" applyBorder="1" applyProtection="1">
      <alignment vertical="center"/>
    </xf>
    <xf numFmtId="0" fontId="2" fillId="18" borderId="232" xfId="0" applyFont="1" applyFill="1" applyBorder="1" applyAlignment="1" applyProtection="1">
      <alignment horizontal="center" vertical="center"/>
    </xf>
    <xf numFmtId="0" fontId="2" fillId="20" borderId="117" xfId="0" applyFont="1" applyFill="1" applyBorder="1" applyAlignment="1" applyProtection="1">
      <alignment horizontal="center" vertical="center"/>
    </xf>
    <xf numFmtId="0" fontId="7" fillId="0" borderId="0" xfId="0" applyFont="1" applyBorder="1" applyProtection="1">
      <alignment vertical="center"/>
    </xf>
    <xf numFmtId="177" fontId="2" fillId="18" borderId="111" xfId="0" applyNumberFormat="1" applyFont="1" applyFill="1" applyBorder="1" applyAlignment="1" applyProtection="1">
      <alignment horizontal="center" vertical="center"/>
    </xf>
    <xf numFmtId="177" fontId="2" fillId="18" borderId="159" xfId="0" applyNumberFormat="1" applyFont="1" applyFill="1" applyBorder="1" applyAlignment="1" applyProtection="1">
      <alignment horizontal="center" vertical="center"/>
    </xf>
    <xf numFmtId="0" fontId="1" fillId="0" borderId="0" xfId="0" applyFont="1" applyAlignment="1" applyProtection="1">
      <alignment vertical="center"/>
    </xf>
    <xf numFmtId="58" fontId="60" fillId="18" borderId="118" xfId="0" applyNumberFormat="1" applyFont="1" applyFill="1" applyBorder="1" applyAlignment="1" applyProtection="1">
      <alignment horizontal="center" vertical="center"/>
    </xf>
    <xf numFmtId="0" fontId="60" fillId="18" borderId="118" xfId="0" applyFont="1" applyFill="1" applyBorder="1" applyAlignment="1" applyProtection="1">
      <alignment horizontal="center" vertical="center"/>
    </xf>
    <xf numFmtId="0" fontId="179" fillId="18" borderId="150" xfId="0" applyFont="1" applyFill="1" applyBorder="1" applyAlignment="1" applyProtection="1">
      <alignment horizontal="center" vertical="center" wrapText="1"/>
    </xf>
    <xf numFmtId="0" fontId="2" fillId="18" borderId="120" xfId="0" applyFont="1" applyFill="1" applyBorder="1" applyAlignment="1" applyProtection="1">
      <alignment horizontal="center" vertical="center"/>
    </xf>
    <xf numFmtId="0" fontId="179" fillId="18" borderId="127" xfId="0" applyFont="1" applyFill="1" applyBorder="1" applyAlignment="1" applyProtection="1">
      <alignment horizontal="center" vertical="center"/>
    </xf>
    <xf numFmtId="0" fontId="60" fillId="18" borderId="103" xfId="0" applyFont="1" applyFill="1" applyBorder="1" applyAlignment="1" applyProtection="1">
      <alignment horizontal="center" vertical="center"/>
    </xf>
    <xf numFmtId="0" fontId="2" fillId="0" borderId="0" xfId="0" applyFont="1" applyBorder="1" applyAlignment="1" applyProtection="1">
      <alignment vertical="center" wrapText="1"/>
    </xf>
    <xf numFmtId="0" fontId="180" fillId="0" borderId="0" xfId="0" applyFont="1" applyProtection="1">
      <alignment vertical="center"/>
    </xf>
    <xf numFmtId="185" fontId="178" fillId="0" borderId="120" xfId="0" applyNumberFormat="1" applyFont="1" applyFill="1" applyBorder="1" applyAlignment="1" applyProtection="1">
      <alignment vertical="center"/>
      <protection locked="0"/>
    </xf>
    <xf numFmtId="0" fontId="7" fillId="0" borderId="0" xfId="0" applyFont="1" applyAlignment="1" applyProtection="1">
      <alignment vertical="top"/>
    </xf>
    <xf numFmtId="0" fontId="166" fillId="0" borderId="0" xfId="0" applyFont="1" applyBorder="1" applyAlignment="1" applyProtection="1">
      <alignment vertical="center"/>
    </xf>
    <xf numFmtId="185" fontId="165" fillId="20" borderId="103" xfId="0" applyNumberFormat="1" applyFont="1" applyFill="1" applyBorder="1" applyAlignment="1" applyProtection="1">
      <alignment vertical="center"/>
    </xf>
    <xf numFmtId="185" fontId="165" fillId="20" borderId="118" xfId="0" applyNumberFormat="1" applyFont="1" applyFill="1" applyBorder="1" applyAlignment="1" applyProtection="1">
      <alignment vertical="center"/>
    </xf>
    <xf numFmtId="0" fontId="2" fillId="18" borderId="107" xfId="0" applyFont="1" applyFill="1" applyBorder="1" applyAlignment="1" applyProtection="1">
      <alignment vertical="center"/>
    </xf>
    <xf numFmtId="0" fontId="2" fillId="24" borderId="103" xfId="0" applyFont="1" applyFill="1" applyBorder="1" applyAlignment="1" applyProtection="1">
      <alignment vertical="center"/>
    </xf>
    <xf numFmtId="0" fontId="2" fillId="24" borderId="104" xfId="0" applyFont="1" applyFill="1" applyBorder="1" applyAlignment="1" applyProtection="1">
      <alignment vertical="center"/>
    </xf>
    <xf numFmtId="0" fontId="2" fillId="24" borderId="118" xfId="0" applyFont="1" applyFill="1" applyBorder="1" applyAlignment="1" applyProtection="1">
      <alignment vertical="center"/>
    </xf>
    <xf numFmtId="0" fontId="2" fillId="18" borderId="140" xfId="0" applyFont="1" applyFill="1" applyBorder="1" applyAlignment="1" applyProtection="1">
      <alignment horizontal="lef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18" borderId="241" xfId="0" applyFont="1" applyFill="1" applyBorder="1" applyAlignment="1" applyProtection="1">
      <alignment horizontal="center" vertical="center"/>
    </xf>
    <xf numFmtId="0" fontId="2" fillId="18" borderId="235" xfId="0" applyFont="1" applyFill="1" applyBorder="1" applyAlignment="1" applyProtection="1">
      <alignment horizontal="center" vertical="center" wrapText="1"/>
    </xf>
    <xf numFmtId="185" fontId="165" fillId="21" borderId="242" xfId="0" applyNumberFormat="1" applyFont="1" applyFill="1" applyBorder="1" applyAlignment="1" applyProtection="1">
      <alignment vertical="center"/>
    </xf>
    <xf numFmtId="0" fontId="2" fillId="18" borderId="243" xfId="0" applyFont="1" applyFill="1" applyBorder="1" applyAlignment="1" applyProtection="1">
      <alignment horizontal="center" vertical="center" wrapText="1"/>
    </xf>
    <xf numFmtId="185" fontId="165" fillId="21" borderId="166" xfId="0" applyNumberFormat="1" applyFont="1" applyFill="1" applyBorder="1" applyAlignment="1" applyProtection="1">
      <alignment vertical="center"/>
    </xf>
    <xf numFmtId="0" fontId="2" fillId="18" borderId="244" xfId="0" applyFont="1" applyFill="1" applyBorder="1" applyAlignment="1" applyProtection="1">
      <alignment horizontal="center" vertical="center" wrapText="1"/>
    </xf>
    <xf numFmtId="185" fontId="165" fillId="21" borderId="241" xfId="0" applyNumberFormat="1" applyFont="1" applyFill="1" applyBorder="1" applyAlignment="1" applyProtection="1">
      <alignment vertical="center"/>
    </xf>
    <xf numFmtId="185" fontId="165" fillId="21" borderId="248" xfId="0" applyNumberFormat="1" applyFont="1" applyFill="1" applyBorder="1" applyAlignment="1" applyProtection="1">
      <alignment vertical="center"/>
    </xf>
    <xf numFmtId="43" fontId="165" fillId="0" borderId="103" xfId="3" applyFont="1" applyFill="1" applyBorder="1" applyAlignment="1" applyProtection="1">
      <alignment horizontal="center" vertical="center"/>
      <protection locked="0"/>
    </xf>
    <xf numFmtId="43" fontId="165" fillId="0" borderId="118" xfId="3" applyFont="1" applyBorder="1" applyProtection="1">
      <alignment vertical="center"/>
      <protection locked="0"/>
    </xf>
    <xf numFmtId="43" fontId="165" fillId="0" borderId="107" xfId="3" applyFont="1" applyBorder="1" applyProtection="1">
      <alignment vertical="center"/>
      <protection locked="0"/>
    </xf>
    <xf numFmtId="43" fontId="165" fillId="0" borderId="104" xfId="3" applyFont="1" applyBorder="1" applyProtection="1">
      <alignment vertical="center"/>
      <protection locked="0"/>
    </xf>
    <xf numFmtId="43" fontId="165" fillId="0" borderId="103" xfId="3" applyFont="1" applyBorder="1" applyProtection="1">
      <alignment vertical="center"/>
      <protection locked="0"/>
    </xf>
    <xf numFmtId="43" fontId="165" fillId="21" borderId="111" xfId="3" applyFont="1" applyFill="1" applyBorder="1" applyAlignment="1" applyProtection="1">
      <alignment vertical="center"/>
    </xf>
    <xf numFmtId="0" fontId="2" fillId="18" borderId="140" xfId="0" applyFont="1" applyFill="1" applyBorder="1" applyAlignment="1" applyProtection="1">
      <alignment vertical="center"/>
    </xf>
    <xf numFmtId="31" fontId="2" fillId="18" borderId="143" xfId="0" applyNumberFormat="1"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8" borderId="159" xfId="0" applyFont="1" applyFill="1" applyBorder="1" applyAlignment="1" applyProtection="1">
      <alignment horizontal="center" vertical="center"/>
    </xf>
    <xf numFmtId="49" fontId="179" fillId="24" borderId="115" xfId="0" applyNumberFormat="1" applyFont="1" applyFill="1" applyBorder="1" applyAlignment="1" applyProtection="1">
      <alignment horizontal="center" vertical="center"/>
    </xf>
    <xf numFmtId="49" fontId="179" fillId="24" borderId="118" xfId="0" applyNumberFormat="1" applyFont="1" applyFill="1" applyBorder="1" applyAlignment="1" applyProtection="1">
      <alignment horizontal="center" vertical="center"/>
    </xf>
    <xf numFmtId="43" fontId="165" fillId="21" borderId="103" xfId="3" applyFont="1" applyFill="1" applyBorder="1" applyProtection="1">
      <alignment vertical="center"/>
    </xf>
    <xf numFmtId="49" fontId="179" fillId="24" borderId="103" xfId="0" applyNumberFormat="1" applyFont="1" applyFill="1" applyBorder="1" applyAlignment="1" applyProtection="1">
      <alignment horizontal="center" vertical="center"/>
    </xf>
    <xf numFmtId="49" fontId="179" fillId="24" borderId="114" xfId="0" applyNumberFormat="1" applyFont="1" applyFill="1" applyBorder="1" applyAlignment="1" applyProtection="1">
      <alignment horizontal="center" vertical="center" shrinkToFit="1"/>
    </xf>
    <xf numFmtId="49" fontId="179" fillId="24" borderId="120" xfId="0" applyNumberFormat="1" applyFont="1" applyFill="1" applyBorder="1" applyAlignment="1" applyProtection="1">
      <alignment horizontal="center" vertical="center"/>
    </xf>
    <xf numFmtId="49" fontId="179" fillId="24" borderId="159" xfId="0" applyNumberFormat="1" applyFont="1" applyFill="1" applyBorder="1" applyAlignment="1" applyProtection="1">
      <alignment horizontal="center" vertical="center" wrapText="1"/>
    </xf>
    <xf numFmtId="43" fontId="165" fillId="0" borderId="118" xfId="3" applyFont="1" applyFill="1" applyBorder="1" applyAlignment="1" applyProtection="1">
      <alignment vertical="center"/>
      <protection locked="0"/>
    </xf>
    <xf numFmtId="43" fontId="165" fillId="0" borderId="107" xfId="3" applyFont="1" applyFill="1" applyBorder="1" applyAlignment="1" applyProtection="1">
      <alignment vertical="center"/>
      <protection locked="0"/>
    </xf>
    <xf numFmtId="185" fontId="2" fillId="0" borderId="107" xfId="0" applyNumberFormat="1" applyFont="1" applyFill="1" applyBorder="1" applyAlignment="1" applyProtection="1">
      <alignment vertical="center"/>
      <protection locked="0"/>
    </xf>
    <xf numFmtId="185" fontId="2" fillId="0" borderId="111" xfId="0" applyNumberFormat="1" applyFont="1" applyFill="1" applyBorder="1" applyAlignment="1" applyProtection="1">
      <alignment vertical="center"/>
      <protection locked="0"/>
    </xf>
    <xf numFmtId="0" fontId="2" fillId="18" borderId="149" xfId="0" applyFont="1" applyFill="1" applyBorder="1" applyAlignment="1" applyProtection="1">
      <alignment horizontal="left" vertical="center" wrapText="1" indent="1"/>
      <protection locked="0"/>
    </xf>
    <xf numFmtId="0" fontId="2" fillId="18" borderId="149" xfId="0" applyFont="1" applyFill="1" applyBorder="1" applyAlignment="1" applyProtection="1">
      <alignment horizontal="left" vertical="center" wrapText="1"/>
      <protection locked="0"/>
    </xf>
    <xf numFmtId="0" fontId="2" fillId="0" borderId="105" xfId="0" applyFont="1" applyBorder="1" applyAlignment="1" applyProtection="1">
      <alignment vertical="center"/>
    </xf>
    <xf numFmtId="9" fontId="2" fillId="22" borderId="118" xfId="0" applyNumberFormat="1" applyFont="1" applyFill="1" applyBorder="1" applyAlignment="1" applyProtection="1">
      <alignment horizontal="center" vertical="center"/>
    </xf>
    <xf numFmtId="0" fontId="179" fillId="0" borderId="105" xfId="0" applyFont="1" applyBorder="1" applyAlignment="1" applyProtection="1">
      <alignment vertical="center" wrapText="1"/>
    </xf>
    <xf numFmtId="0" fontId="2" fillId="0" borderId="119" xfId="0" applyFont="1" applyBorder="1" applyAlignment="1" applyProtection="1">
      <alignment vertical="center"/>
    </xf>
    <xf numFmtId="0" fontId="44" fillId="0" borderId="0" xfId="0" applyFont="1" applyFill="1" applyBorder="1" applyAlignment="1" applyProtection="1">
      <alignment vertical="center"/>
    </xf>
    <xf numFmtId="0" fontId="2" fillId="0" borderId="0" xfId="0" applyFont="1" applyFill="1" applyBorder="1" applyAlignment="1" applyProtection="1">
      <alignment vertical="center" wrapText="1"/>
    </xf>
    <xf numFmtId="0" fontId="2" fillId="0" borderId="160" xfId="0" applyFont="1" applyBorder="1" applyAlignment="1" applyProtection="1">
      <alignment vertical="center"/>
    </xf>
    <xf numFmtId="0" fontId="2" fillId="18" borderId="108" xfId="0" applyFont="1" applyFill="1" applyBorder="1" applyAlignment="1" applyProtection="1">
      <alignment vertical="center"/>
    </xf>
    <xf numFmtId="0" fontId="180" fillId="0" borderId="0" xfId="0" applyFont="1" applyAlignment="1" applyProtection="1">
      <alignment vertical="center"/>
    </xf>
    <xf numFmtId="0" fontId="0" fillId="0" borderId="0" xfId="0" applyAlignment="1" applyProtection="1">
      <alignment vertical="center"/>
    </xf>
    <xf numFmtId="0" fontId="0" fillId="0" borderId="0" xfId="0" applyProtection="1">
      <alignment vertical="center"/>
      <protection locked="0"/>
    </xf>
    <xf numFmtId="0" fontId="2" fillId="18" borderId="232" xfId="0" applyFont="1" applyFill="1" applyBorder="1" applyAlignment="1" applyProtection="1">
      <alignment vertical="center" shrinkToFit="1"/>
      <protection locked="0"/>
    </xf>
    <xf numFmtId="0" fontId="2" fillId="39" borderId="140" xfId="0" applyFont="1" applyFill="1" applyBorder="1" applyAlignment="1" applyProtection="1">
      <alignment horizontal="center" vertical="center"/>
    </xf>
    <xf numFmtId="0" fontId="2" fillId="19" borderId="141" xfId="0" applyFont="1" applyFill="1" applyBorder="1" applyAlignment="1" applyProtection="1">
      <alignment horizontal="center" vertical="center"/>
    </xf>
    <xf numFmtId="31" fontId="2" fillId="18" borderId="233" xfId="0" applyNumberFormat="1" applyFont="1" applyFill="1" applyBorder="1" applyAlignment="1" applyProtection="1">
      <alignment vertical="center"/>
      <protection locked="0"/>
    </xf>
    <xf numFmtId="0" fontId="2" fillId="19" borderId="168" xfId="0" applyFont="1" applyFill="1" applyBorder="1" applyAlignment="1" applyProtection="1">
      <alignment horizontal="center" vertical="center"/>
    </xf>
    <xf numFmtId="0" fontId="2" fillId="19" borderId="256"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185" fontId="165" fillId="0" borderId="118" xfId="0" applyNumberFormat="1" applyFont="1" applyFill="1" applyBorder="1" applyAlignment="1" applyProtection="1">
      <alignment vertical="center"/>
      <protection locked="0"/>
    </xf>
    <xf numFmtId="185" fontId="165" fillId="21" borderId="118" xfId="0" applyNumberFormat="1" applyFont="1" applyFill="1" applyBorder="1" applyAlignment="1" applyProtection="1">
      <alignment vertical="center"/>
    </xf>
    <xf numFmtId="185" fontId="2" fillId="18" borderId="118" xfId="0" applyNumberFormat="1" applyFont="1" applyFill="1" applyBorder="1" applyAlignment="1" applyProtection="1">
      <alignment horizontal="center" vertical="center"/>
    </xf>
    <xf numFmtId="185" fontId="165" fillId="21" borderId="118" xfId="0" applyNumberFormat="1" applyFont="1" applyFill="1" applyBorder="1" applyAlignment="1" applyProtection="1">
      <alignment horizontal="center" vertical="center"/>
    </xf>
    <xf numFmtId="185" fontId="165" fillId="0" borderId="118" xfId="0" applyNumberFormat="1" applyFont="1" applyFill="1" applyBorder="1" applyAlignment="1" applyProtection="1">
      <alignment horizontal="center" vertical="center"/>
      <protection locked="0"/>
    </xf>
    <xf numFmtId="0" fontId="2" fillId="0" borderId="119" xfId="0" applyFont="1" applyFill="1" applyBorder="1" applyAlignment="1" applyProtection="1">
      <alignment vertical="center"/>
      <protection locked="0"/>
    </xf>
    <xf numFmtId="185" fontId="165" fillId="19"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185" fontId="165" fillId="0" borderId="120" xfId="0" applyNumberFormat="1" applyFont="1" applyFill="1" applyBorder="1" applyAlignment="1" applyProtection="1">
      <alignment vertical="center"/>
      <protection locked="0"/>
    </xf>
    <xf numFmtId="0" fontId="2" fillId="18" borderId="140" xfId="0" applyFont="1" applyFill="1" applyBorder="1" applyAlignment="1" applyProtection="1">
      <alignment horizontal="center" vertical="center"/>
      <protection locked="0"/>
    </xf>
    <xf numFmtId="0" fontId="2" fillId="20" borderId="140" xfId="0" applyFont="1" applyFill="1" applyBorder="1" applyAlignment="1" applyProtection="1">
      <alignment horizontal="center" vertical="center"/>
      <protection locked="0"/>
    </xf>
    <xf numFmtId="0" fontId="2" fillId="18" borderId="143" xfId="0" applyFont="1" applyFill="1" applyBorder="1" applyAlignment="1" applyProtection="1">
      <alignment horizontal="center" vertical="center"/>
      <protection locked="0"/>
    </xf>
    <xf numFmtId="0" fontId="2" fillId="19" borderId="168" xfId="0" applyFont="1" applyFill="1" applyBorder="1" applyAlignment="1" applyProtection="1">
      <alignment horizontal="center" vertical="center"/>
    </xf>
    <xf numFmtId="0" fontId="7" fillId="0" borderId="125" xfId="0" applyFont="1" applyBorder="1" applyAlignment="1" applyProtection="1">
      <protection locked="0"/>
    </xf>
    <xf numFmtId="0" fontId="0" fillId="0" borderId="0" xfId="0" applyProtection="1">
      <alignment vertical="center"/>
      <protection locked="0"/>
    </xf>
    <xf numFmtId="0" fontId="4" fillId="0" borderId="5" xfId="0" applyFont="1" applyFill="1" applyBorder="1" applyAlignment="1" applyProtection="1">
      <alignment horizontal="center" vertical="center"/>
      <protection locked="0"/>
    </xf>
    <xf numFmtId="0" fontId="117" fillId="0" borderId="3" xfId="2" applyFont="1" applyFill="1" applyBorder="1" applyAlignment="1" applyProtection="1">
      <alignment vertical="center" wrapText="1"/>
    </xf>
    <xf numFmtId="177" fontId="4" fillId="0" borderId="5" xfId="0" applyNumberFormat="1" applyFont="1" applyFill="1" applyBorder="1" applyAlignment="1" applyProtection="1">
      <alignment horizontal="center" vertical="center"/>
      <protection locked="0"/>
    </xf>
    <xf numFmtId="177" fontId="4" fillId="0" borderId="5" xfId="0" applyNumberFormat="1" applyFont="1" applyFill="1" applyBorder="1" applyAlignment="1" applyProtection="1">
      <alignment horizontal="center" vertical="center"/>
    </xf>
    <xf numFmtId="0" fontId="2" fillId="19" borderId="166" xfId="0" applyFont="1" applyFill="1" applyBorder="1" applyAlignment="1" applyProtection="1">
      <alignment horizontal="center" vertical="center" shrinkToFit="1"/>
    </xf>
    <xf numFmtId="0" fontId="2" fillId="19" borderId="144" xfId="0" applyFont="1" applyFill="1" applyBorder="1" applyAlignment="1" applyProtection="1">
      <alignment horizontal="center" vertical="center" shrinkToFit="1"/>
    </xf>
    <xf numFmtId="3" fontId="2" fillId="18" borderId="103" xfId="0" applyNumberFormat="1" applyFont="1" applyFill="1" applyBorder="1" applyAlignment="1" applyProtection="1">
      <alignment horizontal="center" vertical="center"/>
    </xf>
    <xf numFmtId="185" fontId="2" fillId="26" borderId="119" xfId="0" applyNumberFormat="1" applyFont="1" applyFill="1" applyBorder="1" applyAlignment="1" applyProtection="1">
      <alignment vertical="top" wrapText="1"/>
    </xf>
    <xf numFmtId="0" fontId="211" fillId="0" borderId="0" xfId="0" applyFont="1" applyAlignment="1" applyProtection="1">
      <alignment horizontal="left" vertical="center"/>
    </xf>
    <xf numFmtId="185" fontId="165" fillId="33" borderId="118" xfId="0" applyNumberFormat="1" applyFont="1" applyFill="1" applyBorder="1" applyAlignment="1" applyProtection="1">
      <alignment vertical="center"/>
      <protection locked="0"/>
    </xf>
    <xf numFmtId="187" fontId="2" fillId="0" borderId="157" xfId="0" applyNumberFormat="1" applyFont="1" applyFill="1" applyBorder="1" applyAlignment="1" applyProtection="1">
      <alignment vertical="center" shrinkToFit="1"/>
      <protection locked="0"/>
    </xf>
    <xf numFmtId="185" fontId="165" fillId="12" borderId="107" xfId="0" applyNumberFormat="1" applyFont="1" applyFill="1" applyBorder="1" applyAlignment="1" applyProtection="1">
      <alignment vertical="center"/>
      <protection locked="0"/>
    </xf>
    <xf numFmtId="0" fontId="44" fillId="0" borderId="125" xfId="0" applyFont="1" applyFill="1" applyBorder="1" applyAlignment="1" applyProtection="1">
      <alignment wrapText="1"/>
      <protection locked="0"/>
    </xf>
    <xf numFmtId="43" fontId="0" fillId="0" borderId="0" xfId="3" applyFont="1" applyAlignment="1">
      <alignment horizontal="center" vertical="center"/>
    </xf>
    <xf numFmtId="183" fontId="42" fillId="0" borderId="3" xfId="0" applyNumberFormat="1" applyFont="1" applyFill="1" applyBorder="1" applyAlignment="1">
      <alignment horizontal="center" vertical="center" wrapText="1"/>
    </xf>
    <xf numFmtId="0" fontId="0" fillId="24" borderId="17" xfId="0" applyFill="1" applyBorder="1">
      <alignment vertical="center"/>
    </xf>
    <xf numFmtId="0" fontId="0" fillId="24" borderId="3" xfId="0" applyFill="1" applyBorder="1">
      <alignment vertical="center"/>
    </xf>
    <xf numFmtId="0" fontId="0" fillId="18" borderId="215" xfId="0" applyFill="1" applyBorder="1" applyAlignment="1" applyProtection="1">
      <alignment vertical="center"/>
      <protection locked="0"/>
    </xf>
    <xf numFmtId="0" fontId="2" fillId="18" borderId="215" xfId="0" applyFont="1" applyFill="1" applyBorder="1" applyAlignment="1" applyProtection="1">
      <alignment horizontal="center" vertical="center"/>
      <protection locked="0"/>
    </xf>
    <xf numFmtId="0" fontId="2" fillId="20" borderId="219" xfId="0" applyFont="1" applyFill="1" applyBorder="1" applyAlignment="1" applyProtection="1">
      <alignment horizontal="center" vertical="center"/>
      <protection locked="0"/>
    </xf>
    <xf numFmtId="0" fontId="2" fillId="19" borderId="228" xfId="0" applyFont="1" applyFill="1" applyBorder="1" applyAlignment="1" applyProtection="1">
      <alignment horizontal="center" vertical="center"/>
    </xf>
    <xf numFmtId="0" fontId="2" fillId="18" borderId="219"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2" fillId="19" borderId="220" xfId="0" applyFont="1" applyFill="1" applyBorder="1" applyAlignment="1" applyProtection="1">
      <alignment horizontal="center" vertical="center"/>
    </xf>
    <xf numFmtId="0" fontId="2" fillId="19" borderId="229" xfId="0" applyFont="1" applyFill="1" applyBorder="1" applyAlignment="1" applyProtection="1">
      <alignment horizontal="center" vertical="center"/>
    </xf>
    <xf numFmtId="0" fontId="2" fillId="18" borderId="216" xfId="0" applyFont="1" applyFill="1" applyBorder="1" applyAlignment="1" applyProtection="1">
      <alignment horizontal="center" vertical="center"/>
      <protection locked="0"/>
    </xf>
    <xf numFmtId="0" fontId="0" fillId="24" borderId="39" xfId="0" applyFill="1" applyBorder="1">
      <alignment vertical="center"/>
    </xf>
    <xf numFmtId="0" fontId="0" fillId="24" borderId="44" xfId="0" applyFill="1" applyBorder="1">
      <alignment vertical="center"/>
    </xf>
    <xf numFmtId="43" fontId="147" fillId="24" borderId="39" xfId="3" applyFont="1" applyFill="1" applyBorder="1" applyAlignment="1">
      <alignment horizontal="center" vertical="center" shrinkToFit="1"/>
    </xf>
    <xf numFmtId="43" fontId="147" fillId="24" borderId="22" xfId="3" applyFont="1" applyFill="1" applyBorder="1" applyAlignment="1">
      <alignment horizontal="center" vertical="center" shrinkToFit="1"/>
    </xf>
    <xf numFmtId="43" fontId="147" fillId="24" borderId="3" xfId="3" applyFont="1" applyFill="1" applyBorder="1" applyAlignment="1">
      <alignment horizontal="center" vertical="center" shrinkToFit="1"/>
    </xf>
    <xf numFmtId="43" fontId="147" fillId="24" borderId="9" xfId="3" applyFont="1" applyFill="1" applyBorder="1" applyAlignment="1">
      <alignment horizontal="center" vertical="center" shrinkToFit="1"/>
    </xf>
    <xf numFmtId="43" fontId="147" fillId="0" borderId="9" xfId="3" applyFont="1" applyBorder="1" applyAlignment="1">
      <alignment horizontal="center" vertical="center" shrinkToFit="1"/>
    </xf>
    <xf numFmtId="43" fontId="147" fillId="0" borderId="3" xfId="3" applyFont="1" applyBorder="1" applyAlignment="1">
      <alignment horizontal="center" vertical="center" shrinkToFit="1"/>
    </xf>
    <xf numFmtId="43" fontId="147" fillId="0" borderId="3" xfId="3" applyFont="1" applyFill="1" applyBorder="1" applyAlignment="1">
      <alignment horizontal="center" vertical="center" shrinkToFit="1"/>
    </xf>
    <xf numFmtId="177" fontId="1" fillId="24" borderId="39" xfId="0" applyNumberFormat="1" applyFont="1" applyFill="1" applyBorder="1" applyAlignment="1" applyProtection="1">
      <alignment horizontal="center" vertical="center" shrinkToFit="1"/>
      <protection locked="0"/>
    </xf>
    <xf numFmtId="0" fontId="0" fillId="24" borderId="5" xfId="0" applyFill="1" applyBorder="1">
      <alignment vertical="center"/>
    </xf>
    <xf numFmtId="43" fontId="0" fillId="24" borderId="5" xfId="3" applyFont="1" applyFill="1" applyBorder="1" applyAlignment="1">
      <alignment horizontal="center" vertical="center"/>
    </xf>
    <xf numFmtId="0" fontId="0" fillId="0" borderId="0" xfId="0" applyFill="1" applyProtection="1">
      <alignment vertical="center"/>
    </xf>
    <xf numFmtId="14" fontId="42" fillId="0" borderId="0" xfId="0" applyNumberFormat="1" applyFont="1" applyFill="1" applyBorder="1" applyAlignment="1">
      <alignment horizontal="left" vertical="center" wrapText="1" indent="1"/>
    </xf>
    <xf numFmtId="43" fontId="1" fillId="0" borderId="3" xfId="3" applyFont="1" applyFill="1" applyBorder="1">
      <alignment vertical="center"/>
    </xf>
    <xf numFmtId="43" fontId="1" fillId="0" borderId="3" xfId="3" applyFont="1" applyFill="1" applyBorder="1" applyAlignment="1">
      <alignment horizontal="center" vertical="center"/>
    </xf>
    <xf numFmtId="43" fontId="2" fillId="0" borderId="3" xfId="3" applyFont="1" applyFill="1" applyBorder="1" applyAlignment="1">
      <alignment horizontal="center" vertical="center"/>
    </xf>
    <xf numFmtId="40" fontId="2" fillId="0" borderId="0" xfId="0" applyNumberFormat="1" applyFont="1" applyFill="1" applyAlignment="1" applyProtection="1">
      <alignment vertical="center"/>
      <protection locked="0"/>
    </xf>
    <xf numFmtId="0" fontId="164" fillId="18" borderId="0"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center" vertical="center"/>
      <protection locked="0"/>
    </xf>
    <xf numFmtId="177" fontId="230" fillId="0" borderId="0" xfId="0" applyNumberFormat="1" applyFont="1" applyAlignment="1" applyProtection="1">
      <alignment vertical="center"/>
      <protection locked="0"/>
    </xf>
    <xf numFmtId="10" fontId="2" fillId="0" borderId="3" xfId="1" applyNumberFormat="1" applyFont="1" applyFill="1" applyBorder="1" applyAlignment="1" applyProtection="1">
      <alignment horizontal="right" vertical="center"/>
      <protection locked="0"/>
    </xf>
    <xf numFmtId="0" fontId="2" fillId="0" borderId="0" xfId="0" applyFont="1" applyBorder="1" applyAlignment="1">
      <alignment vertical="center" wrapText="1"/>
    </xf>
    <xf numFmtId="185" fontId="165" fillId="21" borderId="115" xfId="0" applyNumberFormat="1" applyFont="1" applyFill="1" applyBorder="1" applyAlignment="1" applyProtection="1">
      <alignment vertical="center"/>
    </xf>
    <xf numFmtId="0" fontId="2" fillId="18" borderId="115"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horizontal="right" vertical="center"/>
      <protection locked="0"/>
    </xf>
    <xf numFmtId="9" fontId="23" fillId="0" borderId="3" xfId="1" applyFont="1" applyFill="1" applyBorder="1" applyAlignment="1" applyProtection="1">
      <alignment horizontal="left" vertical="center"/>
      <protection locked="0"/>
    </xf>
    <xf numFmtId="194" fontId="23" fillId="0" borderId="3" xfId="1" applyNumberFormat="1" applyFont="1" applyFill="1" applyBorder="1" applyAlignment="1" applyProtection="1">
      <alignment horizontal="left" vertical="center"/>
      <protection locked="0"/>
    </xf>
    <xf numFmtId="9" fontId="23" fillId="0" borderId="3" xfId="0" applyNumberFormat="1" applyFont="1" applyFill="1" applyBorder="1" applyAlignment="1" applyProtection="1">
      <alignment horizontal="left" vertical="center"/>
      <protection locked="0"/>
    </xf>
    <xf numFmtId="9" fontId="23" fillId="0" borderId="3" xfId="1" applyFont="1" applyFill="1" applyBorder="1" applyAlignment="1" applyProtection="1">
      <alignment vertical="center"/>
      <protection locked="0"/>
    </xf>
    <xf numFmtId="177" fontId="107" fillId="0" borderId="3" xfId="0" applyNumberFormat="1" applyFont="1" applyFill="1" applyBorder="1" applyAlignment="1" applyProtection="1">
      <alignment vertical="center"/>
      <protection locked="0"/>
    </xf>
    <xf numFmtId="0" fontId="166" fillId="24" borderId="0" xfId="0" applyFont="1" applyFill="1" applyAlignment="1">
      <alignment vertical="center"/>
    </xf>
    <xf numFmtId="0" fontId="166" fillId="43" borderId="0" xfId="0" applyFont="1" applyFill="1" applyAlignment="1">
      <alignment horizontal="left" vertical="top" wrapText="1"/>
    </xf>
    <xf numFmtId="185" fontId="2" fillId="18" borderId="115" xfId="0" applyNumberFormat="1" applyFont="1" applyFill="1" applyBorder="1" applyAlignment="1" applyProtection="1">
      <alignment horizontal="center" vertical="center"/>
    </xf>
    <xf numFmtId="185" fontId="165" fillId="21" borderId="131" xfId="0" applyNumberFormat="1" applyFont="1" applyFill="1" applyBorder="1" applyAlignment="1" applyProtection="1">
      <alignment vertical="center"/>
    </xf>
    <xf numFmtId="177" fontId="1" fillId="0" borderId="3" xfId="0" applyNumberFormat="1" applyFont="1" applyFill="1" applyBorder="1" applyAlignment="1" applyProtection="1">
      <alignment vertical="center"/>
    </xf>
    <xf numFmtId="177" fontId="1" fillId="0" borderId="3" xfId="0" applyNumberFormat="1" applyFont="1" applyFill="1" applyBorder="1" applyAlignment="1" applyProtection="1">
      <alignment vertical="center"/>
      <protection locked="0"/>
    </xf>
    <xf numFmtId="0" fontId="1" fillId="0" borderId="3" xfId="0" applyFont="1" applyFill="1" applyBorder="1" applyAlignment="1" applyProtection="1">
      <alignment vertical="center" wrapText="1"/>
      <protection locked="0"/>
    </xf>
    <xf numFmtId="0" fontId="147" fillId="0" borderId="3" xfId="0" applyFont="1" applyFill="1" applyBorder="1" applyAlignment="1" applyProtection="1">
      <alignment vertical="center" wrapText="1"/>
      <protection locked="0"/>
    </xf>
    <xf numFmtId="190" fontId="2" fillId="25" borderId="120" xfId="0" applyNumberFormat="1" applyFont="1" applyFill="1" applyBorder="1" applyAlignment="1" applyProtection="1">
      <alignment vertical="center" shrinkToFit="1"/>
      <protection locked="0"/>
    </xf>
    <xf numFmtId="0" fontId="45" fillId="24" borderId="3" xfId="0" applyFont="1" applyFill="1" applyBorder="1" applyAlignment="1" applyProtection="1">
      <alignment horizontal="center" vertical="center"/>
      <protection locked="0"/>
    </xf>
    <xf numFmtId="0" fontId="45" fillId="24" borderId="3" xfId="0" applyFont="1" applyFill="1" applyBorder="1" applyAlignment="1" applyProtection="1">
      <alignment vertical="center" wrapText="1"/>
      <protection locked="0"/>
    </xf>
    <xf numFmtId="0" fontId="45" fillId="24" borderId="5" xfId="0" applyFont="1" applyFill="1" applyBorder="1" applyAlignment="1" applyProtection="1">
      <alignment vertical="center" wrapText="1"/>
      <protection locked="0"/>
    </xf>
    <xf numFmtId="0" fontId="45" fillId="24" borderId="5" xfId="0" applyFont="1" applyFill="1" applyBorder="1" applyAlignment="1" applyProtection="1">
      <alignment horizontal="center" vertical="center"/>
      <protection locked="0"/>
    </xf>
    <xf numFmtId="49" fontId="45" fillId="24" borderId="5" xfId="0" applyNumberFormat="1" applyFont="1" applyFill="1" applyBorder="1" applyAlignment="1" applyProtection="1">
      <alignment vertical="center" wrapText="1"/>
      <protection locked="0"/>
    </xf>
    <xf numFmtId="0" fontId="45" fillId="24" borderId="5" xfId="0" applyFont="1" applyFill="1" applyBorder="1" applyAlignment="1" applyProtection="1">
      <alignment horizontal="left" vertical="center" wrapText="1"/>
      <protection locked="0"/>
    </xf>
    <xf numFmtId="185" fontId="165" fillId="21" borderId="119" xfId="0" applyNumberFormat="1" applyFont="1" applyFill="1" applyBorder="1" applyAlignment="1" applyProtection="1">
      <alignment vertical="center" shrinkToFit="1"/>
    </xf>
    <xf numFmtId="0" fontId="2" fillId="18" borderId="103" xfId="0" applyNumberFormat="1" applyFont="1" applyFill="1" applyBorder="1" applyAlignment="1">
      <alignment horizontal="center" vertical="center"/>
    </xf>
    <xf numFmtId="0" fontId="2" fillId="18" borderId="118" xfId="0" applyNumberFormat="1" applyFont="1" applyFill="1" applyBorder="1" applyAlignment="1">
      <alignment horizontal="center" vertical="center"/>
    </xf>
    <xf numFmtId="0" fontId="2" fillId="18" borderId="104" xfId="0" applyNumberFormat="1" applyFont="1" applyFill="1" applyBorder="1" applyAlignment="1">
      <alignment horizontal="center" vertical="center"/>
    </xf>
    <xf numFmtId="43" fontId="221" fillId="0" borderId="3" xfId="3" applyFont="1" applyBorder="1" applyAlignment="1">
      <alignment horizontal="center" vertical="center"/>
    </xf>
    <xf numFmtId="43" fontId="7" fillId="0" borderId="3" xfId="3" applyFont="1" applyBorder="1" applyAlignment="1">
      <alignment horizontal="right" vertical="center"/>
    </xf>
    <xf numFmtId="43" fontId="0" fillId="0" borderId="3" xfId="3" applyFont="1" applyBorder="1" applyAlignment="1">
      <alignment horizontal="right" vertical="center"/>
    </xf>
    <xf numFmtId="43" fontId="0" fillId="0" borderId="3" xfId="3" applyFont="1" applyFill="1" applyBorder="1" applyAlignment="1">
      <alignment horizontal="right" vertical="center"/>
    </xf>
    <xf numFmtId="43" fontId="0" fillId="0" borderId="0" xfId="3" applyFont="1" applyAlignment="1">
      <alignment horizontal="right" vertical="center"/>
    </xf>
    <xf numFmtId="0" fontId="182" fillId="0" borderId="0" xfId="7" applyFont="1">
      <alignment vertical="center"/>
    </xf>
    <xf numFmtId="0" fontId="234" fillId="0" borderId="0" xfId="7" applyFont="1" applyFill="1" applyAlignment="1" applyProtection="1">
      <alignment horizontal="center"/>
      <protection locked="0"/>
    </xf>
    <xf numFmtId="0" fontId="234" fillId="0" borderId="0" xfId="7" applyFont="1" applyFill="1" applyProtection="1">
      <alignment vertical="center"/>
      <protection locked="0"/>
    </xf>
    <xf numFmtId="0" fontId="236" fillId="0" borderId="0" xfId="7" applyFont="1" applyAlignment="1">
      <alignment vertical="center"/>
    </xf>
    <xf numFmtId="0" fontId="236" fillId="0" borderId="0" xfId="7" applyFont="1" applyAlignment="1">
      <alignment vertical="justify"/>
    </xf>
    <xf numFmtId="0" fontId="235" fillId="0" borderId="0" xfId="7" applyFont="1" applyFill="1" applyBorder="1" applyAlignment="1" applyProtection="1">
      <alignment horizontal="left" vertical="justify" wrapText="1"/>
    </xf>
    <xf numFmtId="0" fontId="234" fillId="0" borderId="0" xfId="7" applyFont="1" applyFill="1" applyBorder="1" applyAlignment="1" applyProtection="1">
      <alignment vertical="top" wrapText="1"/>
      <protection locked="0"/>
    </xf>
    <xf numFmtId="0" fontId="234" fillId="0" borderId="0" xfId="7" applyFont="1" applyFill="1" applyBorder="1" applyAlignment="1">
      <alignment horizontal="center" vertical="center" wrapText="1"/>
    </xf>
    <xf numFmtId="0" fontId="108" fillId="0" borderId="0" xfId="7" applyFont="1" applyFill="1" applyBorder="1" applyAlignment="1" applyProtection="1">
      <alignment horizontal="left" vertical="center"/>
    </xf>
    <xf numFmtId="0" fontId="108" fillId="0" borderId="0" xfId="7" applyFont="1" applyFill="1" applyBorder="1" applyAlignment="1" applyProtection="1">
      <alignment vertical="center"/>
    </xf>
    <xf numFmtId="0" fontId="108" fillId="0" borderId="0" xfId="7" applyFont="1" applyFill="1" applyBorder="1" applyProtection="1">
      <alignment vertical="center"/>
    </xf>
    <xf numFmtId="0" fontId="235" fillId="0" borderId="0" xfId="7" applyFont="1" applyFill="1" applyAlignment="1" applyProtection="1">
      <protection locked="0"/>
    </xf>
    <xf numFmtId="0" fontId="234" fillId="0" borderId="0" xfId="7" applyFont="1" applyFill="1" applyBorder="1" applyAlignment="1" applyProtection="1">
      <alignment horizontal="justify" wrapText="1"/>
      <protection locked="0"/>
    </xf>
    <xf numFmtId="0" fontId="235" fillId="0" borderId="0" xfId="7" applyFont="1" applyFill="1" applyBorder="1" applyAlignment="1" applyProtection="1">
      <alignment horizontal="right"/>
      <protection locked="0"/>
    </xf>
    <xf numFmtId="0" fontId="239" fillId="0" borderId="0" xfId="7" applyFont="1" applyFill="1" applyBorder="1" applyAlignment="1" applyProtection="1">
      <protection locked="0"/>
    </xf>
    <xf numFmtId="0" fontId="235" fillId="0" borderId="0" xfId="7" applyFont="1" applyFill="1" applyProtection="1">
      <alignment vertical="center"/>
      <protection locked="0"/>
    </xf>
    <xf numFmtId="0" fontId="234" fillId="0" borderId="0" xfId="7" applyFont="1" applyFill="1" applyBorder="1" applyAlignment="1" applyProtection="1">
      <alignment horizontal="left"/>
      <protection locked="0"/>
    </xf>
    <xf numFmtId="0" fontId="235" fillId="0" borderId="0" xfId="7" applyFont="1" applyFill="1" applyBorder="1" applyAlignment="1" applyProtection="1">
      <alignment horizontal="center" vertical="top"/>
      <protection locked="0"/>
    </xf>
    <xf numFmtId="0" fontId="234" fillId="0" borderId="0" xfId="7" applyFont="1" applyFill="1" applyBorder="1" applyAlignment="1" applyProtection="1">
      <alignment vertical="center"/>
      <protection locked="0"/>
    </xf>
    <xf numFmtId="0" fontId="235" fillId="0" borderId="0" xfId="7" applyFont="1" applyFill="1" applyBorder="1" applyAlignment="1" applyProtection="1">
      <alignment vertical="center"/>
      <protection locked="0"/>
    </xf>
    <xf numFmtId="0" fontId="231" fillId="0" borderId="0" xfId="7" applyFont="1" applyFill="1">
      <alignment vertical="center"/>
    </xf>
    <xf numFmtId="0" fontId="235" fillId="0" borderId="0" xfId="7" applyFont="1" applyFill="1" applyBorder="1" applyAlignment="1" applyProtection="1">
      <alignment vertical="top"/>
      <protection locked="0"/>
    </xf>
    <xf numFmtId="0" fontId="234" fillId="0" borderId="0" xfId="7" applyFont="1" applyFill="1" applyBorder="1" applyAlignment="1" applyProtection="1">
      <alignment vertical="center"/>
    </xf>
    <xf numFmtId="31" fontId="235" fillId="0" borderId="0" xfId="7" applyNumberFormat="1" applyFont="1" applyFill="1" applyProtection="1">
      <alignment vertical="center"/>
      <protection locked="0"/>
    </xf>
    <xf numFmtId="0" fontId="241" fillId="0" borderId="0" xfId="7" applyFont="1" applyFill="1" applyAlignment="1" applyProtection="1">
      <alignment horizontal="right"/>
      <protection locked="0"/>
    </xf>
    <xf numFmtId="0" fontId="98" fillId="0" borderId="0" xfId="7" applyFont="1" applyFill="1">
      <alignment vertical="center"/>
    </xf>
    <xf numFmtId="0" fontId="242" fillId="0" borderId="0" xfId="7" applyFont="1" applyFill="1" applyBorder="1" applyAlignment="1" applyProtection="1">
      <protection locked="0"/>
    </xf>
    <xf numFmtId="0" fontId="98" fillId="0" borderId="0" xfId="7" applyFont="1">
      <alignment vertical="center"/>
    </xf>
    <xf numFmtId="0" fontId="0" fillId="0" borderId="0" xfId="0" applyNumberFormat="1">
      <alignment vertical="center"/>
    </xf>
    <xf numFmtId="43" fontId="147" fillId="24" borderId="3" xfId="3" applyFont="1" applyFill="1" applyBorder="1">
      <alignment vertical="center"/>
    </xf>
    <xf numFmtId="0" fontId="137" fillId="24" borderId="3" xfId="0" applyFont="1" applyFill="1" applyBorder="1">
      <alignment vertical="center"/>
    </xf>
    <xf numFmtId="0" fontId="0" fillId="24" borderId="3" xfId="0" applyFill="1" applyBorder="1" applyAlignment="1">
      <alignment vertical="center" wrapText="1"/>
    </xf>
    <xf numFmtId="0" fontId="0" fillId="24" borderId="3" xfId="0" applyFill="1" applyBorder="1" applyAlignment="1">
      <alignment vertical="center" textRotation="255" wrapText="1"/>
    </xf>
    <xf numFmtId="184" fontId="147" fillId="24" borderId="3" xfId="1" applyNumberFormat="1" applyFont="1" applyFill="1" applyBorder="1">
      <alignment vertical="center"/>
    </xf>
    <xf numFmtId="0" fontId="244" fillId="0" borderId="0" xfId="0" applyFont="1" applyAlignment="1" applyProtection="1">
      <alignment vertical="center"/>
      <protection locked="0"/>
    </xf>
    <xf numFmtId="0" fontId="245" fillId="0" borderId="0" xfId="0" applyFont="1" applyAlignment="1" applyProtection="1">
      <alignment vertical="center"/>
      <protection locked="0"/>
    </xf>
    <xf numFmtId="184" fontId="147" fillId="0" borderId="3" xfId="1" applyNumberFormat="1" applyFont="1" applyFill="1" applyBorder="1">
      <alignment vertical="center"/>
    </xf>
    <xf numFmtId="0" fontId="9" fillId="0" borderId="3" xfId="2" applyBorder="1" applyAlignment="1" applyProtection="1">
      <alignment vertical="center"/>
    </xf>
    <xf numFmtId="0" fontId="167" fillId="24" borderId="0" xfId="0" applyFont="1" applyFill="1" applyAlignment="1" applyProtection="1">
      <alignment horizontal="right" vertical="center"/>
    </xf>
    <xf numFmtId="0" fontId="140" fillId="18" borderId="0" xfId="0" applyFont="1" applyFill="1" applyBorder="1" applyAlignment="1" applyProtection="1">
      <alignment horizontal="right" vertical="center"/>
    </xf>
    <xf numFmtId="0" fontId="165" fillId="0" borderId="3" xfId="0" applyFont="1" applyFill="1" applyBorder="1">
      <alignment vertical="center"/>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vertical="center"/>
      <protection locked="0"/>
    </xf>
    <xf numFmtId="0" fontId="81" fillId="0" borderId="0" xfId="0" applyFont="1" applyFill="1" applyAlignment="1" applyProtection="1">
      <alignment vertical="center"/>
      <protection locked="0"/>
    </xf>
    <xf numFmtId="49" fontId="112" fillId="0" borderId="3" xfId="0" applyNumberFormat="1" applyFont="1" applyFill="1" applyBorder="1" applyAlignment="1">
      <alignment horizontal="center" vertical="center" wrapText="1"/>
    </xf>
    <xf numFmtId="0" fontId="2" fillId="21" borderId="158" xfId="5" applyFont="1" applyFill="1" applyBorder="1" applyAlignment="1" applyProtection="1">
      <alignment horizontal="left" vertical="center"/>
    </xf>
    <xf numFmtId="0" fontId="2" fillId="0" borderId="158" xfId="5" applyFont="1" applyFill="1" applyBorder="1" applyAlignment="1" applyProtection="1">
      <alignment vertical="center"/>
    </xf>
    <xf numFmtId="0" fontId="2" fillId="0" borderId="158" xfId="5" applyFont="1" applyFill="1" applyBorder="1" applyAlignment="1" applyProtection="1">
      <alignment horizontal="center" vertical="center"/>
      <protection locked="0"/>
    </xf>
    <xf numFmtId="0" fontId="2" fillId="18" borderId="158" xfId="5" applyFont="1" applyFill="1" applyBorder="1" applyAlignment="1" applyProtection="1">
      <alignment horizontal="center" vertical="center"/>
      <protection locked="0"/>
    </xf>
    <xf numFmtId="0" fontId="0" fillId="24" borderId="3" xfId="0" applyFill="1" applyBorder="1" applyAlignment="1">
      <alignment horizontal="left" vertical="center" wrapText="1"/>
    </xf>
    <xf numFmtId="43" fontId="216" fillId="0" borderId="0" xfId="0" applyNumberFormat="1" applyFont="1" applyFill="1" applyBorder="1">
      <alignment vertical="center"/>
    </xf>
    <xf numFmtId="0" fontId="167" fillId="24" borderId="0" xfId="0" applyFont="1" applyFill="1" applyAlignment="1" applyProtection="1">
      <alignment horizontal="right" vertical="center"/>
    </xf>
    <xf numFmtId="0" fontId="2" fillId="24" borderId="3" xfId="0" applyFont="1" applyFill="1" applyBorder="1" applyAlignment="1" applyProtection="1">
      <alignment horizontal="center" vertical="center"/>
      <protection locked="0"/>
    </xf>
    <xf numFmtId="0" fontId="2" fillId="24" borderId="3" xfId="0" applyFont="1" applyFill="1" applyBorder="1" applyAlignment="1" applyProtection="1">
      <alignment horizontal="center" vertical="center" wrapText="1"/>
      <protection locked="0"/>
    </xf>
    <xf numFmtId="10" fontId="2" fillId="0" borderId="3" xfId="1" applyNumberFormat="1" applyFont="1" applyFill="1" applyBorder="1" applyAlignment="1" applyProtection="1">
      <alignment horizontal="center" vertical="center"/>
      <protection locked="0"/>
    </xf>
    <xf numFmtId="43" fontId="2" fillId="4" borderId="3" xfId="3" applyFont="1" applyFill="1" applyBorder="1" applyAlignment="1" applyProtection="1">
      <alignment horizontal="center" vertical="center"/>
      <protection locked="0"/>
    </xf>
    <xf numFmtId="10" fontId="2" fillId="4" borderId="3" xfId="1" applyNumberFormat="1" applyFont="1" applyFill="1" applyBorder="1" applyAlignment="1" applyProtection="1">
      <alignment horizontal="center" vertical="center"/>
      <protection locked="0"/>
    </xf>
    <xf numFmtId="196"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protection locked="0"/>
    </xf>
    <xf numFmtId="177" fontId="2" fillId="4" borderId="3" xfId="0" applyNumberFormat="1" applyFont="1" applyFill="1" applyBorder="1" applyAlignment="1" applyProtection="1">
      <alignment horizontal="right" vertical="center"/>
    </xf>
    <xf numFmtId="0" fontId="2" fillId="4" borderId="3" xfId="0" applyFont="1" applyFill="1" applyBorder="1" applyAlignment="1" applyProtection="1">
      <alignment horizontal="center" vertical="center"/>
      <protection locked="0"/>
    </xf>
    <xf numFmtId="0" fontId="2" fillId="24" borderId="0" xfId="0" applyFont="1" applyFill="1" applyBorder="1" applyAlignment="1" applyProtection="1">
      <alignment horizontal="center" vertical="center"/>
      <protection locked="0"/>
    </xf>
    <xf numFmtId="0" fontId="2" fillId="24" borderId="0" xfId="0" applyFont="1" applyFill="1" applyAlignment="1" applyProtection="1">
      <alignment vertical="center"/>
      <protection locked="0"/>
    </xf>
    <xf numFmtId="0" fontId="2" fillId="24" borderId="0" xfId="0" applyFont="1" applyFill="1" applyBorder="1" applyAlignment="1" applyProtection="1">
      <alignment vertical="center"/>
      <protection locked="0"/>
    </xf>
    <xf numFmtId="0" fontId="2" fillId="24" borderId="0" xfId="0" applyFont="1" applyFill="1" applyBorder="1" applyAlignment="1" applyProtection="1">
      <alignment horizontal="right" vertical="center"/>
      <protection locked="0"/>
    </xf>
    <xf numFmtId="177" fontId="2" fillId="24" borderId="3" xfId="0" applyNumberFormat="1" applyFont="1" applyFill="1" applyBorder="1" applyAlignment="1" applyProtection="1">
      <alignment horizontal="right" vertical="center"/>
      <protection locked="0"/>
    </xf>
    <xf numFmtId="0" fontId="2" fillId="12" borderId="3" xfId="0" applyFont="1" applyFill="1" applyBorder="1" applyAlignment="1" applyProtection="1">
      <alignment horizontal="center" vertical="center" wrapText="1"/>
      <protection locked="0"/>
    </xf>
    <xf numFmtId="177" fontId="2" fillId="12" borderId="3" xfId="0" applyNumberFormat="1" applyFont="1" applyFill="1" applyBorder="1" applyAlignment="1" applyProtection="1">
      <alignment horizontal="right" vertical="center" wrapText="1"/>
      <protection locked="0"/>
    </xf>
    <xf numFmtId="196" fontId="2" fillId="12" borderId="3" xfId="0" applyNumberFormat="1" applyFont="1" applyFill="1" applyBorder="1" applyAlignment="1" applyProtection="1">
      <alignment horizontal="right" vertical="center" wrapText="1"/>
    </xf>
    <xf numFmtId="177" fontId="2" fillId="12" borderId="3" xfId="0" applyNumberFormat="1" applyFont="1" applyFill="1" applyBorder="1" applyAlignment="1" applyProtection="1">
      <alignment horizontal="right" vertical="center" wrapText="1"/>
    </xf>
    <xf numFmtId="49" fontId="2" fillId="0" borderId="3" xfId="0" applyNumberFormat="1" applyFont="1" applyFill="1" applyBorder="1" applyAlignment="1" applyProtection="1">
      <alignment horizontal="center" vertical="center" wrapText="1"/>
      <protection locked="0"/>
    </xf>
    <xf numFmtId="49" fontId="2" fillId="0" borderId="3" xfId="0" applyNumberFormat="1" applyFont="1" applyFill="1" applyBorder="1" applyAlignment="1" applyProtection="1">
      <alignment horizontal="center" vertical="center"/>
      <protection locked="0"/>
    </xf>
    <xf numFmtId="177" fontId="2" fillId="12" borderId="3" xfId="0" applyNumberFormat="1" applyFont="1" applyFill="1" applyBorder="1" applyAlignment="1" applyProtection="1">
      <alignment horizontal="right" vertical="center"/>
    </xf>
    <xf numFmtId="49" fontId="2" fillId="0" borderId="0" xfId="0" applyNumberFormat="1" applyFont="1" applyFill="1" applyBorder="1" applyAlignment="1" applyProtection="1">
      <alignment horizontal="center" vertical="center"/>
      <protection locked="0"/>
    </xf>
    <xf numFmtId="43" fontId="2" fillId="12" borderId="3" xfId="3" applyFont="1" applyFill="1" applyBorder="1" applyAlignment="1" applyProtection="1">
      <alignment horizontal="center" vertical="center"/>
      <protection locked="0"/>
    </xf>
    <xf numFmtId="0" fontId="112" fillId="0" borderId="5" xfId="0" applyFont="1" applyFill="1" applyBorder="1" applyAlignment="1">
      <alignment horizontal="center" vertical="center"/>
    </xf>
    <xf numFmtId="0" fontId="112" fillId="0" borderId="5" xfId="0" quotePrefix="1" applyFont="1" applyFill="1" applyBorder="1" applyAlignment="1">
      <alignment vertical="center"/>
    </xf>
    <xf numFmtId="49" fontId="112" fillId="0" borderId="5" xfId="0" applyNumberFormat="1" applyFont="1" applyFill="1" applyBorder="1" applyAlignment="1">
      <alignment vertical="center" wrapText="1"/>
    </xf>
    <xf numFmtId="0" fontId="112" fillId="0" borderId="5" xfId="0" applyFont="1" applyFill="1" applyBorder="1" applyAlignment="1">
      <alignment vertical="center" wrapText="1"/>
    </xf>
    <xf numFmtId="0" fontId="112" fillId="0" borderId="5" xfId="0" quotePrefix="1" applyFont="1" applyFill="1" applyBorder="1" applyAlignment="1">
      <alignment vertical="center" wrapText="1"/>
    </xf>
    <xf numFmtId="43" fontId="112" fillId="0" borderId="5" xfId="0" applyNumberFormat="1" applyFont="1" applyFill="1" applyBorder="1" applyAlignment="1">
      <alignment vertical="center" wrapText="1"/>
    </xf>
    <xf numFmtId="179" fontId="112" fillId="0" borderId="5" xfId="0" applyNumberFormat="1" applyFont="1" applyFill="1" applyBorder="1" applyAlignment="1">
      <alignment vertical="center" wrapText="1"/>
    </xf>
    <xf numFmtId="179" fontId="112" fillId="0" borderId="5" xfId="0" applyNumberFormat="1" applyFont="1" applyFill="1" applyBorder="1" applyAlignment="1">
      <alignment horizontal="center" vertical="center" wrapText="1"/>
    </xf>
    <xf numFmtId="179" fontId="112" fillId="0" borderId="7" xfId="0" applyNumberFormat="1" applyFont="1" applyFill="1" applyBorder="1" applyAlignment="1">
      <alignment horizontal="center" vertical="center" wrapText="1"/>
    </xf>
    <xf numFmtId="0" fontId="2" fillId="24" borderId="3" xfId="0" applyFont="1" applyFill="1" applyBorder="1" applyAlignment="1" applyProtection="1">
      <alignment horizontal="left" vertical="center"/>
      <protection locked="0"/>
    </xf>
    <xf numFmtId="0" fontId="2" fillId="24" borderId="3" xfId="0" applyFont="1" applyFill="1" applyBorder="1" applyAlignment="1" applyProtection="1">
      <alignment vertical="center"/>
      <protection locked="0"/>
    </xf>
    <xf numFmtId="43" fontId="165" fillId="26" borderId="3" xfId="3" applyFont="1" applyFill="1" applyBorder="1">
      <alignment vertical="center"/>
    </xf>
    <xf numFmtId="43" fontId="165" fillId="0" borderId="3" xfId="3" applyFont="1" applyFill="1" applyBorder="1">
      <alignment vertical="center"/>
    </xf>
    <xf numFmtId="10" fontId="165" fillId="26" borderId="3" xfId="1" applyNumberFormat="1" applyFont="1" applyFill="1" applyBorder="1">
      <alignment vertical="center"/>
    </xf>
    <xf numFmtId="10" fontId="165" fillId="0" borderId="3" xfId="1" applyNumberFormat="1" applyFont="1" applyFill="1" applyBorder="1">
      <alignment vertical="center"/>
    </xf>
    <xf numFmtId="0" fontId="2" fillId="0" borderId="3" xfId="0" applyNumberFormat="1" applyFont="1" applyFill="1" applyBorder="1" applyAlignment="1" applyProtection="1">
      <alignment horizontal="center" vertical="center"/>
      <protection locked="0"/>
    </xf>
    <xf numFmtId="0" fontId="2" fillId="24" borderId="3" xfId="0" applyFont="1" applyFill="1" applyBorder="1" applyAlignment="1">
      <alignment horizontal="center" vertical="center"/>
    </xf>
    <xf numFmtId="0" fontId="90" fillId="0" borderId="3" xfId="0" applyFont="1" applyFill="1" applyBorder="1" applyAlignment="1">
      <alignment horizontal="left" vertical="center" wrapText="1"/>
    </xf>
    <xf numFmtId="0" fontId="90" fillId="0" borderId="3" xfId="0" applyFont="1" applyFill="1" applyBorder="1" applyAlignment="1">
      <alignment horizontal="center" vertical="center"/>
    </xf>
    <xf numFmtId="0" fontId="140" fillId="43" borderId="24" xfId="0" applyFont="1" applyFill="1" applyBorder="1" applyAlignment="1" applyProtection="1">
      <alignment horizontal="right" vertical="center"/>
    </xf>
    <xf numFmtId="0" fontId="0" fillId="24" borderId="3"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3" xfId="0" applyFont="1" applyFill="1" applyBorder="1" applyAlignment="1">
      <alignment horizontal="right" vertical="center" wrapText="1"/>
    </xf>
    <xf numFmtId="0" fontId="0" fillId="24" borderId="3" xfId="0" applyFont="1" applyFill="1" applyBorder="1" applyAlignment="1">
      <alignment horizontal="left" vertical="center" wrapText="1"/>
    </xf>
    <xf numFmtId="0" fontId="0" fillId="4" borderId="3" xfId="0" applyFont="1" applyFill="1" applyBorder="1" applyAlignment="1">
      <alignment horizontal="center" vertical="center"/>
    </xf>
    <xf numFmtId="0" fontId="247" fillId="0" borderId="0" xfId="0" applyFont="1" applyFill="1" applyBorder="1" applyAlignment="1" applyProtection="1">
      <alignment vertical="center"/>
      <protection locked="0"/>
    </xf>
    <xf numFmtId="197" fontId="143" fillId="4" borderId="3" xfId="1" applyNumberFormat="1" applyFont="1" applyFill="1" applyBorder="1" applyAlignment="1" applyProtection="1">
      <alignment horizontal="right" vertical="center"/>
    </xf>
    <xf numFmtId="43" fontId="0" fillId="0" borderId="3" xfId="3" applyFont="1" applyFill="1" applyBorder="1" applyAlignment="1">
      <alignment horizontal="left" vertical="center" wrapText="1"/>
    </xf>
    <xf numFmtId="43" fontId="0" fillId="0" borderId="3" xfId="3" applyFont="1" applyFill="1" applyBorder="1" applyAlignment="1">
      <alignment horizontal="right" vertical="center" wrapText="1"/>
    </xf>
    <xf numFmtId="43" fontId="107" fillId="0" borderId="3" xfId="0" applyNumberFormat="1" applyFont="1" applyFill="1" applyBorder="1" applyAlignment="1">
      <alignment horizontal="left" vertical="center" wrapText="1"/>
    </xf>
    <xf numFmtId="43" fontId="107" fillId="0" borderId="3" xfId="0" applyNumberFormat="1" applyFont="1" applyFill="1" applyBorder="1" applyAlignment="1">
      <alignment horizontal="right" vertical="center" wrapText="1"/>
    </xf>
    <xf numFmtId="0" fontId="167" fillId="24" borderId="0" xfId="0" applyFont="1" applyFill="1" applyAlignment="1" applyProtection="1">
      <alignment horizontal="right" vertical="center"/>
    </xf>
    <xf numFmtId="0" fontId="7" fillId="0" borderId="0" xfId="0" applyFont="1" applyFill="1" applyAlignment="1">
      <alignment wrapText="1"/>
    </xf>
    <xf numFmtId="0" fontId="107" fillId="0" borderId="3" xfId="0" applyFont="1" applyFill="1" applyBorder="1" applyAlignment="1">
      <alignment horizontal="left" vertical="center" wrapText="1"/>
    </xf>
    <xf numFmtId="0" fontId="107" fillId="0" borderId="3" xfId="0" applyFont="1" applyFill="1" applyBorder="1" applyAlignment="1">
      <alignment horizontal="center" vertical="center" wrapText="1"/>
    </xf>
    <xf numFmtId="0" fontId="143" fillId="0" borderId="0" xfId="0" applyFont="1" applyFill="1" applyAlignment="1">
      <alignment horizontal="left" vertical="center"/>
    </xf>
    <xf numFmtId="0" fontId="143" fillId="0" borderId="0" xfId="0" applyFont="1" applyFill="1" applyAlignment="1">
      <alignment horizontal="left" vertical="center" wrapText="1"/>
    </xf>
    <xf numFmtId="0" fontId="143" fillId="0" borderId="0" xfId="0" applyFont="1" applyFill="1" applyAlignment="1">
      <alignment horizontal="center" vertical="center"/>
    </xf>
    <xf numFmtId="0" fontId="143" fillId="0" borderId="0" xfId="0" applyFont="1" applyFill="1" applyBorder="1" applyAlignment="1">
      <alignment horizontal="center" vertical="center"/>
    </xf>
    <xf numFmtId="43" fontId="143" fillId="0" borderId="0" xfId="0" applyNumberFormat="1" applyFont="1" applyFill="1" applyAlignment="1">
      <alignment horizontal="center" vertical="center" wrapText="1"/>
    </xf>
    <xf numFmtId="43" fontId="143" fillId="0" borderId="0" xfId="3" applyFont="1" applyFill="1" applyAlignment="1">
      <alignment horizontal="center" vertical="center" wrapText="1"/>
    </xf>
    <xf numFmtId="0" fontId="167" fillId="24" borderId="0" xfId="0" applyFont="1" applyFill="1" applyAlignment="1" applyProtection="1">
      <alignment horizontal="right" vertical="center"/>
    </xf>
    <xf numFmtId="0" fontId="90" fillId="24" borderId="3" xfId="0" applyFont="1" applyFill="1" applyBorder="1" applyAlignment="1">
      <alignment horizontal="center" vertical="center"/>
    </xf>
    <xf numFmtId="0" fontId="90" fillId="24" borderId="3" xfId="0" applyFont="1" applyFill="1" applyBorder="1" applyAlignment="1">
      <alignment horizontal="center" vertical="center" wrapText="1"/>
    </xf>
    <xf numFmtId="0" fontId="90" fillId="24" borderId="17" xfId="0" applyFont="1" applyFill="1" applyBorder="1" applyAlignment="1">
      <alignment horizontal="center" vertical="center"/>
    </xf>
    <xf numFmtId="0" fontId="90" fillId="24" borderId="18" xfId="0" applyFont="1" applyFill="1" applyBorder="1" applyAlignment="1">
      <alignment horizontal="center" vertical="center" wrapText="1"/>
    </xf>
    <xf numFmtId="177" fontId="90" fillId="4" borderId="3" xfId="0" applyNumberFormat="1" applyFont="1" applyFill="1" applyBorder="1" applyProtection="1">
      <alignment vertical="center"/>
    </xf>
    <xf numFmtId="177" fontId="90" fillId="4" borderId="3" xfId="0" applyNumberFormat="1" applyFont="1" applyFill="1" applyBorder="1" applyAlignment="1">
      <alignment horizontal="right" vertical="center"/>
    </xf>
    <xf numFmtId="10" fontId="90" fillId="0" borderId="3" xfId="1" applyNumberFormat="1" applyFont="1" applyFill="1" applyBorder="1" applyAlignment="1">
      <alignment horizontal="right" vertical="center"/>
    </xf>
    <xf numFmtId="10" fontId="90" fillId="4" borderId="3" xfId="1" applyNumberFormat="1" applyFont="1" applyFill="1" applyBorder="1" applyAlignment="1">
      <alignment horizontal="center" vertical="center"/>
    </xf>
    <xf numFmtId="10" fontId="90" fillId="0" borderId="3" xfId="0" applyNumberFormat="1" applyFont="1" applyFill="1" applyBorder="1" applyAlignment="1">
      <alignment horizontal="right" vertical="center"/>
    </xf>
    <xf numFmtId="0" fontId="140" fillId="43" borderId="24" xfId="0" applyFont="1" applyFill="1" applyBorder="1" applyAlignment="1" applyProtection="1">
      <alignment horizontal="right" vertical="center"/>
    </xf>
    <xf numFmtId="0" fontId="107" fillId="24" borderId="3" xfId="0" applyFont="1" applyFill="1" applyBorder="1" applyAlignment="1">
      <alignment horizontal="center" vertical="center" wrapText="1"/>
    </xf>
    <xf numFmtId="0" fontId="107" fillId="24" borderId="3" xfId="0" applyFont="1" applyFill="1" applyBorder="1" applyAlignment="1">
      <alignment horizontal="left" vertical="center" wrapText="1"/>
    </xf>
    <xf numFmtId="0" fontId="109" fillId="24" borderId="3" xfId="0" applyFont="1" applyFill="1" applyBorder="1" applyAlignment="1">
      <alignment horizontal="center" vertical="center"/>
    </xf>
    <xf numFmtId="0" fontId="109" fillId="24" borderId="3" xfId="0" applyFont="1" applyFill="1" applyBorder="1" applyAlignment="1">
      <alignment horizontal="center" vertical="center" wrapText="1"/>
    </xf>
    <xf numFmtId="177" fontId="45" fillId="4" borderId="3" xfId="0" applyNumberFormat="1" applyFont="1" applyFill="1" applyBorder="1" applyProtection="1">
      <alignment vertical="center"/>
    </xf>
    <xf numFmtId="9" fontId="107" fillId="4" borderId="3" xfId="0" applyNumberFormat="1" applyFont="1" applyFill="1" applyBorder="1" applyAlignment="1">
      <alignment horizontal="center" vertical="center" wrapText="1"/>
    </xf>
    <xf numFmtId="0" fontId="45" fillId="24" borderId="5" xfId="0" applyFont="1" applyFill="1" applyBorder="1" applyAlignment="1" applyProtection="1">
      <alignment horizontal="center" vertical="center"/>
      <protection locked="0"/>
    </xf>
    <xf numFmtId="0" fontId="45" fillId="24" borderId="3" xfId="0" applyFont="1" applyFill="1" applyBorder="1" applyAlignment="1" applyProtection="1">
      <alignment horizontal="center" vertical="center"/>
      <protection locked="0"/>
    </xf>
    <xf numFmtId="0" fontId="45" fillId="24" borderId="3" xfId="0" applyFont="1" applyFill="1" applyBorder="1" applyAlignment="1" applyProtection="1">
      <alignment horizontal="center" vertical="center" wrapText="1"/>
      <protection locked="0"/>
    </xf>
    <xf numFmtId="0" fontId="45" fillId="24" borderId="20" xfId="0" applyFont="1" applyFill="1" applyBorder="1" applyAlignment="1" applyProtection="1">
      <alignment horizontal="center" vertical="center" wrapText="1"/>
      <protection locked="0"/>
    </xf>
    <xf numFmtId="0" fontId="45" fillId="24" borderId="5" xfId="0" applyFont="1" applyFill="1" applyBorder="1" applyAlignment="1" applyProtection="1">
      <alignment horizontal="center" vertical="center" wrapText="1"/>
      <protection locked="0"/>
    </xf>
    <xf numFmtId="177" fontId="45" fillId="4" borderId="3" xfId="0" applyNumberFormat="1" applyFont="1" applyFill="1" applyBorder="1" applyAlignment="1" applyProtection="1">
      <alignment horizontal="right" vertical="center"/>
      <protection locked="0"/>
    </xf>
    <xf numFmtId="9" fontId="107" fillId="4" borderId="3" xfId="1" applyFont="1" applyFill="1" applyBorder="1" applyAlignment="1">
      <alignment horizontal="right" vertical="center" wrapText="1"/>
    </xf>
    <xf numFmtId="0" fontId="107" fillId="0" borderId="3" xfId="0" applyFont="1" applyFill="1" applyBorder="1" applyAlignment="1">
      <alignment horizontal="right" vertical="center" wrapText="1"/>
    </xf>
    <xf numFmtId="9" fontId="107" fillId="0" borderId="3" xfId="1" applyFont="1" applyFill="1" applyBorder="1" applyAlignment="1">
      <alignment horizontal="right" vertical="center" wrapText="1"/>
    </xf>
    <xf numFmtId="0" fontId="2" fillId="0" borderId="3" xfId="0" applyFont="1" applyFill="1" applyBorder="1" applyAlignment="1">
      <alignment horizontal="right" vertical="center" wrapText="1"/>
    </xf>
    <xf numFmtId="177" fontId="2" fillId="0" borderId="3" xfId="0" applyNumberFormat="1" applyFont="1" applyFill="1" applyBorder="1" applyProtection="1">
      <alignment vertical="center"/>
    </xf>
    <xf numFmtId="0" fontId="2" fillId="18" borderId="111" xfId="0" applyFont="1" applyFill="1" applyBorder="1" applyAlignment="1" applyProtection="1">
      <alignment horizontal="center" vertical="center" wrapText="1"/>
      <protection locked="0"/>
    </xf>
    <xf numFmtId="185" fontId="165" fillId="36" borderId="118" xfId="0" applyNumberFormat="1" applyFont="1" applyFill="1" applyBorder="1" applyAlignment="1">
      <alignment vertical="center"/>
    </xf>
    <xf numFmtId="185" fontId="165" fillId="36" borderId="103" xfId="0" applyNumberFormat="1" applyFont="1" applyFill="1" applyBorder="1" applyAlignment="1">
      <alignment vertical="center"/>
    </xf>
    <xf numFmtId="177" fontId="45" fillId="4" borderId="3" xfId="0" applyNumberFormat="1" applyFont="1" applyFill="1" applyBorder="1" applyAlignment="1" applyProtection="1">
      <alignment horizontal="right" vertical="center"/>
    </xf>
    <xf numFmtId="0" fontId="35" fillId="24" borderId="3" xfId="0" applyFont="1" applyFill="1" applyBorder="1" applyAlignment="1" applyProtection="1">
      <alignment horizontal="center" vertical="center"/>
      <protection locked="0"/>
    </xf>
    <xf numFmtId="0" fontId="35" fillId="24" borderId="3" xfId="0" applyFont="1" applyFill="1" applyBorder="1" applyAlignment="1" applyProtection="1">
      <alignment vertical="center" wrapText="1"/>
      <protection locked="0"/>
    </xf>
    <xf numFmtId="0" fontId="103" fillId="24" borderId="0" xfId="0" applyFont="1" applyFill="1" applyAlignment="1">
      <alignment vertical="center" wrapText="1"/>
    </xf>
    <xf numFmtId="0" fontId="35" fillId="24" borderId="5" xfId="2" applyFont="1" applyFill="1" applyBorder="1" applyAlignment="1" applyProtection="1">
      <alignment vertical="center" wrapText="1"/>
      <protection locked="0"/>
    </xf>
    <xf numFmtId="177" fontId="35" fillId="4" borderId="3" xfId="0" applyNumberFormat="1" applyFont="1" applyFill="1" applyBorder="1" applyProtection="1">
      <alignment vertical="center"/>
    </xf>
    <xf numFmtId="177" fontId="35" fillId="4" borderId="3" xfId="0" applyNumberFormat="1" applyFont="1" applyFill="1" applyBorder="1" applyProtection="1">
      <alignment vertical="center"/>
      <protection locked="0"/>
    </xf>
    <xf numFmtId="0" fontId="35" fillId="0" borderId="3" xfId="0" applyNumberFormat="1" applyFont="1" applyFill="1" applyBorder="1" applyAlignment="1" applyProtection="1">
      <alignment horizontal="center" vertical="center"/>
      <protection locked="0"/>
    </xf>
    <xf numFmtId="0" fontId="35" fillId="0" borderId="5" xfId="0" applyFont="1" applyFill="1" applyBorder="1" applyAlignment="1" applyProtection="1">
      <alignment horizontal="left" vertical="center" wrapText="1"/>
      <protection locked="0"/>
    </xf>
    <xf numFmtId="0" fontId="35" fillId="0" borderId="3" xfId="0" applyFont="1" applyFill="1" applyBorder="1" applyAlignment="1" applyProtection="1">
      <alignment vertical="center"/>
      <protection locked="0"/>
    </xf>
    <xf numFmtId="0" fontId="35" fillId="0" borderId="3" xfId="0" applyFont="1" applyFill="1" applyBorder="1" applyAlignment="1" applyProtection="1">
      <alignment horizontal="left" vertical="center"/>
      <protection locked="0"/>
    </xf>
    <xf numFmtId="0" fontId="2" fillId="18" borderId="111" xfId="0" applyFont="1" applyFill="1" applyBorder="1" applyAlignment="1" applyProtection="1">
      <alignment vertical="center" wrapText="1"/>
      <protection locked="0"/>
    </xf>
    <xf numFmtId="0" fontId="164" fillId="18" borderId="0" xfId="0" applyFont="1" applyFill="1" applyBorder="1" applyAlignment="1" applyProtection="1">
      <alignment horizontal="center" vertical="top"/>
      <protection locked="0"/>
    </xf>
    <xf numFmtId="0" fontId="2" fillId="18" borderId="109" xfId="0" applyFont="1" applyFill="1" applyBorder="1" applyAlignment="1" applyProtection="1">
      <alignment horizontal="center" vertical="center" wrapText="1"/>
      <protection locked="0"/>
    </xf>
    <xf numFmtId="0" fontId="2" fillId="18" borderId="0" xfId="0"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35" fillId="24" borderId="3" xfId="0" applyFont="1" applyFill="1" applyBorder="1" applyAlignment="1" applyProtection="1">
      <alignment horizontal="right" vertical="center"/>
      <protection locked="0"/>
    </xf>
    <xf numFmtId="0" fontId="35" fillId="24" borderId="3" xfId="0" applyFont="1" applyFill="1" applyBorder="1" applyAlignment="1" applyProtection="1">
      <alignment vertical="center"/>
      <protection locked="0"/>
    </xf>
    <xf numFmtId="0" fontId="35" fillId="24" borderId="3" xfId="0" applyFont="1" applyFill="1" applyBorder="1" applyAlignment="1" applyProtection="1">
      <alignment horizontal="center" vertical="center" wrapText="1"/>
      <protection locked="0"/>
    </xf>
    <xf numFmtId="177" fontId="35" fillId="4" borderId="3" xfId="0" applyNumberFormat="1" applyFont="1" applyFill="1" applyBorder="1" applyAlignment="1" applyProtection="1">
      <alignment vertical="center"/>
    </xf>
    <xf numFmtId="0" fontId="35" fillId="24" borderId="3" xfId="0" applyFont="1" applyFill="1" applyBorder="1" applyAlignment="1" applyProtection="1">
      <alignment horizontal="center" vertical="center"/>
      <protection locked="0"/>
    </xf>
    <xf numFmtId="0" fontId="35" fillId="24" borderId="3" xfId="0" applyFont="1" applyFill="1" applyBorder="1" applyAlignment="1" applyProtection="1">
      <alignment horizontal="left" vertical="center" wrapText="1"/>
      <protection locked="0"/>
    </xf>
    <xf numFmtId="177" fontId="35" fillId="4" borderId="3" xfId="0" applyNumberFormat="1" applyFont="1" applyFill="1" applyBorder="1" applyAlignment="1" applyProtection="1">
      <alignment horizontal="right" vertical="center"/>
    </xf>
    <xf numFmtId="0" fontId="42" fillId="24" borderId="3" xfId="0" applyFont="1" applyFill="1" applyBorder="1" applyAlignment="1" applyProtection="1">
      <alignment horizontal="center" vertical="center" wrapText="1"/>
      <protection locked="0"/>
    </xf>
    <xf numFmtId="0" fontId="42" fillId="24" borderId="5" xfId="0" applyFont="1" applyFill="1" applyBorder="1" applyAlignment="1" applyProtection="1">
      <alignment horizontal="center" vertical="center" wrapText="1"/>
      <protection locked="0"/>
    </xf>
    <xf numFmtId="0" fontId="35" fillId="24" borderId="5" xfId="0" applyFont="1" applyFill="1" applyBorder="1" applyAlignment="1" applyProtection="1">
      <alignment vertical="center" wrapText="1"/>
      <protection locked="0"/>
    </xf>
    <xf numFmtId="0" fontId="35" fillId="24" borderId="3" xfId="0" applyFont="1" applyFill="1" applyBorder="1" applyAlignment="1" applyProtection="1">
      <alignment horizontal="left" vertical="center"/>
      <protection locked="0"/>
    </xf>
    <xf numFmtId="178" fontId="35" fillId="24" borderId="3" xfId="0" applyNumberFormat="1" applyFont="1" applyFill="1" applyBorder="1" applyAlignment="1" applyProtection="1">
      <alignment horizontal="center" vertical="center" wrapText="1"/>
      <protection locked="0"/>
    </xf>
    <xf numFmtId="177" fontId="35" fillId="4" borderId="3" xfId="0" applyNumberFormat="1" applyFont="1" applyFill="1" applyBorder="1" applyAlignment="1" applyProtection="1">
      <alignment vertical="center" wrapText="1"/>
    </xf>
    <xf numFmtId="0" fontId="107" fillId="0" borderId="5" xfId="0" applyFont="1" applyFill="1" applyBorder="1" applyAlignment="1" applyProtection="1">
      <alignment horizontal="left" vertical="center" wrapText="1"/>
      <protection locked="0"/>
    </xf>
    <xf numFmtId="177" fontId="107" fillId="0" borderId="5" xfId="0" applyNumberFormat="1" applyFont="1" applyFill="1" applyBorder="1" applyAlignment="1" applyProtection="1">
      <alignment vertical="center" wrapText="1"/>
      <protection locked="0"/>
    </xf>
    <xf numFmtId="0" fontId="107" fillId="0" borderId="3" xfId="0" applyFont="1" applyFill="1" applyBorder="1" applyAlignment="1" applyProtection="1">
      <alignment horizontal="left" vertical="center" wrapText="1"/>
      <protection locked="0"/>
    </xf>
    <xf numFmtId="177" fontId="107" fillId="0" borderId="3" xfId="0" applyNumberFormat="1" applyFont="1" applyFill="1" applyBorder="1" applyAlignment="1" applyProtection="1">
      <alignment vertical="center" wrapText="1"/>
      <protection locked="0"/>
    </xf>
    <xf numFmtId="0" fontId="107" fillId="0" borderId="3" xfId="0" applyFont="1" applyFill="1" applyBorder="1" applyAlignment="1" applyProtection="1">
      <alignment horizontal="left" vertical="center"/>
      <protection locked="0"/>
    </xf>
    <xf numFmtId="0" fontId="107" fillId="0" borderId="3" xfId="0" applyFont="1" applyFill="1" applyBorder="1" applyAlignment="1" applyProtection="1">
      <alignment vertical="center"/>
      <protection locked="0"/>
    </xf>
    <xf numFmtId="177" fontId="116" fillId="0" borderId="3" xfId="0" applyNumberFormat="1" applyFont="1" applyFill="1" applyBorder="1" applyAlignment="1">
      <alignment horizontal="center" vertical="center"/>
    </xf>
    <xf numFmtId="185" fontId="165" fillId="0" borderId="118" xfId="0" applyNumberFormat="1"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49" fontId="0" fillId="24" borderId="39" xfId="0" quotePrefix="1" applyNumberFormat="1" applyFill="1" applyBorder="1">
      <alignment vertical="center"/>
    </xf>
    <xf numFmtId="49" fontId="0" fillId="24" borderId="3" xfId="0" quotePrefix="1" applyNumberFormat="1" applyFill="1" applyBorder="1">
      <alignment vertical="center"/>
    </xf>
    <xf numFmtId="49" fontId="137" fillId="24" borderId="11" xfId="0" quotePrefix="1" applyNumberFormat="1" applyFont="1" applyFill="1" applyBorder="1">
      <alignment vertical="center"/>
    </xf>
    <xf numFmtId="0" fontId="137" fillId="24" borderId="11" xfId="0" applyFont="1" applyFill="1" applyBorder="1">
      <alignment vertical="center"/>
    </xf>
    <xf numFmtId="43" fontId="250" fillId="24" borderId="11" xfId="3" applyFont="1" applyFill="1" applyBorder="1" applyAlignment="1">
      <alignment horizontal="center" vertical="center" shrinkToFit="1"/>
    </xf>
    <xf numFmtId="43" fontId="250" fillId="24" borderId="12" xfId="3" applyFont="1" applyFill="1" applyBorder="1" applyAlignment="1">
      <alignment horizontal="center" vertical="center" shrinkToFit="1"/>
    </xf>
    <xf numFmtId="0" fontId="137" fillId="24" borderId="46" xfId="0" applyFont="1" applyFill="1" applyBorder="1">
      <alignment vertical="center"/>
    </xf>
    <xf numFmtId="49" fontId="137" fillId="24" borderId="5" xfId="0" applyNumberFormat="1" applyFont="1" applyFill="1" applyBorder="1">
      <alignment vertical="center"/>
    </xf>
    <xf numFmtId="0" fontId="137" fillId="24" borderId="5" xfId="0" applyFont="1" applyFill="1" applyBorder="1">
      <alignment vertical="center"/>
    </xf>
    <xf numFmtId="43" fontId="250" fillId="24" borderId="5" xfId="3" applyFont="1" applyFill="1" applyBorder="1" applyAlignment="1">
      <alignment horizontal="center" vertical="center" shrinkToFit="1"/>
    </xf>
    <xf numFmtId="43" fontId="250" fillId="24" borderId="7" xfId="3" applyFont="1" applyFill="1" applyBorder="1" applyAlignment="1">
      <alignment horizontal="center" vertical="center" shrinkToFit="1"/>
    </xf>
    <xf numFmtId="0" fontId="137" fillId="24" borderId="97" xfId="0" applyFont="1" applyFill="1" applyBorder="1">
      <alignment vertical="center"/>
    </xf>
    <xf numFmtId="177" fontId="215" fillId="24" borderId="97" xfId="0" applyNumberFormat="1" applyFont="1" applyFill="1" applyBorder="1" applyAlignment="1" applyProtection="1">
      <alignment horizontal="center" vertical="center"/>
      <protection locked="0"/>
    </xf>
    <xf numFmtId="43" fontId="137" fillId="24" borderId="97" xfId="3" applyFont="1" applyFill="1" applyBorder="1" applyAlignment="1">
      <alignment horizontal="center" vertical="center"/>
    </xf>
    <xf numFmtId="43" fontId="137" fillId="24" borderId="192" xfId="3" applyFont="1" applyFill="1" applyBorder="1" applyAlignment="1">
      <alignment horizontal="center" vertical="center"/>
    </xf>
    <xf numFmtId="185" fontId="165" fillId="4" borderId="118" xfId="0" applyNumberFormat="1" applyFont="1" applyFill="1" applyBorder="1" applyAlignment="1" applyProtection="1">
      <alignment vertical="center"/>
      <protection locked="0"/>
    </xf>
    <xf numFmtId="0" fontId="23" fillId="24" borderId="3" xfId="0" applyFont="1" applyFill="1" applyBorder="1" applyAlignment="1" applyProtection="1">
      <alignment horizontal="center" vertical="center"/>
      <protection locked="0"/>
    </xf>
    <xf numFmtId="0" fontId="2" fillId="18" borderId="0" xfId="0" applyFont="1" applyFill="1" applyBorder="1" applyAlignment="1" applyProtection="1">
      <alignment horizontal="center" vertical="center" wrapText="1"/>
      <protection locked="0"/>
    </xf>
    <xf numFmtId="186" fontId="165" fillId="21" borderId="0" xfId="0" applyNumberFormat="1" applyFont="1" applyFill="1" applyBorder="1" applyAlignment="1" applyProtection="1">
      <alignment horizontal="center" vertical="center" shrinkToFit="1"/>
    </xf>
    <xf numFmtId="0" fontId="165" fillId="21" borderId="0" xfId="0" applyNumberFormat="1" applyFont="1" applyFill="1" applyBorder="1" applyAlignment="1" applyProtection="1">
      <alignment vertical="center" shrinkToFit="1"/>
    </xf>
    <xf numFmtId="43" fontId="2" fillId="0" borderId="3" xfId="3" applyFont="1" applyBorder="1" applyAlignment="1">
      <alignment vertical="center"/>
    </xf>
    <xf numFmtId="43" fontId="23" fillId="0" borderId="3" xfId="3" applyFont="1" applyFill="1" applyBorder="1" applyAlignment="1" applyProtection="1">
      <alignment vertical="center" wrapText="1"/>
      <protection locked="0"/>
    </xf>
    <xf numFmtId="43" fontId="35" fillId="0" borderId="3" xfId="3" applyFont="1" applyFill="1" applyBorder="1" applyAlignment="1" applyProtection="1">
      <alignment vertical="center" wrapText="1"/>
      <protection locked="0"/>
    </xf>
    <xf numFmtId="0" fontId="7" fillId="18" borderId="164"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xf>
    <xf numFmtId="185" fontId="165" fillId="21" borderId="107" xfId="0" applyNumberFormat="1" applyFont="1" applyFill="1" applyBorder="1" applyAlignment="1" applyProtection="1">
      <alignment vertical="center"/>
    </xf>
    <xf numFmtId="185" fontId="165" fillId="21" borderId="118" xfId="0" applyNumberFormat="1" applyFont="1" applyFill="1" applyBorder="1" applyAlignment="1" applyProtection="1">
      <alignment vertical="center"/>
    </xf>
    <xf numFmtId="185" fontId="165" fillId="21" borderId="103" xfId="0" applyNumberFormat="1" applyFont="1" applyFill="1" applyBorder="1" applyAlignment="1" applyProtection="1">
      <alignment vertical="center"/>
    </xf>
    <xf numFmtId="185" fontId="165" fillId="0" borderId="118" xfId="0" applyNumberFormat="1" applyFont="1" applyFill="1" applyBorder="1" applyAlignment="1" applyProtection="1">
      <alignment vertical="center"/>
    </xf>
    <xf numFmtId="0" fontId="2" fillId="4" borderId="8" xfId="0" applyFont="1" applyFill="1" applyBorder="1" applyAlignment="1" applyProtection="1">
      <alignment horizontal="center" vertical="center"/>
      <protection locked="0"/>
    </xf>
    <xf numFmtId="10" fontId="2" fillId="4" borderId="3" xfId="0" applyNumberFormat="1" applyFont="1" applyFill="1" applyBorder="1" applyAlignment="1" applyProtection="1">
      <alignment vertical="center"/>
      <protection locked="0"/>
    </xf>
    <xf numFmtId="0" fontId="2" fillId="24" borderId="13" xfId="0" applyFont="1" applyFill="1" applyBorder="1" applyAlignment="1" applyProtection="1">
      <alignment vertical="center" wrapText="1"/>
      <protection locked="0"/>
    </xf>
    <xf numFmtId="0" fontId="2" fillId="24" borderId="14" xfId="0" applyFont="1" applyFill="1" applyBorder="1" applyAlignment="1" applyProtection="1">
      <alignment vertical="center" wrapText="1"/>
      <protection locked="0"/>
    </xf>
    <xf numFmtId="0" fontId="2" fillId="24" borderId="15" xfId="0" applyFont="1" applyFill="1" applyBorder="1" applyAlignment="1" applyProtection="1">
      <alignment horizontal="center" vertical="center" wrapText="1"/>
      <protection locked="0"/>
    </xf>
    <xf numFmtId="0" fontId="2" fillId="24" borderId="15" xfId="0" applyFont="1" applyFill="1" applyBorder="1" applyAlignment="1" applyProtection="1">
      <alignment vertical="top" wrapText="1"/>
      <protection locked="0"/>
    </xf>
    <xf numFmtId="0" fontId="2" fillId="24" borderId="15" xfId="0" applyFont="1" applyFill="1" applyBorder="1" applyAlignment="1" applyProtection="1">
      <alignment vertical="center" wrapText="1"/>
      <protection locked="0"/>
    </xf>
    <xf numFmtId="0" fontId="2" fillId="24" borderId="16" xfId="0" applyFont="1" applyFill="1" applyBorder="1" applyAlignment="1" applyProtection="1">
      <alignment vertical="top" wrapText="1"/>
      <protection locked="0"/>
    </xf>
    <xf numFmtId="0" fontId="2" fillId="24" borderId="6" xfId="0" applyFont="1" applyFill="1" applyBorder="1" applyAlignment="1" applyProtection="1">
      <alignment horizontal="center" vertical="center" wrapText="1"/>
      <protection locked="0"/>
    </xf>
    <xf numFmtId="0" fontId="2" fillId="24" borderId="5" xfId="0" applyFont="1" applyFill="1" applyBorder="1" applyAlignment="1" applyProtection="1">
      <alignment horizontal="center" vertical="center" wrapText="1"/>
      <protection locked="0"/>
    </xf>
    <xf numFmtId="0" fontId="2" fillId="24" borderId="7" xfId="0" applyFont="1" applyFill="1" applyBorder="1" applyAlignment="1" applyProtection="1">
      <alignment horizontal="center" vertical="center" wrapText="1"/>
      <protection locked="0"/>
    </xf>
    <xf numFmtId="0" fontId="2" fillId="24" borderId="12" xfId="0" applyFont="1" applyFill="1" applyBorder="1" applyAlignment="1" applyProtection="1">
      <alignment horizontal="center" vertical="center"/>
      <protection locked="0"/>
    </xf>
    <xf numFmtId="0" fontId="2" fillId="24" borderId="10" xfId="0" applyFont="1" applyFill="1" applyBorder="1" applyAlignment="1" applyProtection="1">
      <alignment vertical="center"/>
      <protection locked="0"/>
    </xf>
    <xf numFmtId="10" fontId="2" fillId="4" borderId="11" xfId="1" applyNumberFormat="1" applyFont="1" applyFill="1" applyBorder="1" applyAlignment="1" applyProtection="1">
      <alignment horizontal="center" vertical="center"/>
      <protection locked="0"/>
    </xf>
    <xf numFmtId="198" fontId="2" fillId="19" borderId="118" xfId="0" applyNumberFormat="1" applyFont="1" applyFill="1" applyBorder="1" applyAlignment="1" applyProtection="1">
      <alignment horizontal="center" vertical="center"/>
      <protection locked="0"/>
    </xf>
    <xf numFmtId="0" fontId="9" fillId="0" borderId="3" xfId="2" applyFill="1" applyBorder="1" applyAlignment="1" applyProtection="1">
      <alignment vertical="center"/>
    </xf>
    <xf numFmtId="185" fontId="165" fillId="0" borderId="118" xfId="0" applyNumberFormat="1" applyFont="1" applyFill="1" applyBorder="1" applyProtection="1">
      <alignment vertical="center"/>
      <protection locked="0"/>
    </xf>
    <xf numFmtId="0" fontId="2" fillId="18" borderId="118" xfId="0" applyFont="1" applyFill="1" applyBorder="1" applyAlignment="1" applyProtection="1">
      <alignment horizontal="left" vertical="center"/>
      <protection locked="0"/>
    </xf>
    <xf numFmtId="185" fontId="2" fillId="18" borderId="108" xfId="0" applyNumberFormat="1" applyFont="1" applyFill="1" applyBorder="1" applyAlignment="1" applyProtection="1">
      <alignment horizontal="center" vertical="center"/>
    </xf>
    <xf numFmtId="0" fontId="2" fillId="20" borderId="0" xfId="0" applyFont="1" applyFill="1" applyBorder="1" applyAlignment="1" applyProtection="1">
      <alignment horizontal="right" vertical="top" wrapText="1"/>
    </xf>
    <xf numFmtId="9" fontId="165" fillId="22" borderId="118" xfId="0" applyNumberFormat="1" applyFont="1" applyFill="1" applyBorder="1" applyAlignment="1" applyProtection="1">
      <alignment horizontal="center" vertical="center"/>
    </xf>
    <xf numFmtId="9" fontId="165" fillId="22" borderId="104" xfId="0" applyNumberFormat="1" applyFont="1" applyFill="1" applyBorder="1" applyAlignment="1" applyProtection="1">
      <alignment horizontal="center" vertical="center"/>
    </xf>
    <xf numFmtId="43" fontId="2" fillId="0" borderId="118" xfId="3" applyFont="1" applyFill="1" applyBorder="1" applyAlignment="1" applyProtection="1">
      <alignment horizontal="center" vertical="center"/>
    </xf>
    <xf numFmtId="185" fontId="165" fillId="44" borderId="104" xfId="0" applyNumberFormat="1" applyFont="1" applyFill="1" applyBorder="1" applyAlignment="1" applyProtection="1">
      <alignment horizontal="center" vertical="center"/>
    </xf>
    <xf numFmtId="185" fontId="165" fillId="44" borderId="104" xfId="0" applyNumberFormat="1" applyFont="1" applyFill="1" applyBorder="1" applyAlignment="1" applyProtection="1">
      <alignment vertical="center"/>
    </xf>
    <xf numFmtId="185" fontId="165" fillId="44" borderId="118" xfId="0" applyNumberFormat="1" applyFont="1" applyFill="1" applyBorder="1" applyAlignment="1" applyProtection="1">
      <alignment vertical="center"/>
    </xf>
    <xf numFmtId="0" fontId="2" fillId="44" borderId="104" xfId="0" applyFont="1" applyFill="1" applyBorder="1" applyAlignment="1" applyProtection="1">
      <alignment horizontal="center" vertical="center"/>
    </xf>
    <xf numFmtId="0" fontId="2" fillId="44" borderId="118" xfId="0" applyFont="1" applyFill="1" applyBorder="1" applyAlignment="1" applyProtection="1">
      <alignment horizontal="center" vertical="center"/>
    </xf>
    <xf numFmtId="185" fontId="165" fillId="44" borderId="118" xfId="0" applyNumberFormat="1" applyFont="1" applyFill="1" applyBorder="1" applyAlignment="1" applyProtection="1">
      <alignment horizontal="center" vertical="center"/>
    </xf>
    <xf numFmtId="43" fontId="2" fillId="4" borderId="104" xfId="3" applyFont="1" applyFill="1" applyBorder="1" applyAlignment="1" applyProtection="1">
      <alignment horizontal="center" vertical="center"/>
    </xf>
    <xf numFmtId="43" fontId="2" fillId="4" borderId="118" xfId="3" applyFont="1" applyFill="1" applyBorder="1" applyAlignment="1" applyProtection="1">
      <alignment horizontal="center" vertical="center"/>
    </xf>
    <xf numFmtId="0" fontId="0" fillId="24" borderId="3" xfId="0" applyFill="1" applyBorder="1" applyAlignment="1">
      <alignment vertical="center" textRotation="255"/>
    </xf>
    <xf numFmtId="0" fontId="253" fillId="25" borderId="0" xfId="0" applyFont="1" applyFill="1" applyAlignment="1" applyProtection="1">
      <alignment vertical="center"/>
      <protection locked="0"/>
    </xf>
    <xf numFmtId="198" fontId="2" fillId="29" borderId="103" xfId="0" applyNumberFormat="1" applyFont="1" applyFill="1" applyBorder="1">
      <alignment vertical="center"/>
    </xf>
    <xf numFmtId="198" fontId="2" fillId="29" borderId="107" xfId="0" applyNumberFormat="1" applyFont="1" applyFill="1" applyBorder="1">
      <alignment vertical="center"/>
    </xf>
    <xf numFmtId="0" fontId="115" fillId="0" borderId="0" xfId="0" applyFont="1" applyAlignment="1"/>
    <xf numFmtId="0" fontId="115" fillId="0" borderId="0" xfId="0" applyFont="1" applyAlignment="1">
      <alignment horizontal="left"/>
    </xf>
    <xf numFmtId="0" fontId="115" fillId="24" borderId="3" xfId="0" applyFont="1" applyFill="1" applyBorder="1" applyAlignment="1">
      <alignment horizontal="center" vertical="center"/>
    </xf>
    <xf numFmtId="0" fontId="115" fillId="24" borderId="3" xfId="0" applyFont="1" applyFill="1" applyBorder="1" applyAlignment="1">
      <alignment horizontal="center" vertical="center" wrapText="1"/>
    </xf>
    <xf numFmtId="0" fontId="115" fillId="24" borderId="3" xfId="0" applyFont="1" applyFill="1" applyBorder="1" applyAlignment="1">
      <alignment horizontal="left" vertical="center" wrapText="1"/>
    </xf>
    <xf numFmtId="0" fontId="115" fillId="24" borderId="3" xfId="0" applyFont="1" applyFill="1" applyBorder="1" applyAlignment="1">
      <alignment vertical="center" wrapText="1"/>
    </xf>
    <xf numFmtId="0" fontId="115" fillId="24" borderId="3" xfId="0" applyFont="1" applyFill="1" applyBorder="1" applyAlignment="1">
      <alignment vertical="center"/>
    </xf>
    <xf numFmtId="0" fontId="115" fillId="24" borderId="3" xfId="0" applyFont="1" applyFill="1" applyBorder="1" applyAlignment="1">
      <alignment horizontal="left" vertical="center"/>
    </xf>
    <xf numFmtId="185" fontId="165" fillId="0" borderId="118" xfId="0" applyNumberFormat="1" applyFont="1" applyBorder="1" applyAlignment="1" applyProtection="1">
      <alignment vertical="center"/>
      <protection locked="0"/>
    </xf>
    <xf numFmtId="0" fontId="147" fillId="0" borderId="3" xfId="0" applyFont="1" applyBorder="1" applyAlignment="1">
      <alignment vertical="center" wrapText="1" shrinkToFit="1"/>
    </xf>
    <xf numFmtId="0" fontId="147" fillId="0" borderId="3" xfId="0" applyFont="1" applyBorder="1" applyAlignment="1">
      <alignment vertical="center" wrapText="1"/>
    </xf>
    <xf numFmtId="0" fontId="9" fillId="0" borderId="0" xfId="2" applyFill="1" applyAlignment="1" applyProtection="1">
      <alignment vertical="center"/>
    </xf>
    <xf numFmtId="0" fontId="127" fillId="0" borderId="3" xfId="0" applyFont="1" applyBorder="1">
      <alignment vertical="center"/>
    </xf>
    <xf numFmtId="0" fontId="7" fillId="0" borderId="3" xfId="0" applyFont="1" applyBorder="1" applyAlignment="1" applyProtection="1">
      <protection locked="0"/>
    </xf>
    <xf numFmtId="0" fontId="0" fillId="0" borderId="3" xfId="0" applyFill="1" applyBorder="1" applyProtection="1">
      <alignment vertical="center"/>
      <protection locked="0"/>
    </xf>
    <xf numFmtId="0" fontId="7" fillId="0" borderId="3" xfId="0" applyFont="1" applyFill="1" applyBorder="1" applyProtection="1">
      <alignment vertical="center"/>
      <protection locked="0"/>
    </xf>
    <xf numFmtId="0" fontId="0" fillId="0" borderId="3" xfId="0" applyFill="1" applyBorder="1" applyProtection="1">
      <alignment vertical="center"/>
    </xf>
    <xf numFmtId="0" fontId="7" fillId="0" borderId="3" xfId="0" applyFont="1" applyFill="1" applyBorder="1" applyProtection="1">
      <alignment vertical="center"/>
    </xf>
    <xf numFmtId="0" fontId="7" fillId="0" borderId="3" xfId="0" applyFont="1" applyFill="1" applyBorder="1" applyAlignment="1" applyProtection="1">
      <alignment vertical="center"/>
      <protection locked="0"/>
    </xf>
    <xf numFmtId="0" fontId="7" fillId="0" borderId="0" xfId="5" applyBorder="1" applyAlignment="1" applyProtection="1">
      <protection locked="0"/>
    </xf>
    <xf numFmtId="0" fontId="7" fillId="0" borderId="0" xfId="5" applyFont="1" applyBorder="1" applyAlignment="1" applyProtection="1">
      <alignment horizontal="right"/>
      <protection locked="0"/>
    </xf>
    <xf numFmtId="0" fontId="7" fillId="0" borderId="0" xfId="5">
      <alignment vertical="center"/>
    </xf>
    <xf numFmtId="0" fontId="7" fillId="0" borderId="0" xfId="5" applyBorder="1" applyProtection="1">
      <alignment vertical="center"/>
      <protection locked="0"/>
    </xf>
    <xf numFmtId="0" fontId="7" fillId="0" borderId="0" xfId="5" applyFont="1" applyBorder="1" applyAlignment="1" applyProtection="1">
      <protection locked="0"/>
    </xf>
    <xf numFmtId="0" fontId="7" fillId="0" borderId="0" xfId="5" applyBorder="1" applyAlignment="1" applyProtection="1">
      <alignment horizontal="center"/>
      <protection locked="0"/>
    </xf>
    <xf numFmtId="0" fontId="21" fillId="0" borderId="0" xfId="5" applyFont="1" applyBorder="1" applyAlignment="1" applyProtection="1">
      <alignment horizontal="left"/>
      <protection locked="0"/>
    </xf>
    <xf numFmtId="0" fontId="7" fillId="0" borderId="184" xfId="5" applyBorder="1" applyAlignment="1" applyProtection="1">
      <protection locked="0"/>
    </xf>
    <xf numFmtId="0" fontId="7" fillId="0" borderId="125" xfId="5" applyBorder="1" applyAlignment="1" applyProtection="1">
      <protection locked="0"/>
    </xf>
    <xf numFmtId="0" fontId="7" fillId="0" borderId="0" xfId="5" applyBorder="1">
      <alignment vertical="center"/>
    </xf>
    <xf numFmtId="0" fontId="7" fillId="0" borderId="125" xfId="5" applyBorder="1">
      <alignment vertical="center"/>
    </xf>
    <xf numFmtId="0" fontId="184" fillId="19" borderId="0" xfId="0" applyNumberFormat="1" applyFont="1" applyFill="1" applyAlignment="1" applyProtection="1">
      <alignment horizontal="center" vertical="center"/>
    </xf>
    <xf numFmtId="0" fontId="2" fillId="19" borderId="0" xfId="0" applyNumberFormat="1" applyFont="1" applyFill="1" applyBorder="1" applyAlignment="1" applyProtection="1">
      <alignment horizontal="center" vertical="top"/>
    </xf>
    <xf numFmtId="0" fontId="0" fillId="0" borderId="0" xfId="0" applyNumberFormat="1" applyAlignment="1" applyProtection="1">
      <alignment vertical="center"/>
      <protection locked="0"/>
    </xf>
    <xf numFmtId="0" fontId="7" fillId="19" borderId="137" xfId="0" applyNumberFormat="1" applyFont="1" applyFill="1" applyBorder="1" applyAlignment="1" applyProtection="1">
      <alignment horizontal="center" vertical="center"/>
    </xf>
    <xf numFmtId="0" fontId="22" fillId="19" borderId="112" xfId="0" applyNumberFormat="1" applyFont="1" applyFill="1" applyBorder="1" applyAlignment="1" applyProtection="1">
      <alignment horizontal="center" vertical="center"/>
    </xf>
    <xf numFmtId="0" fontId="2" fillId="19" borderId="0" xfId="0" applyNumberFormat="1" applyFont="1" applyFill="1" applyAlignment="1" applyProtection="1">
      <alignment horizontal="center" vertical="center"/>
    </xf>
    <xf numFmtId="0" fontId="2" fillId="0" borderId="0" xfId="0" applyNumberFormat="1" applyFont="1" applyFill="1" applyAlignment="1" applyProtection="1">
      <alignment horizontal="center"/>
      <protection locked="0"/>
    </xf>
    <xf numFmtId="0" fontId="60" fillId="19" borderId="108" xfId="0" applyNumberFormat="1" applyFont="1" applyFill="1" applyBorder="1" applyAlignment="1" applyProtection="1">
      <alignment horizontal="center" vertical="center"/>
    </xf>
    <xf numFmtId="0" fontId="159" fillId="4" borderId="5" xfId="0" applyFont="1" applyFill="1" applyBorder="1" applyAlignment="1">
      <alignment horizontal="center" wrapText="1"/>
    </xf>
    <xf numFmtId="0" fontId="159" fillId="4" borderId="5" xfId="0" applyFont="1" applyFill="1" applyBorder="1" applyAlignment="1">
      <alignment horizontal="center"/>
    </xf>
    <xf numFmtId="0" fontId="127" fillId="4" borderId="5" xfId="0" applyFont="1" applyFill="1" applyBorder="1" applyAlignment="1">
      <alignment horizontal="center" wrapText="1"/>
    </xf>
    <xf numFmtId="0" fontId="127" fillId="4" borderId="5" xfId="0" applyFont="1" applyFill="1" applyBorder="1" applyAlignment="1">
      <alignment horizontal="center"/>
    </xf>
    <xf numFmtId="0" fontId="161" fillId="4" borderId="5" xfId="0" applyFont="1" applyFill="1" applyBorder="1" applyAlignment="1">
      <alignment horizontal="center" wrapText="1"/>
    </xf>
    <xf numFmtId="0" fontId="161" fillId="4" borderId="5" xfId="0" applyFont="1" applyFill="1" applyBorder="1" applyAlignment="1">
      <alignment horizontal="center"/>
    </xf>
    <xf numFmtId="0" fontId="157" fillId="4" borderId="5" xfId="0" applyFont="1" applyFill="1" applyBorder="1" applyAlignment="1">
      <alignment horizontal="center" wrapText="1"/>
    </xf>
    <xf numFmtId="0" fontId="157" fillId="4" borderId="5" xfId="0" applyFont="1" applyFill="1" applyBorder="1" applyAlignment="1">
      <alignment horizontal="center"/>
    </xf>
    <xf numFmtId="0" fontId="149" fillId="4" borderId="5" xfId="0" applyFont="1" applyFill="1" applyBorder="1" applyAlignment="1">
      <alignment horizontal="center" wrapText="1"/>
    </xf>
    <xf numFmtId="0" fontId="149" fillId="4" borderId="5" xfId="0" applyFont="1" applyFill="1" applyBorder="1" applyAlignment="1">
      <alignment horizontal="center"/>
    </xf>
    <xf numFmtId="0" fontId="151" fillId="4" borderId="5" xfId="0" applyFont="1" applyFill="1" applyBorder="1" applyAlignment="1">
      <alignment horizontal="center" wrapText="1"/>
    </xf>
    <xf numFmtId="0" fontId="151" fillId="4" borderId="5" xfId="0" applyFont="1" applyFill="1" applyBorder="1" applyAlignment="1">
      <alignment horizontal="center"/>
    </xf>
    <xf numFmtId="0" fontId="153" fillId="4" borderId="5" xfId="0" applyFont="1" applyFill="1" applyBorder="1" applyAlignment="1">
      <alignment horizontal="center" wrapText="1"/>
    </xf>
    <xf numFmtId="0" fontId="153" fillId="4" borderId="5" xfId="0" applyFont="1" applyFill="1" applyBorder="1" applyAlignment="1">
      <alignment horizontal="center"/>
    </xf>
    <xf numFmtId="0" fontId="155" fillId="4" borderId="5" xfId="0" applyFont="1" applyFill="1" applyBorder="1" applyAlignment="1">
      <alignment horizontal="center" wrapText="1"/>
    </xf>
    <xf numFmtId="0" fontId="155" fillId="4" borderId="5" xfId="0" applyFont="1" applyFill="1" applyBorder="1" applyAlignment="1">
      <alignment horizontal="center"/>
    </xf>
    <xf numFmtId="0" fontId="7" fillId="19" borderId="186" xfId="5" applyFill="1" applyBorder="1" applyAlignment="1" applyProtection="1">
      <alignment horizontal="center"/>
    </xf>
    <xf numFmtId="0" fontId="7" fillId="19" borderId="24" xfId="5" applyFont="1" applyFill="1" applyBorder="1" applyAlignment="1" applyProtection="1">
      <alignment horizontal="center"/>
    </xf>
    <xf numFmtId="31" fontId="7" fillId="19" borderId="24" xfId="5" applyNumberFormat="1" applyFont="1" applyFill="1" applyBorder="1" applyAlignment="1" applyProtection="1">
      <alignment horizontal="center"/>
    </xf>
    <xf numFmtId="31" fontId="5" fillId="0" borderId="0" xfId="5" applyNumberFormat="1" applyFont="1" applyBorder="1" applyAlignment="1" applyProtection="1">
      <alignment horizontal="center"/>
      <protection locked="0"/>
    </xf>
    <xf numFmtId="0" fontId="5" fillId="0" borderId="0" xfId="5" applyFont="1" applyBorder="1" applyAlignment="1" applyProtection="1">
      <alignment horizontal="center"/>
      <protection locked="0"/>
    </xf>
    <xf numFmtId="0" fontId="6" fillId="0" borderId="0" xfId="5" applyFont="1" applyBorder="1" applyAlignment="1" applyProtection="1">
      <alignment horizontal="center"/>
      <protection locked="0"/>
    </xf>
    <xf numFmtId="0" fontId="7" fillId="19" borderId="101" xfId="5" applyFont="1" applyFill="1" applyBorder="1" applyAlignment="1" applyProtection="1">
      <alignment horizontal="center"/>
    </xf>
    <xf numFmtId="0" fontId="7" fillId="19" borderId="186" xfId="5" applyNumberFormat="1" applyFill="1" applyBorder="1" applyAlignment="1" applyProtection="1">
      <alignment horizontal="center"/>
    </xf>
    <xf numFmtId="198" fontId="7" fillId="19" borderId="186" xfId="5" applyNumberFormat="1" applyFill="1" applyBorder="1" applyAlignment="1" applyProtection="1">
      <alignment horizontal="center"/>
    </xf>
    <xf numFmtId="0" fontId="7" fillId="0" borderId="0" xfId="5" applyFont="1" applyBorder="1" applyAlignment="1" applyProtection="1">
      <alignment horizontal="left"/>
      <protection locked="0"/>
    </xf>
    <xf numFmtId="0" fontId="7" fillId="0" borderId="101" xfId="5" applyBorder="1" applyAlignment="1" applyProtection="1">
      <protection locked="0"/>
    </xf>
    <xf numFmtId="0" fontId="0" fillId="18" borderId="132" xfId="0" applyFill="1" applyBorder="1" applyAlignment="1" applyProtection="1">
      <alignment horizontal="center" vertical="center"/>
      <protection locked="0"/>
    </xf>
    <xf numFmtId="0" fontId="0" fillId="0" borderId="107" xfId="0" applyBorder="1" applyAlignment="1" applyProtection="1">
      <alignment horizontal="center" vertical="center"/>
      <protection locked="0"/>
    </xf>
    <xf numFmtId="0" fontId="0" fillId="0" borderId="108" xfId="0" applyBorder="1" applyAlignment="1" applyProtection="1">
      <alignment horizontal="center" vertical="center"/>
      <protection locked="0"/>
    </xf>
    <xf numFmtId="0" fontId="0" fillId="18" borderId="149" xfId="0" applyFill="1" applyBorder="1" applyAlignment="1" applyProtection="1">
      <alignment horizontal="center" vertical="center"/>
      <protection locked="0"/>
    </xf>
    <xf numFmtId="0" fontId="0" fillId="0" borderId="118" xfId="0" applyBorder="1" applyAlignment="1" applyProtection="1">
      <alignment horizontal="center" vertical="center"/>
      <protection locked="0"/>
    </xf>
    <xf numFmtId="0" fontId="0" fillId="0" borderId="119" xfId="0" applyBorder="1" applyAlignment="1" applyProtection="1">
      <alignment horizontal="center" vertical="center"/>
      <protection locked="0"/>
    </xf>
    <xf numFmtId="0" fontId="0" fillId="0" borderId="177" xfId="0" applyBorder="1" applyAlignment="1" applyProtection="1">
      <alignment horizontal="center" vertical="center"/>
      <protection locked="0"/>
    </xf>
    <xf numFmtId="0" fontId="0" fillId="18" borderId="178" xfId="0" applyFill="1" applyBorder="1" applyAlignment="1" applyProtection="1">
      <alignment horizontal="center" vertical="center"/>
      <protection locked="0"/>
    </xf>
    <xf numFmtId="0" fontId="0" fillId="0" borderId="120" xfId="0" applyBorder="1" applyAlignment="1" applyProtection="1">
      <alignment horizontal="center" vertical="center"/>
      <protection locked="0"/>
    </xf>
    <xf numFmtId="0" fontId="0" fillId="0" borderId="155" xfId="0" applyBorder="1" applyAlignment="1" applyProtection="1">
      <alignment horizontal="center" vertical="center"/>
      <protection locked="0"/>
    </xf>
    <xf numFmtId="0" fontId="7" fillId="0" borderId="118" xfId="0" applyFont="1" applyBorder="1" applyAlignment="1" applyProtection="1">
      <alignment horizontal="center" vertical="center"/>
      <protection locked="0"/>
    </xf>
    <xf numFmtId="0" fontId="7" fillId="18" borderId="133" xfId="0" applyFont="1" applyFill="1" applyBorder="1" applyAlignment="1" applyProtection="1">
      <alignment horizontal="center" vertical="center"/>
      <protection locked="0"/>
    </xf>
    <xf numFmtId="0" fontId="7" fillId="18" borderId="129" xfId="0" applyFont="1" applyFill="1" applyBorder="1" applyAlignment="1" applyProtection="1">
      <alignment horizontal="center" vertical="center"/>
      <protection locked="0"/>
    </xf>
    <xf numFmtId="0" fontId="7" fillId="18" borderId="103" xfId="0" applyFont="1" applyFill="1" applyBorder="1" applyAlignment="1" applyProtection="1">
      <alignment horizontal="center" vertical="center"/>
      <protection locked="0"/>
    </xf>
    <xf numFmtId="0" fontId="7" fillId="18" borderId="154" xfId="0" applyFont="1" applyFill="1" applyBorder="1" applyAlignment="1" applyProtection="1">
      <alignment horizontal="center" vertical="center"/>
      <protection locked="0"/>
    </xf>
    <xf numFmtId="0" fontId="7" fillId="0" borderId="125" xfId="0" applyFont="1" applyBorder="1" applyAlignment="1" applyProtection="1">
      <protection locked="0"/>
    </xf>
    <xf numFmtId="0" fontId="141" fillId="24" borderId="0" xfId="0" applyFont="1" applyFill="1" applyAlignment="1" applyProtection="1">
      <alignment horizontal="right" vertical="center"/>
      <protection hidden="1"/>
    </xf>
    <xf numFmtId="4" fontId="140" fillId="24" borderId="24" xfId="0" applyNumberFormat="1" applyFont="1" applyFill="1" applyBorder="1" applyAlignment="1" applyProtection="1">
      <alignment horizontal="right" vertical="center"/>
      <protection hidden="1"/>
    </xf>
    <xf numFmtId="0" fontId="170" fillId="18" borderId="0" xfId="0" applyFont="1" applyFill="1" applyBorder="1" applyAlignment="1" applyProtection="1">
      <alignment horizontal="right" vertical="center" indent="2"/>
      <protection locked="0"/>
    </xf>
    <xf numFmtId="0" fontId="170" fillId="18" borderId="24" xfId="0" applyFont="1" applyFill="1" applyBorder="1" applyAlignment="1" applyProtection="1">
      <alignment horizontal="right" vertical="center" indent="2"/>
      <protection locked="0"/>
    </xf>
    <xf numFmtId="0" fontId="7" fillId="18" borderId="143" xfId="0" applyFont="1" applyFill="1" applyBorder="1" applyAlignment="1" applyProtection="1">
      <alignment horizontal="center" vertical="center"/>
      <protection locked="0"/>
    </xf>
    <xf numFmtId="0" fontId="7" fillId="19" borderId="143" xfId="0" applyFont="1" applyFill="1" applyBorder="1" applyAlignment="1" applyProtection="1">
      <alignment horizontal="center" vertical="center"/>
    </xf>
    <xf numFmtId="0" fontId="7" fillId="19" borderId="144" xfId="0" applyFont="1" applyFill="1" applyBorder="1" applyAlignment="1" applyProtection="1">
      <alignment horizontal="center" vertical="center"/>
    </xf>
    <xf numFmtId="0" fontId="7" fillId="19" borderId="175" xfId="0" applyFont="1" applyFill="1" applyBorder="1" applyAlignment="1" applyProtection="1">
      <alignment vertical="center" wrapText="1"/>
    </xf>
    <xf numFmtId="0" fontId="7" fillId="19" borderId="139" xfId="0" applyFont="1" applyFill="1" applyBorder="1" applyAlignment="1" applyProtection="1">
      <alignment vertical="center" wrapText="1"/>
    </xf>
    <xf numFmtId="0" fontId="7" fillId="19" borderId="124" xfId="0" applyFont="1" applyFill="1" applyBorder="1" applyAlignment="1" applyProtection="1">
      <alignment vertical="center" wrapText="1"/>
    </xf>
    <xf numFmtId="0" fontId="7" fillId="19" borderId="145" xfId="0" applyFont="1" applyFill="1" applyBorder="1" applyAlignment="1" applyProtection="1">
      <alignment vertical="center" wrapText="1"/>
    </xf>
    <xf numFmtId="31" fontId="7" fillId="19" borderId="176" xfId="0" applyNumberFormat="1" applyFont="1" applyFill="1" applyBorder="1" applyAlignment="1" applyProtection="1">
      <alignment vertical="center"/>
    </xf>
    <xf numFmtId="31" fontId="7" fillId="19" borderId="142" xfId="0" applyNumberFormat="1" applyFont="1" applyFill="1" applyBorder="1" applyAlignment="1" applyProtection="1">
      <alignment vertical="center"/>
    </xf>
    <xf numFmtId="0" fontId="7" fillId="18" borderId="162" xfId="0" applyFont="1" applyFill="1" applyBorder="1" applyAlignment="1" applyProtection="1">
      <alignment horizontal="center" vertical="center"/>
      <protection locked="0"/>
    </xf>
    <xf numFmtId="0" fontId="7" fillId="18" borderId="235" xfId="0" applyFont="1" applyFill="1" applyBorder="1" applyAlignment="1" applyProtection="1">
      <alignment horizontal="center" vertical="center"/>
      <protection locked="0"/>
    </xf>
    <xf numFmtId="0" fontId="7" fillId="18" borderId="140" xfId="0" applyFont="1" applyFill="1" applyBorder="1" applyAlignment="1" applyProtection="1">
      <alignment horizontal="center" vertical="center"/>
      <protection locked="0"/>
    </xf>
    <xf numFmtId="0" fontId="7" fillId="18" borderId="141" xfId="0" applyFont="1" applyFill="1" applyBorder="1" applyAlignment="1" applyProtection="1">
      <alignment horizontal="center" vertical="center"/>
      <protection locked="0"/>
    </xf>
    <xf numFmtId="0" fontId="7" fillId="18" borderId="118" xfId="0" applyFont="1" applyFill="1" applyBorder="1" applyAlignment="1" applyProtection="1">
      <alignment horizontal="center" vertical="center"/>
      <protection locked="0"/>
    </xf>
    <xf numFmtId="0" fontId="7" fillId="20" borderId="118" xfId="0" applyFont="1" applyFill="1" applyBorder="1" applyAlignment="1" applyProtection="1">
      <alignment horizontal="center" vertical="center"/>
      <protection locked="0"/>
    </xf>
    <xf numFmtId="0" fontId="7" fillId="19" borderId="118" xfId="0" applyFont="1" applyFill="1" applyBorder="1" applyAlignment="1" applyProtection="1">
      <alignment horizontal="center" vertical="center"/>
    </xf>
    <xf numFmtId="0" fontId="7" fillId="19" borderId="166" xfId="0" applyFont="1" applyFill="1" applyBorder="1" applyAlignment="1" applyProtection="1">
      <alignment horizontal="center" vertical="center"/>
    </xf>
    <xf numFmtId="0" fontId="7" fillId="18" borderId="134" xfId="0" applyFont="1" applyFill="1" applyBorder="1" applyAlignment="1" applyProtection="1">
      <alignment horizontal="center" vertical="center"/>
      <protection locked="0"/>
    </xf>
    <xf numFmtId="0" fontId="7" fillId="18" borderId="135" xfId="0" applyFont="1" applyFill="1" applyBorder="1" applyAlignment="1" applyProtection="1">
      <alignment horizontal="center" vertical="center"/>
      <protection locked="0"/>
    </xf>
    <xf numFmtId="0" fontId="22" fillId="28" borderId="102" xfId="0" applyFont="1" applyFill="1" applyBorder="1" applyAlignment="1" applyProtection="1">
      <alignment horizontal="center" wrapText="1"/>
      <protection locked="0"/>
    </xf>
    <xf numFmtId="0" fontId="22" fillId="28" borderId="156" xfId="0" applyFont="1" applyFill="1" applyBorder="1" applyAlignment="1" applyProtection="1">
      <alignment horizontal="center" wrapText="1"/>
      <protection locked="0"/>
    </xf>
    <xf numFmtId="187" fontId="22" fillId="29" borderId="104" xfId="0" applyNumberFormat="1" applyFont="1" applyFill="1" applyBorder="1" applyAlignment="1" applyProtection="1">
      <alignment horizontal="center" wrapText="1"/>
      <protection locked="0"/>
    </xf>
    <xf numFmtId="187" fontId="22" fillId="29" borderId="105" xfId="0" applyNumberFormat="1" applyFont="1" applyFill="1" applyBorder="1" applyAlignment="1" applyProtection="1">
      <alignment horizontal="center" wrapText="1"/>
      <protection locked="0"/>
    </xf>
    <xf numFmtId="0" fontId="0" fillId="0" borderId="125" xfId="0" applyBorder="1" applyProtection="1">
      <alignment vertical="center"/>
      <protection locked="0"/>
    </xf>
    <xf numFmtId="0" fontId="0" fillId="0" borderId="0" xfId="0" applyProtection="1">
      <alignment vertical="center"/>
      <protection locked="0"/>
    </xf>
    <xf numFmtId="0" fontId="22" fillId="28" borderId="157" xfId="0" applyFont="1" applyFill="1" applyBorder="1" applyAlignment="1" applyProtection="1">
      <alignment horizontal="center" wrapText="1"/>
      <protection locked="0"/>
    </xf>
    <xf numFmtId="0" fontId="22" fillId="28" borderId="104" xfId="0" applyFont="1" applyFill="1" applyBorder="1" applyAlignment="1" applyProtection="1">
      <alignment horizontal="center" wrapText="1"/>
      <protection locked="0"/>
    </xf>
    <xf numFmtId="0" fontId="22" fillId="28" borderId="153" xfId="0" applyFont="1" applyFill="1" applyBorder="1" applyAlignment="1" applyProtection="1">
      <alignment horizontal="center" wrapText="1"/>
      <protection locked="0"/>
    </xf>
    <xf numFmtId="0" fontId="22" fillId="28" borderId="158" xfId="0" applyFont="1" applyFill="1" applyBorder="1" applyAlignment="1" applyProtection="1">
      <alignment horizontal="center" wrapText="1"/>
      <protection locked="0"/>
    </xf>
    <xf numFmtId="187" fontId="22" fillId="29" borderId="118" xfId="0" applyNumberFormat="1" applyFont="1" applyFill="1" applyBorder="1" applyAlignment="1" applyProtection="1">
      <alignment horizontal="center" wrapText="1"/>
      <protection locked="0"/>
    </xf>
    <xf numFmtId="187" fontId="22" fillId="29" borderId="119" xfId="0" applyNumberFormat="1" applyFont="1" applyFill="1" applyBorder="1" applyAlignment="1" applyProtection="1">
      <alignment horizontal="center" wrapText="1"/>
      <protection locked="0"/>
    </xf>
    <xf numFmtId="0" fontId="7" fillId="0" borderId="133" xfId="0" applyFont="1" applyBorder="1" applyAlignment="1" applyProtection="1">
      <alignment horizontal="center" vertical="center" wrapText="1"/>
      <protection locked="0"/>
    </xf>
    <xf numFmtId="0" fontId="7" fillId="18" borderId="109" xfId="0" applyFont="1" applyFill="1" applyBorder="1" applyAlignment="1" applyProtection="1">
      <alignment horizontal="center" vertical="center" wrapText="1"/>
      <protection locked="0"/>
    </xf>
    <xf numFmtId="0" fontId="22" fillId="0" borderId="134" xfId="0" applyFont="1" applyBorder="1" applyAlignment="1" applyProtection="1">
      <alignment horizontal="left" wrapText="1"/>
      <protection locked="0"/>
    </xf>
    <xf numFmtId="0" fontId="22" fillId="19" borderId="135" xfId="0" applyFont="1" applyFill="1" applyBorder="1" applyAlignment="1" applyProtection="1">
      <alignment horizontal="left" wrapText="1"/>
    </xf>
    <xf numFmtId="0" fontId="22" fillId="0" borderId="154" xfId="0" applyFont="1" applyFill="1" applyBorder="1" applyAlignment="1" applyProtection="1">
      <alignment wrapText="1"/>
      <protection locked="0"/>
    </xf>
    <xf numFmtId="0" fontId="22" fillId="20" borderId="179" xfId="0" applyFont="1" applyFill="1" applyBorder="1" applyAlignment="1" applyProtection="1">
      <alignment wrapText="1"/>
    </xf>
    <xf numFmtId="0" fontId="22" fillId="18" borderId="179" xfId="0" applyFont="1" applyFill="1" applyBorder="1" applyAlignment="1" applyProtection="1">
      <alignment vertical="center" wrapText="1"/>
      <protection locked="0"/>
    </xf>
    <xf numFmtId="0" fontId="22" fillId="0" borderId="180" xfId="0" applyFont="1" applyFill="1" applyBorder="1" applyAlignment="1" applyProtection="1">
      <alignment wrapText="1"/>
      <protection locked="0"/>
    </xf>
    <xf numFmtId="0" fontId="22" fillId="0" borderId="135" xfId="0" applyFont="1" applyBorder="1" applyAlignment="1" applyProtection="1">
      <alignment horizontal="left" wrapText="1"/>
      <protection locked="0"/>
    </xf>
    <xf numFmtId="0" fontId="7" fillId="18" borderId="110" xfId="0" applyFont="1" applyFill="1" applyBorder="1" applyAlignment="1" applyProtection="1">
      <alignment horizontal="center" vertical="center" wrapText="1"/>
      <protection locked="0"/>
    </xf>
    <xf numFmtId="0" fontId="7" fillId="0" borderId="134" xfId="0" applyFont="1" applyBorder="1" applyAlignment="1" applyProtection="1">
      <alignment horizontal="center" vertical="center" wrapText="1"/>
      <protection locked="0"/>
    </xf>
    <xf numFmtId="0" fontId="22" fillId="19" borderId="133" xfId="0" applyFont="1" applyFill="1" applyBorder="1" applyAlignment="1" applyProtection="1">
      <alignment horizontal="left" wrapText="1"/>
    </xf>
    <xf numFmtId="0" fontId="3" fillId="18" borderId="0" xfId="0" applyFont="1" applyFill="1" applyBorder="1" applyAlignment="1" applyProtection="1">
      <alignment horizontal="center"/>
      <protection locked="0"/>
    </xf>
    <xf numFmtId="0" fontId="164" fillId="18" borderId="0" xfId="0" applyFont="1" applyFill="1" applyBorder="1" applyAlignment="1" applyProtection="1">
      <protection locked="0"/>
    </xf>
    <xf numFmtId="0" fontId="7" fillId="18" borderId="0" xfId="0" applyFont="1" applyFill="1" applyBorder="1" applyAlignment="1" applyProtection="1">
      <alignment horizontal="right"/>
      <protection locked="0"/>
    </xf>
    <xf numFmtId="0" fontId="7" fillId="19" borderId="109" xfId="0" applyFont="1" applyFill="1" applyBorder="1" applyAlignment="1" applyProtection="1">
      <alignment vertical="center" wrapText="1"/>
    </xf>
    <xf numFmtId="0" fontId="7" fillId="18" borderId="125" xfId="0" applyFont="1" applyFill="1" applyBorder="1" applyAlignment="1" applyProtection="1">
      <alignment horizontal="center" vertical="center"/>
      <protection locked="0"/>
    </xf>
    <xf numFmtId="0" fontId="7" fillId="0" borderId="184" xfId="0" applyFont="1" applyFill="1" applyBorder="1" applyAlignment="1" applyProtection="1">
      <alignment vertical="center"/>
      <protection locked="0"/>
    </xf>
    <xf numFmtId="0" fontId="7" fillId="18" borderId="138" xfId="0" applyFont="1" applyFill="1" applyBorder="1" applyAlignment="1" applyProtection="1">
      <alignment horizontal="center" vertical="center"/>
      <protection locked="0"/>
    </xf>
    <xf numFmtId="0" fontId="7" fillId="0" borderId="185" xfId="0" applyFont="1" applyFill="1" applyBorder="1" applyAlignment="1" applyProtection="1">
      <alignment vertical="center"/>
      <protection locked="0"/>
    </xf>
    <xf numFmtId="0" fontId="22" fillId="0" borderId="127" xfId="0" applyFont="1" applyBorder="1" applyAlignment="1" applyProtection="1">
      <alignment wrapText="1"/>
      <protection locked="0"/>
    </xf>
    <xf numFmtId="0" fontId="7" fillId="18" borderId="182" xfId="0" applyFont="1" applyFill="1" applyBorder="1" applyAlignment="1" applyProtection="1">
      <alignment vertical="center"/>
      <protection locked="0"/>
    </xf>
    <xf numFmtId="0" fontId="7" fillId="18" borderId="183" xfId="0" applyFont="1" applyFill="1" applyBorder="1" applyAlignment="1" applyProtection="1">
      <alignment horizontal="center" vertical="center"/>
      <protection locked="0"/>
    </xf>
    <xf numFmtId="0" fontId="7" fillId="0" borderId="155" xfId="0" applyFont="1" applyFill="1" applyBorder="1" applyAlignment="1" applyProtection="1">
      <alignment vertical="center"/>
      <protection locked="0"/>
    </xf>
    <xf numFmtId="0" fontId="22" fillId="18" borderId="113" xfId="0" applyFont="1" applyFill="1" applyBorder="1" applyAlignment="1" applyProtection="1">
      <alignment horizontal="center" vertical="center" textRotation="255" wrapText="1"/>
      <protection locked="0"/>
    </xf>
    <xf numFmtId="0" fontId="2" fillId="18" borderId="111" xfId="0" applyFont="1" applyFill="1" applyBorder="1" applyAlignment="1" applyProtection="1">
      <alignment vertical="top" wrapText="1"/>
      <protection locked="0"/>
    </xf>
    <xf numFmtId="0" fontId="2" fillId="0" borderId="111" xfId="0" applyFont="1" applyBorder="1" applyAlignment="1" applyProtection="1">
      <alignment horizontal="center" vertical="top" wrapText="1"/>
      <protection locked="0"/>
    </xf>
    <xf numFmtId="0" fontId="22" fillId="0" borderId="115" xfId="0" applyFont="1" applyBorder="1" applyAlignment="1" applyProtection="1">
      <alignment horizontal="center" wrapText="1"/>
      <protection locked="0"/>
    </xf>
    <xf numFmtId="0" fontId="22" fillId="0" borderId="112" xfId="0" applyFont="1" applyBorder="1" applyAlignment="1" applyProtection="1">
      <alignment horizontal="center" vertical="center"/>
      <protection locked="0"/>
    </xf>
    <xf numFmtId="0" fontId="22" fillId="0" borderId="150" xfId="0" applyFont="1" applyBorder="1" applyAlignment="1" applyProtection="1">
      <alignment horizontal="center" wrapText="1"/>
      <protection locked="0"/>
    </xf>
    <xf numFmtId="0" fontId="7" fillId="18" borderId="109" xfId="0" applyFont="1" applyFill="1" applyBorder="1" applyAlignment="1" applyProtection="1">
      <alignment horizontal="center" vertical="center"/>
      <protection locked="0"/>
    </xf>
    <xf numFmtId="0" fontId="22" fillId="18" borderId="103" xfId="0" applyFont="1" applyFill="1" applyBorder="1" applyAlignment="1" applyProtection="1">
      <alignment horizontal="center" vertical="center"/>
      <protection locked="0"/>
    </xf>
    <xf numFmtId="0" fontId="22" fillId="18" borderId="132" xfId="0" applyFont="1" applyFill="1" applyBorder="1" applyAlignment="1" applyProtection="1">
      <alignment horizontal="center" vertical="center" textRotation="255" wrapText="1"/>
      <protection locked="0"/>
    </xf>
    <xf numFmtId="0" fontId="2" fillId="18" borderId="107" xfId="0" applyFont="1" applyFill="1" applyBorder="1" applyAlignment="1" applyProtection="1">
      <alignment vertical="top" wrapText="1"/>
      <protection locked="0"/>
    </xf>
    <xf numFmtId="0" fontId="2" fillId="0" borderId="107" xfId="0" applyFont="1" applyBorder="1" applyAlignment="1" applyProtection="1">
      <alignment horizontal="center" vertical="top" wrapText="1"/>
      <protection locked="0"/>
    </xf>
    <xf numFmtId="0" fontId="22" fillId="0" borderId="120" xfId="0" applyFont="1" applyBorder="1" applyAlignment="1" applyProtection="1">
      <alignment horizontal="center" wrapText="1"/>
      <protection locked="0"/>
    </xf>
    <xf numFmtId="0" fontId="22" fillId="0" borderId="108" xfId="0" applyFont="1" applyBorder="1" applyAlignment="1" applyProtection="1">
      <alignment horizontal="center" vertical="center"/>
      <protection locked="0"/>
    </xf>
    <xf numFmtId="0" fontId="164" fillId="18" borderId="0" xfId="0" applyFont="1" applyFill="1" applyBorder="1" applyAlignment="1" applyProtection="1">
      <alignment horizontal="center" vertical="top"/>
      <protection locked="0"/>
    </xf>
    <xf numFmtId="0" fontId="22" fillId="19" borderId="129" xfId="0" applyFont="1" applyFill="1" applyBorder="1" applyAlignment="1" applyProtection="1">
      <alignment vertical="center"/>
    </xf>
    <xf numFmtId="0" fontId="22" fillId="18" borderId="149" xfId="0" applyFont="1" applyFill="1" applyBorder="1" applyAlignment="1" applyProtection="1">
      <alignment vertical="center"/>
      <protection locked="0"/>
    </xf>
    <xf numFmtId="0" fontId="22" fillId="19" borderId="118" xfId="0" applyFont="1" applyFill="1" applyBorder="1" applyAlignment="1" applyProtection="1">
      <alignment horizontal="center" vertical="center" wrapText="1"/>
    </xf>
    <xf numFmtId="0" fontId="22" fillId="19" borderId="108" xfId="0" applyNumberFormat="1" applyFont="1" applyFill="1" applyBorder="1" applyAlignment="1" applyProtection="1">
      <alignment horizontal="center" vertical="center"/>
    </xf>
    <xf numFmtId="0" fontId="22" fillId="19" borderId="147" xfId="0" applyFont="1" applyFill="1" applyBorder="1" applyAlignment="1" applyProtection="1">
      <alignment horizontal="center" vertical="center" shrinkToFit="1"/>
    </xf>
    <xf numFmtId="0" fontId="184" fillId="0" borderId="0" xfId="0" applyFont="1" applyBorder="1" applyAlignment="1" applyProtection="1">
      <alignment horizontal="left" wrapText="1"/>
      <protection locked="0"/>
    </xf>
    <xf numFmtId="0" fontId="184" fillId="0" borderId="0" xfId="0" applyFont="1" applyBorder="1" applyAlignment="1" applyProtection="1">
      <alignment horizontal="left"/>
      <protection locked="0"/>
    </xf>
    <xf numFmtId="0" fontId="184" fillId="19" borderId="0" xfId="0" applyFont="1" applyFill="1" applyBorder="1" applyAlignment="1" applyProtection="1">
      <alignment horizontal="left"/>
    </xf>
    <xf numFmtId="0" fontId="184" fillId="19" borderId="0" xfId="0" applyFont="1" applyFill="1" applyBorder="1" applyAlignment="1" applyProtection="1">
      <alignment horizontal="center"/>
      <protection locked="0"/>
    </xf>
    <xf numFmtId="0" fontId="184" fillId="0" borderId="0" xfId="0" applyFont="1" applyBorder="1" applyAlignment="1" applyProtection="1">
      <alignment wrapText="1"/>
      <protection locked="0"/>
    </xf>
    <xf numFmtId="0" fontId="184" fillId="29" borderId="0" xfId="0" applyFont="1" applyFill="1" applyBorder="1" applyAlignment="1" applyProtection="1">
      <alignment wrapText="1"/>
      <protection locked="0"/>
    </xf>
    <xf numFmtId="0" fontId="164" fillId="0" borderId="0" xfId="0" applyFont="1" applyBorder="1" applyAlignment="1" applyProtection="1">
      <alignment horizontal="center"/>
      <protection locked="0"/>
    </xf>
    <xf numFmtId="0" fontId="184" fillId="19" borderId="0" xfId="0" applyFont="1" applyFill="1" applyBorder="1" applyAlignment="1" applyProtection="1">
      <alignment horizontal="right"/>
    </xf>
    <xf numFmtId="0" fontId="184" fillId="0" borderId="0" xfId="0" applyFont="1" applyAlignment="1" applyProtection="1">
      <alignment horizontal="left"/>
      <protection locked="0"/>
    </xf>
    <xf numFmtId="0" fontId="184" fillId="19" borderId="24" xfId="0" applyFont="1" applyFill="1" applyBorder="1" applyAlignment="1" applyProtection="1">
      <alignment horizontal="left"/>
    </xf>
    <xf numFmtId="0" fontId="184" fillId="0" borderId="0" xfId="0" applyFont="1" applyAlignment="1" applyProtection="1">
      <alignment horizontal="center"/>
      <protection locked="0"/>
    </xf>
    <xf numFmtId="0" fontId="184" fillId="19" borderId="42" xfId="0" applyFont="1" applyFill="1" applyBorder="1" applyAlignment="1" applyProtection="1">
      <alignment horizontal="left"/>
    </xf>
    <xf numFmtId="0" fontId="184" fillId="24" borderId="191" xfId="0" applyFont="1" applyFill="1" applyBorder="1" applyAlignment="1" applyProtection="1">
      <alignment horizontal="center" wrapText="1"/>
      <protection locked="0"/>
    </xf>
    <xf numFmtId="0" fontId="184" fillId="24" borderId="190" xfId="0" applyFont="1" applyFill="1" applyBorder="1" applyAlignment="1" applyProtection="1">
      <alignment horizontal="center" wrapText="1"/>
      <protection locked="0"/>
    </xf>
    <xf numFmtId="0" fontId="184" fillId="24" borderId="189" xfId="0" applyFont="1" applyFill="1" applyBorder="1" applyAlignment="1" applyProtection="1">
      <alignment horizontal="center" wrapText="1"/>
      <protection locked="0"/>
    </xf>
    <xf numFmtId="0" fontId="184" fillId="24" borderId="191" xfId="0" applyFont="1" applyFill="1" applyBorder="1" applyAlignment="1" applyProtection="1">
      <alignment horizontal="left" wrapText="1"/>
      <protection locked="0"/>
    </xf>
    <xf numFmtId="0" fontId="184" fillId="24" borderId="190" xfId="0" applyFont="1" applyFill="1" applyBorder="1" applyAlignment="1" applyProtection="1">
      <alignment horizontal="left" wrapText="1"/>
      <protection locked="0"/>
    </xf>
    <xf numFmtId="0" fontId="184" fillId="24" borderId="189" xfId="0" applyFont="1" applyFill="1" applyBorder="1" applyAlignment="1" applyProtection="1">
      <alignment horizontal="left" wrapText="1"/>
      <protection locked="0"/>
    </xf>
    <xf numFmtId="0" fontId="192" fillId="24" borderId="191" xfId="0" applyFont="1" applyFill="1" applyBorder="1" applyAlignment="1" applyProtection="1">
      <alignment horizontal="left" wrapText="1"/>
      <protection locked="0"/>
    </xf>
    <xf numFmtId="0" fontId="192" fillId="24" borderId="190" xfId="0" applyFont="1" applyFill="1" applyBorder="1" applyAlignment="1" applyProtection="1">
      <alignment horizontal="left" wrapText="1"/>
      <protection locked="0"/>
    </xf>
    <xf numFmtId="0" fontId="192" fillId="24" borderId="189" xfId="0" applyFont="1" applyFill="1" applyBorder="1" applyAlignment="1" applyProtection="1">
      <alignment horizontal="left" wrapText="1"/>
      <protection locked="0"/>
    </xf>
    <xf numFmtId="0" fontId="186" fillId="24" borderId="0" xfId="0" applyFont="1" applyFill="1" applyAlignment="1" applyProtection="1">
      <alignment horizontal="left" vertical="center"/>
      <protection locked="0"/>
    </xf>
    <xf numFmtId="0" fontId="184" fillId="24" borderId="188" xfId="0" applyFont="1" applyFill="1" applyBorder="1" applyAlignment="1" applyProtection="1">
      <alignment horizontal="center" wrapText="1"/>
      <protection locked="0"/>
    </xf>
    <xf numFmtId="0" fontId="184" fillId="24" borderId="187" xfId="0" applyFont="1" applyFill="1" applyBorder="1" applyAlignment="1" applyProtection="1">
      <alignment horizontal="center" wrapText="1"/>
      <protection locked="0"/>
    </xf>
    <xf numFmtId="0" fontId="191" fillId="24" borderId="0" xfId="0" applyFont="1" applyFill="1" applyAlignment="1" applyProtection="1">
      <alignment horizontal="left" vertical="center"/>
      <protection locked="0"/>
    </xf>
    <xf numFmtId="0" fontId="190" fillId="24" borderId="0" xfId="0" applyFont="1" applyFill="1" applyAlignment="1" applyProtection="1">
      <alignment horizontal="center" vertical="center"/>
      <protection locked="0"/>
    </xf>
    <xf numFmtId="0" fontId="189" fillId="24" borderId="0" xfId="0" applyFont="1" applyFill="1" applyAlignment="1" applyProtection="1">
      <alignment horizontal="left" vertical="center"/>
      <protection locked="0"/>
    </xf>
    <xf numFmtId="0" fontId="187" fillId="24" borderId="0" xfId="0" applyFont="1" applyFill="1" applyAlignment="1" applyProtection="1">
      <alignment horizontal="left" vertical="center"/>
      <protection locked="0"/>
    </xf>
    <xf numFmtId="0" fontId="184" fillId="24" borderId="193" xfId="0" applyFont="1" applyFill="1" applyBorder="1" applyAlignment="1" applyProtection="1">
      <alignment horizontal="center" wrapText="1"/>
      <protection locked="0"/>
    </xf>
    <xf numFmtId="0" fontId="184" fillId="24" borderId="192" xfId="0" applyFont="1" applyFill="1" applyBorder="1" applyAlignment="1" applyProtection="1">
      <alignment horizontal="center" wrapText="1"/>
      <protection locked="0"/>
    </xf>
    <xf numFmtId="0" fontId="184" fillId="24" borderId="33" xfId="0" applyFont="1" applyFill="1" applyBorder="1" applyAlignment="1" applyProtection="1">
      <alignment horizontal="center" wrapText="1"/>
      <protection locked="0"/>
    </xf>
    <xf numFmtId="0" fontId="184" fillId="24" borderId="32" xfId="0" applyFont="1" applyFill="1" applyBorder="1" applyAlignment="1" applyProtection="1">
      <alignment horizontal="center" wrapText="1"/>
      <protection locked="0"/>
    </xf>
    <xf numFmtId="0" fontId="184" fillId="24" borderId="28" xfId="0" applyFont="1" applyFill="1" applyBorder="1" applyAlignment="1" applyProtection="1">
      <alignment horizontal="center" wrapText="1"/>
      <protection locked="0"/>
    </xf>
    <xf numFmtId="0" fontId="184" fillId="24" borderId="30" xfId="0" applyFont="1" applyFill="1" applyBorder="1" applyAlignment="1" applyProtection="1">
      <alignment horizontal="center" wrapText="1"/>
      <protection locked="0"/>
    </xf>
    <xf numFmtId="0" fontId="184" fillId="24" borderId="191" xfId="0" applyFont="1" applyFill="1" applyBorder="1" applyAlignment="1" applyProtection="1">
      <alignment horizontal="justify" wrapText="1"/>
      <protection locked="0"/>
    </xf>
    <xf numFmtId="0" fontId="184" fillId="24" borderId="189" xfId="0" applyFont="1" applyFill="1" applyBorder="1" applyAlignment="1" applyProtection="1">
      <alignment horizontal="justify" wrapText="1"/>
      <protection locked="0"/>
    </xf>
    <xf numFmtId="0" fontId="0" fillId="24" borderId="29" xfId="0" applyFill="1" applyBorder="1" applyProtection="1">
      <alignment vertical="center"/>
      <protection locked="0"/>
    </xf>
    <xf numFmtId="0" fontId="0" fillId="24" borderId="30" xfId="0" applyFill="1" applyBorder="1" applyProtection="1">
      <alignment vertical="center"/>
      <protection locked="0"/>
    </xf>
    <xf numFmtId="0" fontId="0" fillId="24" borderId="33" xfId="0" applyFill="1" applyBorder="1" applyProtection="1">
      <alignment vertical="center"/>
      <protection locked="0"/>
    </xf>
    <xf numFmtId="0" fontId="0" fillId="24" borderId="43" xfId="0" applyFill="1" applyBorder="1" applyProtection="1">
      <alignment vertical="center"/>
      <protection locked="0"/>
    </xf>
    <xf numFmtId="0" fontId="0" fillId="24" borderId="51" xfId="0" applyFill="1" applyBorder="1" applyProtection="1">
      <alignment vertical="center"/>
      <protection locked="0"/>
    </xf>
    <xf numFmtId="0" fontId="184" fillId="24" borderId="188" xfId="0" applyFont="1" applyFill="1" applyBorder="1" applyAlignment="1" applyProtection="1">
      <alignment horizontal="justify" wrapText="1"/>
      <protection locked="0"/>
    </xf>
    <xf numFmtId="0" fontId="184" fillId="24" borderId="187" xfId="0" applyFont="1" applyFill="1" applyBorder="1" applyAlignment="1" applyProtection="1">
      <alignment horizontal="justify" wrapText="1"/>
      <protection locked="0"/>
    </xf>
    <xf numFmtId="0" fontId="194" fillId="24" borderId="43" xfId="0" applyFont="1" applyFill="1" applyBorder="1" applyAlignment="1" applyProtection="1">
      <alignment horizontal="center"/>
      <protection locked="0"/>
    </xf>
    <xf numFmtId="0" fontId="193" fillId="24" borderId="191" xfId="0" applyFont="1" applyFill="1" applyBorder="1" applyAlignment="1" applyProtection="1">
      <alignment horizontal="center" wrapText="1"/>
      <protection locked="0"/>
    </xf>
    <xf numFmtId="0" fontId="193" fillId="24" borderId="189" xfId="0" applyFont="1" applyFill="1" applyBorder="1" applyAlignment="1" applyProtection="1">
      <alignment horizontal="center" wrapText="1"/>
      <protection locked="0"/>
    </xf>
    <xf numFmtId="0" fontId="193" fillId="24" borderId="28" xfId="0" applyFont="1" applyFill="1" applyBorder="1" applyAlignment="1" applyProtection="1">
      <alignment horizontal="center" wrapText="1"/>
      <protection locked="0"/>
    </xf>
    <xf numFmtId="0" fontId="193" fillId="24" borderId="29" xfId="0" applyFont="1" applyFill="1" applyBorder="1" applyAlignment="1" applyProtection="1">
      <alignment horizontal="center" wrapText="1"/>
      <protection locked="0"/>
    </xf>
    <xf numFmtId="0" fontId="193" fillId="24" borderId="30" xfId="0" applyFont="1" applyFill="1" applyBorder="1" applyAlignment="1" applyProtection="1">
      <alignment horizontal="center" wrapText="1"/>
      <protection locked="0"/>
    </xf>
    <xf numFmtId="0" fontId="193" fillId="24" borderId="33" xfId="0" applyFont="1" applyFill="1" applyBorder="1" applyAlignment="1" applyProtection="1">
      <alignment horizontal="center" wrapText="1"/>
      <protection locked="0"/>
    </xf>
    <xf numFmtId="0" fontId="193" fillId="24" borderId="43" xfId="0" applyFont="1" applyFill="1" applyBorder="1" applyAlignment="1" applyProtection="1">
      <alignment horizontal="center" wrapText="1"/>
      <protection locked="0"/>
    </xf>
    <xf numFmtId="0" fontId="193" fillId="24" borderId="51" xfId="0" applyFont="1" applyFill="1" applyBorder="1" applyAlignment="1" applyProtection="1">
      <alignment horizontal="center" wrapText="1"/>
      <protection locked="0"/>
    </xf>
    <xf numFmtId="0" fontId="194" fillId="24" borderId="0" xfId="0" applyFont="1" applyFill="1" applyAlignment="1" applyProtection="1">
      <alignment horizontal="center"/>
      <protection locked="0"/>
    </xf>
    <xf numFmtId="0" fontId="199" fillId="24" borderId="24" xfId="0" applyFont="1" applyFill="1" applyBorder="1" applyAlignment="1" applyProtection="1">
      <alignment horizontal="center" vertical="center"/>
    </xf>
    <xf numFmtId="177" fontId="0" fillId="24" borderId="17" xfId="0" applyNumberFormat="1" applyFill="1" applyBorder="1" applyAlignment="1" applyProtection="1">
      <alignment horizontal="left" vertical="center" wrapText="1"/>
    </xf>
    <xf numFmtId="177" fontId="0" fillId="24" borderId="42" xfId="0" applyNumberFormat="1" applyFill="1" applyBorder="1" applyAlignment="1" applyProtection="1">
      <alignment horizontal="left" vertical="center"/>
    </xf>
    <xf numFmtId="188" fontId="0" fillId="24" borderId="26" xfId="0" applyNumberFormat="1" applyFill="1" applyBorder="1" applyAlignment="1" applyProtection="1">
      <alignment horizontal="left" vertical="center" wrapText="1"/>
    </xf>
    <xf numFmtId="0" fontId="196" fillId="24" borderId="0" xfId="0" applyFont="1" applyFill="1" applyAlignment="1" applyProtection="1">
      <alignment horizontal="center"/>
    </xf>
    <xf numFmtId="0" fontId="194" fillId="24" borderId="43" xfId="0" applyFont="1" applyFill="1" applyBorder="1" applyAlignment="1" applyProtection="1">
      <alignment horizontal="center"/>
    </xf>
    <xf numFmtId="0" fontId="194" fillId="24" borderId="0" xfId="0" applyFont="1" applyFill="1" applyBorder="1" applyAlignment="1" applyProtection="1">
      <alignment horizontal="center"/>
    </xf>
    <xf numFmtId="0" fontId="193" fillId="24" borderId="191" xfId="0" applyFont="1" applyFill="1" applyBorder="1" applyAlignment="1" applyProtection="1">
      <alignment horizontal="center" vertical="center" wrapText="1"/>
    </xf>
    <xf numFmtId="0" fontId="193" fillId="24" borderId="189" xfId="0" applyFont="1" applyFill="1" applyBorder="1" applyAlignment="1" applyProtection="1">
      <alignment horizontal="center" vertical="center" wrapText="1"/>
    </xf>
    <xf numFmtId="0" fontId="193" fillId="24" borderId="28" xfId="0" applyFont="1" applyFill="1" applyBorder="1" applyAlignment="1" applyProtection="1">
      <alignment horizontal="center" vertical="center" wrapText="1"/>
    </xf>
    <xf numFmtId="0" fontId="193" fillId="24" borderId="29" xfId="0" applyFont="1" applyFill="1" applyBorder="1" applyAlignment="1" applyProtection="1">
      <alignment horizontal="center" vertical="center" wrapText="1"/>
    </xf>
    <xf numFmtId="0" fontId="193" fillId="24" borderId="33" xfId="0" applyFont="1" applyFill="1" applyBorder="1" applyAlignment="1" applyProtection="1">
      <alignment horizontal="center" vertical="center" wrapText="1"/>
    </xf>
    <xf numFmtId="0" fontId="193" fillId="24" borderId="43" xfId="0" applyFont="1" applyFill="1" applyBorder="1" applyAlignment="1" applyProtection="1">
      <alignment horizontal="center" vertical="center" wrapText="1"/>
    </xf>
    <xf numFmtId="0" fontId="0" fillId="24" borderId="191" xfId="0" applyFill="1" applyBorder="1" applyAlignment="1" applyProtection="1">
      <alignment horizontal="center" vertical="center"/>
    </xf>
    <xf numFmtId="0" fontId="0" fillId="24" borderId="190" xfId="0" applyFill="1" applyBorder="1" applyAlignment="1" applyProtection="1">
      <alignment horizontal="center" vertical="center"/>
    </xf>
    <xf numFmtId="0" fontId="0" fillId="24" borderId="189" xfId="0" applyFill="1" applyBorder="1" applyAlignment="1" applyProtection="1">
      <alignment horizontal="center" vertical="center"/>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0" fillId="24" borderId="191" xfId="0" applyFill="1" applyBorder="1" applyAlignment="1" applyProtection="1">
      <alignment horizontal="center" vertical="center" wrapText="1"/>
    </xf>
    <xf numFmtId="0" fontId="0" fillId="24" borderId="190" xfId="0" applyFill="1" applyBorder="1" applyAlignment="1" applyProtection="1">
      <alignment horizontal="center" vertical="center" wrapText="1"/>
    </xf>
    <xf numFmtId="0" fontId="0" fillId="24" borderId="189" xfId="0" applyFill="1" applyBorder="1" applyAlignment="1" applyProtection="1">
      <alignment horizontal="center" vertical="center" wrapText="1"/>
    </xf>
    <xf numFmtId="0" fontId="164" fillId="0" borderId="0" xfId="0" applyFont="1" applyBorder="1" applyAlignment="1" applyProtection="1">
      <alignment horizontal="center" vertical="center"/>
      <protection locked="0"/>
    </xf>
    <xf numFmtId="0" fontId="201" fillId="19" borderId="0" xfId="0" applyFont="1" applyFill="1" applyBorder="1" applyAlignment="1" applyProtection="1">
      <alignment vertical="center"/>
    </xf>
    <xf numFmtId="0" fontId="7" fillId="0" borderId="0" xfId="0" applyFont="1" applyBorder="1" applyAlignment="1" applyProtection="1">
      <alignment vertical="center"/>
      <protection locked="0"/>
    </xf>
    <xf numFmtId="0" fontId="2" fillId="18" borderId="182" xfId="0" applyFont="1" applyFill="1" applyBorder="1" applyAlignment="1" applyProtection="1">
      <alignment horizontal="left" vertical="center"/>
      <protection locked="0"/>
    </xf>
    <xf numFmtId="0" fontId="2" fillId="0" borderId="195" xfId="0" applyFont="1" applyBorder="1" applyAlignment="1" applyProtection="1">
      <alignment horizontal="left" vertical="top" wrapText="1"/>
      <protection locked="0"/>
    </xf>
    <xf numFmtId="0" fontId="2" fillId="18" borderId="149" xfId="0" applyFont="1" applyFill="1" applyBorder="1" applyAlignment="1" applyProtection="1">
      <alignment horizontal="center" vertical="center"/>
      <protection locked="0"/>
    </xf>
    <xf numFmtId="189" fontId="2" fillId="21" borderId="119" xfId="0" applyNumberFormat="1" applyFont="1" applyFill="1" applyBorder="1" applyAlignment="1" applyProtection="1">
      <alignment horizontal="center" vertical="center"/>
      <protection locked="0"/>
    </xf>
    <xf numFmtId="0" fontId="166" fillId="0" borderId="0" xfId="0" applyFont="1" applyBorder="1" applyAlignment="1">
      <alignment horizontal="center" vertical="center"/>
    </xf>
    <xf numFmtId="0" fontId="2" fillId="0" borderId="118" xfId="0" applyFont="1" applyFill="1" applyBorder="1" applyAlignment="1" applyProtection="1">
      <alignment horizontal="center" vertical="center"/>
      <protection locked="0"/>
    </xf>
    <xf numFmtId="0" fontId="2" fillId="19" borderId="195" xfId="0" applyFont="1" applyFill="1" applyBorder="1" applyAlignment="1" applyProtection="1">
      <alignment horizontal="center" vertical="center" wrapText="1"/>
    </xf>
    <xf numFmtId="0" fontId="2" fillId="18" borderId="132" xfId="0" applyFont="1" applyFill="1" applyBorder="1" applyAlignment="1" applyProtection="1">
      <alignment horizontal="center" vertical="center"/>
      <protection locked="0"/>
    </xf>
    <xf numFmtId="198" fontId="2" fillId="19" borderId="108" xfId="0" applyNumberFormat="1"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18" borderId="109" xfId="0" applyFont="1" applyFill="1" applyBorder="1" applyAlignment="1" applyProtection="1">
      <alignment horizontal="center" vertical="center"/>
      <protection locked="0"/>
    </xf>
    <xf numFmtId="0" fontId="2" fillId="19" borderId="195" xfId="0" applyFont="1" applyFill="1" applyBorder="1" applyAlignment="1" applyProtection="1">
      <alignment horizontal="center" vertical="center"/>
    </xf>
    <xf numFmtId="0" fontId="2" fillId="19" borderId="103" xfId="0" applyFont="1" applyFill="1" applyBorder="1" applyAlignment="1" applyProtection="1">
      <alignment vertical="center"/>
    </xf>
    <xf numFmtId="0" fontId="2" fillId="18" borderId="103" xfId="0" applyFont="1" applyFill="1" applyBorder="1" applyAlignment="1" applyProtection="1">
      <alignment horizontal="center" vertical="center"/>
      <protection locked="0"/>
    </xf>
    <xf numFmtId="31" fontId="2" fillId="19" borderId="107" xfId="0" applyNumberFormat="1" applyFont="1" applyFill="1" applyBorder="1" applyAlignment="1" applyProtection="1">
      <alignment vertical="center"/>
    </xf>
    <xf numFmtId="0" fontId="2" fillId="18" borderId="107" xfId="0" applyFont="1" applyFill="1" applyBorder="1" applyAlignment="1" applyProtection="1">
      <alignment horizontal="center" vertical="center"/>
      <protection locked="0"/>
    </xf>
    <xf numFmtId="0" fontId="7" fillId="18" borderId="153" xfId="0" applyFont="1" applyFill="1" applyBorder="1" applyAlignment="1" applyProtection="1">
      <alignment vertical="center"/>
      <protection locked="0"/>
    </xf>
    <xf numFmtId="0" fontId="0" fillId="22" borderId="119" xfId="0" applyFill="1" applyBorder="1" applyAlignment="1" applyProtection="1">
      <alignment horizontal="center" vertical="center"/>
      <protection locked="0"/>
    </xf>
    <xf numFmtId="0" fontId="7" fillId="18" borderId="110" xfId="0" applyFont="1" applyFill="1" applyBorder="1" applyAlignment="1" applyProtection="1">
      <alignment vertical="center"/>
      <protection locked="0"/>
    </xf>
    <xf numFmtId="0" fontId="7" fillId="0" borderId="112" xfId="0" applyFont="1" applyBorder="1" applyAlignment="1" applyProtection="1">
      <alignment horizontal="center" vertical="center"/>
      <protection locked="0"/>
    </xf>
    <xf numFmtId="0" fontId="7" fillId="18" borderId="129" xfId="0" applyFont="1" applyFill="1" applyBorder="1" applyAlignment="1" applyProtection="1">
      <alignment vertical="center"/>
      <protection locked="0"/>
    </xf>
    <xf numFmtId="0" fontId="0" fillId="22" borderId="116" xfId="0" applyFill="1" applyBorder="1" applyAlignment="1" applyProtection="1">
      <alignment horizontal="center" vertical="center"/>
      <protection locked="0"/>
    </xf>
    <xf numFmtId="0" fontId="7" fillId="18" borderId="149" xfId="0" applyFont="1" applyFill="1" applyBorder="1" applyAlignment="1" applyProtection="1">
      <alignment vertical="center"/>
      <protection locked="0"/>
    </xf>
    <xf numFmtId="0" fontId="0" fillId="22" borderId="118" xfId="0" applyFill="1" applyBorder="1" applyAlignment="1" applyProtection="1">
      <alignment vertical="center"/>
      <protection locked="0"/>
    </xf>
    <xf numFmtId="0" fontId="7" fillId="18" borderId="132" xfId="0" applyFont="1" applyFill="1" applyBorder="1" applyAlignment="1" applyProtection="1">
      <alignment vertical="center"/>
      <protection locked="0"/>
    </xf>
    <xf numFmtId="0" fontId="0" fillId="22" borderId="107" xfId="0" applyFill="1" applyBorder="1" applyAlignment="1" applyProtection="1">
      <alignment vertical="center"/>
      <protection locked="0"/>
    </xf>
    <xf numFmtId="0" fontId="0" fillId="18" borderId="133" xfId="0" applyFill="1" applyBorder="1" applyAlignment="1" applyProtection="1">
      <alignment horizontal="center" vertical="center"/>
      <protection locked="0"/>
    </xf>
    <xf numFmtId="0" fontId="7" fillId="18" borderId="116" xfId="0" applyFont="1" applyFill="1" applyBorder="1" applyAlignment="1" applyProtection="1">
      <alignment horizontal="center" vertical="center"/>
      <protection locked="0"/>
    </xf>
    <xf numFmtId="0" fontId="7" fillId="18" borderId="107" xfId="0" applyFont="1" applyFill="1" applyBorder="1" applyAlignment="1" applyProtection="1">
      <alignment horizontal="center" vertical="center"/>
      <protection locked="0"/>
    </xf>
    <xf numFmtId="0" fontId="0" fillId="22" borderId="103" xfId="0" applyFill="1" applyBorder="1" applyAlignment="1" applyProtection="1">
      <alignment vertical="center"/>
      <protection locked="0"/>
    </xf>
    <xf numFmtId="0" fontId="7" fillId="18" borderId="113" xfId="0" applyFont="1" applyFill="1" applyBorder="1" applyAlignment="1" applyProtection="1">
      <alignment horizontal="center" vertical="center"/>
      <protection locked="0"/>
    </xf>
    <xf numFmtId="0" fontId="164" fillId="18" borderId="0" xfId="0" applyFont="1" applyFill="1" applyBorder="1" applyAlignment="1" applyProtection="1">
      <alignment horizontal="center"/>
      <protection locked="0"/>
    </xf>
    <xf numFmtId="0" fontId="0" fillId="19" borderId="103" xfId="0" applyFill="1" applyBorder="1" applyAlignment="1" applyProtection="1">
      <alignment vertical="center" wrapText="1"/>
    </xf>
    <xf numFmtId="0" fontId="0" fillId="18" borderId="103" xfId="0" applyFill="1" applyBorder="1" applyAlignment="1" applyProtection="1">
      <alignment horizontal="center" vertical="center"/>
      <protection locked="0"/>
    </xf>
    <xf numFmtId="0" fontId="0" fillId="20" borderId="118" xfId="0" applyFill="1" applyBorder="1" applyAlignment="1" applyProtection="1">
      <alignment horizontal="center" vertical="center"/>
      <protection locked="0"/>
    </xf>
    <xf numFmtId="0" fontId="0" fillId="19" borderId="118" xfId="0" applyFill="1" applyBorder="1" applyAlignment="1" applyProtection="1">
      <alignment horizontal="center" vertical="center"/>
    </xf>
    <xf numFmtId="0" fontId="7" fillId="19" borderId="108" xfId="0" applyNumberFormat="1" applyFont="1" applyFill="1" applyBorder="1" applyAlignment="1" applyProtection="1">
      <alignment horizontal="center" vertical="center"/>
    </xf>
    <xf numFmtId="0" fontId="0" fillId="19" borderId="107" xfId="0" applyFill="1" applyBorder="1" applyAlignment="1" applyProtection="1">
      <alignment horizontal="center" vertical="center"/>
    </xf>
    <xf numFmtId="0" fontId="2" fillId="0" borderId="184" xfId="0" applyFont="1" applyBorder="1" applyAlignment="1" applyProtection="1">
      <alignment vertical="center"/>
      <protection locked="0"/>
    </xf>
    <xf numFmtId="0" fontId="2" fillId="0" borderId="185" xfId="0" applyFont="1" applyBorder="1" applyAlignment="1" applyProtection="1">
      <protection locked="0"/>
    </xf>
    <xf numFmtId="0" fontId="2" fillId="18" borderId="110" xfId="0" applyFont="1" applyFill="1" applyBorder="1" applyAlignment="1" applyProtection="1">
      <alignment vertical="center"/>
      <protection locked="0"/>
    </xf>
    <xf numFmtId="0" fontId="2" fillId="18" borderId="131" xfId="0" applyFont="1" applyFill="1" applyBorder="1" applyAlignment="1" applyProtection="1">
      <alignment vertical="center" wrapText="1"/>
      <protection locked="0"/>
    </xf>
    <xf numFmtId="0" fontId="2" fillId="18" borderId="0" xfId="0" applyFont="1" applyFill="1" applyBorder="1" applyAlignment="1" applyProtection="1">
      <protection locked="0"/>
    </xf>
    <xf numFmtId="0" fontId="2" fillId="0" borderId="0" xfId="0" applyFont="1" applyBorder="1" applyAlignment="1" applyProtection="1">
      <protection locked="0"/>
    </xf>
    <xf numFmtId="0" fontId="2" fillId="18" borderId="198" xfId="0" applyFont="1" applyFill="1" applyBorder="1" applyAlignment="1" applyProtection="1">
      <protection locked="0"/>
    </xf>
    <xf numFmtId="0" fontId="2" fillId="18" borderId="134" xfId="0" applyFont="1" applyFill="1" applyBorder="1" applyAlignment="1" applyProtection="1">
      <alignment horizontal="center" vertical="center" wrapText="1"/>
      <protection locked="0"/>
    </xf>
    <xf numFmtId="0" fontId="2" fillId="18" borderId="0" xfId="0" applyFont="1" applyFill="1" applyBorder="1" applyAlignment="1" applyProtection="1">
      <alignment horizontal="center"/>
      <protection locked="0"/>
    </xf>
    <xf numFmtId="0" fontId="2" fillId="19" borderId="0" xfId="0" applyFont="1" applyFill="1" applyBorder="1" applyAlignment="1" applyProtection="1"/>
    <xf numFmtId="0" fontId="2" fillId="18" borderId="109" xfId="0" applyFont="1" applyFill="1" applyBorder="1" applyAlignment="1" applyProtection="1">
      <alignment horizontal="center" vertical="center" wrapText="1"/>
      <protection locked="0"/>
    </xf>
    <xf numFmtId="0" fontId="2" fillId="0" borderId="137" xfId="0" applyFont="1" applyBorder="1" applyAlignment="1" applyProtection="1">
      <alignment vertical="center"/>
      <protection locked="0"/>
    </xf>
    <xf numFmtId="0" fontId="2" fillId="18" borderId="109" xfId="0" applyFont="1" applyFill="1" applyBorder="1" applyAlignment="1" applyProtection="1">
      <alignment vertical="center" wrapText="1"/>
      <protection locked="0"/>
    </xf>
    <xf numFmtId="0" fontId="2" fillId="0" borderId="101" xfId="0" applyFont="1" applyBorder="1" applyAlignment="1" applyProtection="1">
      <alignment vertical="center"/>
      <protection locked="0"/>
    </xf>
    <xf numFmtId="0" fontId="2" fillId="18" borderId="133" xfId="0" applyFont="1" applyFill="1" applyBorder="1" applyAlignment="1" applyProtection="1">
      <protection locked="0"/>
    </xf>
    <xf numFmtId="0" fontId="2" fillId="0" borderId="131" xfId="0" applyFont="1" applyBorder="1" applyAlignment="1" applyProtection="1">
      <alignment vertical="center"/>
      <protection locked="0"/>
    </xf>
    <xf numFmtId="0" fontId="2" fillId="0" borderId="131" xfId="0" applyFont="1" applyBorder="1" applyAlignment="1" applyProtection="1">
      <protection locked="0"/>
    </xf>
    <xf numFmtId="0" fontId="2" fillId="18" borderId="109" xfId="0" applyFont="1" applyFill="1" applyBorder="1" applyAlignment="1" applyProtection="1">
      <alignment vertical="top"/>
      <protection locked="0"/>
    </xf>
    <xf numFmtId="0" fontId="2" fillId="0" borderId="186" xfId="0" applyFont="1" applyBorder="1" applyAlignment="1" applyProtection="1">
      <protection locked="0"/>
    </xf>
    <xf numFmtId="0" fontId="2" fillId="18" borderId="133" xfId="0" applyFont="1" applyFill="1" applyBorder="1" applyAlignment="1" applyProtection="1">
      <alignment vertical="top"/>
      <protection locked="0"/>
    </xf>
    <xf numFmtId="0" fontId="2" fillId="18" borderId="134" xfId="0" applyFont="1" applyFill="1" applyBorder="1" applyAlignment="1" applyProtection="1">
      <protection locked="0"/>
    </xf>
    <xf numFmtId="0" fontId="2" fillId="18" borderId="185" xfId="0" applyFont="1" applyFill="1" applyBorder="1" applyAlignment="1" applyProtection="1">
      <alignment vertical="center" wrapText="1"/>
      <protection locked="0"/>
    </xf>
    <xf numFmtId="0" fontId="2" fillId="0" borderId="184" xfId="0" applyFont="1" applyBorder="1" applyAlignment="1" applyProtection="1">
      <alignment vertical="top"/>
      <protection locked="0"/>
    </xf>
    <xf numFmtId="0" fontId="2" fillId="18" borderId="184" xfId="0" applyFont="1" applyFill="1" applyBorder="1" applyAlignment="1" applyProtection="1">
      <alignment vertical="center" wrapText="1"/>
      <protection locked="0"/>
    </xf>
    <xf numFmtId="0" fontId="2" fillId="0" borderId="185" xfId="0" applyFont="1" applyBorder="1" applyAlignment="1" applyProtection="1">
      <alignment vertical="center"/>
      <protection locked="0"/>
    </xf>
    <xf numFmtId="0" fontId="2" fillId="18" borderId="109" xfId="0" applyFont="1" applyFill="1" applyBorder="1" applyAlignment="1" applyProtection="1">
      <protection locked="0"/>
    </xf>
    <xf numFmtId="0" fontId="2" fillId="0" borderId="131" xfId="0" applyFont="1" applyBorder="1" applyAlignment="1" applyProtection="1">
      <alignment vertical="top"/>
      <protection locked="0"/>
    </xf>
    <xf numFmtId="0" fontId="2" fillId="18" borderId="135" xfId="0" applyFont="1" applyFill="1" applyBorder="1" applyAlignment="1" applyProtection="1">
      <alignment vertical="center" wrapText="1"/>
      <protection locked="0"/>
    </xf>
    <xf numFmtId="0" fontId="2" fillId="0" borderId="198" xfId="0" applyFont="1" applyBorder="1" applyAlignment="1" applyProtection="1">
      <protection locked="0"/>
    </xf>
    <xf numFmtId="0" fontId="2" fillId="0" borderId="135" xfId="0" applyFont="1" applyBorder="1" applyAlignment="1" applyProtection="1">
      <alignment horizontal="center"/>
      <protection locked="0"/>
    </xf>
    <xf numFmtId="0" fontId="2" fillId="0" borderId="184" xfId="0" applyFont="1" applyBorder="1" applyAlignment="1" applyProtection="1">
      <protection locked="0"/>
    </xf>
    <xf numFmtId="0" fontId="2" fillId="0" borderId="133" xfId="0" applyFont="1" applyBorder="1" applyAlignment="1" applyProtection="1">
      <alignment horizontal="center"/>
      <protection locked="0"/>
    </xf>
    <xf numFmtId="0" fontId="2" fillId="0" borderId="125" xfId="0" applyFont="1" applyBorder="1" applyAlignment="1" applyProtection="1">
      <alignment vertical="top"/>
      <protection locked="0"/>
    </xf>
    <xf numFmtId="0" fontId="164" fillId="18" borderId="0" xfId="0" applyFont="1" applyFill="1" applyBorder="1" applyAlignment="1" applyProtection="1">
      <alignment horizontal="center" vertical="center"/>
    </xf>
    <xf numFmtId="0" fontId="7" fillId="18" borderId="0" xfId="0" applyFont="1" applyFill="1" applyBorder="1" applyAlignment="1" applyProtection="1">
      <alignment horizontal="left"/>
      <protection locked="0"/>
    </xf>
    <xf numFmtId="0" fontId="2" fillId="18" borderId="101" xfId="0" applyFont="1" applyFill="1" applyBorder="1" applyAlignment="1" applyProtection="1">
      <alignment horizontal="right"/>
      <protection locked="0"/>
    </xf>
    <xf numFmtId="0" fontId="2" fillId="19" borderId="101" xfId="0" applyNumberFormat="1" applyFont="1" applyFill="1" applyBorder="1" applyAlignment="1" applyProtection="1">
      <alignment horizontal="center"/>
    </xf>
    <xf numFmtId="0" fontId="2" fillId="0" borderId="186" xfId="0" applyFont="1" applyBorder="1" applyAlignment="1" applyProtection="1">
      <alignment vertical="center"/>
      <protection locked="0"/>
    </xf>
    <xf numFmtId="0" fontId="2" fillId="18" borderId="132" xfId="0" applyFont="1" applyFill="1" applyBorder="1" applyAlignment="1" applyProtection="1">
      <alignment horizontal="center"/>
      <protection locked="0"/>
    </xf>
    <xf numFmtId="0" fontId="2" fillId="18" borderId="107" xfId="0" applyFont="1" applyFill="1" applyBorder="1" applyAlignment="1" applyProtection="1">
      <alignment horizontal="center"/>
      <protection locked="0"/>
    </xf>
    <xf numFmtId="0" fontId="2" fillId="19" borderId="156" xfId="0" applyFont="1" applyFill="1" applyBorder="1" applyAlignment="1" applyProtection="1"/>
    <xf numFmtId="0" fontId="2" fillId="18" borderId="112" xfId="0" applyFont="1" applyFill="1" applyBorder="1" applyAlignment="1" applyProtection="1">
      <alignment horizontal="center" vertical="center"/>
      <protection locked="0"/>
    </xf>
    <xf numFmtId="0" fontId="2" fillId="19" borderId="102" xfId="0" applyFont="1" applyFill="1" applyBorder="1" applyAlignment="1" applyProtection="1"/>
    <xf numFmtId="0" fontId="7" fillId="0" borderId="134" xfId="0" applyFont="1" applyBorder="1" applyAlignment="1" applyProtection="1">
      <alignment vertical="top" wrapText="1"/>
      <protection locked="0"/>
    </xf>
    <xf numFmtId="0" fontId="7" fillId="0" borderId="109" xfId="0" applyFont="1" applyBorder="1" applyAlignment="1" applyProtection="1">
      <alignment horizontal="left" vertical="top"/>
      <protection locked="0"/>
    </xf>
    <xf numFmtId="0" fontId="7" fillId="0" borderId="133" xfId="0" applyFont="1" applyBorder="1" applyAlignment="1" applyProtection="1">
      <alignment vertical="top" wrapText="1"/>
      <protection locked="0"/>
    </xf>
    <xf numFmtId="0" fontId="7" fillId="19" borderId="110" xfId="0" applyFont="1" applyFill="1" applyBorder="1" applyAlignment="1" applyProtection="1">
      <alignment vertical="center"/>
    </xf>
    <xf numFmtId="0" fontId="7" fillId="19" borderId="109" xfId="0" applyFont="1" applyFill="1" applyBorder="1" applyAlignment="1" applyProtection="1">
      <alignment horizontal="left" vertical="center"/>
    </xf>
    <xf numFmtId="0" fontId="22" fillId="0" borderId="135" xfId="0" applyFont="1" applyBorder="1" applyAlignment="1" applyProtection="1">
      <alignment vertical="center"/>
      <protection locked="0"/>
    </xf>
    <xf numFmtId="0" fontId="22" fillId="19" borderId="111" xfId="0" applyFont="1" applyFill="1" applyBorder="1" applyAlignment="1" applyProtection="1">
      <alignment vertical="center"/>
    </xf>
    <xf numFmtId="0" fontId="22" fillId="18" borderId="152" xfId="0" applyFont="1" applyFill="1" applyBorder="1" applyAlignment="1" applyProtection="1">
      <alignment horizontal="center" vertical="center"/>
      <protection locked="0"/>
    </xf>
    <xf numFmtId="0" fontId="22" fillId="18" borderId="199" xfId="0" applyFont="1" applyFill="1" applyBorder="1" applyAlignment="1" applyProtection="1">
      <alignment horizontal="center" vertical="center"/>
      <protection locked="0"/>
    </xf>
    <xf numFmtId="0" fontId="22" fillId="19" borderId="119" xfId="0" applyFont="1" applyFill="1" applyBorder="1" applyAlignment="1" applyProtection="1">
      <alignment horizontal="left" vertical="center"/>
    </xf>
    <xf numFmtId="0" fontId="22" fillId="0" borderId="106" xfId="0" applyFont="1" applyBorder="1" applyAlignment="1" applyProtection="1">
      <alignment horizontal="center" vertical="center"/>
      <protection locked="0"/>
    </xf>
    <xf numFmtId="0" fontId="22" fillId="0" borderId="132" xfId="0" applyFont="1" applyBorder="1" applyAlignment="1" applyProtection="1">
      <alignment horizontal="left" vertical="center"/>
      <protection locked="0"/>
    </xf>
    <xf numFmtId="0" fontId="22" fillId="0" borderId="108" xfId="0" applyFont="1" applyBorder="1" applyAlignment="1" applyProtection="1">
      <alignment horizontal="left" vertical="center"/>
      <protection locked="0"/>
    </xf>
    <xf numFmtId="0" fontId="22" fillId="19" borderId="149" xfId="0" applyFont="1" applyFill="1" applyBorder="1" applyAlignment="1" applyProtection="1">
      <alignment horizontal="left" vertical="center"/>
    </xf>
    <xf numFmtId="0" fontId="22" fillId="19" borderId="177" xfId="0" applyFont="1" applyFill="1" applyBorder="1" applyAlignment="1" applyProtection="1">
      <alignment vertical="center"/>
    </xf>
    <xf numFmtId="0" fontId="22" fillId="20" borderId="177" xfId="0" applyFont="1" applyFill="1" applyBorder="1" applyAlignment="1" applyProtection="1">
      <alignment vertical="center"/>
      <protection locked="0"/>
    </xf>
    <xf numFmtId="0" fontId="22" fillId="0" borderId="134" xfId="0" applyFont="1" applyBorder="1" applyAlignment="1" applyProtection="1">
      <alignment vertical="center"/>
      <protection locked="0"/>
    </xf>
    <xf numFmtId="0" fontId="22" fillId="18" borderId="110" xfId="0" applyFont="1" applyFill="1" applyBorder="1" applyAlignment="1" applyProtection="1">
      <alignment horizontal="center" vertical="center"/>
      <protection locked="0"/>
    </xf>
    <xf numFmtId="0" fontId="22" fillId="18" borderId="109" xfId="0" applyFont="1" applyFill="1" applyBorder="1" applyAlignment="1" applyProtection="1">
      <alignment horizontal="center" vertical="center"/>
      <protection locked="0"/>
    </xf>
    <xf numFmtId="0" fontId="115" fillId="24" borderId="17" xfId="0" applyFont="1" applyFill="1" applyBorder="1" applyAlignment="1">
      <alignment horizontal="left" vertical="center" wrapText="1"/>
    </xf>
    <xf numFmtId="0" fontId="115" fillId="24" borderId="42" xfId="0" applyFont="1" applyFill="1" applyBorder="1" applyAlignment="1">
      <alignment horizontal="left" vertical="center" wrapText="1"/>
    </xf>
    <xf numFmtId="0" fontId="115" fillId="24" borderId="18" xfId="0" applyFont="1" applyFill="1" applyBorder="1" applyAlignment="1">
      <alignment horizontal="left" vertical="center" wrapText="1"/>
    </xf>
    <xf numFmtId="0" fontId="167" fillId="24" borderId="0" xfId="0" applyFont="1" applyFill="1" applyAlignment="1" applyProtection="1">
      <alignment horizontal="right" vertical="center"/>
    </xf>
    <xf numFmtId="0" fontId="140" fillId="43" borderId="24" xfId="0" applyFont="1" applyFill="1" applyBorder="1" applyAlignment="1" applyProtection="1">
      <alignment horizontal="right" vertical="center"/>
    </xf>
    <xf numFmtId="0" fontId="229" fillId="24" borderId="0" xfId="0" applyFont="1" applyFill="1" applyAlignment="1">
      <alignment horizontal="right" vertical="center" indent="1"/>
    </xf>
    <xf numFmtId="0" fontId="229" fillId="24" borderId="24" xfId="0" applyFont="1" applyFill="1" applyBorder="1" applyAlignment="1">
      <alignment horizontal="right" vertical="center" indent="1"/>
    </xf>
    <xf numFmtId="0" fontId="115" fillId="24" borderId="17" xfId="0" applyFont="1" applyFill="1" applyBorder="1" applyAlignment="1">
      <alignment horizontal="left" vertical="center"/>
    </xf>
    <xf numFmtId="0" fontId="115" fillId="24" borderId="42" xfId="0" applyFont="1" applyFill="1" applyBorder="1" applyAlignment="1">
      <alignment horizontal="left" vertical="center"/>
    </xf>
    <xf numFmtId="0" fontId="115" fillId="24" borderId="18" xfId="0" applyFont="1" applyFill="1" applyBorder="1" applyAlignment="1">
      <alignment horizontal="left" vertical="center"/>
    </xf>
    <xf numFmtId="0" fontId="7" fillId="20" borderId="109" xfId="0" applyFont="1" applyFill="1" applyBorder="1" applyAlignment="1" applyProtection="1">
      <alignment horizontal="center" vertical="center"/>
    </xf>
    <xf numFmtId="0" fontId="7" fillId="0" borderId="109" xfId="0" applyFont="1" applyBorder="1" applyAlignment="1" applyProtection="1">
      <alignment horizontal="center" vertical="center"/>
      <protection locked="0"/>
    </xf>
    <xf numFmtId="0" fontId="7" fillId="18" borderId="0" xfId="0" applyFont="1" applyFill="1" applyBorder="1" applyAlignment="1" applyProtection="1">
      <alignment horizontal="center"/>
      <protection locked="0"/>
    </xf>
    <xf numFmtId="0" fontId="7" fillId="19" borderId="101" xfId="0" applyFont="1" applyFill="1" applyBorder="1" applyAlignment="1" applyProtection="1">
      <alignment horizontal="center" shrinkToFit="1"/>
    </xf>
    <xf numFmtId="0" fontId="7" fillId="19" borderId="0" xfId="0" applyFont="1" applyFill="1" applyBorder="1" applyAlignment="1" applyProtection="1">
      <alignment horizontal="left"/>
    </xf>
    <xf numFmtId="0" fontId="22" fillId="18" borderId="129" xfId="0" applyFont="1" applyFill="1" applyBorder="1" applyAlignment="1" applyProtection="1">
      <alignment vertical="center"/>
      <protection locked="0"/>
    </xf>
    <xf numFmtId="0" fontId="22" fillId="20" borderId="116" xfId="0" applyFont="1" applyFill="1" applyBorder="1" applyAlignment="1" applyProtection="1">
      <alignment horizontal="center"/>
      <protection locked="0"/>
    </xf>
    <xf numFmtId="0" fontId="22" fillId="0" borderId="138" xfId="0" applyFont="1" applyFill="1" applyBorder="1" applyAlignment="1" applyProtection="1">
      <alignment horizontal="center" vertical="top" wrapText="1"/>
      <protection locked="0"/>
    </xf>
    <xf numFmtId="0" fontId="2" fillId="18" borderId="0" xfId="0" applyFont="1" applyFill="1" applyBorder="1" applyAlignment="1" applyProtection="1">
      <alignment vertical="center"/>
      <protection locked="0"/>
    </xf>
    <xf numFmtId="0" fontId="2" fillId="0" borderId="0" xfId="0" applyFont="1" applyFill="1" applyBorder="1" applyAlignment="1" applyProtection="1">
      <alignment horizontal="center"/>
      <protection locked="0"/>
    </xf>
    <xf numFmtId="0" fontId="22" fillId="19" borderId="103" xfId="0" applyFont="1" applyFill="1" applyBorder="1" applyAlignment="1" applyProtection="1">
      <alignment vertical="center"/>
    </xf>
    <xf numFmtId="31" fontId="22" fillId="19" borderId="116" xfId="0" applyNumberFormat="1" applyFont="1" applyFill="1" applyBorder="1" applyAlignment="1" applyProtection="1">
      <alignment horizontal="center" vertical="center"/>
    </xf>
    <xf numFmtId="31" fontId="22" fillId="0" borderId="107" xfId="0" applyNumberFormat="1" applyFont="1" applyFill="1" applyBorder="1" applyAlignment="1" applyProtection="1">
      <alignment vertical="center"/>
    </xf>
    <xf numFmtId="0" fontId="22" fillId="19" borderId="108" xfId="0" applyFont="1" applyFill="1" applyBorder="1" applyAlignment="1" applyProtection="1">
      <alignment horizontal="center" vertical="center"/>
    </xf>
    <xf numFmtId="0" fontId="22" fillId="18" borderId="197" xfId="0" applyFont="1" applyFill="1" applyBorder="1" applyAlignment="1" applyProtection="1">
      <alignment horizontal="center" vertical="center" wrapText="1"/>
      <protection locked="0"/>
    </xf>
    <xf numFmtId="0" fontId="22" fillId="0" borderId="131" xfId="0" applyFont="1" applyFill="1" applyBorder="1" applyAlignment="1" applyProtection="1">
      <alignment horizontal="center" vertical="top"/>
      <protection locked="0"/>
    </xf>
    <xf numFmtId="10" fontId="0" fillId="4" borderId="17" xfId="1" applyNumberFormat="1" applyFont="1" applyFill="1" applyBorder="1">
      <alignment vertical="center"/>
    </xf>
    <xf numFmtId="10" fontId="0" fillId="4" borderId="74" xfId="1" applyNumberFormat="1" applyFont="1" applyFill="1" applyBorder="1">
      <alignment vertical="center"/>
    </xf>
    <xf numFmtId="10" fontId="0" fillId="4" borderId="46" xfId="1" applyNumberFormat="1" applyFont="1" applyFill="1" applyBorder="1">
      <alignment vertical="center"/>
    </xf>
    <xf numFmtId="10" fontId="0" fillId="4" borderId="93" xfId="1" applyNumberFormat="1" applyFont="1" applyFill="1" applyBorder="1">
      <alignment vertical="center"/>
    </xf>
    <xf numFmtId="0" fontId="0" fillId="0" borderId="17" xfId="0" applyBorder="1" applyAlignment="1" applyProtection="1">
      <alignment vertical="center" wrapText="1"/>
      <protection locked="0"/>
    </xf>
    <xf numFmtId="0" fontId="0" fillId="0" borderId="42" xfId="0" applyBorder="1" applyAlignment="1" applyProtection="1">
      <alignment vertical="center" wrapText="1"/>
      <protection locked="0"/>
    </xf>
    <xf numFmtId="0" fontId="0" fillId="0" borderId="74" xfId="0" applyBorder="1" applyAlignment="1" applyProtection="1">
      <alignment vertical="center" wrapText="1"/>
      <protection locked="0"/>
    </xf>
    <xf numFmtId="0" fontId="0" fillId="4" borderId="84" xfId="0" applyFill="1" applyBorder="1">
      <alignment vertical="center"/>
    </xf>
    <xf numFmtId="0" fontId="0" fillId="4" borderId="81" xfId="0" applyFill="1" applyBorder="1">
      <alignment vertical="center"/>
    </xf>
    <xf numFmtId="0" fontId="147" fillId="0" borderId="4" xfId="0" applyFont="1" applyBorder="1" applyAlignment="1" applyProtection="1">
      <alignment horizontal="center" vertical="center" wrapText="1"/>
      <protection locked="0"/>
    </xf>
    <xf numFmtId="0" fontId="147" fillId="0" borderId="26" xfId="0" applyFont="1" applyBorder="1" applyAlignment="1" applyProtection="1">
      <alignment horizontal="center" vertical="center" wrapText="1"/>
      <protection locked="0"/>
    </xf>
    <xf numFmtId="0" fontId="147" fillId="0" borderId="38" xfId="0" applyFont="1" applyBorder="1" applyAlignment="1" applyProtection="1">
      <alignment horizontal="center" vertical="center" wrapText="1"/>
      <protection locked="0"/>
    </xf>
    <xf numFmtId="0" fontId="147" fillId="0" borderId="2" xfId="0" applyFont="1" applyBorder="1" applyAlignment="1" applyProtection="1">
      <alignment horizontal="center" vertical="center" wrapText="1"/>
      <protection locked="0"/>
    </xf>
    <xf numFmtId="0" fontId="147" fillId="0" borderId="0" xfId="0" applyFont="1" applyBorder="1" applyAlignment="1" applyProtection="1">
      <alignment horizontal="center" vertical="center" wrapText="1"/>
      <protection locked="0"/>
    </xf>
    <xf numFmtId="0" fontId="147" fillId="0" borderId="41" xfId="0" applyFont="1" applyBorder="1" applyAlignment="1" applyProtection="1">
      <alignment horizontal="center" vertical="center" wrapText="1"/>
      <protection locked="0"/>
    </xf>
    <xf numFmtId="0" fontId="147" fillId="0" borderId="23" xfId="0" applyFont="1" applyBorder="1" applyAlignment="1" applyProtection="1">
      <alignment horizontal="center" vertical="center" wrapText="1"/>
      <protection locked="0"/>
    </xf>
    <xf numFmtId="0" fontId="147" fillId="0" borderId="24" xfId="0" applyFont="1" applyBorder="1" applyAlignment="1" applyProtection="1">
      <alignment horizontal="center" vertical="center" wrapText="1"/>
      <protection locked="0"/>
    </xf>
    <xf numFmtId="0" fontId="147" fillId="0" borderId="36" xfId="0" applyFont="1" applyBorder="1" applyAlignment="1" applyProtection="1">
      <alignment horizontal="center" vertical="center" wrapText="1"/>
      <protection locked="0"/>
    </xf>
    <xf numFmtId="0" fontId="0" fillId="16" borderId="17" xfId="0" applyFill="1" applyBorder="1" applyAlignment="1" applyProtection="1">
      <alignment horizontal="center" vertical="center"/>
      <protection locked="0"/>
    </xf>
    <xf numFmtId="0" fontId="0" fillId="16" borderId="50" xfId="0" applyFill="1" applyBorder="1" applyAlignment="1" applyProtection="1">
      <alignment horizontal="center" vertical="center"/>
      <protection locked="0"/>
    </xf>
    <xf numFmtId="181" fontId="0" fillId="0" borderId="17" xfId="0" applyNumberFormat="1" applyBorder="1" applyAlignment="1" applyProtection="1">
      <alignment horizontal="center" vertical="center"/>
      <protection locked="0"/>
    </xf>
    <xf numFmtId="181" fontId="0" fillId="0" borderId="50" xfId="0" applyNumberFormat="1" applyBorder="1" applyAlignment="1" applyProtection="1">
      <alignment horizontal="center" vertical="center"/>
      <protection locked="0"/>
    </xf>
    <xf numFmtId="0" fontId="0" fillId="16" borderId="46" xfId="0" applyFill="1" applyBorder="1" applyAlignment="1" applyProtection="1">
      <alignment horizontal="center" vertical="center"/>
      <protection locked="0"/>
    </xf>
    <xf numFmtId="0" fontId="0" fillId="16" borderId="90" xfId="0" applyFill="1" applyBorder="1" applyAlignment="1" applyProtection="1">
      <alignment horizontal="center" vertical="center"/>
      <protection locked="0"/>
    </xf>
    <xf numFmtId="43" fontId="0" fillId="0" borderId="17" xfId="3" applyFont="1" applyFill="1" applyBorder="1">
      <alignment vertical="center"/>
    </xf>
    <xf numFmtId="43" fontId="0" fillId="0" borderId="18" xfId="3" applyFont="1" applyFill="1" applyBorder="1">
      <alignment vertical="center"/>
    </xf>
    <xf numFmtId="0" fontId="0" fillId="4" borderId="88" xfId="0" applyFill="1" applyBorder="1" applyAlignment="1">
      <alignment horizontal="center" vertical="center"/>
    </xf>
    <xf numFmtId="0" fontId="0" fillId="4" borderId="25" xfId="0" applyFill="1" applyBorder="1" applyAlignment="1">
      <alignment horizontal="center" vertical="center"/>
    </xf>
    <xf numFmtId="0" fontId="0" fillId="4" borderId="83" xfId="0" applyFill="1" applyBorder="1">
      <alignment vertical="center"/>
    </xf>
    <xf numFmtId="0" fontId="0" fillId="4" borderId="18" xfId="0" applyFill="1" applyBorder="1">
      <alignment vertical="center"/>
    </xf>
    <xf numFmtId="0" fontId="0" fillId="4" borderId="83" xfId="0" applyFill="1" applyBorder="1" applyAlignment="1">
      <alignment vertical="center" wrapText="1"/>
    </xf>
    <xf numFmtId="0" fontId="0" fillId="4" borderId="18" xfId="0" applyFill="1" applyBorder="1" applyAlignment="1">
      <alignment vertical="center" wrapText="1"/>
    </xf>
    <xf numFmtId="0" fontId="0" fillId="0" borderId="75" xfId="0" applyBorder="1" applyAlignment="1" applyProtection="1">
      <alignment vertical="center" wrapText="1"/>
      <protection locked="0"/>
    </xf>
    <xf numFmtId="0" fontId="0" fillId="0" borderId="76" xfId="0" applyBorder="1" applyAlignment="1" applyProtection="1">
      <alignment vertical="center" wrapText="1"/>
      <protection locked="0"/>
    </xf>
    <xf numFmtId="0" fontId="0" fillId="0" borderId="77" xfId="0" applyBorder="1" applyAlignment="1" applyProtection="1">
      <alignment vertical="center" wrapText="1"/>
      <protection locked="0"/>
    </xf>
    <xf numFmtId="0" fontId="0" fillId="4" borderId="83" xfId="0" applyFill="1" applyBorder="1" applyAlignment="1">
      <alignment horizontal="center" vertical="center"/>
    </xf>
    <xf numFmtId="0" fontId="0" fillId="4" borderId="18" xfId="0" applyFill="1" applyBorder="1" applyAlignment="1">
      <alignment horizontal="center" vertical="center"/>
    </xf>
    <xf numFmtId="0" fontId="0" fillId="16" borderId="42" xfId="0" applyFill="1" applyBorder="1" applyAlignment="1" applyProtection="1">
      <alignment horizontal="center" vertical="center"/>
      <protection locked="0"/>
    </xf>
    <xf numFmtId="0" fontId="0" fillId="16" borderId="74" xfId="0" applyFill="1" applyBorder="1" applyAlignment="1" applyProtection="1">
      <alignment horizontal="center" vertical="center"/>
      <protection locked="0"/>
    </xf>
    <xf numFmtId="0" fontId="0" fillId="15" borderId="3" xfId="0" applyFill="1" applyBorder="1" applyAlignment="1" applyProtection="1">
      <alignment horizontal="center" vertical="center"/>
      <protection locked="0"/>
    </xf>
    <xf numFmtId="0" fontId="0" fillId="15" borderId="70" xfId="0" applyFill="1" applyBorder="1" applyAlignment="1" applyProtection="1">
      <alignment horizontal="center" vertical="center"/>
      <protection locked="0"/>
    </xf>
    <xf numFmtId="0" fontId="0" fillId="16" borderId="3" xfId="0" applyFill="1" applyBorder="1" applyAlignment="1" applyProtection="1">
      <alignment horizontal="center" vertical="center"/>
      <protection locked="0"/>
    </xf>
    <xf numFmtId="0" fontId="0" fillId="16" borderId="70" xfId="0" applyFill="1" applyBorder="1" applyAlignment="1" applyProtection="1">
      <alignment horizontal="center" vertical="center"/>
      <protection locked="0"/>
    </xf>
    <xf numFmtId="180" fontId="0" fillId="4" borderId="3" xfId="0" applyNumberFormat="1" applyFill="1" applyBorder="1" applyAlignment="1" applyProtection="1">
      <alignment horizontal="center" vertical="center"/>
      <protection locked="0"/>
    </xf>
    <xf numFmtId="180" fontId="0" fillId="4" borderId="70" xfId="0" applyNumberFormat="1" applyFill="1" applyBorder="1" applyAlignment="1" applyProtection="1">
      <alignment horizontal="center" vertical="center"/>
      <protection locked="0"/>
    </xf>
    <xf numFmtId="0" fontId="0" fillId="12" borderId="83" xfId="0" applyFill="1" applyBorder="1">
      <alignment vertical="center"/>
    </xf>
    <xf numFmtId="0" fontId="0" fillId="12" borderId="18" xfId="0" applyFill="1" applyBorder="1">
      <alignment vertical="center"/>
    </xf>
    <xf numFmtId="0" fontId="0" fillId="4" borderId="89" xfId="0" applyFill="1" applyBorder="1">
      <alignment vertical="center"/>
    </xf>
    <xf numFmtId="0" fontId="0" fillId="4" borderId="47" xfId="0" applyFill="1" applyBorder="1">
      <alignment vertical="center"/>
    </xf>
    <xf numFmtId="0" fontId="0" fillId="4" borderId="89" xfId="0" applyFill="1" applyBorder="1" applyAlignment="1">
      <alignment horizontal="center" vertical="center"/>
    </xf>
    <xf numFmtId="0" fontId="0" fillId="4" borderId="47" xfId="0" applyFill="1" applyBorder="1" applyAlignment="1">
      <alignment horizontal="center" vertical="center"/>
    </xf>
    <xf numFmtId="43" fontId="0" fillId="4" borderId="46" xfId="3" applyFont="1" applyFill="1" applyBorder="1">
      <alignment vertical="center"/>
    </xf>
    <xf numFmtId="43" fontId="0" fillId="4" borderId="47" xfId="3" applyFont="1" applyFill="1" applyBorder="1">
      <alignment vertical="center"/>
    </xf>
    <xf numFmtId="0" fontId="0" fillId="4" borderId="23" xfId="0" applyFill="1" applyBorder="1" applyAlignment="1">
      <alignment horizontal="center" vertical="center"/>
    </xf>
    <xf numFmtId="0" fontId="0" fillId="4" borderId="24" xfId="0" applyFill="1" applyBorder="1" applyAlignment="1">
      <alignment horizontal="center" vertical="center"/>
    </xf>
    <xf numFmtId="0" fontId="0" fillId="4" borderId="92" xfId="0" applyFill="1" applyBorder="1" applyAlignment="1">
      <alignment horizontal="center" vertical="center"/>
    </xf>
    <xf numFmtId="0" fontId="139" fillId="0" borderId="0" xfId="0" applyFont="1" applyBorder="1" applyAlignment="1">
      <alignment horizontal="right" vertical="center" indent="3"/>
    </xf>
    <xf numFmtId="0" fontId="141" fillId="0" borderId="0" xfId="0" applyFont="1" applyAlignment="1">
      <alignment horizontal="right" vertical="center"/>
    </xf>
    <xf numFmtId="0" fontId="140" fillId="0" borderId="0" xfId="0" applyFont="1" applyBorder="1" applyAlignment="1">
      <alignment horizontal="right" vertical="center"/>
    </xf>
    <xf numFmtId="0" fontId="0" fillId="0" borderId="17" xfId="0" applyBorder="1" applyAlignment="1" applyProtection="1">
      <alignment horizontal="center" vertical="center"/>
      <protection locked="0"/>
    </xf>
    <xf numFmtId="0" fontId="0" fillId="0" borderId="42" xfId="0" applyBorder="1" applyAlignment="1" applyProtection="1">
      <alignment horizontal="center" vertical="center"/>
      <protection locked="0"/>
    </xf>
    <xf numFmtId="0" fontId="0" fillId="0" borderId="74" xfId="0" applyBorder="1" applyAlignment="1" applyProtection="1">
      <alignment horizontal="center" vertical="center"/>
      <protection locked="0"/>
    </xf>
    <xf numFmtId="0" fontId="0" fillId="4" borderId="82" xfId="0" applyFill="1" applyBorder="1" applyAlignment="1">
      <alignment horizontal="center" vertical="center"/>
    </xf>
    <xf numFmtId="0" fontId="0" fillId="4" borderId="80" xfId="0" applyFill="1" applyBorder="1" applyAlignment="1">
      <alignment horizontal="center" vertical="center"/>
    </xf>
    <xf numFmtId="0" fontId="0" fillId="4" borderId="20" xfId="0" applyFill="1" applyBorder="1" applyAlignment="1">
      <alignment horizontal="center" vertical="center"/>
    </xf>
    <xf numFmtId="0" fontId="0" fillId="16" borderId="9" xfId="0" applyFill="1" applyBorder="1" applyAlignment="1" applyProtection="1">
      <alignment horizontal="center" vertical="center"/>
      <protection locked="0"/>
    </xf>
    <xf numFmtId="0" fontId="0" fillId="4" borderId="17" xfId="0" applyFill="1" applyBorder="1" applyAlignment="1" applyProtection="1">
      <alignment horizontal="center" vertical="center"/>
      <protection locked="0"/>
    </xf>
    <xf numFmtId="0" fontId="0" fillId="4" borderId="42" xfId="0" applyFill="1" applyBorder="1" applyAlignment="1" applyProtection="1">
      <alignment horizontal="center" vertical="center"/>
      <protection locked="0"/>
    </xf>
    <xf numFmtId="0" fontId="0" fillId="4" borderId="74" xfId="0" applyFill="1"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0" borderId="17" xfId="0" applyFill="1" applyBorder="1" applyAlignment="1" applyProtection="1">
      <alignment horizontal="center" vertical="center"/>
      <protection locked="0"/>
    </xf>
    <xf numFmtId="0" fontId="0" fillId="0" borderId="42" xfId="0" applyFill="1" applyBorder="1" applyAlignment="1" applyProtection="1">
      <alignment horizontal="center" vertical="center"/>
      <protection locked="0"/>
    </xf>
    <xf numFmtId="0" fontId="0" fillId="0" borderId="74" xfId="0" applyFill="1" applyBorder="1" applyAlignment="1" applyProtection="1">
      <alignment horizontal="center" vertical="center"/>
      <protection locked="0"/>
    </xf>
    <xf numFmtId="0" fontId="0" fillId="0" borderId="17" xfId="0" applyBorder="1">
      <alignment vertical="center"/>
    </xf>
    <xf numFmtId="0" fontId="0" fillId="0" borderId="42" xfId="0" applyBorder="1">
      <alignment vertical="center"/>
    </xf>
    <xf numFmtId="0" fontId="0" fillId="0" borderId="74" xfId="0" applyBorder="1">
      <alignment vertical="center"/>
    </xf>
    <xf numFmtId="0" fontId="0" fillId="0" borderId="46" xfId="0" applyBorder="1">
      <alignment vertical="center"/>
    </xf>
    <xf numFmtId="0" fontId="0" fillId="0" borderId="87" xfId="0" applyBorder="1">
      <alignment vertical="center"/>
    </xf>
    <xf numFmtId="0" fontId="0" fillId="0" borderId="93" xfId="0" applyBorder="1">
      <alignment vertical="center"/>
    </xf>
    <xf numFmtId="0" fontId="0" fillId="4" borderId="79" xfId="0" applyFill="1" applyBorder="1" applyAlignment="1">
      <alignment horizontal="center" vertical="center"/>
    </xf>
    <xf numFmtId="0" fontId="0" fillId="4" borderId="78" xfId="0" applyFill="1" applyBorder="1" applyAlignment="1">
      <alignment horizontal="center" vertical="center"/>
    </xf>
    <xf numFmtId="0" fontId="0" fillId="4" borderId="85" xfId="0" applyFill="1" applyBorder="1" applyAlignment="1">
      <alignment horizontal="center" vertical="center"/>
    </xf>
    <xf numFmtId="10" fontId="0" fillId="4" borderId="3" xfId="1" applyNumberFormat="1" applyFont="1" applyFill="1" applyBorder="1">
      <alignment vertical="center"/>
    </xf>
    <xf numFmtId="10" fontId="0" fillId="4" borderId="70" xfId="1" applyNumberFormat="1" applyFont="1" applyFill="1" applyBorder="1">
      <alignment vertical="center"/>
    </xf>
    <xf numFmtId="0" fontId="0" fillId="4" borderId="17" xfId="0" applyFill="1" applyBorder="1" applyAlignment="1">
      <alignment horizontal="center" vertical="center"/>
    </xf>
    <xf numFmtId="0" fontId="0" fillId="4" borderId="74" xfId="0" applyFill="1" applyBorder="1" applyAlignment="1">
      <alignment horizontal="center" vertical="center"/>
    </xf>
    <xf numFmtId="0" fontId="0" fillId="4" borderId="86" xfId="0" applyFill="1" applyBorder="1" applyAlignment="1">
      <alignment horizontal="center" vertical="center"/>
    </xf>
    <xf numFmtId="0" fontId="0" fillId="12" borderId="67" xfId="0" applyFill="1" applyBorder="1" applyAlignment="1" applyProtection="1">
      <alignment horizontal="center" vertical="center"/>
      <protection locked="0"/>
    </xf>
    <xf numFmtId="0" fontId="0" fillId="12" borderId="91" xfId="0" applyFill="1" applyBorder="1" applyAlignment="1" applyProtection="1">
      <alignment horizontal="center" vertical="center"/>
      <protection locked="0"/>
    </xf>
    <xf numFmtId="0" fontId="0" fillId="16" borderId="3" xfId="0" applyFill="1" applyBorder="1" applyAlignment="1" applyProtection="1">
      <alignment horizontal="center" vertical="center" shrinkToFit="1"/>
      <protection locked="0"/>
    </xf>
    <xf numFmtId="0" fontId="0" fillId="16" borderId="9" xfId="0" applyFill="1" applyBorder="1" applyAlignment="1" applyProtection="1">
      <alignment horizontal="center" vertical="center" shrinkToFit="1"/>
      <protection locked="0"/>
    </xf>
    <xf numFmtId="10" fontId="0" fillId="0" borderId="3" xfId="1" applyNumberFormat="1" applyFont="1" applyBorder="1" applyAlignment="1" applyProtection="1">
      <alignment horizontal="center" vertical="center"/>
      <protection locked="0"/>
    </xf>
    <xf numFmtId="10" fontId="0" fillId="0" borderId="9" xfId="1" applyNumberFormat="1" applyFont="1" applyBorder="1" applyAlignment="1" applyProtection="1">
      <alignment horizontal="center" vertical="center"/>
      <protection locked="0"/>
    </xf>
    <xf numFmtId="0" fontId="0" fillId="4" borderId="42" xfId="0" applyFill="1" applyBorder="1" applyAlignment="1">
      <alignment horizontal="center" vertical="center"/>
    </xf>
    <xf numFmtId="0" fontId="0" fillId="23" borderId="17" xfId="0" applyFill="1" applyBorder="1" applyAlignment="1" applyProtection="1">
      <alignment horizontal="center" vertical="center"/>
      <protection locked="0"/>
    </xf>
    <xf numFmtId="0" fontId="0" fillId="23" borderId="42" xfId="0" applyFill="1" applyBorder="1" applyAlignment="1" applyProtection="1">
      <alignment horizontal="center" vertical="center"/>
      <protection locked="0"/>
    </xf>
    <xf numFmtId="0" fontId="0" fillId="23" borderId="74" xfId="0" applyFill="1" applyBorder="1" applyAlignment="1" applyProtection="1">
      <alignment horizontal="center" vertical="center"/>
      <protection locked="0"/>
    </xf>
    <xf numFmtId="0" fontId="0" fillId="4" borderId="3" xfId="0" applyFill="1" applyBorder="1" applyAlignment="1">
      <alignment horizontal="center" vertical="center"/>
    </xf>
    <xf numFmtId="0" fontId="0" fillId="4" borderId="70" xfId="0" applyFill="1" applyBorder="1" applyAlignment="1">
      <alignment horizontal="center" vertical="center"/>
    </xf>
    <xf numFmtId="0" fontId="143" fillId="4" borderId="3" xfId="0" applyFont="1" applyFill="1" applyBorder="1" applyAlignment="1" applyProtection="1">
      <alignment horizontal="center" vertical="center"/>
      <protection hidden="1"/>
    </xf>
    <xf numFmtId="43" fontId="148" fillId="4" borderId="3" xfId="0" applyNumberFormat="1" applyFont="1" applyFill="1" applyBorder="1" applyAlignment="1" applyProtection="1">
      <alignment horizontal="center" vertical="center" shrinkToFit="1"/>
      <protection hidden="1"/>
    </xf>
    <xf numFmtId="0" fontId="148" fillId="4" borderId="3" xfId="0" applyFont="1" applyFill="1" applyBorder="1" applyAlignment="1" applyProtection="1">
      <alignment horizontal="center" vertical="center" shrinkToFit="1"/>
      <protection hidden="1"/>
    </xf>
    <xf numFmtId="0" fontId="143" fillId="0" borderId="65" xfId="0" applyFont="1" applyFill="1" applyBorder="1" applyAlignment="1" applyProtection="1">
      <alignment horizontal="left" vertical="center"/>
      <protection hidden="1"/>
    </xf>
    <xf numFmtId="0" fontId="141" fillId="0" borderId="0" xfId="0" applyFont="1" applyAlignment="1" applyProtection="1">
      <alignment horizontal="right" vertical="center"/>
      <protection hidden="1"/>
    </xf>
    <xf numFmtId="4" fontId="140" fillId="0" borderId="0" xfId="0" applyNumberFormat="1" applyFont="1" applyFill="1" applyAlignment="1" applyProtection="1">
      <alignment horizontal="right" vertical="center"/>
      <protection hidden="1"/>
    </xf>
    <xf numFmtId="4" fontId="139" fillId="0" borderId="0" xfId="0" applyNumberFormat="1" applyFont="1" applyFill="1" applyAlignment="1" applyProtection="1">
      <alignment horizontal="right" vertical="center" indent="4"/>
      <protection hidden="1"/>
    </xf>
    <xf numFmtId="0" fontId="135" fillId="4" borderId="100" xfId="0" applyFont="1" applyFill="1" applyBorder="1" applyAlignment="1" applyProtection="1">
      <alignment horizontal="left" vertical="center" wrapText="1" indent="1"/>
      <protection hidden="1"/>
    </xf>
    <xf numFmtId="0" fontId="140" fillId="0" borderId="0" xfId="0" applyFont="1" applyFill="1" applyAlignment="1" applyProtection="1">
      <alignment horizontal="right" vertical="center"/>
      <protection hidden="1"/>
    </xf>
    <xf numFmtId="0" fontId="139" fillId="0" borderId="0" xfId="0" applyFont="1" applyFill="1" applyAlignment="1" applyProtection="1">
      <alignment horizontal="right" vertical="center" indent="2"/>
      <protection hidden="1"/>
    </xf>
    <xf numFmtId="43" fontId="135" fillId="0" borderId="3" xfId="3" applyFont="1" applyFill="1" applyBorder="1" applyAlignment="1" applyProtection="1">
      <alignment vertical="center"/>
      <protection locked="0"/>
    </xf>
    <xf numFmtId="43" fontId="135" fillId="0" borderId="70" xfId="3" applyFont="1" applyFill="1" applyBorder="1" applyAlignment="1" applyProtection="1">
      <alignment vertical="center"/>
      <protection locked="0"/>
    </xf>
    <xf numFmtId="43" fontId="135" fillId="0" borderId="3" xfId="3" applyFont="1" applyFill="1" applyBorder="1" applyAlignment="1" applyProtection="1">
      <alignment horizontal="center" vertical="center"/>
      <protection locked="0"/>
    </xf>
    <xf numFmtId="43" fontId="135" fillId="0" borderId="70" xfId="3" applyFont="1" applyFill="1" applyBorder="1" applyAlignment="1" applyProtection="1">
      <alignment horizontal="center" vertical="center"/>
      <protection locked="0"/>
    </xf>
    <xf numFmtId="43" fontId="144" fillId="4" borderId="3" xfId="3" applyFont="1" applyFill="1" applyBorder="1" applyAlignment="1" applyProtection="1">
      <alignment horizontal="center" vertical="center"/>
      <protection hidden="1"/>
    </xf>
    <xf numFmtId="43" fontId="144" fillId="4" borderId="70" xfId="3" applyFont="1" applyFill="1" applyBorder="1" applyAlignment="1" applyProtection="1">
      <alignment horizontal="center" vertical="center"/>
      <protection hidden="1"/>
    </xf>
    <xf numFmtId="43" fontId="135" fillId="0" borderId="3" xfId="3" applyFont="1" applyFill="1" applyBorder="1" applyAlignment="1" applyProtection="1">
      <alignment horizontal="right" vertical="center"/>
      <protection locked="0"/>
    </xf>
    <xf numFmtId="43" fontId="135" fillId="0" borderId="70" xfId="3" applyFont="1" applyFill="1" applyBorder="1" applyAlignment="1" applyProtection="1">
      <alignment horizontal="right" vertical="center"/>
      <protection locked="0"/>
    </xf>
    <xf numFmtId="43" fontId="144" fillId="4" borderId="3" xfId="3" applyFont="1" applyFill="1" applyBorder="1" applyAlignment="1" applyProtection="1">
      <alignment horizontal="right" vertical="center"/>
      <protection hidden="1"/>
    </xf>
    <xf numFmtId="43" fontId="144" fillId="4" borderId="70" xfId="3" applyFont="1" applyFill="1" applyBorder="1" applyAlignment="1" applyProtection="1">
      <alignment horizontal="right" vertical="center"/>
      <protection hidden="1"/>
    </xf>
    <xf numFmtId="43" fontId="144" fillId="4" borderId="72" xfId="3" applyFont="1" applyFill="1" applyBorder="1" applyAlignment="1" applyProtection="1">
      <alignment vertical="center"/>
      <protection hidden="1"/>
    </xf>
    <xf numFmtId="43" fontId="144" fillId="4" borderId="73" xfId="3" applyFont="1" applyFill="1" applyBorder="1" applyAlignment="1" applyProtection="1">
      <alignment vertical="center"/>
      <protection hidden="1"/>
    </xf>
    <xf numFmtId="43" fontId="145" fillId="4" borderId="67" xfId="3" applyFont="1" applyFill="1" applyBorder="1" applyAlignment="1" applyProtection="1">
      <alignment horizontal="center" vertical="center"/>
      <protection hidden="1"/>
    </xf>
    <xf numFmtId="43" fontId="145" fillId="4" borderId="68" xfId="3" applyFont="1" applyFill="1" applyBorder="1" applyAlignment="1" applyProtection="1">
      <alignment horizontal="center" vertical="center"/>
      <protection hidden="1"/>
    </xf>
    <xf numFmtId="43" fontId="135" fillId="4" borderId="3" xfId="3" applyFont="1" applyFill="1" applyBorder="1" applyAlignment="1" applyProtection="1">
      <alignment horizontal="center" vertical="center"/>
      <protection hidden="1"/>
    </xf>
    <xf numFmtId="43" fontId="135" fillId="4" borderId="70" xfId="3" applyFont="1" applyFill="1" applyBorder="1" applyAlignment="1" applyProtection="1">
      <alignment horizontal="center" vertical="center"/>
      <protection hidden="1"/>
    </xf>
    <xf numFmtId="31" fontId="143" fillId="0" borderId="0" xfId="0" applyNumberFormat="1" applyFont="1" applyFill="1" applyBorder="1" applyAlignment="1" applyProtection="1">
      <alignment horizontal="center" vertical="center"/>
      <protection hidden="1"/>
    </xf>
    <xf numFmtId="0" fontId="139" fillId="0" borderId="0" xfId="0" applyFont="1" applyAlignment="1">
      <alignment horizontal="right" vertical="center" indent="10"/>
    </xf>
    <xf numFmtId="0" fontId="163" fillId="0" borderId="0" xfId="0" applyFont="1" applyAlignment="1">
      <alignment horizontal="right" vertical="center"/>
    </xf>
    <xf numFmtId="0" fontId="0" fillId="0" borderId="0" xfId="0" applyBorder="1" applyAlignment="1" applyProtection="1">
      <protection locked="0"/>
    </xf>
    <xf numFmtId="0" fontId="7" fillId="0" borderId="0" xfId="0" applyFont="1" applyBorder="1" applyAlignment="1" applyProtection="1">
      <protection locked="0"/>
    </xf>
    <xf numFmtId="0" fontId="7" fillId="0" borderId="0" xfId="0" applyFont="1" applyBorder="1" applyAlignment="1" applyProtection="1">
      <alignment wrapText="1"/>
      <protection locked="0"/>
    </xf>
    <xf numFmtId="0" fontId="2" fillId="21" borderId="201" xfId="0" applyFont="1" applyFill="1" applyBorder="1" applyAlignment="1" applyProtection="1">
      <alignment vertical="center"/>
    </xf>
    <xf numFmtId="0" fontId="2" fillId="0" borderId="185" xfId="0" applyFont="1" applyFill="1" applyBorder="1" applyAlignment="1" applyProtection="1">
      <alignment vertical="center"/>
      <protection locked="0"/>
    </xf>
    <xf numFmtId="0" fontId="2" fillId="21" borderId="145" xfId="0" applyFont="1" applyFill="1" applyBorder="1" applyAlignment="1" applyProtection="1">
      <alignment vertical="center"/>
    </xf>
    <xf numFmtId="0" fontId="2" fillId="21" borderId="184" xfId="0" applyFont="1" applyFill="1" applyBorder="1" applyAlignment="1" applyProtection="1">
      <alignment vertical="center"/>
    </xf>
    <xf numFmtId="0" fontId="7" fillId="0" borderId="125" xfId="0" applyFont="1" applyFill="1" applyBorder="1" applyAlignment="1" applyProtection="1">
      <alignment vertical="center"/>
      <protection locked="0"/>
    </xf>
    <xf numFmtId="4" fontId="140" fillId="24" borderId="101" xfId="0" applyNumberFormat="1" applyFont="1" applyFill="1" applyBorder="1" applyAlignment="1" applyProtection="1">
      <alignment horizontal="right" vertical="center"/>
      <protection hidden="1"/>
    </xf>
    <xf numFmtId="0" fontId="169" fillId="43" borderId="0" xfId="0" applyFont="1" applyFill="1" applyBorder="1" applyAlignment="1" applyProtection="1">
      <alignment horizontal="right" vertical="center" indent="4"/>
      <protection locked="0"/>
    </xf>
    <xf numFmtId="0" fontId="169" fillId="43" borderId="101" xfId="0" applyFont="1" applyFill="1" applyBorder="1" applyAlignment="1" applyProtection="1">
      <alignment horizontal="right" vertical="center" indent="4"/>
      <protection locked="0"/>
    </xf>
    <xf numFmtId="0" fontId="2" fillId="18" borderId="113" xfId="0" applyFont="1" applyFill="1" applyBorder="1" applyAlignment="1" applyProtection="1">
      <alignment horizontal="center" vertical="center"/>
      <protection locked="0"/>
    </xf>
    <xf numFmtId="0" fontId="2" fillId="21" borderId="202" xfId="0" applyFont="1" applyFill="1" applyBorder="1" applyAlignment="1" applyProtection="1">
      <alignment vertical="center"/>
    </xf>
    <xf numFmtId="0" fontId="2" fillId="21" borderId="131" xfId="0" applyFont="1" applyFill="1" applyBorder="1" applyAlignment="1" applyProtection="1">
      <alignment vertical="center"/>
    </xf>
    <xf numFmtId="0" fontId="7" fillId="0" borderId="125" xfId="0" applyFont="1" applyFill="1" applyBorder="1" applyAlignment="1" applyProtection="1">
      <protection locked="0"/>
    </xf>
    <xf numFmtId="0" fontId="2" fillId="0" borderId="118" xfId="0" applyFont="1" applyBorder="1" applyAlignment="1" applyProtection="1">
      <alignment horizontal="center" vertical="center"/>
      <protection locked="0"/>
    </xf>
    <xf numFmtId="186" fontId="2" fillId="0" borderId="118" xfId="0" applyNumberFormat="1" applyFont="1" applyBorder="1" applyAlignment="1" applyProtection="1">
      <alignment horizontal="center" vertical="center"/>
      <protection locked="0"/>
    </xf>
    <xf numFmtId="0" fontId="2" fillId="21" borderId="115" xfId="0" applyFont="1" applyFill="1" applyBorder="1" applyAlignment="1" applyProtection="1">
      <alignment vertical="center"/>
    </xf>
    <xf numFmtId="0" fontId="2" fillId="0" borderId="103" xfId="0" applyFont="1" applyBorder="1" applyAlignment="1" applyProtection="1">
      <alignment horizontal="center" vertical="center"/>
      <protection locked="0"/>
    </xf>
    <xf numFmtId="186" fontId="2" fillId="0" borderId="103" xfId="0" applyNumberFormat="1" applyFont="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18" borderId="111"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wrapText="1"/>
      <protection locked="0"/>
    </xf>
    <xf numFmtId="0" fontId="2" fillId="18" borderId="129" xfId="0" applyFont="1" applyFill="1" applyBorder="1" applyAlignment="1" applyProtection="1">
      <alignment horizontal="center" vertical="center"/>
      <protection locked="0"/>
    </xf>
    <xf numFmtId="0" fontId="2" fillId="19" borderId="156" xfId="0" applyFont="1" applyFill="1" applyBorder="1" applyAlignment="1" applyProtection="1">
      <alignment vertical="center"/>
    </xf>
    <xf numFmtId="0" fontId="2" fillId="20" borderId="103" xfId="0" applyFont="1" applyFill="1" applyBorder="1" applyAlignment="1" applyProtection="1">
      <alignment horizontal="center" vertical="center"/>
      <protection locked="0"/>
    </xf>
    <xf numFmtId="0" fontId="2" fillId="19" borderId="115" xfId="0" applyFont="1" applyFill="1" applyBorder="1" applyAlignment="1" applyProtection="1">
      <alignment horizontal="center" vertical="center"/>
    </xf>
    <xf numFmtId="49" fontId="2" fillId="19" borderId="112" xfId="0" applyNumberFormat="1" applyFont="1" applyFill="1" applyBorder="1" applyAlignment="1" applyProtection="1">
      <alignment horizontal="center" vertical="center"/>
    </xf>
    <xf numFmtId="31" fontId="2" fillId="19" borderId="147" xfId="0" applyNumberFormat="1" applyFont="1" applyFill="1" applyBorder="1" applyAlignment="1" applyProtection="1">
      <alignment vertical="center"/>
    </xf>
    <xf numFmtId="0" fontId="143" fillId="0" borderId="105" xfId="0" applyFont="1" applyBorder="1" applyAlignment="1" applyProtection="1">
      <alignment horizontal="left" vertical="top" wrapText="1"/>
      <protection locked="0"/>
    </xf>
    <xf numFmtId="0" fontId="143" fillId="0" borderId="125" xfId="0" applyFont="1" applyBorder="1" applyAlignment="1" applyProtection="1">
      <alignment vertical="center" wrapText="1"/>
    </xf>
    <xf numFmtId="0" fontId="143" fillId="18" borderId="126" xfId="0" applyFont="1" applyFill="1" applyBorder="1" applyAlignment="1" applyProtection="1">
      <alignment horizontal="center" vertical="center"/>
    </xf>
    <xf numFmtId="0" fontId="143" fillId="18" borderId="113" xfId="0" applyFont="1" applyFill="1" applyBorder="1" applyAlignment="1" applyProtection="1">
      <alignment horizontal="center" vertical="center" wrapText="1"/>
    </xf>
    <xf numFmtId="0" fontId="143" fillId="21" borderId="114" xfId="0" applyFont="1" applyFill="1" applyBorder="1" applyAlignment="1" applyProtection="1">
      <alignment horizontal="center" vertical="center"/>
      <protection locked="0"/>
    </xf>
    <xf numFmtId="185" fontId="143" fillId="20" borderId="115" xfId="0" applyNumberFormat="1" applyFont="1" applyFill="1" applyBorder="1" applyAlignment="1" applyProtection="1">
      <alignment vertical="center"/>
      <protection locked="0"/>
    </xf>
    <xf numFmtId="0" fontId="143" fillId="21" borderId="117" xfId="0" applyFont="1" applyFill="1" applyBorder="1" applyAlignment="1" applyProtection="1">
      <alignment horizontal="center" vertical="center"/>
      <protection locked="0"/>
    </xf>
    <xf numFmtId="185" fontId="143" fillId="20" borderId="118" xfId="0" applyNumberFormat="1" applyFont="1" applyFill="1" applyBorder="1" applyAlignment="1" applyProtection="1">
      <alignment vertical="center"/>
      <protection locked="0"/>
    </xf>
    <xf numFmtId="0" fontId="143" fillId="21" borderId="118" xfId="0" applyFont="1" applyFill="1" applyBorder="1" applyAlignment="1" applyProtection="1">
      <alignment horizontal="center" vertical="center"/>
      <protection locked="0"/>
    </xf>
    <xf numFmtId="185" fontId="143" fillId="0" borderId="118" xfId="0" applyNumberFormat="1" applyFont="1" applyBorder="1" applyAlignment="1" applyProtection="1">
      <alignment vertical="center"/>
      <protection locked="0"/>
    </xf>
    <xf numFmtId="0" fontId="143" fillId="18" borderId="123" xfId="0" applyFont="1" applyFill="1" applyBorder="1" applyAlignment="1" applyProtection="1">
      <alignment horizontal="center" vertical="center"/>
    </xf>
    <xf numFmtId="185" fontId="143" fillId="21" borderId="107" xfId="0" applyNumberFormat="1" applyFont="1" applyFill="1" applyBorder="1" applyAlignment="1" applyProtection="1">
      <alignment vertical="center"/>
    </xf>
    <xf numFmtId="0" fontId="143" fillId="0" borderId="125" xfId="0" applyFont="1" applyBorder="1" applyAlignment="1" applyProtection="1">
      <alignment horizontal="left" vertical="center" wrapText="1"/>
    </xf>
    <xf numFmtId="0" fontId="143" fillId="0" borderId="0" xfId="0" applyFont="1" applyBorder="1" applyAlignment="1" applyProtection="1">
      <alignment horizontal="left" vertical="center" wrapText="1"/>
    </xf>
    <xf numFmtId="0" fontId="140" fillId="18" borderId="0" xfId="0" applyFont="1" applyFill="1" applyBorder="1" applyAlignment="1" applyProtection="1">
      <alignment horizontal="right" vertical="center"/>
    </xf>
    <xf numFmtId="0" fontId="170" fillId="18" borderId="0" xfId="0" applyFont="1" applyFill="1" applyBorder="1" applyAlignment="1" applyProtection="1">
      <alignment horizontal="right" vertical="center"/>
    </xf>
    <xf numFmtId="0" fontId="170" fillId="18" borderId="24" xfId="0" applyFont="1" applyFill="1" applyBorder="1" applyAlignment="1" applyProtection="1">
      <alignment horizontal="right" vertical="center"/>
    </xf>
    <xf numFmtId="0" fontId="143" fillId="18" borderId="132" xfId="0" applyFont="1" applyFill="1" applyBorder="1" applyAlignment="1" applyProtection="1">
      <alignment horizontal="center" vertical="center" wrapText="1"/>
    </xf>
    <xf numFmtId="0" fontId="143" fillId="21" borderId="108" xfId="0" applyFont="1" applyFill="1" applyBorder="1" applyAlignment="1" applyProtection="1">
      <alignment horizontal="center" vertical="center"/>
    </xf>
    <xf numFmtId="0" fontId="143" fillId="18" borderId="107" xfId="0" applyFont="1" applyFill="1" applyBorder="1" applyAlignment="1" applyProtection="1">
      <alignment horizontal="center" vertical="center"/>
    </xf>
    <xf numFmtId="49" fontId="143" fillId="0" borderId="103" xfId="0" applyNumberFormat="1" applyFont="1" applyBorder="1" applyAlignment="1" applyProtection="1">
      <alignment horizontal="center" vertical="center"/>
      <protection locked="0"/>
    </xf>
    <xf numFmtId="49" fontId="143" fillId="0" borderId="118" xfId="0" applyNumberFormat="1" applyFont="1" applyBorder="1" applyAlignment="1" applyProtection="1">
      <alignment horizontal="center" vertical="center"/>
      <protection locked="0"/>
    </xf>
    <xf numFmtId="0" fontId="143" fillId="18" borderId="113" xfId="0" applyFont="1" applyFill="1" applyBorder="1" applyAlignment="1" applyProtection="1">
      <alignment horizontal="center" vertical="center"/>
    </xf>
    <xf numFmtId="0" fontId="143" fillId="21" borderId="112" xfId="0" applyFont="1" applyFill="1" applyBorder="1" applyAlignment="1" applyProtection="1">
      <alignment horizontal="center" vertical="center"/>
    </xf>
    <xf numFmtId="0" fontId="143" fillId="18" borderId="129" xfId="0" applyFont="1" applyFill="1" applyBorder="1" applyAlignment="1" applyProtection="1">
      <alignment horizontal="center" vertical="center"/>
    </xf>
    <xf numFmtId="0" fontId="143" fillId="21" borderId="131" xfId="0" applyFont="1" applyFill="1" applyBorder="1" applyAlignment="1" applyProtection="1">
      <alignment horizontal="left" vertical="center"/>
    </xf>
    <xf numFmtId="0" fontId="167" fillId="0" borderId="0" xfId="0" applyFont="1" applyBorder="1" applyAlignment="1" applyProtection="1">
      <alignment horizontal="center" vertical="center"/>
    </xf>
    <xf numFmtId="0" fontId="143" fillId="18" borderId="133" xfId="0" applyFont="1" applyFill="1" applyBorder="1" applyAlignment="1" applyProtection="1">
      <alignment horizontal="center" vertical="center"/>
    </xf>
    <xf numFmtId="0" fontId="143" fillId="18" borderId="110" xfId="0" applyFont="1" applyFill="1" applyBorder="1" applyAlignment="1" applyProtection="1">
      <alignment horizontal="center" vertical="center"/>
    </xf>
    <xf numFmtId="0" fontId="143" fillId="18" borderId="111" xfId="0" applyFont="1" applyFill="1" applyBorder="1" applyAlignment="1" applyProtection="1">
      <alignment horizontal="center" vertical="center"/>
    </xf>
    <xf numFmtId="0" fontId="143" fillId="19" borderId="4" xfId="0" applyFont="1" applyFill="1" applyBorder="1" applyAlignment="1" applyProtection="1">
      <alignment vertical="center" shrinkToFit="1"/>
    </xf>
    <xf numFmtId="0" fontId="143" fillId="19" borderId="26" xfId="0" applyFont="1" applyFill="1" applyBorder="1" applyAlignment="1" applyProtection="1">
      <alignment vertical="center" shrinkToFit="1"/>
    </xf>
    <xf numFmtId="0" fontId="143" fillId="19" borderId="139" xfId="0" applyFont="1" applyFill="1" applyBorder="1" applyAlignment="1" applyProtection="1">
      <alignment vertical="center" shrinkToFit="1"/>
    </xf>
    <xf numFmtId="0" fontId="143" fillId="19" borderId="23" xfId="0" applyFont="1" applyFill="1" applyBorder="1" applyAlignment="1" applyProtection="1">
      <alignment vertical="center"/>
    </xf>
    <xf numFmtId="0" fontId="143" fillId="19" borderId="24" xfId="0" applyFont="1" applyFill="1" applyBorder="1" applyAlignment="1" applyProtection="1">
      <alignment vertical="center"/>
    </xf>
    <xf numFmtId="0" fontId="143" fillId="19" borderId="142" xfId="0" applyFont="1" applyFill="1" applyBorder="1" applyAlignment="1" applyProtection="1">
      <alignment vertical="center"/>
    </xf>
    <xf numFmtId="0" fontId="140" fillId="19" borderId="0" xfId="0" applyFont="1" applyFill="1" applyBorder="1" applyAlignment="1" applyProtection="1">
      <alignment horizontal="center"/>
      <protection locked="0"/>
    </xf>
    <xf numFmtId="0" fontId="170" fillId="18" borderId="0" xfId="0"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40" fillId="24" borderId="0" xfId="0" applyFont="1" applyFill="1" applyBorder="1" applyAlignment="1" applyProtection="1">
      <alignment horizontal="center"/>
    </xf>
    <xf numFmtId="0" fontId="167" fillId="24" borderId="0" xfId="0" applyFont="1" applyFill="1" applyBorder="1" applyAlignment="1" applyProtection="1">
      <alignment horizontal="center"/>
    </xf>
    <xf numFmtId="0" fontId="140" fillId="0" borderId="0" xfId="0" applyFont="1" applyBorder="1" applyAlignment="1" applyProtection="1">
      <alignment horizontal="center"/>
      <protection locked="0"/>
    </xf>
    <xf numFmtId="0" fontId="167" fillId="18" borderId="0" xfId="0" applyFont="1" applyFill="1" applyBorder="1" applyAlignment="1" applyProtection="1">
      <alignment horizontal="center"/>
    </xf>
    <xf numFmtId="0" fontId="171" fillId="19" borderId="0" xfId="0" applyFont="1" applyFill="1" applyBorder="1" applyAlignment="1" applyProtection="1"/>
    <xf numFmtId="0" fontId="171" fillId="18" borderId="0" xfId="0" applyFont="1" applyFill="1" applyBorder="1" applyAlignment="1" applyProtection="1">
      <alignment horizontal="center"/>
    </xf>
    <xf numFmtId="0" fontId="167" fillId="19" borderId="0" xfId="0" applyFont="1" applyFill="1" applyBorder="1" applyAlignment="1" applyProtection="1">
      <alignment horizontal="center"/>
    </xf>
    <xf numFmtId="0" fontId="167" fillId="0" borderId="0" xfId="0" applyFont="1" applyBorder="1" applyAlignment="1" applyProtection="1">
      <alignment vertical="center"/>
    </xf>
    <xf numFmtId="0" fontId="167" fillId="0" borderId="0" xfId="0" applyFont="1" applyBorder="1" applyAlignment="1" applyProtection="1">
      <alignment horizontal="left" vertical="center"/>
    </xf>
    <xf numFmtId="0" fontId="167" fillId="19" borderId="0" xfId="0" applyFont="1" applyFill="1" applyBorder="1" applyAlignment="1" applyProtection="1">
      <alignment horizontal="right" vertical="center"/>
    </xf>
    <xf numFmtId="0" fontId="167" fillId="18" borderId="0" xfId="0" applyFont="1" applyFill="1" applyBorder="1" applyAlignment="1" applyProtection="1">
      <alignment horizontal="center" vertical="center"/>
    </xf>
    <xf numFmtId="0" fontId="2" fillId="18" borderId="0" xfId="0" applyFont="1" applyFill="1" applyBorder="1" applyAlignment="1" applyProtection="1">
      <alignment horizontal="center" vertical="center"/>
    </xf>
    <xf numFmtId="0" fontId="2" fillId="18" borderId="125" xfId="0" applyFont="1" applyFill="1" applyBorder="1" applyAlignment="1" applyProtection="1">
      <alignment horizontal="left" vertical="top" wrapText="1"/>
    </xf>
    <xf numFmtId="0" fontId="143" fillId="21" borderId="146" xfId="0" applyFont="1" applyFill="1" applyBorder="1" applyAlignment="1" applyProtection="1">
      <alignment horizontal="center" vertical="center"/>
    </xf>
    <xf numFmtId="0" fontId="143" fillId="20" borderId="130" xfId="0" applyFont="1" applyFill="1" applyBorder="1" applyAlignment="1" applyProtection="1">
      <alignment horizontal="right" vertical="center"/>
    </xf>
    <xf numFmtId="0" fontId="143" fillId="0" borderId="105" xfId="0" applyFont="1" applyFill="1" applyBorder="1" applyAlignment="1" applyProtection="1">
      <alignment vertical="center"/>
      <protection locked="0"/>
    </xf>
    <xf numFmtId="0" fontId="143" fillId="18" borderId="103" xfId="0" applyFont="1" applyFill="1" applyBorder="1" applyAlignment="1" applyProtection="1">
      <alignment horizontal="center" vertical="center"/>
    </xf>
    <xf numFmtId="185" fontId="143" fillId="0" borderId="107" xfId="0" applyNumberFormat="1" applyFont="1" applyFill="1" applyBorder="1" applyAlignment="1" applyProtection="1">
      <alignment horizontal="center" vertical="center" wrapText="1"/>
      <protection locked="0"/>
    </xf>
    <xf numFmtId="0" fontId="2" fillId="18" borderId="125" xfId="0" applyFont="1" applyFill="1" applyBorder="1" applyAlignment="1" applyProtection="1">
      <alignment vertical="center" wrapText="1"/>
    </xf>
    <xf numFmtId="0" fontId="167" fillId="24" borderId="0" xfId="0" applyFont="1" applyFill="1" applyBorder="1" applyAlignment="1" applyProtection="1">
      <alignment horizontal="right" vertical="center"/>
    </xf>
    <xf numFmtId="0" fontId="169" fillId="18" borderId="0" xfId="0" applyFont="1" applyFill="1" applyBorder="1" applyAlignment="1" applyProtection="1">
      <alignment horizontal="right" vertical="center"/>
    </xf>
    <xf numFmtId="0" fontId="143" fillId="19" borderId="4" xfId="0" applyFont="1" applyFill="1" applyBorder="1" applyAlignment="1" applyProtection="1">
      <alignment horizontal="left" vertical="center" wrapText="1"/>
    </xf>
    <xf numFmtId="0" fontId="143" fillId="19" borderId="26" xfId="0" applyFont="1" applyFill="1" applyBorder="1" applyAlignment="1" applyProtection="1">
      <alignment horizontal="left" vertical="center" wrapText="1"/>
    </xf>
    <xf numFmtId="0" fontId="143" fillId="19" borderId="139" xfId="0" applyFont="1" applyFill="1" applyBorder="1" applyAlignment="1" applyProtection="1">
      <alignment horizontal="left" vertical="center" wrapText="1"/>
    </xf>
    <xf numFmtId="0" fontId="143" fillId="19" borderId="170" xfId="0" applyFont="1" applyFill="1" applyBorder="1" applyAlignment="1" applyProtection="1">
      <alignment horizontal="left" vertical="center" wrapText="1"/>
    </xf>
    <xf numFmtId="0" fontId="143" fillId="19" borderId="171" xfId="0" applyFont="1" applyFill="1" applyBorder="1" applyAlignment="1" applyProtection="1">
      <alignment horizontal="left" vertical="center" wrapText="1"/>
    </xf>
    <xf numFmtId="0" fontId="143" fillId="19" borderId="167" xfId="0" applyFont="1" applyFill="1" applyBorder="1" applyAlignment="1" applyProtection="1">
      <alignment horizontal="left" vertical="center" wrapText="1"/>
    </xf>
    <xf numFmtId="0" fontId="143" fillId="20" borderId="130" xfId="0" applyFont="1" applyFill="1" applyBorder="1" applyAlignment="1" applyProtection="1">
      <alignment horizontal="right" vertical="center"/>
      <protection locked="0"/>
    </xf>
    <xf numFmtId="0" fontId="143" fillId="19" borderId="173" xfId="0" applyFont="1" applyFill="1" applyBorder="1" applyAlignment="1" applyProtection="1">
      <alignment horizontal="left" vertical="center" wrapText="1"/>
    </xf>
    <xf numFmtId="0" fontId="143" fillId="19" borderId="172" xfId="0" applyFont="1" applyFill="1" applyBorder="1" applyAlignment="1" applyProtection="1">
      <alignment horizontal="left" vertical="center" wrapText="1"/>
    </xf>
    <xf numFmtId="0" fontId="143" fillId="19" borderId="23" xfId="0" applyFont="1" applyFill="1" applyBorder="1" applyAlignment="1" applyProtection="1">
      <alignment horizontal="left" vertical="center"/>
    </xf>
    <xf numFmtId="0" fontId="143" fillId="19" borderId="24" xfId="0" applyFont="1" applyFill="1" applyBorder="1" applyAlignment="1" applyProtection="1">
      <alignment horizontal="left" vertical="center"/>
    </xf>
    <xf numFmtId="0" fontId="143" fillId="19" borderId="142" xfId="0" applyFont="1" applyFill="1" applyBorder="1" applyAlignment="1" applyProtection="1">
      <alignment horizontal="left" vertical="center"/>
    </xf>
    <xf numFmtId="0" fontId="143" fillId="18" borderId="125" xfId="0" applyFont="1" applyFill="1" applyBorder="1" applyAlignment="1" applyProtection="1">
      <alignment vertical="center" wrapText="1"/>
    </xf>
    <xf numFmtId="0" fontId="143" fillId="18" borderId="125" xfId="0" applyFont="1" applyFill="1" applyBorder="1" applyAlignment="1" applyProtection="1">
      <alignment horizontal="left" vertical="top" wrapText="1"/>
    </xf>
    <xf numFmtId="0" fontId="143" fillId="18" borderId="0" xfId="0" applyFont="1" applyFill="1" applyBorder="1" applyAlignment="1" applyProtection="1">
      <alignment horizontal="left" vertical="top" wrapText="1"/>
    </xf>
    <xf numFmtId="0" fontId="169" fillId="18" borderId="24" xfId="0" applyFont="1" applyFill="1" applyBorder="1" applyAlignment="1" applyProtection="1">
      <alignment horizontal="right" vertical="center"/>
    </xf>
    <xf numFmtId="0" fontId="143" fillId="19" borderId="4" xfId="0" applyFont="1" applyFill="1" applyBorder="1" applyAlignment="1" applyProtection="1">
      <alignment vertical="center" wrapText="1"/>
    </xf>
    <xf numFmtId="0" fontId="143" fillId="19" borderId="26" xfId="0" applyFont="1" applyFill="1" applyBorder="1" applyAlignment="1" applyProtection="1">
      <alignment vertical="center" wrapText="1"/>
    </xf>
    <xf numFmtId="0" fontId="143" fillId="19" borderId="139" xfId="0" applyFont="1" applyFill="1" applyBorder="1" applyAlignment="1" applyProtection="1">
      <alignment vertical="center" wrapText="1"/>
    </xf>
    <xf numFmtId="0" fontId="143" fillId="19" borderId="2" xfId="0" applyFont="1" applyFill="1" applyBorder="1" applyAlignment="1" applyProtection="1">
      <alignment vertical="center" wrapText="1"/>
    </xf>
    <xf numFmtId="0" fontId="143" fillId="19" borderId="0" xfId="0" applyFont="1" applyFill="1" applyBorder="1" applyAlignment="1" applyProtection="1">
      <alignment vertical="center" wrapText="1"/>
    </xf>
    <xf numFmtId="0" fontId="143" fillId="19" borderId="145" xfId="0" applyFont="1" applyFill="1" applyBorder="1" applyAlignment="1" applyProtection="1">
      <alignment vertical="center" wrapText="1"/>
    </xf>
    <xf numFmtId="0" fontId="143" fillId="18" borderId="152" xfId="0" applyFont="1" applyFill="1" applyBorder="1" applyAlignment="1" applyProtection="1">
      <alignment vertical="center"/>
    </xf>
    <xf numFmtId="185" fontId="143" fillId="0" borderId="104" xfId="0" applyNumberFormat="1" applyFont="1" applyFill="1" applyBorder="1" applyAlignment="1" applyProtection="1">
      <alignment vertical="center"/>
      <protection locked="0"/>
    </xf>
    <xf numFmtId="0" fontId="143" fillId="18" borderId="153" xfId="0" applyFont="1" applyFill="1" applyBorder="1" applyAlignment="1" applyProtection="1">
      <alignment vertical="center"/>
    </xf>
    <xf numFmtId="185" fontId="143" fillId="0" borderId="118" xfId="0" applyNumberFormat="1" applyFont="1" applyFill="1" applyBorder="1" applyAlignment="1" applyProtection="1">
      <alignment vertical="center"/>
      <protection locked="0"/>
    </xf>
    <xf numFmtId="0" fontId="143" fillId="0" borderId="153" xfId="0" applyFont="1" applyBorder="1" applyAlignment="1" applyProtection="1">
      <alignment vertical="center"/>
      <protection locked="0"/>
    </xf>
    <xf numFmtId="0" fontId="143" fillId="21" borderId="153" xfId="0" applyFont="1" applyFill="1" applyBorder="1" applyAlignment="1" applyProtection="1">
      <alignment vertical="center"/>
    </xf>
    <xf numFmtId="0" fontId="140" fillId="18" borderId="24" xfId="0" applyFont="1" applyFill="1" applyBorder="1" applyAlignment="1" applyProtection="1">
      <alignment horizontal="right" vertical="center"/>
    </xf>
    <xf numFmtId="0" fontId="143" fillId="18" borderId="106" xfId="0" applyFont="1" applyFill="1" applyBorder="1" applyAlignment="1" applyProtection="1">
      <alignment horizontal="center" vertical="center"/>
    </xf>
    <xf numFmtId="185" fontId="143" fillId="21" borderId="147" xfId="0" applyNumberFormat="1" applyFont="1" applyFill="1" applyBorder="1" applyAlignment="1" applyProtection="1">
      <alignment vertical="center"/>
    </xf>
    <xf numFmtId="0" fontId="143" fillId="21" borderId="154" xfId="0" applyFont="1" applyFill="1" applyBorder="1" applyAlignment="1" applyProtection="1">
      <alignment horizontal="center" vertical="center"/>
    </xf>
    <xf numFmtId="0" fontId="143" fillId="18" borderId="149" xfId="0" applyFont="1" applyFill="1" applyBorder="1" applyAlignment="1" applyProtection="1">
      <alignment horizontal="center" vertical="center" wrapText="1"/>
    </xf>
    <xf numFmtId="0" fontId="143" fillId="21" borderId="155" xfId="0" applyFont="1" applyFill="1" applyBorder="1" applyAlignment="1" applyProtection="1">
      <alignment horizontal="left" vertical="center"/>
    </xf>
    <xf numFmtId="0" fontId="143" fillId="0" borderId="105" xfId="0" applyFont="1" applyBorder="1" applyAlignment="1" applyProtection="1">
      <alignment vertical="top" wrapText="1"/>
      <protection locked="0"/>
    </xf>
    <xf numFmtId="0" fontId="7" fillId="0" borderId="0" xfId="0" applyFont="1" applyBorder="1" applyAlignment="1">
      <alignment horizontal="center" vertical="center"/>
    </xf>
    <xf numFmtId="0" fontId="143" fillId="18" borderId="162" xfId="0" applyFont="1" applyFill="1" applyBorder="1" applyAlignment="1">
      <alignment horizontal="center" vertical="center"/>
    </xf>
    <xf numFmtId="0" fontId="143" fillId="18" borderId="163" xfId="0" applyFont="1" applyFill="1" applyBorder="1" applyAlignment="1">
      <alignment horizontal="center" vertical="center"/>
    </xf>
    <xf numFmtId="0" fontId="143" fillId="18" borderId="164" xfId="0" applyFont="1" applyFill="1" applyBorder="1" applyAlignment="1">
      <alignment horizontal="center" vertical="center"/>
    </xf>
    <xf numFmtId="0" fontId="143" fillId="18" borderId="165" xfId="0" applyFont="1" applyFill="1" applyBorder="1" applyAlignment="1">
      <alignment horizontal="center" vertical="center"/>
    </xf>
    <xf numFmtId="0" fontId="143" fillId="18" borderId="133" xfId="0" applyFont="1" applyFill="1" applyBorder="1" applyAlignment="1">
      <alignment horizontal="center" vertical="center"/>
    </xf>
    <xf numFmtId="0" fontId="169" fillId="18" borderId="0" xfId="0" applyFont="1" applyFill="1" applyBorder="1" applyAlignment="1">
      <alignment horizontal="right" vertical="center" indent="4"/>
    </xf>
    <xf numFmtId="0" fontId="143" fillId="19" borderId="175" xfId="0" applyFont="1" applyFill="1" applyBorder="1" applyAlignment="1">
      <alignment vertical="center"/>
    </xf>
    <xf numFmtId="0" fontId="143" fillId="19" borderId="26" xfId="0" applyFont="1" applyFill="1" applyBorder="1" applyAlignment="1">
      <alignment vertical="center"/>
    </xf>
    <xf numFmtId="0" fontId="143" fillId="19" borderId="139" xfId="0" applyFont="1" applyFill="1" applyBorder="1" applyAlignment="1">
      <alignment vertical="center"/>
    </xf>
    <xf numFmtId="31" fontId="143" fillId="19" borderId="176" xfId="0" applyNumberFormat="1" applyFont="1" applyFill="1" applyBorder="1" applyAlignment="1">
      <alignment vertical="center"/>
    </xf>
    <xf numFmtId="31" fontId="143" fillId="19" borderId="24" xfId="0" applyNumberFormat="1" applyFont="1" applyFill="1" applyBorder="1" applyAlignment="1">
      <alignment vertical="center"/>
    </xf>
    <xf numFmtId="31" fontId="143" fillId="19" borderId="142" xfId="0" applyNumberFormat="1" applyFont="1" applyFill="1" applyBorder="1" applyAlignment="1">
      <alignment vertical="center"/>
    </xf>
    <xf numFmtId="0" fontId="2" fillId="0" borderId="0" xfId="0" applyFont="1" applyBorder="1" applyAlignment="1">
      <alignment vertical="center" wrapText="1"/>
    </xf>
    <xf numFmtId="0" fontId="143" fillId="18" borderId="132" xfId="0" applyFont="1" applyFill="1" applyBorder="1" applyAlignment="1">
      <alignment horizontal="center" vertical="center" wrapText="1"/>
    </xf>
    <xf numFmtId="0" fontId="143" fillId="13" borderId="108" xfId="0" applyFont="1" applyFill="1" applyBorder="1" applyAlignment="1">
      <alignment horizontal="center" vertical="center"/>
    </xf>
    <xf numFmtId="0" fontId="143" fillId="18" borderId="113" xfId="0" applyFont="1" applyFill="1" applyBorder="1" applyAlignment="1">
      <alignment horizontal="center" vertical="center" wrapText="1"/>
    </xf>
    <xf numFmtId="0" fontId="2" fillId="0" borderId="125" xfId="0" applyFont="1" applyBorder="1" applyAlignment="1">
      <alignment vertical="center" wrapText="1"/>
    </xf>
    <xf numFmtId="0" fontId="143" fillId="18" borderId="107" xfId="0" applyFont="1" applyFill="1" applyBorder="1" applyAlignment="1">
      <alignment horizontal="center" vertical="center"/>
    </xf>
    <xf numFmtId="0" fontId="143" fillId="18" borderId="126" xfId="0" applyFont="1" applyFill="1" applyBorder="1" applyAlignment="1">
      <alignment horizontal="center" vertical="center" wrapText="1"/>
    </xf>
    <xf numFmtId="0" fontId="143" fillId="18" borderId="113" xfId="0" applyFont="1" applyFill="1" applyBorder="1" applyAlignment="1">
      <alignment horizontal="center" vertical="center"/>
    </xf>
    <xf numFmtId="0" fontId="143" fillId="13" borderId="111" xfId="0" applyFont="1" applyFill="1" applyBorder="1" applyAlignment="1">
      <alignment horizontal="center" vertical="center"/>
    </xf>
    <xf numFmtId="0" fontId="143" fillId="13" borderId="112" xfId="0" applyFont="1" applyFill="1" applyBorder="1" applyAlignment="1">
      <alignment horizontal="center" vertical="center"/>
    </xf>
    <xf numFmtId="0" fontId="143" fillId="18" borderId="129" xfId="0" applyFont="1" applyFill="1" applyBorder="1" applyAlignment="1">
      <alignment horizontal="center" vertical="center" wrapText="1"/>
    </xf>
    <xf numFmtId="0" fontId="143" fillId="13" borderId="131" xfId="0" applyFont="1" applyFill="1" applyBorder="1" applyAlignment="1">
      <alignment horizontal="left" vertical="center"/>
    </xf>
    <xf numFmtId="0" fontId="2" fillId="18" borderId="133" xfId="0" applyFont="1" applyFill="1" applyBorder="1" applyAlignment="1" applyProtection="1">
      <alignment horizontal="center" vertical="center"/>
    </xf>
    <xf numFmtId="0" fontId="170" fillId="18" borderId="0" xfId="0" applyFont="1" applyFill="1" applyBorder="1" applyAlignment="1" applyProtection="1">
      <alignment horizontal="right" vertical="center" indent="2"/>
    </xf>
    <xf numFmtId="0" fontId="2" fillId="19" borderId="23" xfId="0" applyFont="1" applyFill="1" applyBorder="1" applyAlignment="1" applyProtection="1">
      <alignment vertical="center"/>
    </xf>
    <xf numFmtId="0" fontId="2" fillId="19" borderId="24" xfId="0" applyFont="1" applyFill="1" applyBorder="1" applyAlignment="1" applyProtection="1">
      <alignment vertical="center"/>
    </xf>
    <xf numFmtId="0" fontId="2" fillId="19" borderId="142" xfId="0" applyFont="1" applyFill="1" applyBorder="1" applyAlignment="1" applyProtection="1">
      <alignment vertical="center"/>
    </xf>
    <xf numFmtId="0" fontId="2" fillId="19" borderId="4" xfId="0" applyFont="1" applyFill="1" applyBorder="1" applyAlignment="1" applyProtection="1">
      <alignment vertical="center"/>
    </xf>
    <xf numFmtId="0" fontId="2" fillId="19" borderId="26" xfId="0" applyFont="1" applyFill="1" applyBorder="1" applyAlignment="1" applyProtection="1">
      <alignment vertical="center"/>
    </xf>
    <xf numFmtId="0" fontId="2" fillId="19" borderId="139" xfId="0" applyFont="1" applyFill="1" applyBorder="1" applyAlignment="1" applyProtection="1">
      <alignment vertical="center"/>
    </xf>
    <xf numFmtId="0" fontId="2" fillId="19" borderId="2" xfId="0" applyFont="1" applyFill="1" applyBorder="1" applyAlignment="1" applyProtection="1">
      <alignment vertical="center"/>
    </xf>
    <xf numFmtId="0" fontId="2" fillId="19" borderId="0" xfId="0" applyFont="1" applyFill="1" applyBorder="1" applyAlignment="1" applyProtection="1">
      <alignment vertical="center"/>
    </xf>
    <xf numFmtId="0" fontId="2" fillId="19" borderId="145" xfId="0" applyFont="1" applyFill="1" applyBorder="1" applyAlignment="1" applyProtection="1">
      <alignment vertical="center"/>
    </xf>
    <xf numFmtId="0" fontId="2" fillId="18" borderId="132" xfId="0" applyFont="1" applyFill="1" applyBorder="1" applyAlignment="1" applyProtection="1">
      <alignment horizontal="center" vertical="center" wrapText="1"/>
    </xf>
    <xf numFmtId="0" fontId="2" fillId="21" borderId="108" xfId="0" applyFont="1" applyFill="1" applyBorder="1" applyAlignment="1" applyProtection="1">
      <alignment horizontal="center" vertical="center"/>
    </xf>
    <xf numFmtId="0" fontId="2" fillId="18" borderId="113" xfId="0" applyFont="1" applyFill="1" applyBorder="1" applyAlignment="1" applyProtection="1">
      <alignment horizontal="center" vertical="center"/>
    </xf>
    <xf numFmtId="0" fontId="2" fillId="26" borderId="112" xfId="0" applyFont="1" applyFill="1" applyBorder="1" applyAlignment="1" applyProtection="1">
      <alignment horizontal="center" vertical="center"/>
    </xf>
    <xf numFmtId="0" fontId="2" fillId="18" borderId="129" xfId="0" applyFont="1" applyFill="1" applyBorder="1" applyAlignment="1" applyProtection="1">
      <alignment horizontal="center" vertical="center"/>
    </xf>
    <xf numFmtId="0" fontId="2" fillId="20" borderId="130" xfId="0" applyFont="1" applyFill="1" applyBorder="1" applyAlignment="1" applyProtection="1">
      <alignment horizontal="right" vertical="center"/>
    </xf>
    <xf numFmtId="0" fontId="2" fillId="21" borderId="131" xfId="0" applyFont="1" applyFill="1" applyBorder="1" applyAlignment="1" applyProtection="1">
      <alignment horizontal="left" vertical="center"/>
    </xf>
    <xf numFmtId="0" fontId="2" fillId="0" borderId="105" xfId="0" applyFont="1" applyBorder="1" applyAlignment="1" applyProtection="1">
      <alignment horizontal="left" vertical="top" wrapText="1"/>
      <protection locked="0"/>
    </xf>
    <xf numFmtId="0" fontId="2" fillId="18" borderId="132" xfId="0" applyFont="1" applyFill="1" applyBorder="1" applyAlignment="1">
      <alignment horizontal="center" vertical="center" wrapText="1"/>
    </xf>
    <xf numFmtId="0" fontId="2" fillId="13" borderId="108" xfId="0" applyFont="1" applyFill="1" applyBorder="1" applyAlignment="1">
      <alignment horizontal="center" vertical="center"/>
    </xf>
    <xf numFmtId="0" fontId="2" fillId="18" borderId="113" xfId="0" applyFont="1" applyFill="1" applyBorder="1" applyAlignment="1">
      <alignment horizontal="center" vertical="center"/>
    </xf>
    <xf numFmtId="0" fontId="2" fillId="13" borderId="111" xfId="0" applyFont="1" applyFill="1" applyBorder="1" applyAlignment="1">
      <alignment horizontal="center" vertical="center"/>
    </xf>
    <xf numFmtId="0" fontId="2" fillId="13" borderId="112" xfId="0" applyFont="1" applyFill="1" applyBorder="1" applyAlignment="1">
      <alignment horizontal="center" vertical="center"/>
    </xf>
    <xf numFmtId="0" fontId="170" fillId="18" borderId="0" xfId="0" applyFont="1" applyFill="1" applyBorder="1" applyAlignment="1">
      <alignment horizontal="right" vertical="center" indent="3"/>
    </xf>
    <xf numFmtId="0" fontId="170" fillId="18" borderId="101" xfId="0" applyFont="1" applyFill="1" applyBorder="1" applyAlignment="1">
      <alignment horizontal="right" vertical="center" indent="3"/>
    </xf>
    <xf numFmtId="0" fontId="2" fillId="18" borderId="129" xfId="0" applyFont="1" applyFill="1" applyBorder="1" applyAlignment="1">
      <alignment horizontal="center" vertical="center" wrapText="1"/>
    </xf>
    <xf numFmtId="0" fontId="2" fillId="0" borderId="131" xfId="0" applyFont="1" applyFill="1" applyBorder="1" applyAlignment="1">
      <alignment horizontal="left" vertical="center"/>
    </xf>
    <xf numFmtId="0" fontId="2" fillId="18" borderId="129" xfId="0" applyFont="1" applyFill="1" applyBorder="1" applyAlignment="1">
      <alignment horizontal="center" vertical="center"/>
    </xf>
    <xf numFmtId="0" fontId="2" fillId="19" borderId="103" xfId="0" applyFont="1" applyFill="1" applyBorder="1" applyAlignment="1">
      <alignment vertical="center"/>
    </xf>
    <xf numFmtId="0" fontId="2" fillId="18" borderId="116" xfId="0" applyFont="1" applyFill="1" applyBorder="1" applyAlignment="1">
      <alignment horizontal="center" vertical="center"/>
    </xf>
    <xf numFmtId="0" fontId="2" fillId="18" borderId="132" xfId="0" applyFont="1" applyFill="1" applyBorder="1" applyAlignment="1">
      <alignment horizontal="center" vertical="center"/>
    </xf>
    <xf numFmtId="31" fontId="2" fillId="19" borderId="107" xfId="0" applyNumberFormat="1" applyFont="1" applyFill="1" applyBorder="1" applyAlignment="1">
      <alignment vertical="center"/>
    </xf>
    <xf numFmtId="49" fontId="2" fillId="19" borderId="108" xfId="0" applyNumberFormat="1" applyFont="1" applyFill="1" applyBorder="1" applyAlignment="1">
      <alignment horizontal="center" vertical="center"/>
    </xf>
    <xf numFmtId="0" fontId="2" fillId="18" borderId="109"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07" xfId="0" applyFont="1" applyFill="1" applyBorder="1" applyAlignment="1">
      <alignment horizontal="center" vertical="center"/>
    </xf>
    <xf numFmtId="0" fontId="2" fillId="18" borderId="126" xfId="0" applyFont="1" applyFill="1" applyBorder="1" applyAlignment="1">
      <alignment horizontal="center" vertical="center" wrapText="1"/>
    </xf>
    <xf numFmtId="0" fontId="2" fillId="19" borderId="4" xfId="0" applyFont="1" applyFill="1" applyBorder="1" applyAlignment="1" applyProtection="1">
      <alignment vertical="center" wrapText="1"/>
    </xf>
    <xf numFmtId="0" fontId="2" fillId="19" borderId="26" xfId="0" applyFont="1" applyFill="1" applyBorder="1" applyAlignment="1" applyProtection="1">
      <alignment vertical="center" wrapText="1"/>
    </xf>
    <xf numFmtId="0" fontId="2" fillId="19" borderId="139" xfId="0" applyFont="1" applyFill="1" applyBorder="1" applyAlignment="1" applyProtection="1">
      <alignment vertical="center" wrapText="1"/>
    </xf>
    <xf numFmtId="0" fontId="2" fillId="19" borderId="2" xfId="0" applyFont="1" applyFill="1" applyBorder="1" applyAlignment="1" applyProtection="1">
      <alignment vertical="center" wrapText="1"/>
    </xf>
    <xf numFmtId="0" fontId="2" fillId="19" borderId="0" xfId="0" applyFont="1" applyFill="1" applyBorder="1" applyAlignment="1" applyProtection="1">
      <alignment vertical="center" wrapText="1"/>
    </xf>
    <xf numFmtId="0" fontId="2" fillId="19" borderId="145" xfId="0" applyFont="1" applyFill="1" applyBorder="1" applyAlignment="1" applyProtection="1">
      <alignment vertical="center" wrapText="1"/>
    </xf>
    <xf numFmtId="0" fontId="229" fillId="18" borderId="0" xfId="0" applyFont="1" applyFill="1" applyBorder="1" applyAlignment="1" applyProtection="1">
      <alignment horizontal="right" vertical="center"/>
    </xf>
    <xf numFmtId="0" fontId="229" fillId="18" borderId="24" xfId="0" applyFont="1" applyFill="1" applyBorder="1" applyAlignment="1" applyProtection="1">
      <alignment horizontal="right" vertical="center"/>
    </xf>
    <xf numFmtId="0" fontId="2" fillId="0" borderId="125" xfId="0" applyFont="1" applyBorder="1" applyAlignment="1" applyProtection="1">
      <alignment vertical="center" wrapText="1"/>
    </xf>
    <xf numFmtId="0" fontId="2" fillId="21" borderId="112" xfId="0" applyFont="1" applyFill="1" applyBorder="1" applyAlignment="1" applyProtection="1">
      <alignment horizontal="center" vertical="center"/>
    </xf>
    <xf numFmtId="0" fontId="2" fillId="0" borderId="105" xfId="0" applyFont="1" applyFill="1" applyBorder="1" applyAlignment="1" applyProtection="1">
      <alignment vertical="center"/>
      <protection locked="0"/>
    </xf>
    <xf numFmtId="0" fontId="170" fillId="18" borderId="0" xfId="0" applyFont="1" applyFill="1" applyBorder="1" applyAlignment="1">
      <alignment horizontal="right" vertical="center" indent="11"/>
    </xf>
    <xf numFmtId="0" fontId="2" fillId="19" borderId="175" xfId="0" applyFont="1" applyFill="1" applyBorder="1" applyAlignment="1">
      <alignment vertical="center"/>
    </xf>
    <xf numFmtId="0" fontId="2" fillId="19" borderId="26" xfId="0" applyFont="1" applyFill="1" applyBorder="1" applyAlignment="1">
      <alignment vertical="center"/>
    </xf>
    <xf numFmtId="0" fontId="2" fillId="19" borderId="139" xfId="0" applyFont="1" applyFill="1" applyBorder="1" applyAlignment="1">
      <alignment vertical="center"/>
    </xf>
    <xf numFmtId="31" fontId="2" fillId="19" borderId="176" xfId="0" applyNumberFormat="1" applyFont="1" applyFill="1" applyBorder="1" applyAlignment="1">
      <alignment vertical="center"/>
    </xf>
    <xf numFmtId="31" fontId="2" fillId="19" borderId="24" xfId="0" applyNumberFormat="1" applyFont="1" applyFill="1" applyBorder="1" applyAlignment="1">
      <alignment vertical="center"/>
    </xf>
    <xf numFmtId="31" fontId="2" fillId="19" borderId="142" xfId="0" applyNumberFormat="1" applyFont="1" applyFill="1" applyBorder="1" applyAlignment="1">
      <alignment vertical="center"/>
    </xf>
    <xf numFmtId="0" fontId="2" fillId="18" borderId="233" xfId="0" applyFont="1" applyFill="1" applyBorder="1" applyAlignment="1">
      <alignment horizontal="center" vertical="center"/>
    </xf>
    <xf numFmtId="0" fontId="2" fillId="18" borderId="234" xfId="0" applyFont="1" applyFill="1" applyBorder="1" applyAlignment="1">
      <alignment horizontal="center" vertical="center"/>
    </xf>
    <xf numFmtId="0" fontId="2" fillId="18" borderId="133" xfId="0" applyFont="1" applyFill="1" applyBorder="1" applyAlignment="1">
      <alignment horizontal="center" vertical="center"/>
    </xf>
    <xf numFmtId="0" fontId="2" fillId="18" borderId="162" xfId="0" applyFont="1" applyFill="1" applyBorder="1" applyAlignment="1">
      <alignment horizontal="center" vertical="center"/>
    </xf>
    <xf numFmtId="0" fontId="2" fillId="18" borderId="163" xfId="0" applyFont="1" applyFill="1" applyBorder="1" applyAlignment="1">
      <alignment horizontal="center" vertical="center"/>
    </xf>
    <xf numFmtId="0" fontId="2" fillId="18" borderId="232" xfId="0" applyFont="1" applyFill="1" applyBorder="1" applyAlignment="1">
      <alignment horizontal="center" vertical="center"/>
    </xf>
    <xf numFmtId="0" fontId="2" fillId="18" borderId="174" xfId="0" applyFont="1" applyFill="1" applyBorder="1" applyAlignment="1">
      <alignment horizontal="center" vertical="center"/>
    </xf>
    <xf numFmtId="0" fontId="2" fillId="18" borderId="164" xfId="0" applyFont="1" applyFill="1" applyBorder="1" applyAlignment="1">
      <alignment horizontal="center" vertical="center"/>
    </xf>
    <xf numFmtId="0" fontId="2" fillId="18" borderId="165" xfId="0" applyFont="1" applyFill="1" applyBorder="1" applyAlignment="1">
      <alignment horizontal="center" vertical="center"/>
    </xf>
    <xf numFmtId="0" fontId="2" fillId="19" borderId="4" xfId="0" applyFont="1" applyFill="1" applyBorder="1" applyAlignment="1" applyProtection="1">
      <alignment horizontal="left" vertical="center"/>
    </xf>
    <xf numFmtId="0" fontId="2" fillId="19" borderId="26" xfId="0" applyFont="1" applyFill="1" applyBorder="1" applyAlignment="1" applyProtection="1">
      <alignment horizontal="left" vertical="center"/>
    </xf>
    <xf numFmtId="0" fontId="2" fillId="19" borderId="139" xfId="0" applyFont="1" applyFill="1" applyBorder="1" applyAlignment="1" applyProtection="1">
      <alignment horizontal="left" vertical="center"/>
    </xf>
    <xf numFmtId="0" fontId="2" fillId="19" borderId="2" xfId="0" applyFont="1" applyFill="1" applyBorder="1" applyAlignment="1" applyProtection="1">
      <alignment horizontal="left" vertical="center"/>
    </xf>
    <xf numFmtId="0" fontId="2" fillId="19" borderId="0" xfId="0" applyFont="1" applyFill="1" applyBorder="1" applyAlignment="1" applyProtection="1">
      <alignment horizontal="left" vertical="center"/>
    </xf>
    <xf numFmtId="0" fontId="2" fillId="19" borderId="145" xfId="0" applyFont="1" applyFill="1" applyBorder="1" applyAlignment="1" applyProtection="1">
      <alignment horizontal="left" vertical="center"/>
    </xf>
    <xf numFmtId="0" fontId="2" fillId="18" borderId="126" xfId="0" applyFont="1" applyFill="1" applyBorder="1" applyAlignment="1" applyProtection="1">
      <alignment horizontal="center" vertical="center" wrapText="1"/>
    </xf>
    <xf numFmtId="0" fontId="2" fillId="18" borderId="129"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shrinkToFit="1"/>
    </xf>
    <xf numFmtId="0" fontId="171" fillId="18" borderId="0" xfId="0" applyFont="1" applyFill="1" applyBorder="1" applyAlignment="1" applyProtection="1">
      <alignment horizontal="right" vertical="center" wrapText="1"/>
    </xf>
    <xf numFmtId="0" fontId="171" fillId="18" borderId="0" xfId="0" applyFont="1" applyFill="1" applyBorder="1" applyAlignment="1" applyProtection="1">
      <alignment horizontal="right" vertical="center"/>
    </xf>
    <xf numFmtId="0" fontId="171" fillId="18" borderId="24" xfId="0" applyFont="1" applyFill="1" applyBorder="1" applyAlignment="1" applyProtection="1">
      <alignment horizontal="right" vertical="center"/>
    </xf>
    <xf numFmtId="0" fontId="2" fillId="21" borderId="108" xfId="0" applyFont="1" applyFill="1" applyBorder="1" applyAlignment="1" applyProtection="1">
      <alignment horizontal="center" vertical="center" wrapText="1"/>
    </xf>
    <xf numFmtId="0" fontId="2" fillId="18" borderId="132" xfId="0" applyFont="1" applyFill="1" applyBorder="1" applyAlignment="1" applyProtection="1">
      <alignment horizontal="center" vertical="center"/>
    </xf>
    <xf numFmtId="0" fontId="2" fillId="21" borderId="119" xfId="0" applyFont="1" applyFill="1" applyBorder="1" applyAlignment="1" applyProtection="1">
      <alignment horizontal="center" vertical="center" wrapText="1"/>
    </xf>
    <xf numFmtId="0" fontId="2" fillId="20" borderId="130" xfId="0" applyFont="1" applyFill="1" applyBorder="1" applyAlignment="1" applyProtection="1">
      <alignment horizontal="right" vertical="center" wrapText="1"/>
    </xf>
    <xf numFmtId="0" fontId="2" fillId="21" borderId="131" xfId="0" applyFont="1" applyFill="1" applyBorder="1" applyAlignment="1" applyProtection="1">
      <alignment horizontal="left" vertical="center" wrapText="1"/>
    </xf>
    <xf numFmtId="0" fontId="2" fillId="0" borderId="105" xfId="0" quotePrefix="1" applyFont="1" applyBorder="1" applyAlignment="1" applyProtection="1">
      <alignment vertical="center" wrapText="1"/>
      <protection locked="0"/>
    </xf>
    <xf numFmtId="0" fontId="2" fillId="0" borderId="105" xfId="0" applyFont="1" applyBorder="1" applyAlignment="1" applyProtection="1">
      <alignment vertical="center" wrapText="1"/>
      <protection locked="0"/>
    </xf>
    <xf numFmtId="0" fontId="2" fillId="18" borderId="113" xfId="0" applyFont="1" applyFill="1" applyBorder="1" applyAlignment="1" applyProtection="1">
      <alignment horizontal="center" vertical="center" wrapText="1"/>
    </xf>
    <xf numFmtId="0" fontId="2" fillId="19" borderId="4" xfId="0" applyFont="1" applyFill="1" applyBorder="1" applyAlignment="1" applyProtection="1">
      <alignment horizontal="left" vertical="center" wrapText="1"/>
    </xf>
    <xf numFmtId="0" fontId="2" fillId="19" borderId="26" xfId="0" applyFont="1" applyFill="1" applyBorder="1" applyAlignment="1" applyProtection="1">
      <alignment horizontal="left" vertical="center" wrapText="1"/>
    </xf>
    <xf numFmtId="0" fontId="2" fillId="19" borderId="139" xfId="0" applyFont="1" applyFill="1" applyBorder="1" applyAlignment="1" applyProtection="1">
      <alignment horizontal="left" vertical="center" wrapText="1"/>
    </xf>
    <xf numFmtId="0" fontId="2" fillId="19" borderId="2" xfId="0" applyFont="1" applyFill="1" applyBorder="1" applyAlignment="1" applyProtection="1">
      <alignment horizontal="left" vertical="center" wrapText="1"/>
    </xf>
    <xf numFmtId="0" fontId="2" fillId="19" borderId="0" xfId="0" applyFont="1" applyFill="1" applyBorder="1" applyAlignment="1" applyProtection="1">
      <alignment horizontal="left" vertical="center" wrapText="1"/>
    </xf>
    <xf numFmtId="0" fontId="2" fillId="19" borderId="145" xfId="0" applyFont="1" applyFill="1" applyBorder="1" applyAlignment="1" applyProtection="1">
      <alignment horizontal="left" vertical="center" wrapText="1"/>
    </xf>
    <xf numFmtId="0" fontId="2" fillId="19" borderId="23" xfId="0" applyFont="1" applyFill="1" applyBorder="1" applyAlignment="1" applyProtection="1">
      <alignment horizontal="left" vertical="center"/>
    </xf>
    <xf numFmtId="0" fontId="2" fillId="19" borderId="24" xfId="0" applyFont="1" applyFill="1" applyBorder="1" applyAlignment="1" applyProtection="1">
      <alignment horizontal="left" vertical="center"/>
    </xf>
    <xf numFmtId="0" fontId="2" fillId="19" borderId="142" xfId="0" applyFont="1" applyFill="1" applyBorder="1" applyAlignment="1" applyProtection="1">
      <alignment horizontal="left" vertical="center"/>
    </xf>
    <xf numFmtId="0" fontId="2" fillId="18" borderId="112" xfId="0" applyFont="1" applyFill="1" applyBorder="1" applyAlignment="1" applyProtection="1">
      <alignment horizontal="center" vertical="center"/>
    </xf>
    <xf numFmtId="0" fontId="2" fillId="18" borderId="157" xfId="0" applyFont="1" applyFill="1" applyBorder="1" applyAlignment="1" applyProtection="1">
      <alignment vertical="center"/>
    </xf>
    <xf numFmtId="0" fontId="2" fillId="0" borderId="105" xfId="0" applyFont="1" applyBorder="1" applyAlignment="1" applyProtection="1">
      <alignment horizontal="center" vertical="center"/>
      <protection locked="0"/>
    </xf>
    <xf numFmtId="0" fontId="2" fillId="18" borderId="149" xfId="0" applyFont="1" applyFill="1" applyBorder="1" applyAlignment="1" applyProtection="1">
      <alignment vertical="center"/>
    </xf>
    <xf numFmtId="0" fontId="2" fillId="0" borderId="119" xfId="0" applyFont="1" applyBorder="1" applyAlignment="1" applyProtection="1">
      <alignment horizontal="center" vertical="center"/>
      <protection locked="0"/>
    </xf>
    <xf numFmtId="0" fontId="2" fillId="0" borderId="149" xfId="0" applyFont="1" applyFill="1" applyBorder="1" applyAlignment="1" applyProtection="1">
      <alignment vertical="center"/>
      <protection locked="0"/>
    </xf>
    <xf numFmtId="0" fontId="2" fillId="0" borderId="108" xfId="0" applyFont="1" applyBorder="1" applyAlignment="1" applyProtection="1">
      <alignment horizontal="center" vertical="center"/>
      <protection locked="0"/>
    </xf>
    <xf numFmtId="0" fontId="2" fillId="18" borderId="164" xfId="0" applyFont="1" applyFill="1" applyBorder="1" applyAlignment="1" applyProtection="1">
      <alignment horizontal="center" vertical="center" wrapText="1"/>
    </xf>
    <xf numFmtId="0" fontId="2" fillId="18" borderId="165" xfId="0" applyFont="1" applyFill="1" applyBorder="1" applyAlignment="1" applyProtection="1">
      <alignment horizontal="center" vertical="center" wrapText="1"/>
    </xf>
    <xf numFmtId="0" fontId="2" fillId="18" borderId="162" xfId="0" applyFont="1" applyFill="1" applyBorder="1" applyAlignment="1" applyProtection="1">
      <alignment horizontal="center" vertical="center" wrapText="1"/>
    </xf>
    <xf numFmtId="0" fontId="2" fillId="18" borderId="163" xfId="0" applyFont="1" applyFill="1" applyBorder="1" applyAlignment="1" applyProtection="1">
      <alignment horizontal="center" vertical="center" wrapText="1"/>
    </xf>
    <xf numFmtId="0" fontId="2" fillId="18" borderId="235" xfId="0" applyFont="1" applyFill="1" applyBorder="1" applyAlignment="1" applyProtection="1">
      <alignment horizontal="center" vertical="center" wrapText="1"/>
    </xf>
    <xf numFmtId="0" fontId="2" fillId="19" borderId="175" xfId="0" applyFont="1" applyFill="1" applyBorder="1" applyAlignment="1" applyProtection="1">
      <alignment vertical="center" wrapText="1"/>
    </xf>
    <xf numFmtId="0" fontId="2" fillId="19" borderId="124" xfId="0" applyFont="1" applyFill="1" applyBorder="1" applyAlignment="1" applyProtection="1">
      <alignment vertical="center" wrapText="1"/>
    </xf>
    <xf numFmtId="31" fontId="2" fillId="19" borderId="176" xfId="0" applyNumberFormat="1" applyFont="1" applyFill="1" applyBorder="1" applyAlignment="1" applyProtection="1">
      <alignment vertical="center"/>
    </xf>
    <xf numFmtId="31" fontId="2" fillId="19" borderId="24" xfId="0" applyNumberFormat="1" applyFont="1" applyFill="1" applyBorder="1" applyAlignment="1" applyProtection="1">
      <alignment vertical="center"/>
    </xf>
    <xf numFmtId="31" fontId="2" fillId="19" borderId="142" xfId="0" applyNumberFormat="1" applyFont="1" applyFill="1" applyBorder="1" applyAlignment="1" applyProtection="1">
      <alignment vertical="center"/>
    </xf>
    <xf numFmtId="0" fontId="2" fillId="18" borderId="133" xfId="0" applyFont="1" applyFill="1" applyBorder="1" applyAlignment="1" applyProtection="1">
      <alignment horizontal="center" vertical="center" wrapText="1"/>
    </xf>
    <xf numFmtId="0" fontId="2" fillId="18" borderId="161" xfId="0" applyFont="1" applyFill="1" applyBorder="1" applyAlignment="1" applyProtection="1">
      <alignment horizontal="center" vertical="center" wrapText="1"/>
    </xf>
    <xf numFmtId="0" fontId="2" fillId="0" borderId="125" xfId="0" applyFont="1" applyFill="1" applyBorder="1" applyAlignment="1" applyProtection="1">
      <alignment vertical="center" wrapText="1"/>
    </xf>
    <xf numFmtId="0" fontId="2" fillId="21" borderId="116" xfId="0" applyFont="1" applyFill="1" applyBorder="1" applyAlignment="1" applyProtection="1">
      <alignment horizontal="center"/>
    </xf>
    <xf numFmtId="0" fontId="2" fillId="21" borderId="108" xfId="0" applyFont="1" applyFill="1" applyBorder="1" applyAlignment="1" applyProtection="1">
      <alignment horizontal="center"/>
    </xf>
    <xf numFmtId="0" fontId="2" fillId="20" borderId="130" xfId="0" applyFont="1" applyFill="1" applyBorder="1" applyAlignment="1" applyProtection="1">
      <alignment horizontal="right"/>
    </xf>
    <xf numFmtId="0" fontId="2" fillId="21" borderId="131" xfId="0" applyFont="1" applyFill="1" applyBorder="1" applyAlignment="1" applyProtection="1">
      <alignment horizontal="left"/>
    </xf>
    <xf numFmtId="0" fontId="2" fillId="0" borderId="151" xfId="0" applyFont="1" applyBorder="1" applyAlignment="1" applyProtection="1">
      <alignment vertical="top" wrapText="1"/>
      <protection locked="0"/>
    </xf>
    <xf numFmtId="0" fontId="2" fillId="0" borderId="0" xfId="0" applyFont="1" applyBorder="1" applyAlignment="1" applyProtection="1">
      <alignment vertical="center" wrapText="1"/>
    </xf>
    <xf numFmtId="0" fontId="2" fillId="18" borderId="138" xfId="0" applyFont="1" applyFill="1" applyBorder="1" applyAlignment="1" applyProtection="1">
      <alignment horizontal="center"/>
    </xf>
    <xf numFmtId="0" fontId="2" fillId="18" borderId="249" xfId="0" applyFont="1" applyFill="1" applyBorder="1" applyAlignment="1" applyProtection="1">
      <alignment horizontal="center" vertical="center"/>
    </xf>
    <xf numFmtId="0" fontId="2" fillId="18" borderId="202" xfId="0" applyFont="1" applyFill="1" applyBorder="1" applyAlignment="1" applyProtection="1">
      <alignment horizontal="center" vertical="center"/>
    </xf>
    <xf numFmtId="0" fontId="2" fillId="18" borderId="250" xfId="0" applyFont="1" applyFill="1" applyBorder="1" applyAlignment="1" applyProtection="1">
      <alignment horizontal="center" vertical="center"/>
    </xf>
    <xf numFmtId="0" fontId="2" fillId="18" borderId="230" xfId="0" applyFont="1" applyFill="1" applyBorder="1" applyAlignment="1" applyProtection="1">
      <alignment horizontal="center" vertical="center"/>
    </xf>
    <xf numFmtId="0" fontId="2" fillId="26" borderId="116" xfId="0" applyFont="1" applyFill="1" applyBorder="1" applyAlignment="1" applyProtection="1">
      <alignment horizontal="center" vertical="center"/>
    </xf>
    <xf numFmtId="0" fontId="2" fillId="26" borderId="242" xfId="0" applyFont="1" applyFill="1" applyBorder="1" applyAlignment="1" applyProtection="1">
      <alignment horizontal="center" vertical="center"/>
    </xf>
    <xf numFmtId="0" fontId="2" fillId="18" borderId="253" xfId="0" applyFont="1" applyFill="1" applyBorder="1" applyAlignment="1" applyProtection="1">
      <alignment horizontal="center" vertical="center" wrapText="1"/>
    </xf>
    <xf numFmtId="0" fontId="2" fillId="18" borderId="254" xfId="0" applyFont="1" applyFill="1" applyBorder="1" applyAlignment="1" applyProtection="1">
      <alignment horizontal="center" vertical="center" wrapText="1"/>
    </xf>
    <xf numFmtId="0" fontId="2" fillId="21" borderId="255" xfId="0" applyFont="1" applyFill="1" applyBorder="1" applyAlignment="1" applyProtection="1">
      <alignment horizontal="center" vertical="center"/>
    </xf>
    <xf numFmtId="0" fontId="2" fillId="21" borderId="144" xfId="0" applyFont="1" applyFill="1" applyBorder="1" applyAlignment="1" applyProtection="1">
      <alignment horizontal="center" vertical="center"/>
    </xf>
    <xf numFmtId="0" fontId="2" fillId="26" borderId="121" xfId="0" applyFont="1" applyFill="1" applyBorder="1" applyAlignment="1" applyProtection="1">
      <alignment horizontal="center" vertical="center"/>
    </xf>
    <xf numFmtId="0" fontId="2" fillId="26" borderId="122" xfId="0" applyFont="1" applyFill="1" applyBorder="1" applyAlignment="1" applyProtection="1">
      <alignment horizontal="center" vertical="center"/>
    </xf>
    <xf numFmtId="0" fontId="2" fillId="26" borderId="251" xfId="0" applyFont="1" applyFill="1" applyBorder="1" applyAlignment="1" applyProtection="1">
      <alignment horizontal="center" vertical="center"/>
    </xf>
    <xf numFmtId="0" fontId="2" fillId="18" borderId="243" xfId="0" applyFont="1" applyFill="1" applyBorder="1" applyAlignment="1" applyProtection="1">
      <alignment horizontal="center" vertical="center" wrapText="1"/>
    </xf>
    <xf numFmtId="0" fontId="2" fillId="18" borderId="157" xfId="0" applyFont="1" applyFill="1" applyBorder="1" applyAlignment="1" applyProtection="1">
      <alignment horizontal="center" vertical="center" wrapText="1"/>
    </xf>
    <xf numFmtId="0" fontId="2" fillId="20" borderId="175" xfId="0" applyFont="1" applyFill="1" applyBorder="1" applyAlignment="1" applyProtection="1">
      <alignment horizontal="right" vertical="top" wrapText="1"/>
    </xf>
    <xf numFmtId="0" fontId="2" fillId="21" borderId="231" xfId="0" applyFont="1" applyFill="1" applyBorder="1" applyAlignment="1" applyProtection="1">
      <alignment horizontal="left" vertical="top" wrapText="1"/>
    </xf>
    <xf numFmtId="0" fontId="2" fillId="21" borderId="27" xfId="0" applyFont="1" applyFill="1" applyBorder="1" applyAlignment="1" applyProtection="1">
      <alignment horizontal="left" vertical="top" wrapText="1"/>
    </xf>
    <xf numFmtId="0" fontId="2" fillId="0" borderId="105" xfId="0" applyFont="1" applyFill="1" applyBorder="1" applyAlignment="1" applyProtection="1">
      <alignment vertical="top" wrapText="1"/>
      <protection locked="0"/>
    </xf>
    <xf numFmtId="0" fontId="2" fillId="0" borderId="252" xfId="0" applyFont="1" applyFill="1" applyBorder="1" applyAlignment="1" applyProtection="1">
      <alignment vertical="top" wrapText="1"/>
      <protection locked="0"/>
    </xf>
    <xf numFmtId="0" fontId="2" fillId="18" borderId="245" xfId="0" applyFont="1" applyFill="1" applyBorder="1" applyAlignment="1" applyProtection="1">
      <alignment horizontal="center" vertical="center" wrapText="1"/>
    </xf>
    <xf numFmtId="0" fontId="2" fillId="18" borderId="246" xfId="0" applyFont="1" applyFill="1" applyBorder="1" applyAlignment="1" applyProtection="1">
      <alignment horizontal="center" vertical="center" wrapText="1"/>
    </xf>
    <xf numFmtId="0" fontId="2" fillId="18" borderId="247" xfId="0" applyFont="1" applyFill="1" applyBorder="1" applyAlignment="1" applyProtection="1">
      <alignment horizontal="center" vertical="center" wrapText="1"/>
    </xf>
    <xf numFmtId="0" fontId="7" fillId="0" borderId="0" xfId="0" applyFont="1" applyBorder="1" applyAlignment="1" applyProtection="1">
      <alignment horizontal="center" vertical="top"/>
    </xf>
    <xf numFmtId="0" fontId="2" fillId="18" borderId="162" xfId="0" applyFont="1" applyFill="1" applyBorder="1" applyAlignment="1" applyProtection="1">
      <alignment horizontal="center" vertical="center"/>
    </xf>
    <xf numFmtId="0" fontId="2" fillId="18" borderId="163" xfId="0" applyFont="1" applyFill="1" applyBorder="1" applyAlignment="1" applyProtection="1">
      <alignment horizontal="center" vertical="center"/>
    </xf>
    <xf numFmtId="0" fontId="2" fillId="18" borderId="235" xfId="0" applyFont="1" applyFill="1" applyBorder="1" applyAlignment="1" applyProtection="1">
      <alignment horizontal="center" vertical="center"/>
    </xf>
    <xf numFmtId="0" fontId="2" fillId="18" borderId="164" xfId="0" applyFont="1" applyFill="1" applyBorder="1" applyAlignment="1" applyProtection="1">
      <alignment horizontal="center" vertical="center"/>
    </xf>
    <xf numFmtId="0" fontId="2" fillId="18" borderId="165" xfId="0" applyFont="1" applyFill="1" applyBorder="1" applyAlignment="1" applyProtection="1">
      <alignment horizontal="center" vertical="center"/>
    </xf>
    <xf numFmtId="0" fontId="2" fillId="19" borderId="175" xfId="0" applyFont="1" applyFill="1" applyBorder="1" applyAlignment="1" applyProtection="1">
      <alignment vertical="center"/>
    </xf>
    <xf numFmtId="0" fontId="2" fillId="19" borderId="124" xfId="0" applyFont="1" applyFill="1" applyBorder="1" applyAlignment="1" applyProtection="1">
      <alignment vertical="center"/>
    </xf>
    <xf numFmtId="0" fontId="170" fillId="18" borderId="0" xfId="0" applyFont="1" applyFill="1" applyBorder="1" applyAlignment="1" applyProtection="1">
      <alignment horizontal="right" vertical="center" indent="4"/>
    </xf>
    <xf numFmtId="0" fontId="170" fillId="18" borderId="24" xfId="0" applyFont="1" applyFill="1" applyBorder="1" applyAlignment="1" applyProtection="1">
      <alignment horizontal="right" vertical="center" indent="4"/>
    </xf>
    <xf numFmtId="0" fontId="2" fillId="18" borderId="135" xfId="0" applyFont="1" applyFill="1" applyBorder="1" applyAlignment="1" applyProtection="1">
      <alignment horizontal="center" vertical="center"/>
    </xf>
    <xf numFmtId="0" fontId="2" fillId="18" borderId="237" xfId="0" applyFont="1" applyFill="1" applyBorder="1" applyAlignment="1" applyProtection="1">
      <alignment horizontal="center" vertical="center"/>
    </xf>
    <xf numFmtId="0" fontId="2" fillId="18" borderId="238" xfId="0" applyFont="1" applyFill="1" applyBorder="1" applyAlignment="1" applyProtection="1">
      <alignment horizontal="center" vertical="center"/>
    </xf>
    <xf numFmtId="0" fontId="2" fillId="18" borderId="240" xfId="0" applyFont="1" applyFill="1" applyBorder="1" applyAlignment="1" applyProtection="1">
      <alignment horizontal="center" vertical="center"/>
    </xf>
    <xf numFmtId="0" fontId="2" fillId="18" borderId="140" xfId="0" applyFont="1" applyFill="1" applyBorder="1" applyAlignment="1" applyProtection="1">
      <alignment horizontal="center" vertical="center"/>
    </xf>
    <xf numFmtId="0" fontId="2" fillId="18" borderId="239"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0" fillId="24" borderId="3" xfId="0" applyFill="1" applyBorder="1" applyAlignment="1">
      <alignment vertical="center" wrapText="1"/>
    </xf>
    <xf numFmtId="43" fontId="147" fillId="0" borderId="3" xfId="3" applyFont="1" applyFill="1" applyBorder="1">
      <alignment vertical="center"/>
    </xf>
    <xf numFmtId="0" fontId="0" fillId="24" borderId="3" xfId="0" applyFill="1" applyBorder="1" applyAlignment="1">
      <alignment horizontal="center" vertical="center" textRotation="255" wrapText="1"/>
    </xf>
    <xf numFmtId="0" fontId="140" fillId="43" borderId="0" xfId="0" applyFont="1" applyFill="1" applyBorder="1" applyAlignment="1" applyProtection="1">
      <alignment horizontal="right" vertical="center"/>
    </xf>
    <xf numFmtId="0" fontId="246" fillId="24" borderId="0" xfId="0" applyFont="1" applyFill="1" applyAlignment="1">
      <alignment horizontal="right" vertical="center" indent="13"/>
    </xf>
    <xf numFmtId="0" fontId="0" fillId="24" borderId="3" xfId="0" applyFill="1" applyBorder="1" applyAlignment="1">
      <alignment horizontal="center" vertical="center"/>
    </xf>
    <xf numFmtId="0" fontId="0" fillId="24" borderId="18" xfId="0" applyFill="1" applyBorder="1" applyAlignment="1">
      <alignment horizontal="center" vertical="center"/>
    </xf>
    <xf numFmtId="0" fontId="0" fillId="24" borderId="3" xfId="0" applyFill="1" applyBorder="1" applyAlignment="1">
      <alignment horizontal="center" vertical="center" wrapText="1"/>
    </xf>
    <xf numFmtId="0" fontId="0" fillId="24" borderId="17" xfId="0" applyFill="1" applyBorder="1" applyAlignment="1">
      <alignment horizontal="center" vertical="center"/>
    </xf>
    <xf numFmtId="0" fontId="0" fillId="24" borderId="42" xfId="0" applyFill="1" applyBorder="1" applyAlignment="1">
      <alignment horizontal="center" vertical="center"/>
    </xf>
    <xf numFmtId="0" fontId="0" fillId="24" borderId="4" xfId="0" applyFill="1" applyBorder="1" applyAlignment="1">
      <alignment horizontal="center" vertical="center"/>
    </xf>
    <xf numFmtId="0" fontId="0" fillId="24" borderId="27" xfId="0" applyFill="1" applyBorder="1" applyAlignment="1">
      <alignment horizontal="center" vertical="center"/>
    </xf>
    <xf numFmtId="0" fontId="0" fillId="24" borderId="2" xfId="0" applyFill="1" applyBorder="1" applyAlignment="1">
      <alignment horizontal="center" vertical="center"/>
    </xf>
    <xf numFmtId="0" fontId="0" fillId="24" borderId="1" xfId="0" applyFill="1" applyBorder="1" applyAlignment="1">
      <alignment horizontal="center" vertical="center"/>
    </xf>
    <xf numFmtId="0" fontId="0" fillId="24" borderId="23" xfId="0" applyFill="1" applyBorder="1" applyAlignment="1">
      <alignment horizontal="center" vertical="center"/>
    </xf>
    <xf numFmtId="0" fontId="0" fillId="24" borderId="25" xfId="0" applyFill="1" applyBorder="1" applyAlignment="1">
      <alignment horizontal="center" vertical="center"/>
    </xf>
    <xf numFmtId="0" fontId="2" fillId="25" borderId="158" xfId="5" applyFont="1" applyFill="1" applyBorder="1" applyAlignment="1" applyProtection="1">
      <alignment horizontal="center" vertical="center" wrapText="1"/>
      <protection locked="0"/>
    </xf>
    <xf numFmtId="0" fontId="2" fillId="25" borderId="119" xfId="5" applyFont="1" applyFill="1" applyBorder="1" applyAlignment="1" applyProtection="1">
      <alignment horizontal="center" vertical="center" wrapText="1"/>
      <protection locked="0"/>
    </xf>
    <xf numFmtId="0" fontId="2" fillId="0" borderId="112" xfId="0" quotePrefix="1" applyFont="1" applyBorder="1" applyAlignment="1" applyProtection="1">
      <alignment vertical="top" wrapText="1"/>
      <protection locked="0"/>
    </xf>
    <xf numFmtId="0" fontId="2" fillId="0" borderId="112" xfId="0" applyFont="1" applyBorder="1" applyAlignment="1" applyProtection="1">
      <alignment vertical="top" wrapText="1"/>
      <protection locked="0"/>
    </xf>
    <xf numFmtId="0" fontId="2" fillId="18" borderId="157" xfId="0" applyFont="1" applyFill="1" applyBorder="1" applyAlignment="1" applyProtection="1">
      <alignment horizontal="center" vertical="center"/>
      <protection locked="0"/>
    </xf>
    <xf numFmtId="185" fontId="2" fillId="21" borderId="104" xfId="0" applyNumberFormat="1" applyFont="1" applyFill="1" applyBorder="1" applyAlignment="1" applyProtection="1">
      <alignment horizontal="center" vertical="center"/>
    </xf>
    <xf numFmtId="185" fontId="2" fillId="21" borderId="105" xfId="0" applyNumberFormat="1" applyFont="1" applyFill="1" applyBorder="1" applyAlignment="1" applyProtection="1">
      <alignment horizontal="center" vertical="center"/>
    </xf>
    <xf numFmtId="0" fontId="2" fillId="18" borderId="113" xfId="0" applyFont="1" applyFill="1" applyBorder="1" applyAlignment="1" applyProtection="1">
      <alignment horizontal="center" vertical="center" wrapText="1"/>
      <protection locked="0"/>
    </xf>
    <xf numFmtId="0" fontId="2" fillId="18" borderId="129" xfId="0" applyFont="1" applyFill="1" applyBorder="1" applyAlignment="1" applyProtection="1">
      <alignment horizontal="center" vertical="center" wrapText="1"/>
      <protection locked="0"/>
    </xf>
    <xf numFmtId="0" fontId="2" fillId="18" borderId="149" xfId="0" applyFont="1" applyFill="1" applyBorder="1" applyAlignment="1" applyProtection="1">
      <alignment horizontal="center" vertical="center" wrapText="1"/>
      <protection locked="0"/>
    </xf>
    <xf numFmtId="0" fontId="2" fillId="18" borderId="132" xfId="0" applyFont="1" applyFill="1" applyBorder="1" applyAlignment="1" applyProtection="1">
      <alignment horizontal="center" vertical="center" wrapText="1"/>
      <protection locked="0"/>
    </xf>
    <xf numFmtId="0" fontId="164" fillId="18" borderId="0" xfId="0" applyFont="1" applyFill="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2" fillId="19" borderId="108" xfId="0" applyNumberFormat="1" applyFont="1" applyFill="1" applyBorder="1" applyAlignment="1" applyProtection="1">
      <alignment horizontal="center" vertical="center"/>
      <protection locked="0"/>
    </xf>
    <xf numFmtId="0" fontId="2" fillId="25" borderId="128" xfId="0" applyFont="1" applyFill="1" applyBorder="1" applyAlignment="1" applyProtection="1">
      <alignment horizontal="center" vertical="top" wrapText="1"/>
      <protection locked="0"/>
    </xf>
    <xf numFmtId="0" fontId="2" fillId="0" borderId="146" xfId="0" applyFont="1" applyFill="1" applyBorder="1" applyAlignment="1" applyProtection="1">
      <alignment horizontal="center"/>
      <protection locked="0"/>
    </xf>
    <xf numFmtId="0" fontId="2" fillId="25" borderId="151" xfId="0" applyFont="1" applyFill="1" applyBorder="1" applyAlignment="1" applyProtection="1">
      <alignment horizontal="center" vertical="top" wrapText="1"/>
      <protection locked="0"/>
    </xf>
    <xf numFmtId="0" fontId="2" fillId="0" borderId="151" xfId="0" applyFont="1" applyFill="1" applyBorder="1" applyAlignment="1" applyProtection="1">
      <alignment horizontal="center" vertical="top" wrapText="1"/>
      <protection locked="0"/>
    </xf>
    <xf numFmtId="0" fontId="2" fillId="19" borderId="103" xfId="0" applyFont="1" applyFill="1" applyBorder="1" applyAlignment="1" applyProtection="1">
      <alignment vertical="center" wrapText="1"/>
    </xf>
    <xf numFmtId="0" fontId="2" fillId="20" borderId="130" xfId="0" applyFont="1" applyFill="1" applyBorder="1" applyAlignment="1" applyProtection="1">
      <alignment horizontal="right"/>
      <protection locked="0"/>
    </xf>
    <xf numFmtId="0" fontId="2" fillId="0" borderId="105" xfId="0" applyFont="1" applyBorder="1" applyAlignment="1" applyProtection="1">
      <alignment vertical="top" wrapText="1"/>
      <protection locked="0"/>
    </xf>
    <xf numFmtId="0" fontId="169" fillId="18" borderId="0" xfId="0" applyFont="1" applyFill="1" applyBorder="1" applyAlignment="1" applyProtection="1">
      <alignment horizontal="right" vertical="center" wrapText="1"/>
      <protection locked="0"/>
    </xf>
    <xf numFmtId="0" fontId="169" fillId="18" borderId="0" xfId="0" applyFont="1" applyFill="1" applyBorder="1" applyAlignment="1" applyProtection="1">
      <alignment horizontal="right" vertical="center"/>
      <protection locked="0"/>
    </xf>
    <xf numFmtId="0" fontId="169" fillId="18" borderId="101" xfId="0" applyFont="1" applyFill="1" applyBorder="1" applyAlignment="1" applyProtection="1">
      <alignment horizontal="right" vertical="center"/>
      <protection locked="0"/>
    </xf>
    <xf numFmtId="31" fontId="2" fillId="19" borderId="107" xfId="0" applyNumberFormat="1" applyFont="1" applyFill="1" applyBorder="1" applyAlignment="1" applyProtection="1">
      <alignment vertical="center" wrapText="1"/>
    </xf>
    <xf numFmtId="0" fontId="2" fillId="18" borderId="113" xfId="0" applyFont="1" applyFill="1" applyBorder="1" applyAlignment="1" applyProtection="1">
      <alignment vertical="center"/>
    </xf>
    <xf numFmtId="0" fontId="2" fillId="18" borderId="157" xfId="0" applyFont="1" applyFill="1" applyBorder="1" applyAlignment="1" applyProtection="1">
      <alignment horizontal="center" vertical="center"/>
    </xf>
    <xf numFmtId="0" fontId="2" fillId="22" borderId="131" xfId="0" applyFont="1" applyFill="1" applyBorder="1" applyAlignment="1" applyProtection="1">
      <alignment horizontal="center" vertical="center"/>
    </xf>
    <xf numFmtId="0" fontId="2" fillId="0" borderId="151" xfId="0" applyFont="1" applyBorder="1" applyAlignment="1" applyProtection="1">
      <alignment horizontal="center" vertical="center"/>
      <protection locked="0"/>
    </xf>
    <xf numFmtId="0" fontId="2" fillId="0" borderId="149" xfId="0" applyFont="1" applyFill="1" applyBorder="1" applyAlignment="1" applyProtection="1">
      <alignment vertical="center" wrapText="1"/>
      <protection locked="0"/>
    </xf>
    <xf numFmtId="0" fontId="2" fillId="0" borderId="132" xfId="0" applyFont="1" applyFill="1" applyBorder="1" applyAlignment="1" applyProtection="1">
      <alignment vertical="center" wrapText="1"/>
      <protection locked="0"/>
    </xf>
    <xf numFmtId="0" fontId="2" fillId="18" borderId="149" xfId="0" applyFont="1" applyFill="1" applyBorder="1" applyAlignment="1" applyProtection="1">
      <alignment vertical="center" wrapText="1"/>
    </xf>
    <xf numFmtId="0" fontId="2" fillId="18" borderId="129" xfId="0" applyFont="1" applyFill="1" applyBorder="1" applyAlignment="1" applyProtection="1">
      <alignment vertical="center"/>
    </xf>
    <xf numFmtId="0" fontId="2" fillId="0" borderId="149" xfId="0" applyFont="1" applyFill="1" applyBorder="1" applyAlignment="1" applyProtection="1">
      <alignment horizontal="center" vertical="center"/>
      <protection locked="0"/>
    </xf>
    <xf numFmtId="0" fontId="2" fillId="18" borderId="129" xfId="0" applyFont="1" applyFill="1" applyBorder="1" applyAlignment="1" applyProtection="1">
      <alignment vertical="center" wrapText="1"/>
    </xf>
    <xf numFmtId="0" fontId="2" fillId="0" borderId="149" xfId="0" applyFont="1" applyFill="1" applyBorder="1" applyAlignment="1" applyProtection="1">
      <alignment horizontal="center" vertical="center" wrapText="1"/>
      <protection locked="0"/>
    </xf>
    <xf numFmtId="0" fontId="7" fillId="0" borderId="125" xfId="0" applyFont="1" applyFill="1" applyBorder="1" applyAlignment="1" applyProtection="1">
      <alignment vertical="center"/>
    </xf>
    <xf numFmtId="0" fontId="2" fillId="18" borderId="110" xfId="0" applyFont="1" applyFill="1" applyBorder="1" applyAlignment="1" applyProtection="1">
      <alignment horizontal="center" vertical="center"/>
    </xf>
    <xf numFmtId="0" fontId="169" fillId="18" borderId="0" xfId="0" applyFont="1" applyFill="1" applyBorder="1" applyAlignment="1" applyProtection="1">
      <alignment horizontal="right" vertical="center" wrapText="1"/>
    </xf>
    <xf numFmtId="31" fontId="2" fillId="19" borderId="176" xfId="0" applyNumberFormat="1" applyFont="1" applyFill="1" applyBorder="1" applyAlignment="1" applyProtection="1">
      <alignment horizontal="left" vertical="center"/>
    </xf>
    <xf numFmtId="31" fontId="2" fillId="19" borderId="24" xfId="0" applyNumberFormat="1" applyFont="1" applyFill="1" applyBorder="1" applyAlignment="1" applyProtection="1">
      <alignment horizontal="left" vertical="center"/>
    </xf>
    <xf numFmtId="31" fontId="2" fillId="19" borderId="142" xfId="0" applyNumberFormat="1" applyFont="1" applyFill="1" applyBorder="1" applyAlignment="1" applyProtection="1">
      <alignment horizontal="left" vertical="center"/>
    </xf>
    <xf numFmtId="0" fontId="2" fillId="18" borderId="103" xfId="0" applyFont="1" applyFill="1" applyBorder="1" applyAlignment="1" applyProtection="1">
      <alignment horizontal="center" vertical="center" wrapText="1"/>
      <protection locked="0"/>
    </xf>
    <xf numFmtId="0" fontId="2" fillId="18" borderId="112" xfId="0" applyFont="1" applyFill="1" applyBorder="1" applyAlignment="1" applyProtection="1">
      <alignment horizontal="center" vertical="center" wrapText="1"/>
      <protection locked="0"/>
    </xf>
    <xf numFmtId="0" fontId="2" fillId="18" borderId="101" xfId="0" applyFont="1" applyFill="1" applyBorder="1" applyAlignment="1" applyProtection="1">
      <protection locked="0"/>
    </xf>
    <xf numFmtId="0" fontId="2" fillId="19" borderId="161" xfId="0" applyFont="1" applyFill="1" applyBorder="1" applyAlignment="1" applyProtection="1">
      <alignment vertical="center"/>
    </xf>
    <xf numFmtId="0" fontId="2" fillId="19" borderId="103" xfId="0" applyFont="1" applyFill="1" applyBorder="1" applyAlignment="1" applyProtection="1">
      <alignment horizontal="center"/>
    </xf>
    <xf numFmtId="0" fontId="2" fillId="19" borderId="132" xfId="0" applyFont="1" applyFill="1" applyBorder="1" applyAlignment="1" applyProtection="1">
      <alignment vertical="center"/>
    </xf>
    <xf numFmtId="0" fontId="2" fillId="19" borderId="107" xfId="0" applyFont="1" applyFill="1" applyBorder="1" applyAlignment="1" applyProtection="1">
      <alignment horizontal="center"/>
    </xf>
    <xf numFmtId="0" fontId="2" fillId="18" borderId="161" xfId="0" applyFont="1" applyFill="1" applyBorder="1" applyAlignment="1" applyProtection="1">
      <alignment horizontal="center" vertical="center" textRotation="255" wrapText="1"/>
    </xf>
    <xf numFmtId="0" fontId="2" fillId="18" borderId="148" xfId="0" applyFont="1" applyFill="1" applyBorder="1" applyAlignment="1" applyProtection="1">
      <alignment horizontal="center" vertical="center" textRotation="255" wrapText="1"/>
    </xf>
    <xf numFmtId="0" fontId="2" fillId="18" borderId="126" xfId="0" applyFont="1" applyFill="1" applyBorder="1" applyAlignment="1" applyProtection="1">
      <alignment horizontal="center" vertical="center" textRotation="255" wrapText="1"/>
    </xf>
    <xf numFmtId="0" fontId="9" fillId="0" borderId="125"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2" fillId="21" borderId="116" xfId="0" applyFont="1" applyFill="1" applyBorder="1" applyAlignment="1" applyProtection="1">
      <alignment horizontal="center" vertical="center"/>
    </xf>
    <xf numFmtId="0" fontId="9" fillId="0" borderId="125" xfId="0" applyFont="1" applyFill="1" applyBorder="1" applyAlignment="1" applyProtection="1">
      <alignment vertical="center"/>
    </xf>
    <xf numFmtId="0" fontId="2" fillId="20" borderId="124" xfId="0" applyFont="1" applyFill="1" applyBorder="1" applyAlignment="1" applyProtection="1">
      <alignment horizontal="right" vertical="top" wrapText="1"/>
    </xf>
    <xf numFmtId="0" fontId="2" fillId="21" borderId="184" xfId="0" applyFont="1" applyFill="1" applyBorder="1" applyAlignment="1" applyProtection="1">
      <alignment horizontal="left" vertical="top" wrapText="1"/>
    </xf>
    <xf numFmtId="0" fontId="2" fillId="0" borderId="105" xfId="0" quotePrefix="1" applyFont="1" applyBorder="1" applyAlignment="1" applyProtection="1">
      <alignment vertical="top" wrapText="1"/>
      <protection locked="0"/>
    </xf>
    <xf numFmtId="0" fontId="2" fillId="18" borderId="133" xfId="0" applyFont="1" applyFill="1" applyBorder="1" applyAlignment="1" applyProtection="1">
      <alignment vertical="center"/>
    </xf>
    <xf numFmtId="0" fontId="2" fillId="18" borderId="111" xfId="0" applyFont="1" applyFill="1" applyBorder="1" applyAlignment="1" applyProtection="1">
      <alignment horizontal="center" vertical="center"/>
    </xf>
    <xf numFmtId="0" fontId="2" fillId="18" borderId="111"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xf>
    <xf numFmtId="0" fontId="2" fillId="18" borderId="115" xfId="0" applyFont="1" applyFill="1" applyBorder="1" applyAlignment="1" applyProtection="1">
      <alignment horizontal="center" vertical="center" wrapText="1"/>
    </xf>
    <xf numFmtId="0" fontId="2" fillId="18" borderId="127" xfId="0" applyFont="1" applyFill="1" applyBorder="1" applyAlignment="1" applyProtection="1">
      <alignment horizontal="center" vertical="center" wrapText="1"/>
    </xf>
    <xf numFmtId="0" fontId="0" fillId="0" borderId="0" xfId="0" applyBorder="1" applyAlignment="1" applyProtection="1">
      <alignment horizontal="center" vertical="center"/>
    </xf>
    <xf numFmtId="0" fontId="2" fillId="19" borderId="23" xfId="0" applyFont="1" applyFill="1" applyBorder="1" applyAlignment="1" applyProtection="1">
      <alignment vertical="center" shrinkToFit="1"/>
    </xf>
    <xf numFmtId="0" fontId="2" fillId="19" borderId="24" xfId="0" applyFont="1" applyFill="1" applyBorder="1" applyAlignment="1" applyProtection="1">
      <alignment vertical="center" shrinkToFit="1"/>
    </xf>
    <xf numFmtId="0" fontId="2" fillId="19" borderId="142" xfId="0" applyFont="1" applyFill="1" applyBorder="1" applyAlignment="1" applyProtection="1">
      <alignment vertical="center" shrinkToFit="1"/>
    </xf>
    <xf numFmtId="0" fontId="2" fillId="18" borderId="113" xfId="0" applyFont="1" applyFill="1" applyBorder="1" applyAlignment="1" applyProtection="1">
      <alignment horizontal="center" vertical="center"/>
      <protection hidden="1"/>
    </xf>
    <xf numFmtId="0" fontId="2" fillId="18" borderId="129" xfId="0" applyFont="1" applyFill="1" applyBorder="1" applyAlignment="1" applyProtection="1">
      <alignment vertical="top"/>
      <protection hidden="1"/>
    </xf>
    <xf numFmtId="0" fontId="2" fillId="20" borderId="114" xfId="0" applyFont="1" applyFill="1" applyBorder="1" applyAlignment="1" applyProtection="1">
      <alignment horizontal="right" vertical="top"/>
      <protection hidden="1"/>
    </xf>
    <xf numFmtId="0" fontId="2" fillId="21" borderId="116" xfId="0" applyFont="1" applyFill="1" applyBorder="1" applyAlignment="1" applyProtection="1">
      <alignment horizontal="left" vertical="top"/>
      <protection hidden="1"/>
    </xf>
    <xf numFmtId="0" fontId="2" fillId="18" borderId="132" xfId="0" applyFont="1" applyFill="1" applyBorder="1" applyAlignment="1" applyProtection="1">
      <alignment vertical="top"/>
      <protection hidden="1"/>
    </xf>
    <xf numFmtId="0" fontId="2" fillId="36" borderId="123" xfId="0" applyFont="1" applyFill="1" applyBorder="1" applyAlignment="1" applyProtection="1">
      <alignment horizontal="center" vertical="center"/>
      <protection hidden="1"/>
    </xf>
    <xf numFmtId="0" fontId="2" fillId="36" borderId="181" xfId="0" applyFont="1" applyFill="1" applyBorder="1" applyAlignment="1" applyProtection="1">
      <alignment horizontal="center" vertical="center"/>
      <protection hidden="1"/>
    </xf>
    <xf numFmtId="0" fontId="2" fillId="36" borderId="180" xfId="0" applyFont="1" applyFill="1" applyBorder="1" applyAlignment="1" applyProtection="1">
      <alignment horizontal="center" vertical="center"/>
      <protection hidden="1"/>
    </xf>
    <xf numFmtId="0" fontId="9" fillId="0" borderId="125" xfId="0" applyFont="1" applyFill="1" applyBorder="1" applyAlignment="1" applyProtection="1">
      <alignment vertical="center"/>
      <protection locked="0"/>
    </xf>
    <xf numFmtId="0" fontId="2" fillId="18" borderId="109" xfId="0" applyFont="1" applyFill="1" applyBorder="1" applyAlignment="1" applyProtection="1">
      <alignment vertical="center"/>
      <protection locked="0"/>
    </xf>
    <xf numFmtId="0" fontId="2" fillId="18" borderId="103" xfId="0" applyFont="1" applyFill="1" applyBorder="1" applyAlignment="1" applyProtection="1">
      <alignment horizontal="center" vertical="center"/>
      <protection hidden="1"/>
    </xf>
    <xf numFmtId="188" fontId="2" fillId="18" borderId="103" xfId="0" applyNumberFormat="1" applyFont="1" applyFill="1" applyBorder="1" applyAlignment="1" applyProtection="1">
      <alignment horizontal="center" vertical="center"/>
      <protection hidden="1"/>
    </xf>
    <xf numFmtId="0" fontId="9" fillId="0" borderId="125" xfId="0" applyFont="1" applyFill="1" applyBorder="1" applyAlignment="1" applyProtection="1">
      <alignment horizontal="center" vertical="center"/>
      <protection locked="0"/>
    </xf>
    <xf numFmtId="0" fontId="2" fillId="0" borderId="198" xfId="0" applyFont="1" applyBorder="1" applyAlignment="1" applyProtection="1">
      <alignment vertical="center"/>
      <protection hidden="1"/>
    </xf>
    <xf numFmtId="0" fontId="2" fillId="19" borderId="197" xfId="0" applyFont="1" applyFill="1" applyBorder="1" applyAlignment="1" applyProtection="1">
      <alignment vertical="center" wrapText="1"/>
    </xf>
    <xf numFmtId="0" fontId="2" fillId="19" borderId="198" xfId="0" applyFont="1" applyFill="1" applyBorder="1" applyAlignment="1" applyProtection="1">
      <alignment vertical="center" wrapText="1"/>
    </xf>
    <xf numFmtId="0" fontId="2" fillId="19" borderId="202" xfId="0" applyFont="1" applyFill="1" applyBorder="1" applyAlignment="1" applyProtection="1">
      <alignment vertical="center" wrapText="1"/>
    </xf>
    <xf numFmtId="0" fontId="2" fillId="19" borderId="125" xfId="0" applyFont="1" applyFill="1" applyBorder="1" applyAlignment="1" applyProtection="1">
      <alignment vertical="center" wrapText="1"/>
    </xf>
    <xf numFmtId="0" fontId="2" fillId="19" borderId="138" xfId="0" applyFont="1" applyFill="1" applyBorder="1" applyAlignment="1" applyProtection="1">
      <alignment vertical="center" shrinkToFit="1"/>
    </xf>
    <xf numFmtId="0" fontId="2" fillId="19" borderId="101" xfId="0" applyFont="1" applyFill="1" applyBorder="1" applyAlignment="1" applyProtection="1">
      <alignment vertical="center" shrinkToFit="1"/>
    </xf>
    <xf numFmtId="0" fontId="2" fillId="19" borderId="201" xfId="0" applyFont="1" applyFill="1" applyBorder="1" applyAlignment="1" applyProtection="1">
      <alignment vertical="center" shrinkToFit="1"/>
    </xf>
    <xf numFmtId="0" fontId="169" fillId="24" borderId="0" xfId="0" applyFont="1" applyFill="1" applyBorder="1" applyAlignment="1" applyProtection="1">
      <alignment horizontal="right" vertical="center"/>
      <protection hidden="1"/>
    </xf>
    <xf numFmtId="0" fontId="169" fillId="24" borderId="101" xfId="0" applyFont="1" applyFill="1" applyBorder="1" applyAlignment="1" applyProtection="1">
      <alignment horizontal="right" vertical="center"/>
      <protection hidden="1"/>
    </xf>
    <xf numFmtId="0" fontId="2" fillId="18" borderId="129" xfId="0" applyFont="1" applyFill="1" applyBorder="1" applyAlignment="1" applyProtection="1">
      <alignment horizontal="center" vertical="top" wrapText="1"/>
      <protection hidden="1"/>
    </xf>
    <xf numFmtId="0" fontId="2" fillId="20" borderId="103" xfId="0" applyFont="1" applyFill="1" applyBorder="1" applyAlignment="1" applyProtection="1">
      <alignment horizontal="right" vertical="top" wrapText="1"/>
      <protection hidden="1"/>
    </xf>
    <xf numFmtId="0" fontId="2" fillId="21" borderId="116" xfId="0" applyFont="1" applyFill="1" applyBorder="1" applyAlignment="1" applyProtection="1">
      <alignment horizontal="left" vertical="top" wrapText="1"/>
      <protection hidden="1"/>
    </xf>
    <xf numFmtId="0" fontId="2" fillId="18" borderId="132" xfId="0" applyFont="1" applyFill="1" applyBorder="1" applyAlignment="1" applyProtection="1">
      <alignment horizontal="center" vertical="top" wrapText="1"/>
      <protection hidden="1"/>
    </xf>
    <xf numFmtId="0" fontId="2" fillId="36" borderId="123" xfId="0" applyFont="1" applyFill="1" applyBorder="1" applyAlignment="1" applyProtection="1">
      <alignment horizontal="center" vertical="center" wrapText="1"/>
      <protection hidden="1"/>
    </xf>
    <xf numFmtId="0" fontId="2" fillId="36" borderId="181" xfId="0" applyFont="1" applyFill="1" applyBorder="1" applyAlignment="1" applyProtection="1">
      <alignment horizontal="center" vertical="center" wrapText="1"/>
      <protection hidden="1"/>
    </xf>
    <xf numFmtId="0" fontId="2" fillId="36" borderId="180" xfId="0" applyFont="1" applyFill="1" applyBorder="1" applyAlignment="1" applyProtection="1">
      <alignment horizontal="center" vertical="center" wrapText="1"/>
      <protection hidden="1"/>
    </xf>
    <xf numFmtId="0" fontId="0" fillId="0" borderId="0" xfId="0" applyBorder="1" applyAlignment="1" applyProtection="1">
      <alignment horizontal="center" vertical="center"/>
      <protection locked="0"/>
    </xf>
    <xf numFmtId="0" fontId="169" fillId="24" borderId="0" xfId="0" applyFont="1" applyFill="1" applyBorder="1" applyAlignment="1" applyProtection="1">
      <alignment horizontal="right" vertical="center" wrapText="1"/>
      <protection hidden="1"/>
    </xf>
    <xf numFmtId="0" fontId="169" fillId="24" borderId="101" xfId="0" applyFont="1" applyFill="1" applyBorder="1" applyAlignment="1" applyProtection="1">
      <alignment horizontal="right" vertical="center" wrapText="1"/>
      <protection hidden="1"/>
    </xf>
    <xf numFmtId="185" fontId="165" fillId="12" borderId="117" xfId="0" applyNumberFormat="1" applyFont="1" applyFill="1" applyBorder="1" applyAlignment="1" applyProtection="1">
      <alignment horizontal="center" vertical="center"/>
      <protection locked="0"/>
    </xf>
    <xf numFmtId="185" fontId="165" fillId="12" borderId="158" xfId="0" applyNumberFormat="1" applyFont="1" applyFill="1" applyBorder="1" applyAlignment="1" applyProtection="1">
      <alignment horizontal="center" vertical="center"/>
      <protection locked="0"/>
    </xf>
    <xf numFmtId="0" fontId="2" fillId="0" borderId="125" xfId="0" applyFont="1" applyBorder="1" applyAlignment="1" applyProtection="1">
      <alignment vertical="center" wrapText="1"/>
      <protection locked="0"/>
    </xf>
    <xf numFmtId="0" fontId="2" fillId="18" borderId="153" xfId="0" quotePrefix="1" applyFont="1" applyFill="1" applyBorder="1" applyAlignment="1" applyProtection="1">
      <alignment horizontal="center" vertical="center"/>
      <protection locked="0"/>
    </xf>
    <xf numFmtId="0" fontId="2" fillId="18" borderId="158" xfId="0" applyFont="1" applyFill="1" applyBorder="1" applyAlignment="1" applyProtection="1">
      <alignment horizontal="center" vertical="center"/>
      <protection locked="0"/>
    </xf>
    <xf numFmtId="185" fontId="165" fillId="0" borderId="118" xfId="0" applyNumberFormat="1" applyFont="1" applyFill="1" applyBorder="1" applyAlignment="1" applyProtection="1">
      <alignment vertical="center"/>
      <protection locked="0"/>
    </xf>
    <xf numFmtId="185" fontId="165" fillId="21" borderId="107" xfId="0" applyNumberFormat="1" applyFont="1" applyFill="1" applyBorder="1" applyAlignment="1" applyProtection="1">
      <alignment vertical="center"/>
    </xf>
    <xf numFmtId="0" fontId="2" fillId="21" borderId="155" xfId="0" applyFont="1" applyFill="1" applyBorder="1" applyAlignment="1" applyProtection="1">
      <alignment vertical="center"/>
    </xf>
    <xf numFmtId="185" fontId="165" fillId="12" borderId="103" xfId="0" applyNumberFormat="1" applyFont="1" applyFill="1" applyBorder="1" applyAlignment="1" applyProtection="1">
      <alignment vertical="center"/>
      <protection locked="0"/>
    </xf>
    <xf numFmtId="0" fontId="2" fillId="18" borderId="162" xfId="0" applyFont="1" applyFill="1" applyBorder="1" applyAlignment="1" applyProtection="1">
      <alignment horizontal="center" vertical="center"/>
      <protection locked="0"/>
    </xf>
    <xf numFmtId="0" fontId="2" fillId="18" borderId="163" xfId="0" applyFont="1" applyFill="1" applyBorder="1" applyAlignment="1" applyProtection="1">
      <alignment horizontal="center" vertical="center"/>
      <protection locked="0"/>
    </xf>
    <xf numFmtId="0" fontId="2" fillId="18" borderId="164" xfId="0" applyFont="1" applyFill="1" applyBorder="1" applyAlignment="1" applyProtection="1">
      <alignment horizontal="center" vertical="center"/>
      <protection locked="0"/>
    </xf>
    <xf numFmtId="0" fontId="2" fillId="18" borderId="165" xfId="0" applyFont="1" applyFill="1" applyBorder="1" applyAlignment="1" applyProtection="1">
      <alignment horizontal="center" vertical="center"/>
      <protection locked="0"/>
    </xf>
    <xf numFmtId="0" fontId="2" fillId="19" borderId="175" xfId="0" applyFont="1" applyFill="1" applyBorder="1" applyAlignment="1" applyProtection="1">
      <alignment vertical="center" shrinkToFit="1"/>
    </xf>
    <xf numFmtId="0" fontId="2" fillId="19" borderId="26" xfId="0" applyFont="1" applyFill="1" applyBorder="1" applyAlignment="1" applyProtection="1">
      <alignment vertical="center" shrinkToFit="1"/>
    </xf>
    <xf numFmtId="0" fontId="2" fillId="19" borderId="139" xfId="0" applyFont="1" applyFill="1" applyBorder="1" applyAlignment="1" applyProtection="1">
      <alignment vertical="center" shrinkToFit="1"/>
    </xf>
    <xf numFmtId="0" fontId="2" fillId="0" borderId="0" xfId="0" applyFont="1" applyBorder="1" applyAlignment="1" applyProtection="1">
      <alignment vertical="center" wrapText="1"/>
      <protection locked="0"/>
    </xf>
    <xf numFmtId="0" fontId="2" fillId="0" borderId="125" xfId="0" applyFont="1" applyFill="1" applyBorder="1" applyAlignment="1" applyProtection="1">
      <alignment vertical="center" wrapText="1"/>
      <protection locked="0"/>
    </xf>
    <xf numFmtId="185" fontId="165" fillId="21" borderId="118" xfId="0" applyNumberFormat="1" applyFont="1" applyFill="1" applyBorder="1" applyAlignment="1" applyProtection="1">
      <alignment vertical="center"/>
    </xf>
    <xf numFmtId="0" fontId="2" fillId="21" borderId="111" xfId="0" applyFont="1" applyFill="1" applyBorder="1" applyAlignment="1" applyProtection="1">
      <alignment horizontal="center" vertical="center"/>
    </xf>
    <xf numFmtId="185" fontId="2" fillId="21" borderId="137" xfId="0" applyNumberFormat="1" applyFont="1" applyFill="1" applyBorder="1" applyAlignment="1" applyProtection="1">
      <alignment horizontal="center" vertical="center"/>
    </xf>
    <xf numFmtId="185" fontId="165" fillId="21" borderId="111" xfId="0" applyNumberFormat="1" applyFont="1" applyFill="1" applyBorder="1" applyAlignment="1" applyProtection="1">
      <alignment vertical="center"/>
    </xf>
    <xf numFmtId="185" fontId="165" fillId="21" borderId="103" xfId="0" applyNumberFormat="1" applyFont="1" applyFill="1" applyBorder="1" applyAlignment="1" applyProtection="1">
      <alignment vertical="center"/>
    </xf>
    <xf numFmtId="0" fontId="2" fillId="18" borderId="133" xfId="0" applyFont="1" applyFill="1" applyBorder="1" applyAlignment="1" applyProtection="1">
      <alignment horizontal="center" vertical="center"/>
      <protection locked="0"/>
    </xf>
    <xf numFmtId="185" fontId="2" fillId="18" borderId="117" xfId="0" applyNumberFormat="1" applyFont="1" applyFill="1" applyBorder="1" applyAlignment="1" applyProtection="1">
      <alignment horizontal="center" vertical="center"/>
    </xf>
    <xf numFmtId="185" fontId="2" fillId="18" borderId="196" xfId="0" applyNumberFormat="1" applyFont="1" applyFill="1" applyBorder="1" applyAlignment="1" applyProtection="1">
      <alignment horizontal="center" vertical="center"/>
    </xf>
    <xf numFmtId="185" fontId="2" fillId="18" borderId="158" xfId="0" applyNumberFormat="1" applyFont="1" applyFill="1" applyBorder="1" applyAlignment="1" applyProtection="1">
      <alignment horizontal="center" vertical="center"/>
    </xf>
    <xf numFmtId="0" fontId="2" fillId="18" borderId="126" xfId="0" applyFont="1" applyFill="1" applyBorder="1" applyAlignment="1" applyProtection="1">
      <alignment horizontal="center" vertical="center"/>
      <protection locked="0"/>
    </xf>
    <xf numFmtId="185" fontId="2" fillId="18" borderId="107" xfId="0" applyNumberFormat="1" applyFont="1" applyFill="1" applyBorder="1" applyAlignment="1" applyProtection="1">
      <alignment horizontal="center" vertical="center"/>
    </xf>
    <xf numFmtId="185" fontId="165" fillId="21" borderId="107" xfId="0" applyNumberFormat="1" applyFont="1" applyFill="1" applyBorder="1" applyAlignment="1" applyProtection="1">
      <alignment horizontal="center" vertical="center"/>
    </xf>
    <xf numFmtId="0" fontId="2" fillId="0" borderId="108" xfId="0" applyFont="1" applyFill="1" applyBorder="1" applyAlignment="1" applyProtection="1">
      <alignment horizontal="center" vertical="center"/>
      <protection locked="0"/>
    </xf>
    <xf numFmtId="0" fontId="2" fillId="20" borderId="130" xfId="0" applyFont="1" applyFill="1" applyBorder="1" applyAlignment="1" applyProtection="1">
      <alignment horizontal="right" vertical="center"/>
      <protection locked="0"/>
    </xf>
    <xf numFmtId="0" fontId="1" fillId="0" borderId="105" xfId="0" applyFont="1" applyBorder="1" applyAlignment="1" applyProtection="1">
      <alignment vertical="center"/>
      <protection locked="0"/>
    </xf>
    <xf numFmtId="0" fontId="2" fillId="18" borderId="178" xfId="0" applyFont="1" applyFill="1" applyBorder="1" applyAlignment="1" applyProtection="1">
      <alignment horizontal="center" vertical="center"/>
    </xf>
    <xf numFmtId="185" fontId="2" fillId="18" borderId="120" xfId="0" applyNumberFormat="1" applyFont="1" applyFill="1" applyBorder="1" applyAlignment="1" applyProtection="1">
      <alignment horizontal="center" vertical="center"/>
    </xf>
    <xf numFmtId="185" fontId="165" fillId="21" borderId="120" xfId="0" applyNumberFormat="1" applyFont="1" applyFill="1" applyBorder="1" applyAlignment="1" applyProtection="1">
      <alignment vertical="center"/>
    </xf>
    <xf numFmtId="0" fontId="2" fillId="0" borderId="160" xfId="0"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5" fillId="19" borderId="120" xfId="0" applyNumberFormat="1" applyFont="1" applyFill="1" applyBorder="1" applyAlignment="1" applyProtection="1">
      <alignment horizontal="center" vertical="center"/>
    </xf>
    <xf numFmtId="0" fontId="2" fillId="0" borderId="160" xfId="0" applyFont="1" applyFill="1" applyBorder="1" applyAlignment="1" applyProtection="1">
      <alignment horizontal="center" vertical="center"/>
      <protection locked="0"/>
    </xf>
    <xf numFmtId="0" fontId="2" fillId="0" borderId="119" xfId="0" applyFont="1" applyFill="1" applyBorder="1" applyAlignment="1" applyProtection="1">
      <alignment vertical="center"/>
      <protection locked="0"/>
    </xf>
    <xf numFmtId="0" fontId="2" fillId="18" borderId="149" xfId="0" applyFont="1" applyFill="1" applyBorder="1" applyAlignment="1" applyProtection="1">
      <alignment horizontal="center" vertical="center"/>
    </xf>
    <xf numFmtId="185" fontId="2" fillId="18" borderId="118" xfId="0" applyNumberFormat="1" applyFont="1" applyFill="1" applyBorder="1" applyAlignment="1" applyProtection="1">
      <alignment horizontal="center" vertical="center"/>
    </xf>
    <xf numFmtId="185" fontId="165" fillId="19" borderId="118" xfId="0" applyNumberFormat="1" applyFont="1" applyFill="1" applyBorder="1" applyAlignment="1" applyProtection="1">
      <alignment vertical="center"/>
    </xf>
    <xf numFmtId="0" fontId="9" fillId="0" borderId="125" xfId="0" applyFont="1" applyFill="1" applyBorder="1" applyAlignment="1" applyProtection="1">
      <protection locked="0"/>
    </xf>
    <xf numFmtId="185" fontId="165" fillId="19" borderId="103" xfId="0" applyNumberFormat="1" applyFont="1" applyFill="1" applyBorder="1" applyAlignment="1" applyProtection="1">
      <alignment vertical="center"/>
    </xf>
    <xf numFmtId="185" fontId="165" fillId="0" borderId="103" xfId="0" applyNumberFormat="1" applyFont="1" applyFill="1" applyBorder="1" applyAlignment="1" applyProtection="1">
      <alignment vertical="center"/>
      <protection locked="0"/>
    </xf>
    <xf numFmtId="185" fontId="165"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0" fontId="2" fillId="18" borderId="235" xfId="0" applyFont="1" applyFill="1" applyBorder="1" applyAlignment="1" applyProtection="1">
      <alignment horizontal="center" vertical="center"/>
      <protection locked="0"/>
    </xf>
    <xf numFmtId="0" fontId="2" fillId="18" borderId="232" xfId="0" applyFont="1" applyFill="1" applyBorder="1" applyAlignment="1" applyProtection="1">
      <alignment horizontal="center" vertical="center"/>
      <protection locked="0"/>
    </xf>
    <xf numFmtId="0" fontId="2" fillId="18" borderId="257" xfId="0" applyFont="1" applyFill="1" applyBorder="1" applyAlignment="1" applyProtection="1">
      <alignment horizontal="center" vertical="center"/>
      <protection locked="0"/>
    </xf>
    <xf numFmtId="0" fontId="2" fillId="19" borderId="117" xfId="0" applyFont="1" applyFill="1" applyBorder="1" applyAlignment="1" applyProtection="1">
      <alignment horizontal="center" vertical="center"/>
    </xf>
    <xf numFmtId="0" fontId="2" fillId="19" borderId="25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0" fontId="2" fillId="19" borderId="259" xfId="0" applyFont="1" applyFill="1" applyBorder="1" applyAlignment="1" applyProtection="1">
      <alignment horizontal="center" vertical="center"/>
    </xf>
    <xf numFmtId="0" fontId="0" fillId="18" borderId="175" xfId="0" applyFill="1" applyBorder="1" applyProtection="1">
      <alignment vertical="center"/>
      <protection locked="0"/>
    </xf>
    <xf numFmtId="0" fontId="0" fillId="18" borderId="139" xfId="0" applyFill="1" applyBorder="1" applyProtection="1">
      <alignment vertical="center"/>
      <protection locked="0"/>
    </xf>
    <xf numFmtId="0" fontId="2" fillId="18" borderId="124" xfId="0" applyFont="1" applyFill="1" applyBorder="1" applyAlignment="1" applyProtection="1">
      <alignment horizontal="center" vertical="center"/>
      <protection locked="0"/>
    </xf>
    <xf numFmtId="0" fontId="2" fillId="18" borderId="145" xfId="0" applyFont="1" applyFill="1" applyBorder="1" applyAlignment="1" applyProtection="1">
      <alignment horizontal="center" vertical="center"/>
      <protection locked="0"/>
    </xf>
    <xf numFmtId="0" fontId="2" fillId="18" borderId="176" xfId="0" applyFont="1" applyFill="1" applyBorder="1" applyAlignment="1" applyProtection="1">
      <alignment horizontal="center" vertical="center"/>
      <protection locked="0"/>
    </xf>
    <xf numFmtId="0" fontId="2" fillId="18" borderId="142" xfId="0" applyFont="1" applyFill="1" applyBorder="1" applyAlignment="1" applyProtection="1">
      <alignment horizontal="center" vertical="center"/>
      <protection locked="0"/>
    </xf>
    <xf numFmtId="0" fontId="0" fillId="19" borderId="175" xfId="0" applyFill="1" applyBorder="1" applyAlignment="1" applyProtection="1">
      <alignment vertical="center"/>
    </xf>
    <xf numFmtId="0" fontId="0" fillId="19" borderId="26" xfId="0" applyFill="1" applyBorder="1" applyAlignment="1" applyProtection="1">
      <alignment vertical="center"/>
    </xf>
    <xf numFmtId="0" fontId="0" fillId="19" borderId="139" xfId="0" applyFill="1" applyBorder="1" applyAlignment="1" applyProtection="1">
      <alignment vertical="center"/>
    </xf>
    <xf numFmtId="0" fontId="0" fillId="19" borderId="124" xfId="0" applyFill="1" applyBorder="1" applyAlignment="1" applyProtection="1">
      <alignment vertical="center"/>
    </xf>
    <xf numFmtId="0" fontId="0" fillId="19" borderId="0" xfId="0" applyFill="1" applyBorder="1" applyAlignment="1" applyProtection="1">
      <alignment vertical="center"/>
    </xf>
    <xf numFmtId="0" fontId="0" fillId="19" borderId="145" xfId="0" applyFill="1" applyBorder="1" applyAlignment="1" applyProtection="1">
      <alignment vertical="center"/>
    </xf>
    <xf numFmtId="0" fontId="169" fillId="18" borderId="24" xfId="0" applyFont="1" applyFill="1" applyBorder="1" applyAlignment="1" applyProtection="1">
      <alignment horizontal="right" vertical="center"/>
      <protection locked="0"/>
    </xf>
    <xf numFmtId="0" fontId="2" fillId="20" borderId="130" xfId="0" applyFont="1" applyFill="1" applyBorder="1" applyAlignment="1" applyProtection="1">
      <alignment horizontal="right" vertical="top" wrapText="1"/>
      <protection locked="0"/>
    </xf>
    <xf numFmtId="0" fontId="2" fillId="21" borderId="131" xfId="0" applyFont="1" applyFill="1" applyBorder="1" applyAlignment="1" applyProtection="1">
      <alignment horizontal="left" vertical="top" wrapText="1"/>
    </xf>
    <xf numFmtId="0" fontId="2" fillId="21" borderId="119" xfId="0" applyFont="1" applyFill="1" applyBorder="1" applyAlignment="1" applyProtection="1">
      <alignment horizontal="center" vertical="center"/>
    </xf>
    <xf numFmtId="0" fontId="164" fillId="18" borderId="101" xfId="0" applyFont="1" applyFill="1" applyBorder="1" applyAlignment="1" applyProtection="1">
      <alignment horizontal="center" vertical="top"/>
      <protection locked="0"/>
    </xf>
    <xf numFmtId="0" fontId="7" fillId="0" borderId="0" xfId="0" applyFont="1" applyBorder="1" applyAlignment="1" applyProtection="1">
      <alignment horizontal="center" vertical="center"/>
      <protection locked="0"/>
    </xf>
    <xf numFmtId="0" fontId="2" fillId="19" borderId="129" xfId="0" applyFont="1" applyFill="1" applyBorder="1" applyAlignment="1" applyProtection="1">
      <alignment horizontal="left" vertical="center" wrapText="1"/>
    </xf>
    <xf numFmtId="0" fontId="2" fillId="19" borderId="108" xfId="0" applyNumberFormat="1" applyFont="1" applyFill="1" applyBorder="1" applyAlignment="1" applyProtection="1">
      <alignment horizontal="center" vertical="center"/>
    </xf>
    <xf numFmtId="0" fontId="2" fillId="19" borderId="132" xfId="0" applyFont="1" applyFill="1" applyBorder="1" applyAlignment="1" applyProtection="1">
      <alignment horizontal="center" vertical="center"/>
    </xf>
    <xf numFmtId="0" fontId="2" fillId="18" borderId="116" xfId="0" applyFont="1" applyFill="1" applyBorder="1" applyAlignment="1" applyProtection="1">
      <alignment horizontal="center" vertical="center" wrapText="1"/>
      <protection locked="0"/>
    </xf>
    <xf numFmtId="0" fontId="44" fillId="0" borderId="125" xfId="0" applyFont="1" applyFill="1" applyBorder="1" applyAlignment="1" applyProtection="1">
      <alignment vertical="center" wrapText="1"/>
      <protection locked="0"/>
    </xf>
    <xf numFmtId="185" fontId="2" fillId="18" borderId="103" xfId="0" applyNumberFormat="1" applyFont="1" applyFill="1" applyBorder="1" applyAlignment="1" applyProtection="1">
      <alignment horizontal="center" vertical="center" wrapText="1"/>
      <protection locked="0"/>
    </xf>
    <xf numFmtId="0" fontId="2" fillId="18" borderId="104" xfId="0" applyFont="1" applyFill="1" applyBorder="1" applyAlignment="1" applyProtection="1">
      <alignment horizontal="center" vertical="center"/>
      <protection locked="0"/>
    </xf>
    <xf numFmtId="0" fontId="2" fillId="18" borderId="104" xfId="0" applyFont="1" applyFill="1" applyBorder="1" applyAlignment="1" applyProtection="1">
      <alignment horizontal="center" vertical="center" wrapText="1"/>
      <protection locked="0"/>
    </xf>
    <xf numFmtId="185" fontId="2" fillId="18" borderId="115" xfId="0" applyNumberFormat="1" applyFont="1" applyFill="1" applyBorder="1" applyAlignment="1" applyProtection="1">
      <alignment horizontal="center" vertical="center" wrapText="1"/>
      <protection locked="0"/>
    </xf>
    <xf numFmtId="185" fontId="2" fillId="18" borderId="104" xfId="0" applyNumberFormat="1" applyFont="1" applyFill="1" applyBorder="1" applyAlignment="1" applyProtection="1">
      <alignment horizontal="center" vertical="center" wrapText="1"/>
      <protection locked="0"/>
    </xf>
    <xf numFmtId="0" fontId="2" fillId="19" borderId="129" xfId="0" applyFont="1" applyFill="1" applyBorder="1" applyAlignment="1" applyProtection="1">
      <alignment vertical="center"/>
    </xf>
    <xf numFmtId="0" fontId="2" fillId="19" borderId="103" xfId="0" applyFont="1" applyFill="1" applyBorder="1" applyAlignment="1" applyProtection="1">
      <alignment horizontal="center" vertical="center"/>
    </xf>
    <xf numFmtId="0" fontId="2" fillId="18" borderId="130" xfId="0" applyFont="1" applyFill="1" applyBorder="1" applyAlignment="1" applyProtection="1">
      <alignment horizontal="center" vertical="center"/>
      <protection locked="0"/>
    </xf>
    <xf numFmtId="0" fontId="2" fillId="0" borderId="146" xfId="0" applyFont="1" applyFill="1" applyBorder="1" applyAlignment="1" applyProtection="1">
      <alignment horizontal="center" vertical="center"/>
      <protection locked="0"/>
    </xf>
    <xf numFmtId="0" fontId="2" fillId="19" borderId="120" xfId="0" applyFont="1" applyFill="1" applyBorder="1" applyAlignment="1" applyProtection="1">
      <alignment horizontal="center" vertical="center"/>
    </xf>
    <xf numFmtId="0" fontId="2" fillId="21" borderId="107" xfId="0" applyFont="1" applyFill="1" applyBorder="1" applyAlignment="1" applyProtection="1">
      <alignment horizontal="center" vertical="center" wrapText="1"/>
    </xf>
    <xf numFmtId="0" fontId="2" fillId="0" borderId="0" xfId="0" applyFont="1" applyBorder="1" applyAlignment="1">
      <alignment horizontal="right" vertical="center"/>
    </xf>
    <xf numFmtId="0" fontId="2" fillId="21" borderId="111" xfId="0" applyFont="1" applyFill="1" applyBorder="1" applyAlignment="1" applyProtection="1">
      <alignment horizontal="center" vertical="center" wrapText="1"/>
    </xf>
    <xf numFmtId="0" fontId="2" fillId="21" borderId="112" xfId="0" applyFont="1" applyFill="1" applyBorder="1" applyAlignment="1" applyProtection="1">
      <alignment horizontal="center" vertical="center" wrapText="1"/>
    </xf>
    <xf numFmtId="0" fontId="2" fillId="20" borderId="130" xfId="0" applyFont="1" applyFill="1" applyBorder="1" applyAlignment="1" applyProtection="1">
      <alignment horizontal="right" vertical="center" wrapText="1"/>
      <protection locked="0"/>
    </xf>
    <xf numFmtId="0" fontId="2" fillId="18" borderId="161"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protection locked="0"/>
    </xf>
    <xf numFmtId="0" fontId="2" fillId="18" borderId="130" xfId="0" applyFont="1" applyFill="1" applyBorder="1" applyAlignment="1" applyProtection="1">
      <alignment horizontal="center" vertical="center" wrapText="1"/>
      <protection locked="0"/>
    </xf>
    <xf numFmtId="0" fontId="2" fillId="18" borderId="198" xfId="0" applyFont="1" applyFill="1" applyBorder="1" applyAlignment="1" applyProtection="1">
      <alignment horizontal="center" vertical="center" wrapText="1"/>
      <protection locked="0"/>
    </xf>
    <xf numFmtId="0" fontId="2" fillId="18" borderId="202" xfId="0" applyFont="1" applyFill="1" applyBorder="1" applyAlignment="1" applyProtection="1">
      <alignment horizontal="center" vertical="center" wrapText="1"/>
      <protection locked="0"/>
    </xf>
    <xf numFmtId="0" fontId="2" fillId="19" borderId="129" xfId="0" applyFont="1" applyFill="1" applyBorder="1" applyAlignment="1" applyProtection="1">
      <alignment horizontal="left" vertical="center"/>
    </xf>
    <xf numFmtId="0" fontId="60" fillId="19" borderId="103" xfId="0" applyFont="1" applyFill="1" applyBorder="1" applyAlignment="1" applyProtection="1">
      <alignment horizontal="center" vertical="center"/>
    </xf>
    <xf numFmtId="0" fontId="2" fillId="19" borderId="132" xfId="0" applyFont="1" applyFill="1" applyBorder="1" applyAlignment="1" applyProtection="1">
      <alignment horizontal="left" vertical="center"/>
    </xf>
    <xf numFmtId="0" fontId="60" fillId="19" borderId="107" xfId="0" applyFont="1" applyFill="1" applyBorder="1" applyAlignment="1" applyProtection="1">
      <alignment horizontal="center" vertical="center"/>
    </xf>
    <xf numFmtId="0" fontId="2" fillId="21" borderId="160" xfId="0" applyFont="1" applyFill="1" applyBorder="1" applyAlignment="1" applyProtection="1">
      <alignment horizontal="center" vertical="center" wrapText="1"/>
    </xf>
    <xf numFmtId="0" fontId="2" fillId="21" borderId="128" xfId="0" applyFont="1" applyFill="1" applyBorder="1" applyAlignment="1" applyProtection="1">
      <alignment horizontal="center" vertical="center" wrapText="1"/>
    </xf>
    <xf numFmtId="0" fontId="2" fillId="21" borderId="111" xfId="0" applyFont="1" applyFill="1" applyBorder="1" applyAlignment="1" applyProtection="1">
      <alignment horizontal="center" vertical="center" shrinkToFit="1"/>
    </xf>
    <xf numFmtId="185" fontId="2" fillId="21" borderId="112" xfId="0" applyNumberFormat="1" applyFont="1" applyFill="1" applyBorder="1" applyAlignment="1" applyProtection="1">
      <alignment horizontal="center" vertical="center" shrinkToFit="1"/>
    </xf>
    <xf numFmtId="0" fontId="2" fillId="0" borderId="105" xfId="0" applyFont="1" applyBorder="1" applyAlignment="1" applyProtection="1">
      <alignment vertical="center"/>
      <protection locked="0"/>
    </xf>
    <xf numFmtId="0" fontId="60" fillId="18" borderId="179" xfId="0" applyFont="1" applyFill="1" applyBorder="1" applyAlignment="1" applyProtection="1">
      <alignment vertical="center"/>
      <protection locked="0"/>
    </xf>
    <xf numFmtId="0" fontId="2" fillId="18" borderId="118" xfId="0" applyFont="1" applyFill="1" applyBorder="1" applyAlignment="1" applyProtection="1">
      <alignment vertical="center"/>
      <protection locked="0"/>
    </xf>
    <xf numFmtId="0" fontId="2" fillId="18" borderId="107" xfId="0" applyFont="1" applyFill="1" applyBorder="1" applyAlignment="1" applyProtection="1">
      <alignment vertical="center"/>
      <protection locked="0"/>
    </xf>
    <xf numFmtId="0" fontId="2" fillId="18" borderId="182" xfId="0" applyFont="1" applyFill="1" applyBorder="1" applyAlignment="1" applyProtection="1">
      <alignment vertical="center"/>
      <protection locked="0"/>
    </xf>
    <xf numFmtId="0" fontId="2" fillId="18" borderId="179" xfId="0" applyFont="1" applyFill="1" applyBorder="1" applyAlignment="1" applyProtection="1">
      <alignment vertical="center"/>
      <protection locked="0"/>
    </xf>
    <xf numFmtId="0" fontId="2" fillId="19" borderId="129" xfId="0" applyFont="1" applyFill="1" applyBorder="1" applyAlignment="1" applyProtection="1">
      <alignment vertical="center" wrapText="1"/>
    </xf>
    <xf numFmtId="0" fontId="2" fillId="19" borderId="132" xfId="0" applyFont="1" applyFill="1" applyBorder="1" applyAlignment="1" applyProtection="1">
      <alignment vertical="center" wrapText="1"/>
    </xf>
    <xf numFmtId="185" fontId="165" fillId="0" borderId="118" xfId="0" applyNumberFormat="1" applyFont="1" applyBorder="1" applyAlignment="1">
      <alignment horizontal="center" vertical="center"/>
    </xf>
    <xf numFmtId="185" fontId="165" fillId="36" borderId="107" xfId="0" applyNumberFormat="1" applyFont="1" applyFill="1" applyBorder="1" applyAlignment="1">
      <alignment horizontal="center" vertical="center"/>
    </xf>
    <xf numFmtId="0" fontId="2" fillId="18" borderId="146" xfId="0" applyFont="1" applyFill="1" applyBorder="1" applyAlignment="1">
      <alignment horizontal="center" vertical="center" wrapText="1"/>
    </xf>
    <xf numFmtId="0" fontId="2" fillId="18" borderId="105" xfId="0" applyFont="1" applyFill="1" applyBorder="1" applyAlignment="1">
      <alignment horizontal="center" vertical="center" wrapText="1"/>
    </xf>
    <xf numFmtId="0" fontId="2" fillId="20" borderId="118" xfId="0" applyFont="1" applyFill="1" applyBorder="1" applyAlignment="1" applyProtection="1">
      <alignment horizontal="center" vertical="center"/>
      <protection locked="0"/>
    </xf>
    <xf numFmtId="0" fontId="2" fillId="0" borderId="108" xfId="0" applyNumberFormat="1" applyFont="1" applyFill="1" applyBorder="1" applyAlignment="1" applyProtection="1">
      <alignment horizontal="center" vertical="center"/>
    </xf>
    <xf numFmtId="0" fontId="2" fillId="21" borderId="131" xfId="0" applyFont="1" applyFill="1" applyBorder="1" applyAlignment="1">
      <alignment horizontal="left" vertical="center"/>
    </xf>
    <xf numFmtId="0" fontId="2" fillId="0" borderId="105" xfId="0" applyFont="1" applyBorder="1" applyAlignment="1">
      <alignment vertical="center"/>
    </xf>
    <xf numFmtId="0" fontId="2" fillId="0" borderId="125" xfId="0" applyFont="1" applyBorder="1" applyAlignment="1">
      <alignment wrapText="1"/>
    </xf>
    <xf numFmtId="0" fontId="2" fillId="21" borderId="108" xfId="0" applyFont="1" applyFill="1" applyBorder="1" applyAlignment="1">
      <alignment horizontal="center" vertical="center"/>
    </xf>
    <xf numFmtId="0" fontId="2" fillId="0" borderId="0" xfId="0" applyFont="1" applyBorder="1" applyAlignment="1">
      <alignment wrapText="1"/>
    </xf>
    <xf numFmtId="0" fontId="2" fillId="18" borderId="178" xfId="0" applyFont="1" applyFill="1" applyBorder="1" applyAlignment="1">
      <alignment horizontal="center" vertical="center"/>
    </xf>
    <xf numFmtId="185" fontId="165" fillId="0" borderId="107" xfId="0" applyNumberFormat="1" applyFont="1" applyFill="1" applyBorder="1" applyAlignment="1">
      <alignment vertical="center"/>
    </xf>
    <xf numFmtId="185" fontId="2" fillId="0" borderId="160" xfId="0" applyNumberFormat="1" applyFont="1" applyFill="1" applyBorder="1" applyAlignment="1">
      <alignment vertical="center"/>
    </xf>
    <xf numFmtId="0" fontId="2" fillId="21" borderId="111" xfId="0" applyFont="1" applyFill="1" applyBorder="1" applyAlignment="1">
      <alignment horizontal="center" vertical="center"/>
    </xf>
    <xf numFmtId="185" fontId="2" fillId="0" borderId="112" xfId="0" applyNumberFormat="1" applyFont="1" applyFill="1" applyBorder="1" applyAlignment="1">
      <alignment vertical="center"/>
    </xf>
    <xf numFmtId="0" fontId="2" fillId="0" borderId="112" xfId="0" applyFont="1" applyFill="1" applyBorder="1" applyAlignment="1" applyProtection="1">
      <alignment vertical="center"/>
    </xf>
    <xf numFmtId="0" fontId="2" fillId="18" borderId="129" xfId="0" applyFont="1" applyFill="1" applyBorder="1" applyAlignment="1">
      <alignment vertical="center"/>
    </xf>
    <xf numFmtId="0" fontId="2" fillId="0" borderId="116" xfId="0" applyFont="1" applyFill="1" applyBorder="1" applyAlignment="1">
      <alignment vertical="center"/>
    </xf>
    <xf numFmtId="0" fontId="2" fillId="18" borderId="149" xfId="0" applyFont="1" applyFill="1" applyBorder="1" applyAlignment="1">
      <alignment horizontal="center" vertical="center"/>
    </xf>
    <xf numFmtId="0" fontId="2" fillId="18" borderId="118" xfId="0" applyFont="1" applyFill="1" applyBorder="1" applyAlignment="1">
      <alignment horizontal="center" vertical="center"/>
    </xf>
    <xf numFmtId="0" fontId="2" fillId="0" borderId="119" xfId="0" applyFont="1" applyFill="1" applyBorder="1" applyAlignment="1">
      <alignment vertical="center"/>
    </xf>
    <xf numFmtId="0" fontId="2" fillId="0" borderId="119" xfId="0" applyFont="1" applyFill="1" applyBorder="1" applyAlignment="1" applyProtection="1">
      <alignment vertical="center"/>
    </xf>
    <xf numFmtId="0" fontId="9" fillId="0" borderId="125" xfId="0" applyFont="1" applyFill="1" applyBorder="1" applyAlignment="1" applyProtection="1"/>
    <xf numFmtId="0" fontId="2" fillId="0" borderId="108" xfId="0" applyFont="1" applyFill="1" applyBorder="1" applyAlignment="1" applyProtection="1">
      <alignment vertical="center"/>
    </xf>
    <xf numFmtId="0" fontId="2" fillId="18" borderId="111" xfId="0" applyFont="1" applyFill="1" applyBorder="1" applyAlignment="1">
      <alignment horizontal="center" vertical="center" wrapText="1"/>
    </xf>
    <xf numFmtId="0" fontId="2" fillId="0" borderId="116" xfId="0" applyFont="1" applyFill="1" applyBorder="1" applyAlignment="1" applyProtection="1">
      <alignment vertical="center"/>
    </xf>
    <xf numFmtId="0" fontId="164" fillId="18" borderId="0" xfId="0" applyFont="1" applyFill="1" applyBorder="1" applyAlignment="1">
      <alignment horizontal="center"/>
    </xf>
    <xf numFmtId="0" fontId="2" fillId="19" borderId="128" xfId="0" applyNumberFormat="1" applyFont="1" applyFill="1" applyBorder="1" applyAlignment="1">
      <alignment horizontal="center" vertical="center"/>
    </xf>
    <xf numFmtId="0" fontId="2" fillId="18" borderId="111" xfId="0" applyFont="1" applyFill="1" applyBorder="1" applyAlignment="1">
      <alignment horizontal="center" vertical="center"/>
    </xf>
    <xf numFmtId="0" fontId="2" fillId="21" borderId="160" xfId="0" applyFont="1" applyFill="1" applyBorder="1" applyAlignment="1" applyProtection="1">
      <alignment horizontal="center" vertical="center"/>
    </xf>
    <xf numFmtId="0" fontId="2" fillId="21" borderId="128" xfId="0" applyFont="1" applyFill="1" applyBorder="1" applyAlignment="1" applyProtection="1">
      <alignment horizontal="center" vertical="center"/>
    </xf>
    <xf numFmtId="0" fontId="2" fillId="0" borderId="206" xfId="0" applyFont="1" applyBorder="1" applyAlignment="1" applyProtection="1">
      <alignment vertical="center"/>
      <protection locked="0"/>
    </xf>
    <xf numFmtId="0" fontId="2" fillId="18" borderId="113" xfId="0" applyFont="1" applyFill="1" applyBorder="1" applyAlignment="1" applyProtection="1">
      <alignment vertical="center" wrapText="1"/>
      <protection locked="0"/>
    </xf>
    <xf numFmtId="185" fontId="165" fillId="19" borderId="120" xfId="0" applyNumberFormat="1" applyFont="1" applyFill="1" applyBorder="1" applyAlignment="1" applyProtection="1">
      <alignment vertical="center"/>
    </xf>
    <xf numFmtId="185" fontId="165" fillId="0" borderId="120" xfId="0" applyNumberFormat="1" applyFont="1" applyFill="1" applyBorder="1" applyAlignment="1" applyProtection="1">
      <alignment vertical="center"/>
      <protection locked="0"/>
    </xf>
    <xf numFmtId="185" fontId="165" fillId="21" borderId="108" xfId="0" applyNumberFormat="1" applyFont="1" applyFill="1" applyBorder="1" applyAlignment="1" applyProtection="1">
      <alignment vertical="center"/>
    </xf>
    <xf numFmtId="0" fontId="2" fillId="18" borderId="119" xfId="0" applyFont="1" applyFill="1" applyBorder="1" applyAlignment="1" applyProtection="1">
      <alignment horizontal="center" vertical="center"/>
      <protection locked="0"/>
    </xf>
    <xf numFmtId="0" fontId="2" fillId="18" borderId="116" xfId="0" applyFont="1" applyFill="1" applyBorder="1" applyAlignment="1" applyProtection="1">
      <alignment horizontal="center" vertical="center"/>
      <protection locked="0"/>
    </xf>
    <xf numFmtId="0" fontId="2" fillId="19" borderId="112" xfId="0" applyNumberFormat="1" applyFont="1" applyFill="1" applyBorder="1" applyAlignment="1" applyProtection="1">
      <alignment horizontal="center" vertical="center"/>
    </xf>
    <xf numFmtId="0" fontId="251" fillId="24" borderId="193" xfId="0" applyFont="1" applyFill="1" applyBorder="1" applyAlignment="1" applyProtection="1">
      <alignment horizontal="center" vertical="center"/>
      <protection locked="0"/>
    </xf>
    <xf numFmtId="0" fontId="251" fillId="24" borderId="97" xfId="0" applyFont="1" applyFill="1" applyBorder="1" applyAlignment="1" applyProtection="1">
      <alignment horizontal="center" vertical="center"/>
      <protection locked="0"/>
    </xf>
    <xf numFmtId="0" fontId="0" fillId="24" borderId="46" xfId="0" applyFill="1" applyBorder="1" applyAlignment="1">
      <alignment horizontal="center" vertical="center"/>
    </xf>
    <xf numFmtId="0" fontId="0" fillId="24" borderId="87" xfId="0" applyFill="1" applyBorder="1" applyAlignment="1">
      <alignment horizontal="center" vertical="center"/>
    </xf>
    <xf numFmtId="0" fontId="0" fillId="24" borderId="47" xfId="0" applyFill="1" applyBorder="1" applyAlignment="1">
      <alignment horizontal="center" vertical="center"/>
    </xf>
    <xf numFmtId="0" fontId="2" fillId="18" borderId="227"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0" fillId="19" borderId="215" xfId="0" applyFill="1" applyBorder="1" applyAlignment="1" applyProtection="1">
      <alignment vertical="center"/>
    </xf>
    <xf numFmtId="0" fontId="0" fillId="19" borderId="219" xfId="0" applyFill="1" applyBorder="1" applyAlignment="1" applyProtection="1">
      <alignment vertical="center"/>
    </xf>
    <xf numFmtId="31" fontId="2" fillId="19" borderId="228" xfId="0" applyNumberFormat="1" applyFont="1" applyFill="1" applyBorder="1" applyAlignment="1" applyProtection="1">
      <alignment vertical="center"/>
    </xf>
    <xf numFmtId="0" fontId="2" fillId="18" borderId="226" xfId="0" applyFont="1" applyFill="1" applyBorder="1" applyAlignment="1" applyProtection="1">
      <alignment horizontal="center" vertical="center"/>
      <protection locked="0"/>
    </xf>
    <xf numFmtId="0" fontId="2" fillId="18" borderId="215" xfId="0" applyFont="1" applyFill="1" applyBorder="1" applyAlignment="1" applyProtection="1">
      <alignment horizontal="center" vertical="center"/>
      <protection locked="0"/>
    </xf>
    <xf numFmtId="0" fontId="2" fillId="18" borderId="213" xfId="0" applyFont="1" applyFill="1" applyBorder="1" applyAlignment="1" applyProtection="1">
      <alignment horizontal="center" vertical="center"/>
      <protection locked="0"/>
    </xf>
    <xf numFmtId="0" fontId="2" fillId="18" borderId="219" xfId="0" applyFont="1" applyFill="1" applyBorder="1" applyAlignment="1" applyProtection="1">
      <alignment horizontal="center" vertical="center"/>
      <protection locked="0"/>
    </xf>
    <xf numFmtId="0" fontId="0" fillId="24" borderId="21" xfId="0" applyFill="1" applyBorder="1" applyAlignment="1">
      <alignment vertical="center" textRotation="255" wrapText="1"/>
    </xf>
    <xf numFmtId="0" fontId="0" fillId="24" borderId="8" xfId="0" applyFill="1" applyBorder="1" applyAlignment="1">
      <alignment vertical="center" textRotation="255" wrapText="1"/>
    </xf>
    <xf numFmtId="0" fontId="0" fillId="24" borderId="10" xfId="0" applyFill="1" applyBorder="1" applyAlignment="1">
      <alignment vertical="center" textRotation="255" wrapText="1"/>
    </xf>
    <xf numFmtId="0" fontId="0" fillId="24" borderId="6" xfId="0" applyFill="1" applyBorder="1" applyAlignment="1">
      <alignment vertical="center" textRotation="255" wrapText="1"/>
    </xf>
    <xf numFmtId="0" fontId="0" fillId="24" borderId="260" xfId="0" applyFill="1" applyBorder="1" applyAlignment="1">
      <alignment vertical="center" textRotation="255" wrapText="1"/>
    </xf>
    <xf numFmtId="0" fontId="0" fillId="24" borderId="261" xfId="0" applyFill="1" applyBorder="1" applyAlignment="1">
      <alignment vertical="center" textRotation="255" wrapText="1"/>
    </xf>
    <xf numFmtId="0" fontId="0" fillId="24" borderId="37" xfId="0" applyFill="1" applyBorder="1" applyAlignment="1">
      <alignment vertical="center" textRotation="255" wrapText="1"/>
    </xf>
    <xf numFmtId="0" fontId="14" fillId="0" borderId="221" xfId="0" applyFont="1" applyBorder="1" applyAlignment="1">
      <alignment horizontal="center" vertical="top" wrapText="1"/>
    </xf>
    <xf numFmtId="0" fontId="14" fillId="0" borderId="222" xfId="0" applyFont="1" applyBorder="1" applyAlignment="1">
      <alignment horizontal="center" vertical="top" wrapText="1"/>
    </xf>
    <xf numFmtId="176" fontId="165" fillId="0" borderId="223" xfId="0" applyNumberFormat="1" applyFont="1" applyBorder="1" applyAlignment="1">
      <alignment horizontal="center" vertical="center"/>
    </xf>
    <xf numFmtId="176" fontId="165" fillId="0" borderId="224" xfId="0" applyNumberFormat="1" applyFont="1" applyBorder="1" applyAlignment="1">
      <alignment horizontal="center" vertical="center"/>
    </xf>
    <xf numFmtId="176" fontId="165" fillId="0" borderId="224" xfId="0" applyNumberFormat="1" applyFont="1" applyBorder="1" applyAlignment="1">
      <alignment horizontal="center" vertical="center" wrapText="1"/>
    </xf>
    <xf numFmtId="0" fontId="8" fillId="0" borderId="17" xfId="0" applyFont="1" applyBorder="1" applyAlignment="1">
      <alignment horizontal="center" vertical="center" wrapText="1"/>
    </xf>
    <xf numFmtId="0" fontId="8" fillId="0" borderId="18" xfId="0" applyFont="1" applyBorder="1" applyAlignment="1">
      <alignment horizontal="center" vertical="center" wrapText="1"/>
    </xf>
    <xf numFmtId="176" fontId="165" fillId="0" borderId="3" xfId="0" applyNumberFormat="1" applyFont="1" applyBorder="1" applyAlignment="1">
      <alignment horizontal="center" vertical="center"/>
    </xf>
    <xf numFmtId="0" fontId="2" fillId="28" borderId="217" xfId="0" applyFont="1" applyFill="1" applyBorder="1" applyAlignment="1">
      <alignment horizontal="center" vertical="center" wrapText="1"/>
    </xf>
    <xf numFmtId="0" fontId="2" fillId="28" borderId="218" xfId="0" applyFont="1" applyFill="1" applyBorder="1" applyAlignment="1">
      <alignment horizontal="center" vertical="center" wrapText="1"/>
    </xf>
    <xf numFmtId="176" fontId="165" fillId="0" borderId="218" xfId="0" applyNumberFormat="1" applyFont="1" applyBorder="1" applyAlignment="1">
      <alignment horizontal="center" vertical="center"/>
    </xf>
    <xf numFmtId="176" fontId="165" fillId="0" borderId="219" xfId="0" applyNumberFormat="1" applyFont="1" applyBorder="1" applyAlignment="1">
      <alignment horizontal="center" vertical="center"/>
    </xf>
    <xf numFmtId="176" fontId="165" fillId="0" borderId="219" xfId="0" applyNumberFormat="1" applyFont="1" applyBorder="1" applyAlignment="1">
      <alignment horizontal="center" vertical="center" wrapText="1"/>
    </xf>
    <xf numFmtId="176" fontId="165" fillId="29" borderId="218" xfId="0" applyNumberFormat="1" applyFont="1" applyFill="1" applyBorder="1" applyAlignment="1">
      <alignment horizontal="center" vertical="center"/>
    </xf>
    <xf numFmtId="176" fontId="165" fillId="29" borderId="219" xfId="0" applyNumberFormat="1" applyFont="1" applyFill="1" applyBorder="1" applyAlignment="1">
      <alignment horizontal="center" vertical="center"/>
    </xf>
    <xf numFmtId="176" fontId="165" fillId="29" borderId="219" xfId="0" applyNumberFormat="1" applyFont="1" applyFill="1" applyBorder="1" applyAlignment="1">
      <alignment horizontal="center" vertical="center" wrapText="1"/>
    </xf>
    <xf numFmtId="0" fontId="2" fillId="28" borderId="211" xfId="0" applyFont="1" applyFill="1" applyBorder="1" applyAlignment="1">
      <alignment horizontal="center" vertical="center" wrapText="1"/>
    </xf>
    <xf numFmtId="0" fontId="2" fillId="28" borderId="3" xfId="0" applyFont="1" applyFill="1" applyBorder="1" applyAlignment="1">
      <alignment horizontal="center" vertical="center" wrapText="1"/>
    </xf>
    <xf numFmtId="0" fontId="2" fillId="28" borderId="212" xfId="0" applyFont="1" applyFill="1" applyBorder="1" applyAlignment="1">
      <alignment horizontal="center" vertical="center" wrapText="1"/>
    </xf>
    <xf numFmtId="0" fontId="2" fillId="28" borderId="213" xfId="0" applyFont="1" applyFill="1" applyBorder="1" applyAlignment="1">
      <alignment horizontal="center" vertical="center" wrapText="1"/>
    </xf>
    <xf numFmtId="176" fontId="165" fillId="29" borderId="214" xfId="0" applyNumberFormat="1" applyFont="1" applyFill="1" applyBorder="1" applyAlignment="1">
      <alignment horizontal="center" vertical="center"/>
    </xf>
    <xf numFmtId="176" fontId="165" fillId="29" borderId="215" xfId="0" applyNumberFormat="1" applyFont="1" applyFill="1" applyBorder="1" applyAlignment="1">
      <alignment horizontal="center" vertical="center"/>
    </xf>
    <xf numFmtId="176" fontId="165" fillId="29" borderId="215" xfId="0" applyNumberFormat="1" applyFont="1" applyFill="1" applyBorder="1" applyAlignment="1">
      <alignment horizontal="center" vertical="center" wrapText="1"/>
    </xf>
    <xf numFmtId="0" fontId="2" fillId="18" borderId="208" xfId="0" applyFont="1" applyFill="1" applyBorder="1" applyAlignment="1" applyProtection="1">
      <alignment horizontal="center" vertical="center"/>
      <protection locked="0"/>
    </xf>
    <xf numFmtId="0" fontId="2" fillId="18" borderId="209" xfId="0" applyFont="1" applyFill="1" applyBorder="1" applyAlignment="1" applyProtection="1">
      <alignment horizontal="center" vertical="center"/>
      <protection locked="0"/>
    </xf>
    <xf numFmtId="0" fontId="2" fillId="18" borderId="210" xfId="0" applyFont="1" applyFill="1" applyBorder="1" applyAlignment="1" applyProtection="1">
      <alignment horizontal="center" vertical="center"/>
      <protection locked="0"/>
    </xf>
    <xf numFmtId="0" fontId="164" fillId="28" borderId="0" xfId="0" applyFont="1" applyFill="1" applyBorder="1" applyAlignment="1">
      <alignment horizontal="center" vertical="center"/>
    </xf>
    <xf numFmtId="0" fontId="2" fillId="29" borderId="103" xfId="0" applyFont="1" applyFill="1" applyBorder="1" applyAlignment="1">
      <alignment vertical="center"/>
    </xf>
    <xf numFmtId="0" fontId="2" fillId="29" borderId="130" xfId="0" applyNumberFormat="1" applyFont="1" applyFill="1" applyBorder="1" applyAlignment="1">
      <alignment vertical="center"/>
    </xf>
    <xf numFmtId="0" fontId="2" fillId="29" borderId="198" xfId="0" applyNumberFormat="1" applyFont="1" applyFill="1" applyBorder="1" applyAlignment="1">
      <alignment vertical="center"/>
    </xf>
    <xf numFmtId="0" fontId="2" fillId="29" borderId="131" xfId="0" applyNumberFormat="1" applyFont="1" applyFill="1" applyBorder="1" applyAlignment="1">
      <alignment vertical="center"/>
    </xf>
    <xf numFmtId="0" fontId="2" fillId="29" borderId="107" xfId="0" applyFont="1" applyFill="1" applyBorder="1" applyAlignment="1">
      <alignment vertical="center"/>
    </xf>
    <xf numFmtId="0" fontId="2" fillId="29" borderId="123" xfId="0" applyNumberFormat="1" applyFont="1" applyFill="1" applyBorder="1" applyAlignment="1">
      <alignment vertical="center"/>
    </xf>
    <xf numFmtId="0" fontId="2" fillId="29" borderId="180" xfId="0" applyNumberFormat="1" applyFont="1" applyFill="1" applyBorder="1" applyAlignment="1">
      <alignment vertical="center"/>
    </xf>
    <xf numFmtId="0" fontId="2" fillId="0" borderId="213" xfId="0" applyFont="1" applyBorder="1" applyAlignment="1">
      <alignment horizontal="center" vertical="center" wrapText="1"/>
    </xf>
    <xf numFmtId="0" fontId="2" fillId="0" borderId="219" xfId="0" applyFont="1" applyBorder="1" applyAlignment="1">
      <alignment horizontal="center" vertical="center" wrapText="1"/>
    </xf>
    <xf numFmtId="0" fontId="2" fillId="0" borderId="227" xfId="0" applyFont="1" applyBorder="1" applyAlignment="1">
      <alignment horizontal="center" vertical="center" wrapText="1"/>
    </xf>
    <xf numFmtId="0" fontId="2" fillId="0" borderId="228" xfId="0" applyFont="1" applyBorder="1" applyAlignment="1">
      <alignment horizontal="center" vertical="center" wrapText="1"/>
    </xf>
    <xf numFmtId="0" fontId="2" fillId="0" borderId="226" xfId="0" applyFont="1" applyFill="1" applyBorder="1" applyAlignment="1">
      <alignment horizontal="center" vertical="center" wrapText="1"/>
    </xf>
    <xf numFmtId="0" fontId="2" fillId="0" borderId="215" xfId="0" applyFont="1" applyFill="1" applyBorder="1" applyAlignment="1">
      <alignment horizontal="center" vertical="center" wrapText="1"/>
    </xf>
    <xf numFmtId="0" fontId="2" fillId="0" borderId="213" xfId="0" applyFont="1" applyFill="1" applyBorder="1" applyAlignment="1">
      <alignment horizontal="center" vertical="center" wrapText="1"/>
    </xf>
    <xf numFmtId="0" fontId="2" fillId="0" borderId="219" xfId="0" applyFont="1" applyFill="1" applyBorder="1" applyAlignment="1">
      <alignment horizontal="center" vertical="center" wrapText="1"/>
    </xf>
    <xf numFmtId="0" fontId="0" fillId="28" borderId="5" xfId="0" applyFill="1" applyBorder="1" applyAlignment="1">
      <alignment horizontal="center" vertical="center"/>
    </xf>
    <xf numFmtId="0" fontId="0" fillId="28" borderId="20" xfId="0" applyFill="1" applyBorder="1" applyAlignment="1">
      <alignment horizontal="center" vertical="center"/>
    </xf>
    <xf numFmtId="0" fontId="2" fillId="29" borderId="114" xfId="0" applyNumberFormat="1" applyFont="1" applyFill="1" applyBorder="1" applyAlignment="1">
      <alignment vertical="center"/>
    </xf>
    <xf numFmtId="0" fontId="2" fillId="29" borderId="154" xfId="0" applyNumberFormat="1" applyFont="1" applyFill="1" applyBorder="1" applyAlignment="1">
      <alignment vertical="center"/>
    </xf>
    <xf numFmtId="0" fontId="2" fillId="29" borderId="118" xfId="0" applyFont="1" applyFill="1" applyBorder="1" applyAlignment="1">
      <alignment vertical="center"/>
    </xf>
    <xf numFmtId="198" fontId="2" fillId="29" borderId="117" xfId="0" applyNumberFormat="1" applyFont="1" applyFill="1" applyBorder="1" applyAlignment="1">
      <alignment vertical="center"/>
    </xf>
    <xf numFmtId="198" fontId="2" fillId="29" borderId="177" xfId="0" applyNumberFormat="1" applyFont="1" applyFill="1" applyBorder="1" applyAlignment="1">
      <alignment vertical="center"/>
    </xf>
    <xf numFmtId="49" fontId="2" fillId="29" borderId="107" xfId="0" applyNumberFormat="1" applyFont="1" applyFill="1" applyBorder="1" applyAlignment="1">
      <alignment vertical="center"/>
    </xf>
    <xf numFmtId="198" fontId="2" fillId="29" borderId="123" xfId="0" applyNumberFormat="1" applyFont="1" applyFill="1" applyBorder="1" applyAlignment="1">
      <alignment vertical="center"/>
    </xf>
    <xf numFmtId="198" fontId="2" fillId="29" borderId="180" xfId="0" applyNumberFormat="1" applyFont="1" applyFill="1" applyBorder="1" applyAlignment="1">
      <alignment vertical="center"/>
    </xf>
    <xf numFmtId="0" fontId="141" fillId="24" borderId="0" xfId="0" applyFont="1" applyFill="1" applyAlignment="1">
      <alignment horizontal="right" vertical="center"/>
    </xf>
    <xf numFmtId="0" fontId="163" fillId="24" borderId="0" xfId="0" applyFont="1" applyFill="1" applyAlignment="1">
      <alignment horizontal="right" vertical="center"/>
    </xf>
    <xf numFmtId="0" fontId="249" fillId="18" borderId="0" xfId="0" applyFont="1" applyFill="1" applyBorder="1" applyAlignment="1" applyProtection="1">
      <alignment horizontal="right" vertical="center"/>
      <protection locked="0"/>
    </xf>
    <xf numFmtId="0" fontId="2" fillId="18" borderId="0" xfId="0" applyFont="1" applyFill="1" applyBorder="1" applyAlignment="1" applyProtection="1">
      <alignment horizontal="center" vertical="center"/>
      <protection locked="0"/>
    </xf>
    <xf numFmtId="0" fontId="2" fillId="19" borderId="101" xfId="0" applyFont="1" applyFill="1" applyBorder="1" applyAlignment="1" applyProtection="1">
      <alignment vertical="center"/>
    </xf>
    <xf numFmtId="0" fontId="2" fillId="18" borderId="101" xfId="0" applyFont="1" applyFill="1" applyBorder="1" applyAlignment="1" applyProtection="1">
      <alignment horizontal="right" vertical="center"/>
      <protection locked="0"/>
    </xf>
    <xf numFmtId="0" fontId="170" fillId="18" borderId="0" xfId="0" applyFont="1" applyFill="1" applyBorder="1" applyAlignment="1" applyProtection="1">
      <alignment horizontal="right" vertical="center"/>
      <protection locked="0"/>
    </xf>
    <xf numFmtId="0" fontId="2" fillId="19" borderId="101" xfId="0" applyFont="1" applyFill="1" applyBorder="1" applyAlignment="1" applyProtection="1"/>
    <xf numFmtId="0" fontId="2" fillId="24" borderId="3" xfId="0" applyFont="1" applyFill="1" applyBorder="1" applyAlignment="1">
      <alignment horizontal="center" vertical="center"/>
    </xf>
    <xf numFmtId="0" fontId="169" fillId="24" borderId="0" xfId="0" applyFont="1" applyFill="1" applyBorder="1" applyAlignment="1">
      <alignment horizontal="right" vertical="center" wrapText="1"/>
    </xf>
    <xf numFmtId="0" fontId="169" fillId="24" borderId="0" xfId="0" applyFont="1" applyFill="1" applyBorder="1" applyAlignment="1">
      <alignment horizontal="right" vertical="center"/>
    </xf>
    <xf numFmtId="0" fontId="169" fillId="24" borderId="101" xfId="0" applyFont="1" applyFill="1" applyBorder="1" applyAlignment="1">
      <alignment horizontal="right" vertical="center"/>
    </xf>
    <xf numFmtId="0" fontId="140" fillId="18" borderId="101" xfId="0" applyFont="1" applyFill="1" applyBorder="1" applyAlignment="1" applyProtection="1">
      <alignment horizontal="right" vertical="center"/>
    </xf>
    <xf numFmtId="0" fontId="2" fillId="24" borderId="5" xfId="0" applyFont="1" applyFill="1" applyBorder="1" applyAlignment="1">
      <alignment horizontal="center" vertical="center" wrapText="1"/>
    </xf>
    <xf numFmtId="0" fontId="2" fillId="24" borderId="20" xfId="0" applyFont="1" applyFill="1" applyBorder="1" applyAlignment="1">
      <alignment horizontal="center" vertical="center" wrapText="1"/>
    </xf>
    <xf numFmtId="0" fontId="170" fillId="24" borderId="0" xfId="0" applyFont="1" applyFill="1" applyBorder="1" applyAlignment="1">
      <alignment horizontal="right" vertical="center"/>
    </xf>
    <xf numFmtId="0" fontId="170" fillId="24" borderId="24" xfId="0" applyFont="1" applyFill="1" applyBorder="1" applyAlignment="1">
      <alignment horizontal="right" vertical="center"/>
    </xf>
    <xf numFmtId="0" fontId="2" fillId="24" borderId="5" xfId="0" applyFont="1" applyFill="1" applyBorder="1" applyAlignment="1">
      <alignment horizontal="center" vertical="center"/>
    </xf>
    <xf numFmtId="0" fontId="2" fillId="24" borderId="19" xfId="0" applyFont="1" applyFill="1" applyBorder="1" applyAlignment="1">
      <alignment horizontal="center" vertical="center"/>
    </xf>
    <xf numFmtId="0" fontId="2" fillId="24" borderId="20" xfId="0" applyFont="1" applyFill="1" applyBorder="1" applyAlignment="1">
      <alignment horizontal="center" vertical="center"/>
    </xf>
    <xf numFmtId="0" fontId="170" fillId="24" borderId="0" xfId="0" applyFont="1" applyFill="1" applyBorder="1" applyAlignment="1">
      <alignment horizontal="right" vertical="center" indent="13"/>
    </xf>
    <xf numFmtId="0" fontId="170" fillId="24" borderId="24" xfId="0" applyFont="1" applyFill="1" applyBorder="1" applyAlignment="1">
      <alignment horizontal="right" vertical="center" indent="13"/>
    </xf>
    <xf numFmtId="0" fontId="2" fillId="24" borderId="3" xfId="0" applyFont="1" applyFill="1" applyBorder="1" applyAlignment="1">
      <alignment horizontal="center" vertical="center" wrapText="1"/>
    </xf>
    <xf numFmtId="0" fontId="2" fillId="24" borderId="19" xfId="0" applyFont="1" applyFill="1" applyBorder="1" applyAlignment="1">
      <alignment horizontal="center" vertical="center" wrapText="1"/>
    </xf>
    <xf numFmtId="0" fontId="2" fillId="24" borderId="17" xfId="0" applyFont="1" applyFill="1" applyBorder="1" applyAlignment="1">
      <alignment horizontal="center" vertical="center"/>
    </xf>
    <xf numFmtId="0" fontId="2" fillId="24" borderId="42" xfId="0" applyFont="1" applyFill="1" applyBorder="1" applyAlignment="1">
      <alignment horizontal="center" vertical="center"/>
    </xf>
    <xf numFmtId="0" fontId="2" fillId="24" borderId="18" xfId="0" applyFont="1" applyFill="1" applyBorder="1" applyAlignment="1">
      <alignment horizontal="center" vertical="center"/>
    </xf>
    <xf numFmtId="0" fontId="7" fillId="0" borderId="0" xfId="0" applyFont="1" applyFill="1" applyAlignment="1">
      <alignment wrapText="1"/>
    </xf>
    <xf numFmtId="0" fontId="2" fillId="24" borderId="5" xfId="0" applyFont="1" applyFill="1" applyBorder="1" applyAlignment="1" applyProtection="1">
      <alignment horizontal="center" vertical="center" wrapText="1"/>
    </xf>
    <xf numFmtId="0" fontId="2" fillId="24" borderId="19" xfId="0" applyFont="1" applyFill="1" applyBorder="1" applyAlignment="1" applyProtection="1">
      <alignment horizontal="center" vertical="center" wrapText="1"/>
    </xf>
    <xf numFmtId="0" fontId="2" fillId="24" borderId="5" xfId="0" applyFont="1" applyFill="1" applyBorder="1" applyAlignment="1" applyProtection="1">
      <alignment horizontal="center" vertical="center"/>
    </xf>
    <xf numFmtId="0" fontId="2" fillId="24" borderId="19" xfId="0" applyFont="1" applyFill="1" applyBorder="1" applyAlignment="1" applyProtection="1">
      <alignment horizontal="center" vertical="center"/>
    </xf>
    <xf numFmtId="0" fontId="140" fillId="18" borderId="25" xfId="0" applyFont="1" applyFill="1" applyBorder="1" applyAlignment="1" applyProtection="1">
      <alignment horizontal="right" vertical="center"/>
    </xf>
    <xf numFmtId="0" fontId="2" fillId="24" borderId="3" xfId="0" applyFont="1" applyFill="1" applyBorder="1" applyAlignment="1" applyProtection="1">
      <alignment horizontal="center" vertical="center"/>
    </xf>
    <xf numFmtId="0" fontId="2" fillId="24" borderId="3" xfId="0" applyFont="1" applyFill="1" applyBorder="1" applyAlignment="1" applyProtection="1">
      <alignment horizontal="center" vertical="center" wrapText="1"/>
    </xf>
    <xf numFmtId="0" fontId="2" fillId="24" borderId="4" xfId="0" applyFont="1" applyFill="1" applyBorder="1" applyAlignment="1" applyProtection="1">
      <alignment horizontal="center" vertical="center" wrapText="1"/>
    </xf>
    <xf numFmtId="0" fontId="2" fillId="24" borderId="26" xfId="0" applyFont="1" applyFill="1" applyBorder="1" applyAlignment="1" applyProtection="1">
      <alignment horizontal="center" vertical="center" wrapText="1"/>
    </xf>
    <xf numFmtId="0" fontId="2" fillId="24" borderId="27" xfId="0" applyFont="1" applyFill="1" applyBorder="1" applyAlignment="1" applyProtection="1">
      <alignment horizontal="center" vertical="center" wrapText="1"/>
    </xf>
    <xf numFmtId="0" fontId="42" fillId="0" borderId="0" xfId="0" applyFont="1" applyBorder="1" applyAlignment="1" applyProtection="1">
      <alignment vertical="center" wrapText="1"/>
    </xf>
    <xf numFmtId="0" fontId="42" fillId="0" borderId="0" xfId="0" applyFont="1" applyFill="1" applyBorder="1" applyAlignment="1" applyProtection="1">
      <alignment vertical="center" wrapText="1"/>
    </xf>
    <xf numFmtId="0" fontId="2" fillId="18" borderId="182" xfId="0" applyFont="1" applyFill="1" applyBorder="1" applyAlignment="1" applyProtection="1">
      <alignment horizontal="center" vertical="center" wrapText="1"/>
    </xf>
    <xf numFmtId="0" fontId="2" fillId="20" borderId="197" xfId="0" applyFont="1" applyFill="1" applyBorder="1" applyAlignment="1" applyProtection="1">
      <alignment horizontal="right" vertical="center"/>
    </xf>
    <xf numFmtId="0" fontId="2" fillId="20" borderId="198" xfId="0" applyFont="1" applyFill="1" applyBorder="1" applyAlignment="1" applyProtection="1">
      <alignment horizontal="right" vertical="center"/>
    </xf>
    <xf numFmtId="0" fontId="2" fillId="21" borderId="198" xfId="0" applyFont="1" applyFill="1" applyBorder="1" applyAlignment="1" applyProtection="1">
      <alignment horizontal="left" vertical="center"/>
    </xf>
    <xf numFmtId="0" fontId="2" fillId="0" borderId="199" xfId="0" applyFont="1" applyBorder="1" applyAlignment="1" applyProtection="1">
      <alignment vertical="center"/>
      <protection locked="0"/>
    </xf>
    <xf numFmtId="0" fontId="2" fillId="18" borderId="195" xfId="0" applyFont="1" applyFill="1" applyBorder="1" applyAlignment="1" applyProtection="1">
      <alignment horizontal="center" vertical="center" wrapText="1"/>
    </xf>
    <xf numFmtId="0" fontId="2" fillId="21" borderId="180" xfId="0" applyFont="1" applyFill="1" applyBorder="1" applyAlignment="1" applyProtection="1">
      <alignment horizontal="center" vertical="center"/>
    </xf>
    <xf numFmtId="0" fontId="2" fillId="21" borderId="149" xfId="0" applyFont="1" applyFill="1" applyBorder="1" applyAlignment="1" applyProtection="1">
      <alignment horizontal="center" vertical="center"/>
    </xf>
    <xf numFmtId="0" fontId="2" fillId="0" borderId="118" xfId="0" applyFont="1" applyFill="1" applyBorder="1" applyAlignment="1" applyProtection="1">
      <alignment horizontal="center" vertical="center" shrinkToFit="1"/>
    </xf>
    <xf numFmtId="185" fontId="165" fillId="0" borderId="119" xfId="0" applyNumberFormat="1" applyFont="1" applyFill="1" applyBorder="1" applyAlignment="1" applyProtection="1">
      <alignment vertical="center" shrinkToFit="1"/>
      <protection locked="0"/>
    </xf>
    <xf numFmtId="0" fontId="2" fillId="21" borderId="132" xfId="0" applyFont="1" applyFill="1" applyBorder="1" applyAlignment="1" applyProtection="1">
      <alignment horizontal="center" vertical="center"/>
    </xf>
    <xf numFmtId="0" fontId="2" fillId="0" borderId="107" xfId="0" applyFont="1" applyFill="1" applyBorder="1" applyAlignment="1" applyProtection="1">
      <alignment horizontal="center" vertical="center" shrinkToFit="1"/>
    </xf>
    <xf numFmtId="185" fontId="165" fillId="21" borderId="112" xfId="0" applyNumberFormat="1" applyFont="1" applyFill="1" applyBorder="1" applyAlignment="1" applyProtection="1">
      <alignment vertical="center"/>
    </xf>
    <xf numFmtId="10" fontId="0" fillId="0" borderId="119" xfId="0" applyNumberFormat="1" applyFill="1" applyBorder="1" applyProtection="1">
      <alignment vertical="center"/>
      <protection locked="0"/>
    </xf>
    <xf numFmtId="185" fontId="165" fillId="21" borderId="119" xfId="0" applyNumberFormat="1" applyFont="1" applyFill="1" applyBorder="1" applyAlignment="1" applyProtection="1">
      <alignment vertical="center" shrinkToFit="1"/>
    </xf>
    <xf numFmtId="185" fontId="165" fillId="19" borderId="119" xfId="0" applyNumberFormat="1" applyFont="1" applyFill="1" applyBorder="1" applyAlignment="1" applyProtection="1">
      <alignment vertical="center" shrinkToFit="1"/>
    </xf>
    <xf numFmtId="185" fontId="165" fillId="25" borderId="119" xfId="0" applyNumberFormat="1" applyFont="1" applyFill="1" applyBorder="1" applyAlignment="1" applyProtection="1">
      <alignment vertical="center" shrinkToFit="1"/>
      <protection locked="0"/>
    </xf>
    <xf numFmtId="0" fontId="2" fillId="18" borderId="116" xfId="0" applyFont="1" applyFill="1" applyBorder="1" applyAlignment="1" applyProtection="1">
      <alignment horizontal="center" vertical="center" wrapText="1"/>
    </xf>
    <xf numFmtId="185" fontId="165" fillId="0" borderId="119" xfId="0" applyNumberFormat="1" applyFont="1" applyFill="1" applyBorder="1" applyAlignment="1" applyProtection="1">
      <alignment vertical="center"/>
      <protection locked="0"/>
    </xf>
    <xf numFmtId="185" fontId="165" fillId="33" borderId="117" xfId="0" applyNumberFormat="1" applyFont="1" applyFill="1" applyBorder="1" applyAlignment="1" applyProtection="1">
      <alignment horizontal="center" vertical="center"/>
      <protection locked="0"/>
    </xf>
    <xf numFmtId="185" fontId="165" fillId="33" borderId="158" xfId="0" applyNumberFormat="1" applyFont="1" applyFill="1" applyBorder="1" applyAlignment="1" applyProtection="1">
      <alignment horizontal="center" vertical="center"/>
      <protection locked="0"/>
    </xf>
    <xf numFmtId="0" fontId="179" fillId="18" borderId="149" xfId="0" applyFont="1" applyFill="1" applyBorder="1" applyAlignment="1" applyProtection="1">
      <alignment horizontal="center" vertical="center" wrapText="1"/>
    </xf>
    <xf numFmtId="185" fontId="2" fillId="18" borderId="123" xfId="0" applyNumberFormat="1" applyFont="1" applyFill="1" applyBorder="1" applyAlignment="1" applyProtection="1">
      <alignment horizontal="center" vertical="center"/>
    </xf>
    <xf numFmtId="185" fontId="2" fillId="18" borderId="147" xfId="0" applyNumberFormat="1" applyFont="1" applyFill="1" applyBorder="1" applyAlignment="1" applyProtection="1">
      <alignment horizontal="center" vertical="center"/>
    </xf>
    <xf numFmtId="0" fontId="2" fillId="18" borderId="149" xfId="0" applyFont="1" applyFill="1" applyBorder="1" applyAlignment="1" applyProtection="1">
      <alignment horizontal="center" vertical="center" wrapText="1"/>
    </xf>
    <xf numFmtId="185" fontId="165" fillId="21" borderId="118" xfId="0" applyNumberFormat="1" applyFont="1" applyFill="1" applyBorder="1" applyAlignment="1" applyProtection="1">
      <alignment horizontal="center" vertical="center"/>
    </xf>
    <xf numFmtId="185" fontId="165" fillId="0" borderId="118" xfId="0" applyNumberFormat="1" applyFont="1" applyFill="1" applyBorder="1" applyAlignment="1" applyProtection="1">
      <alignment horizontal="center" vertical="center"/>
      <protection locked="0"/>
    </xf>
    <xf numFmtId="186" fontId="165" fillId="21" borderId="118" xfId="0" applyNumberFormat="1" applyFont="1" applyFill="1" applyBorder="1" applyAlignment="1" applyProtection="1">
      <alignment horizontal="center" vertical="center"/>
    </xf>
    <xf numFmtId="185" fontId="165" fillId="19" borderId="118" xfId="0" applyNumberFormat="1" applyFont="1" applyFill="1" applyBorder="1" applyAlignment="1" applyProtection="1">
      <alignment horizontal="center" vertical="center"/>
    </xf>
    <xf numFmtId="3" fontId="2" fillId="18" borderId="103" xfId="0" applyNumberFormat="1" applyFont="1" applyFill="1" applyBorder="1" applyAlignment="1" applyProtection="1">
      <alignment horizontal="center" vertical="center"/>
    </xf>
    <xf numFmtId="0" fontId="2" fillId="21" borderId="151" xfId="0" applyFont="1" applyFill="1" applyBorder="1" applyAlignment="1" applyProtection="1">
      <alignment horizontal="center" vertical="center"/>
    </xf>
    <xf numFmtId="0" fontId="2" fillId="18" borderId="118" xfId="0" applyFont="1" applyFill="1" applyBorder="1" applyAlignment="1" applyProtection="1">
      <alignment horizontal="right" vertical="center"/>
    </xf>
    <xf numFmtId="0" fontId="1" fillId="18" borderId="123" xfId="0" applyFont="1" applyFill="1" applyBorder="1" applyAlignment="1" applyProtection="1">
      <alignment horizontal="right" vertical="center"/>
    </xf>
    <xf numFmtId="0" fontId="1" fillId="18" borderId="181" xfId="0" applyFont="1" applyFill="1" applyBorder="1" applyAlignment="1" applyProtection="1">
      <alignment horizontal="right" vertical="center"/>
    </xf>
    <xf numFmtId="0" fontId="1" fillId="18" borderId="147" xfId="0" applyFont="1" applyFill="1" applyBorder="1" applyAlignment="1" applyProtection="1">
      <alignment horizontal="right" vertical="center"/>
    </xf>
    <xf numFmtId="49" fontId="2" fillId="0" borderId="125" xfId="0" applyNumberFormat="1" applyFont="1" applyBorder="1" applyAlignment="1" applyProtection="1">
      <alignment vertical="center" wrapText="1"/>
      <protection locked="0"/>
    </xf>
    <xf numFmtId="0" fontId="2" fillId="18" borderId="129" xfId="0" applyFont="1" applyFill="1" applyBorder="1" applyAlignment="1" applyProtection="1">
      <alignment horizontal="right" vertical="center"/>
    </xf>
    <xf numFmtId="0" fontId="2" fillId="0" borderId="125" xfId="0" applyFont="1" applyBorder="1" applyAlignment="1" applyProtection="1">
      <alignment wrapText="1"/>
      <protection locked="0"/>
    </xf>
    <xf numFmtId="0" fontId="2" fillId="18" borderId="183" xfId="0" applyFont="1" applyFill="1" applyBorder="1" applyAlignment="1" applyProtection="1">
      <alignment horizontal="center" vertical="center"/>
      <protection locked="0"/>
    </xf>
    <xf numFmtId="0" fontId="2" fillId="18" borderId="122" xfId="0" applyFont="1" applyFill="1" applyBorder="1" applyAlignment="1" applyProtection="1">
      <alignment horizontal="center" vertical="center"/>
      <protection locked="0"/>
    </xf>
    <xf numFmtId="0" fontId="2" fillId="18" borderId="205" xfId="0" applyFont="1" applyFill="1" applyBorder="1" applyAlignment="1" applyProtection="1">
      <alignment horizontal="center" vertical="center"/>
      <protection locked="0"/>
    </xf>
    <xf numFmtId="0" fontId="2" fillId="18" borderId="125" xfId="0" applyFont="1" applyFill="1" applyBorder="1" applyAlignment="1" applyProtection="1">
      <alignment horizontal="center" vertical="center"/>
      <protection locked="0"/>
    </xf>
    <xf numFmtId="0" fontId="2" fillId="18" borderId="138" xfId="0" applyFont="1" applyFill="1" applyBorder="1" applyAlignment="1" applyProtection="1">
      <alignment horizontal="center" vertical="center"/>
      <protection locked="0"/>
    </xf>
    <xf numFmtId="0" fontId="2" fillId="18" borderId="101" xfId="0" applyFont="1" applyFill="1" applyBorder="1" applyAlignment="1" applyProtection="1">
      <alignment horizontal="center" vertical="center"/>
      <protection locked="0"/>
    </xf>
    <xf numFmtId="0" fontId="2" fillId="18" borderId="201" xfId="0" applyFont="1" applyFill="1" applyBorder="1" applyAlignment="1" applyProtection="1">
      <alignment horizontal="center" vertical="center"/>
      <protection locked="0"/>
    </xf>
    <xf numFmtId="0" fontId="2" fillId="18" borderId="118" xfId="0" applyFont="1" applyFill="1" applyBorder="1" applyAlignment="1" applyProtection="1">
      <alignment horizontal="right" vertical="center"/>
      <protection locked="0"/>
    </xf>
    <xf numFmtId="185" fontId="165" fillId="19" borderId="107" xfId="0" applyNumberFormat="1" applyFont="1" applyFill="1" applyBorder="1" applyAlignment="1" applyProtection="1">
      <alignment vertical="center"/>
    </xf>
    <xf numFmtId="185" fontId="165" fillId="0" borderId="107" xfId="0" applyNumberFormat="1" applyFont="1" applyFill="1" applyBorder="1" applyAlignment="1" applyProtection="1">
      <alignment vertical="center"/>
      <protection locked="0"/>
    </xf>
    <xf numFmtId="185" fontId="165" fillId="0" borderId="118"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18" borderId="103" xfId="0" applyFont="1" applyFill="1" applyBorder="1" applyAlignment="1" applyProtection="1">
      <alignment vertical="center"/>
      <protection locked="0"/>
    </xf>
    <xf numFmtId="0" fontId="2" fillId="0" borderId="132" xfId="0" applyFont="1" applyFill="1" applyBorder="1" applyAlignment="1" applyProtection="1">
      <alignment vertical="center"/>
      <protection locked="0"/>
    </xf>
    <xf numFmtId="0" fontId="2" fillId="0" borderId="107" xfId="0" applyFont="1" applyBorder="1" applyAlignment="1" applyProtection="1">
      <alignment vertical="center"/>
      <protection locked="0"/>
    </xf>
    <xf numFmtId="185" fontId="165" fillId="0" borderId="107" xfId="0" applyNumberFormat="1" applyFont="1" applyBorder="1" applyAlignment="1" applyProtection="1">
      <alignment vertical="center"/>
      <protection locked="0"/>
    </xf>
    <xf numFmtId="0" fontId="2" fillId="18" borderId="129" xfId="0" applyFont="1" applyFill="1" applyBorder="1" applyAlignment="1" applyProtection="1">
      <alignment vertical="center"/>
      <protection locked="0"/>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0" fontId="2" fillId="0" borderId="132" xfId="0" applyFont="1" applyBorder="1" applyAlignment="1" applyProtection="1">
      <alignment vertical="center"/>
      <protection locked="0"/>
    </xf>
    <xf numFmtId="185" fontId="165" fillId="0" borderId="118" xfId="0" applyNumberFormat="1" applyFont="1" applyFill="1" applyBorder="1" applyAlignment="1" applyProtection="1">
      <alignment vertical="center"/>
    </xf>
    <xf numFmtId="31" fontId="2" fillId="19" borderId="200" xfId="0" applyNumberFormat="1" applyFont="1" applyFill="1" applyBorder="1" applyAlignment="1" applyProtection="1">
      <alignment vertical="center"/>
    </xf>
    <xf numFmtId="31" fontId="2" fillId="19" borderId="101" xfId="0" applyNumberFormat="1" applyFont="1" applyFill="1" applyBorder="1" applyAlignment="1" applyProtection="1">
      <alignment vertical="center"/>
    </xf>
    <xf numFmtId="31" fontId="2" fillId="19" borderId="201" xfId="0" applyNumberFormat="1" applyFont="1" applyFill="1" applyBorder="1" applyAlignment="1" applyProtection="1">
      <alignment vertical="center"/>
    </xf>
    <xf numFmtId="0" fontId="2" fillId="18" borderId="148" xfId="0" applyFont="1" applyFill="1" applyBorder="1" applyAlignment="1" applyProtection="1">
      <alignment horizontal="center" vertical="center"/>
      <protection locked="0"/>
    </xf>
    <xf numFmtId="185" fontId="165" fillId="21" borderId="115" xfId="0" applyNumberFormat="1" applyFont="1" applyFill="1" applyBorder="1" applyAlignment="1" applyProtection="1">
      <alignment horizontal="center" vertical="center"/>
    </xf>
    <xf numFmtId="0" fontId="2" fillId="18" borderId="152" xfId="0" applyFont="1" applyFill="1" applyBorder="1" applyAlignment="1" applyProtection="1">
      <alignment horizontal="center" vertical="center"/>
      <protection locked="0"/>
    </xf>
    <xf numFmtId="0" fontId="2" fillId="18" borderId="236" xfId="0" applyFont="1" applyFill="1" applyBorder="1" applyAlignment="1" applyProtection="1">
      <alignment horizontal="center" vertical="center"/>
      <protection locked="0"/>
    </xf>
    <xf numFmtId="0" fontId="2" fillId="18" borderId="230" xfId="0" applyFont="1" applyFill="1" applyBorder="1" applyAlignment="1" applyProtection="1">
      <alignment horizontal="center" vertical="center"/>
      <protection locked="0"/>
    </xf>
    <xf numFmtId="185" fontId="2" fillId="20" borderId="124" xfId="0" applyNumberFormat="1" applyFont="1" applyFill="1" applyBorder="1" applyAlignment="1" applyProtection="1">
      <alignment horizontal="right" vertical="center"/>
      <protection locked="0"/>
    </xf>
    <xf numFmtId="185" fontId="2" fillId="20" borderId="0" xfId="0" applyNumberFormat="1" applyFont="1" applyFill="1" applyBorder="1" applyAlignment="1" applyProtection="1">
      <alignment horizontal="right" vertical="center"/>
      <protection locked="0"/>
    </xf>
    <xf numFmtId="185" fontId="2" fillId="21" borderId="0" xfId="0" applyNumberFormat="1" applyFont="1" applyFill="1" applyBorder="1" applyAlignment="1" applyProtection="1">
      <alignment horizontal="left" vertical="center"/>
    </xf>
    <xf numFmtId="185" fontId="2" fillId="21" borderId="184" xfId="0" applyNumberFormat="1" applyFont="1" applyFill="1" applyBorder="1" applyAlignment="1" applyProtection="1">
      <alignment horizontal="left" vertical="center"/>
    </xf>
    <xf numFmtId="0" fontId="2" fillId="0" borderId="203" xfId="0" applyFont="1" applyFill="1" applyBorder="1" applyAlignment="1" applyProtection="1">
      <alignment horizontal="center" vertical="center"/>
      <protection locked="0"/>
    </xf>
    <xf numFmtId="0" fontId="2" fillId="0" borderId="236" xfId="0" applyFont="1" applyFill="1" applyBorder="1" applyAlignment="1" applyProtection="1">
      <alignment horizontal="center" vertical="center"/>
      <protection locked="0"/>
    </xf>
    <xf numFmtId="0" fontId="2" fillId="0" borderId="206" xfId="0" applyFont="1" applyFill="1" applyBorder="1" applyAlignment="1" applyProtection="1">
      <alignment horizontal="center" vertical="center"/>
      <protection locked="0"/>
    </xf>
    <xf numFmtId="0" fontId="2" fillId="18" borderId="161" xfId="0" applyFont="1" applyFill="1" applyBorder="1" applyAlignment="1" applyProtection="1">
      <alignment horizontal="center" vertical="center"/>
      <protection locked="0"/>
    </xf>
    <xf numFmtId="0" fontId="249" fillId="18" borderId="101" xfId="0" applyFont="1" applyFill="1" applyBorder="1" applyAlignment="1" applyProtection="1">
      <alignment horizontal="right" vertical="center"/>
      <protection locked="0"/>
    </xf>
    <xf numFmtId="0" fontId="177" fillId="24" borderId="3" xfId="0" applyFont="1" applyFill="1" applyBorder="1" applyAlignment="1">
      <alignment horizontal="center" vertical="center"/>
    </xf>
    <xf numFmtId="0" fontId="177" fillId="0" borderId="3" xfId="0" applyFont="1" applyBorder="1" applyAlignment="1">
      <alignment vertical="center"/>
    </xf>
    <xf numFmtId="0" fontId="177" fillId="24" borderId="3" xfId="0" applyFont="1" applyFill="1" applyBorder="1" applyAlignment="1">
      <alignment vertical="center"/>
    </xf>
    <xf numFmtId="185" fontId="165" fillId="19" borderId="127" xfId="0" applyNumberFormat="1" applyFont="1" applyFill="1" applyBorder="1" applyAlignment="1" applyProtection="1">
      <alignment horizontal="center" vertical="center"/>
    </xf>
    <xf numFmtId="49" fontId="2" fillId="19" borderId="108" xfId="0" applyNumberFormat="1" applyFont="1" applyFill="1" applyBorder="1" applyAlignment="1" applyProtection="1">
      <alignment horizontal="center" vertical="center"/>
    </xf>
    <xf numFmtId="0" fontId="1" fillId="24" borderId="3" xfId="0" applyFont="1" applyFill="1" applyBorder="1" applyAlignment="1">
      <alignment vertical="center"/>
    </xf>
    <xf numFmtId="0" fontId="215" fillId="24" borderId="3" xfId="0" applyFont="1" applyFill="1" applyBorder="1" applyAlignment="1">
      <alignment horizontal="center" vertical="center"/>
    </xf>
    <xf numFmtId="0" fontId="35" fillId="24" borderId="3" xfId="0" applyFont="1" applyFill="1" applyBorder="1" applyAlignment="1" applyProtection="1">
      <alignment horizontal="center" vertical="center" wrapText="1"/>
      <protection locked="0"/>
    </xf>
    <xf numFmtId="0" fontId="211" fillId="24" borderId="3" xfId="0" applyFont="1" applyFill="1" applyBorder="1" applyAlignment="1">
      <alignment vertical="center" wrapText="1"/>
    </xf>
    <xf numFmtId="0" fontId="1" fillId="24" borderId="3" xfId="0" applyFont="1" applyFill="1" applyBorder="1" applyAlignment="1">
      <alignment vertical="center" wrapText="1"/>
    </xf>
    <xf numFmtId="0" fontId="23" fillId="24" borderId="3" xfId="0" applyFont="1" applyFill="1" applyBorder="1" applyAlignment="1" applyProtection="1">
      <alignment horizontal="center" vertical="center"/>
      <protection locked="0"/>
    </xf>
    <xf numFmtId="0" fontId="1" fillId="24" borderId="3" xfId="0" applyFont="1" applyFill="1" applyBorder="1" applyAlignment="1">
      <alignment horizontal="center" vertical="center" wrapText="1"/>
    </xf>
    <xf numFmtId="0" fontId="1" fillId="24" borderId="3" xfId="0" applyFont="1" applyFill="1" applyBorder="1" applyAlignment="1">
      <alignment horizontal="center" vertical="center"/>
    </xf>
    <xf numFmtId="0" fontId="23" fillId="24" borderId="3" xfId="0" applyFont="1" applyFill="1" applyBorder="1" applyAlignment="1" applyProtection="1">
      <alignment horizontal="center" vertical="center" wrapText="1"/>
      <protection locked="0"/>
    </xf>
    <xf numFmtId="0" fontId="170" fillId="24" borderId="0" xfId="0" applyFont="1" applyFill="1" applyBorder="1" applyAlignment="1">
      <alignment horizontal="right" vertical="center" indent="1"/>
    </xf>
    <xf numFmtId="0" fontId="170" fillId="24" borderId="24" xfId="0" applyFont="1" applyFill="1" applyBorder="1" applyAlignment="1">
      <alignment horizontal="right" vertical="center" indent="1"/>
    </xf>
    <xf numFmtId="0" fontId="35" fillId="24" borderId="3" xfId="0" applyFont="1" applyFill="1" applyBorder="1" applyAlignment="1" applyProtection="1">
      <alignment horizontal="center" vertical="center"/>
      <protection locked="0"/>
    </xf>
    <xf numFmtId="0" fontId="7" fillId="0" borderId="0" xfId="0" applyFont="1" applyAlignment="1">
      <alignment wrapText="1"/>
    </xf>
    <xf numFmtId="0" fontId="170" fillId="24" borderId="0" xfId="0" applyFont="1" applyFill="1" applyBorder="1" applyAlignment="1">
      <alignment horizontal="right" vertical="center" indent="2"/>
    </xf>
    <xf numFmtId="0" fontId="170" fillId="24" borderId="24" xfId="0" applyFont="1" applyFill="1" applyBorder="1" applyAlignment="1">
      <alignment horizontal="right" vertical="center" indent="2"/>
    </xf>
    <xf numFmtId="0" fontId="35" fillId="24" borderId="5" xfId="0" applyFont="1" applyFill="1" applyBorder="1" applyAlignment="1" applyProtection="1">
      <alignment horizontal="center" vertical="center"/>
      <protection locked="0"/>
    </xf>
    <xf numFmtId="0" fontId="35" fillId="24" borderId="19" xfId="0" applyFont="1" applyFill="1" applyBorder="1" applyAlignment="1" applyProtection="1">
      <alignment horizontal="center" vertical="center"/>
      <protection locked="0"/>
    </xf>
    <xf numFmtId="0" fontId="35" fillId="24" borderId="20" xfId="0" applyFont="1" applyFill="1" applyBorder="1" applyAlignment="1" applyProtection="1">
      <alignment horizontal="center" vertical="center"/>
      <protection locked="0"/>
    </xf>
    <xf numFmtId="0" fontId="35" fillId="24" borderId="5" xfId="0" applyFont="1" applyFill="1" applyBorder="1" applyAlignment="1" applyProtection="1">
      <alignment horizontal="center" vertical="center" wrapText="1"/>
      <protection locked="0"/>
    </xf>
    <xf numFmtId="0" fontId="35" fillId="24" borderId="20" xfId="0" applyFont="1" applyFill="1" applyBorder="1" applyAlignment="1" applyProtection="1">
      <alignment horizontal="center" vertical="center" wrapText="1"/>
      <protection locked="0"/>
    </xf>
    <xf numFmtId="0" fontId="7" fillId="0" borderId="0" xfId="0" applyFont="1" applyAlignment="1">
      <alignment vertical="center" wrapText="1"/>
    </xf>
    <xf numFmtId="0" fontId="169" fillId="24" borderId="24" xfId="0" applyFont="1" applyFill="1" applyBorder="1" applyAlignment="1">
      <alignment horizontal="right" vertical="center"/>
    </xf>
    <xf numFmtId="0" fontId="229" fillId="24" borderId="0" xfId="0" applyFont="1" applyFill="1" applyBorder="1" applyAlignment="1">
      <alignment horizontal="right" vertical="center"/>
    </xf>
    <xf numFmtId="0" fontId="229" fillId="24" borderId="24" xfId="0" applyFont="1" applyFill="1" applyBorder="1" applyAlignment="1">
      <alignment horizontal="right" vertical="center"/>
    </xf>
    <xf numFmtId="0" fontId="35" fillId="24" borderId="17" xfId="0" applyFont="1" applyFill="1" applyBorder="1" applyAlignment="1" applyProtection="1">
      <alignment vertical="center"/>
      <protection locked="0"/>
    </xf>
    <xf numFmtId="0" fontId="35" fillId="24" borderId="42" xfId="0" applyFont="1" applyFill="1" applyBorder="1" applyAlignment="1" applyProtection="1">
      <alignment vertical="center"/>
      <protection locked="0"/>
    </xf>
    <xf numFmtId="0" fontId="35" fillId="24" borderId="18" xfId="0" applyFont="1" applyFill="1" applyBorder="1" applyAlignment="1" applyProtection="1">
      <alignment vertical="center"/>
      <protection locked="0"/>
    </xf>
    <xf numFmtId="0" fontId="35" fillId="24" borderId="17" xfId="0" applyFont="1" applyFill="1" applyBorder="1" applyAlignment="1" applyProtection="1">
      <alignment horizontal="left" vertical="center"/>
      <protection locked="0"/>
    </xf>
    <xf numFmtId="0" fontId="35" fillId="24" borderId="42" xfId="0" applyFont="1" applyFill="1" applyBorder="1" applyAlignment="1" applyProtection="1">
      <alignment horizontal="left" vertical="center"/>
      <protection locked="0"/>
    </xf>
    <xf numFmtId="0" fontId="35" fillId="24" borderId="18" xfId="0" applyFont="1" applyFill="1" applyBorder="1" applyAlignment="1" applyProtection="1">
      <alignment horizontal="left" vertical="center"/>
      <protection locked="0"/>
    </xf>
    <xf numFmtId="0" fontId="35" fillId="24" borderId="4" xfId="0" applyFont="1" applyFill="1" applyBorder="1" applyAlignment="1" applyProtection="1">
      <alignment horizontal="center" vertical="center"/>
      <protection locked="0"/>
    </xf>
    <xf numFmtId="0" fontId="35" fillId="24" borderId="26" xfId="0" applyFont="1" applyFill="1" applyBorder="1" applyAlignment="1" applyProtection="1">
      <alignment horizontal="center" vertical="center"/>
      <protection locked="0"/>
    </xf>
    <xf numFmtId="0" fontId="35" fillId="24" borderId="27" xfId="0" applyFont="1" applyFill="1" applyBorder="1" applyAlignment="1" applyProtection="1">
      <alignment horizontal="center" vertical="center"/>
      <protection locked="0"/>
    </xf>
    <xf numFmtId="0" fontId="35" fillId="24" borderId="23" xfId="0" applyFont="1" applyFill="1" applyBorder="1" applyAlignment="1" applyProtection="1">
      <alignment horizontal="center" vertical="center"/>
      <protection locked="0"/>
    </xf>
    <xf numFmtId="0" fontId="35" fillId="24" borderId="24" xfId="0" applyFont="1" applyFill="1" applyBorder="1" applyAlignment="1" applyProtection="1">
      <alignment horizontal="center" vertical="center"/>
      <protection locked="0"/>
    </xf>
    <xf numFmtId="0" fontId="35" fillId="24" borderId="25" xfId="0" applyFont="1" applyFill="1" applyBorder="1" applyAlignment="1" applyProtection="1">
      <alignment horizontal="center" vertical="center"/>
      <protection locked="0"/>
    </xf>
    <xf numFmtId="0" fontId="35" fillId="24" borderId="3" xfId="0" applyFont="1" applyFill="1" applyBorder="1" applyAlignment="1" applyProtection="1">
      <alignment vertical="center"/>
      <protection locked="0"/>
    </xf>
    <xf numFmtId="0" fontId="35" fillId="24" borderId="3" xfId="0" applyFont="1" applyFill="1" applyBorder="1" applyAlignment="1" applyProtection="1">
      <alignment horizontal="left" vertical="center"/>
      <protection locked="0"/>
    </xf>
    <xf numFmtId="0" fontId="2" fillId="36" borderId="108" xfId="0" applyFont="1" applyFill="1" applyBorder="1" applyAlignment="1" applyProtection="1">
      <alignment horizontal="center" vertical="center"/>
    </xf>
    <xf numFmtId="0" fontId="170" fillId="18" borderId="0" xfId="0" applyFont="1" applyFill="1" applyBorder="1" applyAlignment="1" applyProtection="1">
      <alignment horizontal="right" vertical="center" indent="1"/>
      <protection locked="0"/>
    </xf>
    <xf numFmtId="0" fontId="170" fillId="18" borderId="101" xfId="0" applyFont="1" applyFill="1" applyBorder="1" applyAlignment="1" applyProtection="1">
      <alignment horizontal="right" vertical="center" indent="1"/>
      <protection locked="0"/>
    </xf>
    <xf numFmtId="0" fontId="2" fillId="18" borderId="102" xfId="0" applyFont="1" applyFill="1" applyBorder="1" applyAlignment="1" applyProtection="1">
      <alignment horizontal="center" vertical="center" wrapText="1"/>
      <protection locked="0"/>
    </xf>
    <xf numFmtId="0" fontId="2" fillId="0" borderId="105" xfId="0" applyFont="1" applyBorder="1" applyAlignment="1" applyProtection="1">
      <alignment horizontal="center" vertical="top" wrapText="1"/>
      <protection locked="0"/>
    </xf>
    <xf numFmtId="0" fontId="2" fillId="19" borderId="102" xfId="0" applyFont="1" applyFill="1" applyBorder="1" applyAlignment="1" applyProtection="1">
      <alignment vertical="center" wrapText="1"/>
    </xf>
    <xf numFmtId="0" fontId="2" fillId="19" borderId="118" xfId="0" applyFont="1" applyFill="1" applyBorder="1" applyAlignment="1" applyProtection="1">
      <alignment horizontal="center" vertical="center"/>
    </xf>
    <xf numFmtId="0" fontId="2" fillId="19" borderId="106" xfId="0" applyFont="1" applyFill="1" applyBorder="1" applyAlignment="1" applyProtection="1">
      <alignment vertical="center"/>
    </xf>
    <xf numFmtId="0" fontId="140" fillId="24" borderId="0" xfId="0" applyFont="1" applyFill="1" applyBorder="1" applyAlignment="1">
      <alignment horizontal="right" vertical="center"/>
    </xf>
    <xf numFmtId="0" fontId="140" fillId="24" borderId="24" xfId="0" applyFont="1" applyFill="1" applyBorder="1" applyAlignment="1">
      <alignment horizontal="right" vertical="center"/>
    </xf>
    <xf numFmtId="0" fontId="169" fillId="24" borderId="0" xfId="0" applyFont="1" applyFill="1" applyBorder="1" applyAlignment="1">
      <alignment horizontal="right" vertical="center" indent="2"/>
    </xf>
    <xf numFmtId="0" fontId="169" fillId="24" borderId="24" xfId="0" applyFont="1" applyFill="1" applyBorder="1" applyAlignment="1">
      <alignment horizontal="right" vertical="center" indent="2"/>
    </xf>
    <xf numFmtId="0" fontId="45" fillId="24" borderId="5" xfId="0" applyFont="1" applyFill="1" applyBorder="1" applyAlignment="1" applyProtection="1">
      <alignment horizontal="center" vertical="center"/>
      <protection locked="0"/>
    </xf>
    <xf numFmtId="0" fontId="45" fillId="24" borderId="19" xfId="0" applyFont="1" applyFill="1" applyBorder="1" applyAlignment="1" applyProtection="1">
      <alignment horizontal="center" vertical="center"/>
      <protection locked="0"/>
    </xf>
    <xf numFmtId="177" fontId="45" fillId="24" borderId="17" xfId="0" applyNumberFormat="1" applyFont="1" applyFill="1" applyBorder="1" applyAlignment="1" applyProtection="1">
      <alignment horizontal="left" vertical="center" wrapText="1"/>
      <protection locked="0"/>
    </xf>
    <xf numFmtId="177" fontId="45" fillId="24" borderId="42" xfId="0" applyNumberFormat="1" applyFont="1" applyFill="1" applyBorder="1" applyAlignment="1" applyProtection="1">
      <alignment horizontal="left" vertical="center" wrapText="1"/>
      <protection locked="0"/>
    </xf>
    <xf numFmtId="177" fontId="45" fillId="24" borderId="18" xfId="0" applyNumberFormat="1" applyFont="1" applyFill="1" applyBorder="1" applyAlignment="1" applyProtection="1">
      <alignment horizontal="left" vertical="center" wrapText="1"/>
      <protection locked="0"/>
    </xf>
    <xf numFmtId="177" fontId="45" fillId="24" borderId="3" xfId="0" applyNumberFormat="1" applyFont="1" applyFill="1" applyBorder="1" applyAlignment="1" applyProtection="1">
      <alignment horizontal="left" vertical="center" wrapText="1"/>
      <protection locked="0"/>
    </xf>
    <xf numFmtId="0" fontId="45" fillId="24" borderId="3" xfId="0" applyFont="1" applyFill="1" applyBorder="1" applyAlignment="1" applyProtection="1">
      <alignment horizontal="center" vertical="center" wrapText="1"/>
      <protection locked="0"/>
    </xf>
    <xf numFmtId="0" fontId="45" fillId="24" borderId="5" xfId="0" applyFont="1" applyFill="1" applyBorder="1" applyAlignment="1" applyProtection="1">
      <alignment horizontal="center" vertical="center" wrapText="1"/>
      <protection locked="0"/>
    </xf>
    <xf numFmtId="0" fontId="45" fillId="24" borderId="19" xfId="0" applyFont="1" applyFill="1" applyBorder="1" applyAlignment="1" applyProtection="1">
      <alignment horizontal="center" vertical="center" wrapText="1"/>
      <protection locked="0"/>
    </xf>
    <xf numFmtId="0" fontId="45" fillId="24" borderId="4" xfId="0" applyFont="1" applyFill="1" applyBorder="1" applyAlignment="1" applyProtection="1">
      <alignment horizontal="center" vertical="center" wrapText="1"/>
      <protection locked="0"/>
    </xf>
    <xf numFmtId="0" fontId="45" fillId="24" borderId="27" xfId="0" applyFont="1" applyFill="1" applyBorder="1" applyAlignment="1" applyProtection="1">
      <alignment horizontal="center" vertical="center" wrapText="1"/>
      <protection locked="0"/>
    </xf>
    <xf numFmtId="0" fontId="45" fillId="24" borderId="26" xfId="0" applyFont="1" applyFill="1" applyBorder="1" applyAlignment="1" applyProtection="1">
      <alignment horizontal="center" vertical="center" wrapText="1"/>
      <protection locked="0"/>
    </xf>
    <xf numFmtId="0" fontId="122" fillId="24" borderId="3" xfId="0" applyFont="1" applyFill="1" applyBorder="1" applyAlignment="1">
      <alignment horizontal="center" vertical="center"/>
    </xf>
    <xf numFmtId="0" fontId="107" fillId="0" borderId="3" xfId="0" applyFont="1" applyFill="1" applyBorder="1" applyAlignment="1">
      <alignment horizontal="left" vertical="center" wrapText="1"/>
    </xf>
    <xf numFmtId="0" fontId="120" fillId="24" borderId="3" xfId="0" applyFont="1" applyFill="1" applyBorder="1" applyAlignment="1">
      <alignment horizontal="center" vertical="center" wrapText="1"/>
    </xf>
    <xf numFmtId="0" fontId="116" fillId="24" borderId="3" xfId="0" applyFont="1" applyFill="1" applyBorder="1" applyAlignment="1">
      <alignment horizontal="left" vertical="center" wrapText="1"/>
    </xf>
    <xf numFmtId="0" fontId="107" fillId="24" borderId="3" xfId="0" applyFont="1" applyFill="1" applyBorder="1" applyAlignment="1">
      <alignment horizontal="left" vertical="center" wrapText="1" indent="2"/>
    </xf>
    <xf numFmtId="0" fontId="107" fillId="24" borderId="3" xfId="0" applyFont="1" applyFill="1" applyBorder="1" applyAlignment="1">
      <alignment horizontal="left" vertical="center" wrapText="1" indent="4"/>
    </xf>
    <xf numFmtId="0" fontId="107" fillId="24" borderId="3" xfId="0" applyFont="1" applyFill="1" applyBorder="1" applyAlignment="1">
      <alignment horizontal="left" vertical="center" wrapText="1"/>
    </xf>
    <xf numFmtId="0" fontId="45" fillId="24" borderId="5" xfId="0" applyFont="1" applyFill="1" applyBorder="1" applyAlignment="1" applyProtection="1">
      <alignment horizontal="left" vertical="center" wrapText="1"/>
      <protection locked="0"/>
    </xf>
    <xf numFmtId="0" fontId="45" fillId="24" borderId="19" xfId="0" applyFont="1" applyFill="1" applyBorder="1" applyAlignment="1" applyProtection="1">
      <alignment horizontal="left" vertical="center" wrapText="1"/>
      <protection locked="0"/>
    </xf>
    <xf numFmtId="0" fontId="45" fillId="24" borderId="20" xfId="0" applyFont="1" applyFill="1" applyBorder="1" applyAlignment="1" applyProtection="1">
      <alignment horizontal="left" vertical="center" wrapText="1"/>
      <protection locked="0"/>
    </xf>
    <xf numFmtId="0" fontId="45" fillId="24" borderId="20" xfId="0" applyFont="1" applyFill="1" applyBorder="1" applyAlignment="1" applyProtection="1">
      <alignment horizontal="center" vertical="center" wrapText="1"/>
      <protection locked="0"/>
    </xf>
    <xf numFmtId="0" fontId="45" fillId="24" borderId="3" xfId="0" applyFont="1" applyFill="1" applyBorder="1" applyAlignment="1" applyProtection="1">
      <alignment horizontal="center" vertical="center"/>
      <protection locked="0"/>
    </xf>
    <xf numFmtId="0" fontId="170" fillId="24" borderId="0" xfId="0" applyFont="1" applyFill="1" applyBorder="1" applyAlignment="1">
      <alignment horizontal="right" vertical="center" indent="14"/>
    </xf>
    <xf numFmtId="0" fontId="170" fillId="24" borderId="24" xfId="0" applyFont="1" applyFill="1" applyBorder="1" applyAlignment="1">
      <alignment horizontal="right" vertical="center" indent="14"/>
    </xf>
    <xf numFmtId="0" fontId="45" fillId="24" borderId="20" xfId="0" applyFont="1" applyFill="1" applyBorder="1" applyAlignment="1" applyProtection="1">
      <alignment horizontal="center" vertical="center"/>
      <protection locked="0"/>
    </xf>
    <xf numFmtId="0" fontId="120" fillId="24" borderId="3" xfId="0" applyFont="1" applyFill="1" applyBorder="1" applyAlignment="1">
      <alignment horizontal="left" vertical="center" wrapText="1"/>
    </xf>
    <xf numFmtId="0" fontId="171" fillId="24" borderId="0" xfId="0" applyFont="1" applyFill="1" applyBorder="1" applyAlignment="1">
      <alignment horizontal="right" vertical="center"/>
    </xf>
    <xf numFmtId="0" fontId="171" fillId="24" borderId="24" xfId="0" applyFont="1" applyFill="1" applyBorder="1" applyAlignment="1">
      <alignment horizontal="right" vertical="center"/>
    </xf>
    <xf numFmtId="0" fontId="107" fillId="24" borderId="3" xfId="0" applyFont="1" applyFill="1" applyBorder="1" applyAlignment="1">
      <alignment horizontal="center" vertical="center" wrapText="1"/>
    </xf>
    <xf numFmtId="0" fontId="7" fillId="0" borderId="0" xfId="0" applyFont="1" applyFill="1" applyAlignment="1">
      <alignment vertical="center" wrapText="1"/>
    </xf>
    <xf numFmtId="0" fontId="2" fillId="14" borderId="0" xfId="0" applyFont="1" applyFill="1" applyAlignment="1">
      <alignment horizontal="center" vertical="center" wrapText="1"/>
    </xf>
    <xf numFmtId="0" fontId="2" fillId="24" borderId="26" xfId="0" applyFont="1" applyFill="1" applyBorder="1" applyAlignment="1">
      <alignment horizontal="left" vertical="center"/>
    </xf>
    <xf numFmtId="0" fontId="248" fillId="24" borderId="0" xfId="0" applyFont="1" applyFill="1" applyBorder="1" applyAlignment="1">
      <alignment horizontal="right" vertical="center"/>
    </xf>
    <xf numFmtId="0" fontId="248" fillId="24" borderId="24" xfId="0" applyFont="1" applyFill="1" applyBorder="1" applyAlignment="1">
      <alignment horizontal="right" vertical="center"/>
    </xf>
    <xf numFmtId="0" fontId="90" fillId="24" borderId="3" xfId="0" applyFont="1" applyFill="1" applyBorder="1" applyAlignment="1">
      <alignment horizontal="left" vertical="center" wrapText="1"/>
    </xf>
    <xf numFmtId="0" fontId="90" fillId="24" borderId="3" xfId="0" applyFont="1" applyFill="1" applyBorder="1" applyAlignment="1">
      <alignment horizontal="center" vertical="center" wrapText="1"/>
    </xf>
    <xf numFmtId="0" fontId="90" fillId="24" borderId="3" xfId="0" applyFont="1" applyFill="1" applyBorder="1" applyAlignment="1">
      <alignment horizontal="left" vertical="center"/>
    </xf>
    <xf numFmtId="0" fontId="90" fillId="24" borderId="3" xfId="0" applyFont="1" applyFill="1" applyBorder="1" applyAlignment="1">
      <alignment horizontal="left" vertical="center" wrapText="1" indent="5"/>
    </xf>
    <xf numFmtId="0" fontId="90" fillId="24" borderId="3" xfId="0" applyFont="1" applyFill="1" applyBorder="1" applyAlignment="1">
      <alignment horizontal="left" vertical="center" wrapText="1" indent="2"/>
    </xf>
    <xf numFmtId="0" fontId="90" fillId="24" borderId="3" xfId="0" applyFont="1" applyFill="1" applyBorder="1" applyAlignment="1">
      <alignment horizontal="left" vertical="center" wrapText="1" indent="4"/>
    </xf>
    <xf numFmtId="0" fontId="90" fillId="24" borderId="3" xfId="0" applyFont="1" applyFill="1" applyBorder="1" applyAlignment="1">
      <alignment horizontal="center" vertical="center"/>
    </xf>
    <xf numFmtId="0" fontId="89" fillId="24" borderId="3" xfId="0" applyFont="1" applyFill="1" applyBorder="1" applyAlignment="1">
      <alignment horizontal="center" vertical="center" wrapText="1"/>
    </xf>
    <xf numFmtId="0" fontId="90" fillId="24" borderId="3" xfId="0" applyFont="1" applyFill="1" applyBorder="1" applyAlignment="1">
      <alignment horizontal="left" vertical="center" indent="2"/>
    </xf>
    <xf numFmtId="0" fontId="90" fillId="24" borderId="3" xfId="0" applyFont="1" applyFill="1" applyBorder="1" applyAlignment="1">
      <alignment horizontal="left" vertical="center" indent="5"/>
    </xf>
    <xf numFmtId="0" fontId="248" fillId="24" borderId="0" xfId="0" applyFont="1" applyFill="1" applyBorder="1" applyAlignment="1">
      <alignment horizontal="right" vertical="center" indent="4"/>
    </xf>
    <xf numFmtId="0" fontId="248" fillId="24" borderId="24" xfId="0" applyFont="1" applyFill="1" applyBorder="1" applyAlignment="1">
      <alignment horizontal="right" vertical="center" indent="4"/>
    </xf>
    <xf numFmtId="0" fontId="90" fillId="0" borderId="3" xfId="0" applyFont="1" applyFill="1" applyBorder="1" applyAlignment="1">
      <alignment horizontal="center" vertical="center" wrapText="1"/>
    </xf>
    <xf numFmtId="0" fontId="0" fillId="24" borderId="3" xfId="0" applyFont="1" applyFill="1" applyBorder="1" applyAlignment="1">
      <alignment horizontal="left" vertical="center"/>
    </xf>
    <xf numFmtId="0" fontId="0" fillId="24" borderId="3" xfId="0" applyFont="1" applyFill="1" applyBorder="1" applyAlignment="1">
      <alignment horizontal="center" vertical="center" wrapText="1"/>
    </xf>
    <xf numFmtId="0" fontId="0" fillId="24" borderId="3" xfId="0" applyFont="1" applyFill="1" applyBorder="1" applyAlignment="1">
      <alignment horizontal="left" vertical="center" wrapText="1"/>
    </xf>
    <xf numFmtId="0" fontId="137" fillId="24" borderId="3" xfId="0" applyFont="1" applyFill="1" applyBorder="1" applyAlignment="1">
      <alignment horizontal="center" vertical="center"/>
    </xf>
    <xf numFmtId="0" fontId="140" fillId="24" borderId="0" xfId="0" applyFont="1" applyFill="1" applyBorder="1" applyAlignment="1" applyProtection="1">
      <alignment horizontal="right" vertical="center"/>
      <protection locked="0"/>
    </xf>
    <xf numFmtId="0" fontId="140" fillId="24" borderId="24" xfId="0" applyFont="1" applyFill="1" applyBorder="1" applyAlignment="1" applyProtection="1">
      <alignment horizontal="right" vertical="center"/>
      <protection locked="0"/>
    </xf>
    <xf numFmtId="0" fontId="0" fillId="0" borderId="3" xfId="0" applyFont="1" applyFill="1" applyBorder="1" applyAlignment="1">
      <alignment horizontal="center" vertical="center"/>
    </xf>
    <xf numFmtId="0" fontId="0" fillId="24" borderId="4" xfId="0" applyFont="1" applyFill="1" applyBorder="1" applyAlignment="1">
      <alignment vertical="center"/>
    </xf>
    <xf numFmtId="0" fontId="0" fillId="24" borderId="27" xfId="0" applyFont="1" applyFill="1" applyBorder="1" applyAlignment="1">
      <alignment vertical="center"/>
    </xf>
    <xf numFmtId="0" fontId="0" fillId="24" borderId="23" xfId="0" applyFont="1" applyFill="1" applyBorder="1" applyAlignment="1">
      <alignment vertical="center"/>
    </xf>
    <xf numFmtId="0" fontId="0" fillId="24" borderId="25" xfId="0" applyFont="1" applyFill="1" applyBorder="1" applyAlignment="1">
      <alignment vertical="center"/>
    </xf>
    <xf numFmtId="0" fontId="0" fillId="24" borderId="17" xfId="0" applyFont="1" applyFill="1" applyBorder="1" applyAlignment="1">
      <alignment vertical="center"/>
    </xf>
    <xf numFmtId="0" fontId="0" fillId="24" borderId="18" xfId="0" applyFont="1" applyFill="1" applyBorder="1" applyAlignment="1">
      <alignment vertical="center"/>
    </xf>
    <xf numFmtId="0" fontId="0" fillId="0" borderId="17" xfId="0" applyFont="1" applyFill="1" applyBorder="1" applyAlignment="1">
      <alignment horizontal="center" vertical="center"/>
    </xf>
    <xf numFmtId="0" fontId="0" fillId="0" borderId="18" xfId="0" applyFont="1" applyFill="1" applyBorder="1" applyAlignment="1">
      <alignment horizontal="center" vertical="center"/>
    </xf>
    <xf numFmtId="0" fontId="170" fillId="24" borderId="0" xfId="0" applyFont="1" applyFill="1" applyBorder="1" applyAlignment="1">
      <alignment horizontal="right" vertical="center" indent="6"/>
    </xf>
    <xf numFmtId="0" fontId="170" fillId="24" borderId="24" xfId="0" applyFont="1" applyFill="1" applyBorder="1" applyAlignment="1">
      <alignment horizontal="right" vertical="center" indent="6"/>
    </xf>
    <xf numFmtId="0" fontId="42" fillId="24" borderId="3" xfId="0" applyFont="1" applyFill="1" applyBorder="1" applyAlignment="1">
      <alignment horizontal="left" vertical="center"/>
    </xf>
    <xf numFmtId="0" fontId="2" fillId="24" borderId="3" xfId="0" applyFont="1" applyFill="1" applyBorder="1" applyAlignment="1">
      <alignment horizontal="left" vertical="center"/>
    </xf>
    <xf numFmtId="0" fontId="165" fillId="0" borderId="3" xfId="0" applyFont="1" applyFill="1" applyBorder="1">
      <alignment vertical="center"/>
    </xf>
    <xf numFmtId="0" fontId="2" fillId="24" borderId="3" xfId="0" applyFont="1" applyFill="1" applyBorder="1" applyAlignment="1">
      <alignment vertical="center"/>
    </xf>
    <xf numFmtId="0" fontId="57" fillId="0" borderId="0" xfId="0" applyFont="1" applyFill="1" applyAlignment="1">
      <alignment vertical="center" wrapText="1"/>
    </xf>
    <xf numFmtId="0" fontId="170" fillId="24" borderId="0" xfId="0" applyFont="1" applyFill="1" applyBorder="1" applyAlignment="1">
      <alignment horizontal="center" vertical="center" wrapText="1"/>
    </xf>
    <xf numFmtId="0" fontId="170" fillId="24" borderId="24" xfId="0" applyFont="1" applyFill="1" applyBorder="1" applyAlignment="1">
      <alignment horizontal="center" vertical="center" wrapText="1"/>
    </xf>
    <xf numFmtId="0" fontId="2" fillId="24" borderId="4" xfId="0" applyFont="1" applyFill="1" applyBorder="1" applyAlignment="1">
      <alignment horizontal="center" vertical="center" wrapText="1"/>
    </xf>
    <xf numFmtId="0" fontId="2" fillId="24" borderId="26" xfId="0" applyFont="1" applyFill="1" applyBorder="1" applyAlignment="1">
      <alignment horizontal="center" vertical="center" wrapText="1"/>
    </xf>
    <xf numFmtId="0" fontId="2" fillId="24" borderId="27" xfId="0" applyFont="1" applyFill="1" applyBorder="1" applyAlignment="1">
      <alignment horizontal="center" vertical="center" wrapText="1"/>
    </xf>
    <xf numFmtId="0" fontId="170" fillId="24" borderId="0" xfId="0" applyFont="1" applyFill="1" applyBorder="1" applyAlignment="1">
      <alignment horizontal="center" vertical="center"/>
    </xf>
    <xf numFmtId="0" fontId="170" fillId="24" borderId="24" xfId="0" applyFont="1" applyFill="1" applyBorder="1" applyAlignment="1">
      <alignment horizontal="center" vertical="center"/>
    </xf>
    <xf numFmtId="0" fontId="171" fillId="24" borderId="0" xfId="0" applyFont="1" applyFill="1" applyBorder="1" applyAlignment="1">
      <alignment horizontal="right" vertical="center" wrapText="1"/>
    </xf>
    <xf numFmtId="0" fontId="2" fillId="24" borderId="3" xfId="0" applyFont="1" applyFill="1" applyBorder="1" applyAlignment="1" applyProtection="1">
      <alignment horizontal="center" vertical="center" wrapText="1"/>
      <protection locked="0"/>
    </xf>
    <xf numFmtId="0" fontId="2" fillId="24" borderId="3" xfId="0" applyFont="1" applyFill="1" applyBorder="1" applyAlignment="1" applyProtection="1">
      <alignment horizontal="center" vertical="center"/>
      <protection locked="0"/>
    </xf>
    <xf numFmtId="0" fontId="171" fillId="24" borderId="0" xfId="0" applyFont="1" applyFill="1" applyBorder="1" applyAlignment="1">
      <alignment horizontal="right" vertical="center" wrapText="1" indent="1"/>
    </xf>
    <xf numFmtId="177" fontId="2" fillId="4" borderId="17" xfId="0" applyNumberFormat="1" applyFont="1" applyFill="1" applyBorder="1" applyAlignment="1" applyProtection="1">
      <alignment horizontal="right" vertical="center" wrapText="1"/>
    </xf>
    <xf numFmtId="177" fontId="2" fillId="4" borderId="42" xfId="0" applyNumberFormat="1" applyFont="1" applyFill="1" applyBorder="1" applyAlignment="1" applyProtection="1">
      <alignment horizontal="right" vertical="center" wrapText="1"/>
    </xf>
    <xf numFmtId="0" fontId="2" fillId="24" borderId="3" xfId="0" applyFont="1" applyFill="1" applyBorder="1" applyAlignment="1" applyProtection="1">
      <alignment horizontal="center" vertical="center" textRotation="255" wrapText="1"/>
      <protection locked="0"/>
    </xf>
    <xf numFmtId="0" fontId="2" fillId="24" borderId="24" xfId="0" applyFont="1" applyFill="1" applyBorder="1" applyAlignment="1" applyProtection="1">
      <alignment vertical="center"/>
      <protection locked="0"/>
    </xf>
    <xf numFmtId="0" fontId="2" fillId="26" borderId="0" xfId="0" applyFont="1" applyFill="1" applyAlignment="1">
      <alignment horizontal="center" vertical="center"/>
    </xf>
    <xf numFmtId="0" fontId="2" fillId="24" borderId="0" xfId="0" applyFont="1" applyFill="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108" fillId="0" borderId="0" xfId="7" applyFont="1" applyFill="1" applyBorder="1" applyAlignment="1" applyProtection="1">
      <alignment vertical="center"/>
      <protection locked="0"/>
    </xf>
    <xf numFmtId="0" fontId="232" fillId="0" borderId="0" xfId="7" applyFont="1" applyFill="1" applyAlignment="1" applyProtection="1">
      <alignment horizontal="center" vertical="center"/>
      <protection locked="0"/>
    </xf>
    <xf numFmtId="0" fontId="233" fillId="0" borderId="0" xfId="7" applyFont="1" applyFill="1" applyAlignment="1" applyProtection="1">
      <alignment horizontal="center" vertical="center"/>
      <protection locked="0"/>
    </xf>
    <xf numFmtId="20" fontId="235" fillId="0" borderId="0" xfId="7" applyNumberFormat="1" applyFont="1" applyFill="1" applyBorder="1" applyAlignment="1" applyProtection="1">
      <alignment horizontal="left" vertical="center"/>
      <protection locked="0"/>
    </xf>
    <xf numFmtId="0" fontId="235" fillId="0" borderId="0" xfId="7" applyFont="1" applyFill="1" applyBorder="1" applyAlignment="1" applyProtection="1">
      <alignment horizontal="left" vertical="justify" wrapText="1"/>
    </xf>
    <xf numFmtId="0" fontId="108" fillId="0" borderId="0" xfId="7" applyFont="1" applyFill="1" applyBorder="1" applyAlignment="1" applyProtection="1">
      <alignment horizontal="left" vertical="center" wrapText="1"/>
      <protection locked="0"/>
    </xf>
    <xf numFmtId="0" fontId="108" fillId="0" borderId="0" xfId="7" applyFont="1" applyFill="1" applyAlignment="1" applyProtection="1">
      <alignment vertical="center" wrapText="1"/>
      <protection locked="0"/>
    </xf>
    <xf numFmtId="0" fontId="108" fillId="0" borderId="0" xfId="7" applyFont="1" applyFill="1" applyBorder="1" applyAlignment="1" applyProtection="1">
      <alignment vertical="justify" wrapText="1"/>
      <protection locked="0"/>
    </xf>
    <xf numFmtId="0" fontId="108" fillId="0" borderId="0" xfId="7" applyFont="1" applyFill="1" applyBorder="1" applyAlignment="1" applyProtection="1">
      <alignment vertical="center" wrapText="1"/>
      <protection locked="0"/>
    </xf>
    <xf numFmtId="0" fontId="237" fillId="0" borderId="0" xfId="7" applyFont="1" applyFill="1" applyBorder="1" applyAlignment="1" applyProtection="1">
      <alignment vertical="justify" wrapText="1"/>
      <protection locked="0"/>
    </xf>
    <xf numFmtId="0" fontId="235" fillId="0" borderId="0" xfId="7" applyFont="1" applyFill="1" applyBorder="1" applyAlignment="1" applyProtection="1">
      <alignment vertical="center" wrapText="1"/>
      <protection locked="0"/>
    </xf>
    <xf numFmtId="0" fontId="234" fillId="0" borderId="0" xfId="7" applyFont="1" applyFill="1" applyBorder="1" applyAlignment="1">
      <alignment horizontal="center" vertical="center" wrapText="1"/>
    </xf>
    <xf numFmtId="195" fontId="107" fillId="0" borderId="0" xfId="7" applyNumberFormat="1" applyFont="1" applyFill="1" applyBorder="1" applyAlignment="1">
      <alignment horizontal="left" vertical="center" wrapText="1"/>
    </xf>
    <xf numFmtId="177" fontId="108" fillId="0" borderId="0" xfId="7" applyNumberFormat="1" applyFont="1" applyFill="1" applyBorder="1" applyAlignment="1" applyProtection="1">
      <alignment vertical="center"/>
    </xf>
    <xf numFmtId="0" fontId="238" fillId="0" borderId="0" xfId="7" applyFont="1" applyFill="1" applyBorder="1" applyAlignment="1">
      <alignment vertical="center" wrapText="1"/>
    </xf>
    <xf numFmtId="0" fontId="238" fillId="0" borderId="0" xfId="7" applyFont="1" applyFill="1" applyBorder="1" applyAlignment="1">
      <alignment horizontal="left" vertical="center" wrapText="1"/>
    </xf>
    <xf numFmtId="0" fontId="107" fillId="0" borderId="0" xfId="7" applyFont="1" applyFill="1" applyAlignment="1" applyProtection="1">
      <alignment horizontal="justify" vertical="center"/>
      <protection locked="0"/>
    </xf>
    <xf numFmtId="0" fontId="107" fillId="0" borderId="0" xfId="7" applyFont="1" applyFill="1" applyAlignment="1" applyProtection="1">
      <alignment vertical="center"/>
      <protection locked="0"/>
    </xf>
    <xf numFmtId="0" fontId="243" fillId="0" borderId="0" xfId="7" applyFont="1" applyFill="1" applyAlignment="1" applyProtection="1">
      <alignment vertical="center"/>
      <protection locked="0"/>
    </xf>
    <xf numFmtId="0" fontId="234" fillId="0" borderId="0" xfId="7" applyFont="1" applyFill="1" applyBorder="1" applyAlignment="1">
      <alignment vertical="center" wrapText="1"/>
    </xf>
    <xf numFmtId="31" fontId="235" fillId="0" borderId="0" xfId="7" applyNumberFormat="1" applyFont="1" applyFill="1" applyBorder="1" applyAlignment="1" applyProtection="1">
      <alignment horizontal="center"/>
      <protection locked="0"/>
    </xf>
    <xf numFmtId="0" fontId="235" fillId="0" borderId="0" xfId="7" applyFont="1" applyFill="1" applyAlignment="1" applyProtection="1">
      <alignment vertical="center"/>
      <protection locked="0"/>
    </xf>
    <xf numFmtId="0" fontId="108" fillId="0" borderId="0" xfId="7" applyFont="1" applyFill="1" applyAlignment="1">
      <alignment vertical="center"/>
    </xf>
    <xf numFmtId="0" fontId="182" fillId="0" borderId="0" xfId="7" applyFont="1" applyAlignment="1">
      <alignment horizontal="center" vertical="center"/>
    </xf>
    <xf numFmtId="0" fontId="235" fillId="0" borderId="0" xfId="7" applyFont="1" applyFill="1" applyBorder="1" applyAlignment="1" applyProtection="1">
      <alignment vertical="center"/>
      <protection locked="0"/>
    </xf>
    <xf numFmtId="0" fontId="240" fillId="0" borderId="0" xfId="7" applyFont="1" applyFill="1" applyBorder="1" applyAlignment="1" applyProtection="1">
      <alignment horizontal="center" vertical="top" wrapText="1"/>
      <protection locked="0"/>
    </xf>
    <xf numFmtId="0" fontId="109" fillId="0" borderId="0" xfId="7" applyFont="1" applyFill="1" applyAlignment="1">
      <alignment vertical="center" wrapText="1"/>
    </xf>
    <xf numFmtId="0" fontId="42" fillId="0" borderId="3" xfId="0" applyFont="1" applyFill="1" applyBorder="1" applyAlignment="1">
      <alignment horizontal="center" vertical="center" wrapText="1"/>
    </xf>
    <xf numFmtId="0" fontId="0" fillId="0" borderId="3" xfId="0" applyFill="1" applyBorder="1" applyAlignment="1">
      <alignment vertical="center"/>
    </xf>
    <xf numFmtId="183" fontId="42" fillId="0" borderId="3" xfId="0" applyNumberFormat="1" applyFont="1" applyFill="1" applyBorder="1" applyAlignment="1">
      <alignment horizontal="center" vertical="center" wrapText="1"/>
    </xf>
    <xf numFmtId="0" fontId="0" fillId="0" borderId="3" xfId="0" applyFill="1" applyBorder="1" applyAlignment="1">
      <alignment horizontal="center" vertical="center"/>
    </xf>
    <xf numFmtId="49" fontId="42" fillId="0" borderId="0" xfId="0" applyNumberFormat="1" applyFont="1" applyFill="1" applyBorder="1" applyAlignment="1">
      <alignment horizontal="left" vertical="center" wrapText="1"/>
    </xf>
    <xf numFmtId="0" fontId="2" fillId="0" borderId="0" xfId="0" applyFont="1" applyFill="1" applyAlignment="1">
      <alignment vertical="center" wrapText="1"/>
    </xf>
    <xf numFmtId="0" fontId="0" fillId="0" borderId="0" xfId="0" applyFill="1" applyAlignment="1">
      <alignment vertical="center"/>
    </xf>
    <xf numFmtId="0" fontId="42" fillId="0" borderId="0" xfId="0" applyFont="1" applyFill="1" applyAlignment="1">
      <alignment horizontal="left" vertical="center" wrapText="1"/>
    </xf>
    <xf numFmtId="0" fontId="212" fillId="0" borderId="3" xfId="0" applyFont="1" applyFill="1" applyBorder="1" applyAlignment="1">
      <alignment horizontal="center" vertical="center"/>
    </xf>
    <xf numFmtId="0" fontId="1" fillId="0" borderId="17" xfId="0" applyFont="1" applyFill="1" applyBorder="1" applyAlignment="1">
      <alignment horizontal="center" vertical="center"/>
    </xf>
    <xf numFmtId="0" fontId="75" fillId="0" borderId="0" xfId="0" applyFont="1" applyFill="1" applyBorder="1" applyAlignment="1">
      <alignment horizontal="left" vertical="center" wrapText="1"/>
    </xf>
    <xf numFmtId="0" fontId="87" fillId="0" borderId="3" xfId="0" applyFont="1" applyFill="1" applyBorder="1" applyAlignment="1">
      <alignment horizontal="center" vertical="center" wrapText="1"/>
    </xf>
    <xf numFmtId="0" fontId="1" fillId="0" borderId="18" xfId="0" applyFont="1" applyFill="1" applyBorder="1" applyAlignment="1">
      <alignment horizontal="center" vertical="center"/>
    </xf>
    <xf numFmtId="188" fontId="75" fillId="0" borderId="0" xfId="0" applyNumberFormat="1" applyFont="1" applyFill="1" applyBorder="1" applyAlignment="1">
      <alignment vertical="center" wrapText="1"/>
    </xf>
    <xf numFmtId="188" fontId="87" fillId="0" borderId="3" xfId="0" applyNumberFormat="1" applyFont="1" applyFill="1" applyBorder="1" applyAlignment="1">
      <alignment horizontal="center" vertical="center" wrapText="1"/>
    </xf>
    <xf numFmtId="0" fontId="42" fillId="0" borderId="0" xfId="0" applyFont="1" applyFill="1" applyBorder="1" applyAlignment="1">
      <alignment horizontal="left" vertical="center" wrapText="1"/>
    </xf>
    <xf numFmtId="0" fontId="228" fillId="0" borderId="0" xfId="0" applyFont="1" applyFill="1" applyBorder="1" applyAlignment="1">
      <alignment horizontal="left" vertical="center" wrapText="1"/>
    </xf>
    <xf numFmtId="0" fontId="87" fillId="0" borderId="0" xfId="0" applyFont="1" applyFill="1" applyBorder="1" applyAlignment="1">
      <alignment horizontal="left" vertical="center" wrapText="1"/>
    </xf>
    <xf numFmtId="0" fontId="1" fillId="0" borderId="0" xfId="0" applyFont="1" applyFill="1" applyBorder="1" applyAlignment="1">
      <alignment vertical="center"/>
    </xf>
    <xf numFmtId="0" fontId="0" fillId="0" borderId="0" xfId="0" applyFill="1" applyBorder="1" applyAlignment="1">
      <alignment vertical="center"/>
    </xf>
    <xf numFmtId="14" fontId="42" fillId="0" borderId="0" xfId="0" applyNumberFormat="1" applyFont="1" applyFill="1" applyBorder="1" applyAlignment="1">
      <alignment horizontal="left" vertical="center" wrapText="1"/>
    </xf>
    <xf numFmtId="14" fontId="0" fillId="0" borderId="0" xfId="0" applyNumberFormat="1" applyFill="1" applyBorder="1" applyAlignment="1">
      <alignment vertical="center"/>
    </xf>
    <xf numFmtId="0" fontId="1" fillId="0" borderId="0" xfId="0" applyFont="1" applyFill="1" applyBorder="1" applyAlignment="1">
      <alignment vertical="center" wrapText="1"/>
    </xf>
    <xf numFmtId="0" fontId="1" fillId="0" borderId="0"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vertical="center" wrapText="1"/>
    </xf>
    <xf numFmtId="0" fontId="226" fillId="0" borderId="0" xfId="0" applyFont="1" applyFill="1" applyBorder="1" applyAlignment="1">
      <alignment horizontal="center" vertical="center" wrapText="1"/>
    </xf>
    <xf numFmtId="0" fontId="7" fillId="0" borderId="0" xfId="0" applyFont="1" applyAlignment="1" applyProtection="1">
      <alignment horizontal="center" vertical="top" wrapText="1"/>
      <protection locked="0"/>
    </xf>
    <xf numFmtId="0" fontId="7" fillId="0" borderId="0" xfId="0" applyFont="1" applyAlignment="1" applyProtection="1">
      <alignment horizontal="left" vertical="top" wrapText="1"/>
      <protection locked="0"/>
    </xf>
    <xf numFmtId="0" fontId="0" fillId="0" borderId="0" xfId="0" applyAlignment="1" applyProtection="1">
      <alignment horizontal="center" vertical="center"/>
      <protection locked="0"/>
    </xf>
    <xf numFmtId="0" fontId="3" fillId="0" borderId="0" xfId="0" applyFont="1" applyAlignment="1" applyProtection="1">
      <alignment horizontal="center" vertical="top" wrapText="1"/>
      <protection locked="0"/>
    </xf>
    <xf numFmtId="0" fontId="7" fillId="0" borderId="0" xfId="0" applyFont="1" applyAlignment="1" applyProtection="1">
      <alignment horizontal="center" wrapText="1"/>
      <protection locked="0"/>
    </xf>
    <xf numFmtId="0" fontId="8" fillId="0" borderId="0" xfId="0" applyFont="1" applyAlignment="1" applyProtection="1">
      <alignment horizontal="center" wrapText="1"/>
      <protection locked="0"/>
    </xf>
    <xf numFmtId="0" fontId="11" fillId="0" borderId="0" xfId="0" applyFont="1" applyAlignment="1" applyProtection="1">
      <alignment horizontal="center" vertical="top" wrapText="1"/>
      <protection locked="0"/>
    </xf>
    <xf numFmtId="0" fontId="8" fillId="0" borderId="0" xfId="0" applyFont="1" applyAlignment="1" applyProtection="1">
      <alignment horizontal="left" vertical="center" wrapText="1"/>
      <protection locked="0"/>
    </xf>
    <xf numFmtId="0" fontId="7" fillId="0" borderId="0" xfId="0" applyFont="1" applyAlignment="1" applyProtection="1">
      <alignment horizontal="right" vertical="top" wrapText="1"/>
      <protection locked="0"/>
    </xf>
    <xf numFmtId="0" fontId="12" fillId="0" borderId="4" xfId="0" applyFont="1" applyBorder="1" applyAlignment="1" applyProtection="1">
      <alignment horizontal="left" vertical="top"/>
      <protection locked="0"/>
    </xf>
    <xf numFmtId="0" fontId="12" fillId="0" borderId="26" xfId="0" applyFont="1" applyBorder="1" applyAlignment="1" applyProtection="1">
      <alignment horizontal="left" vertical="top"/>
      <protection locked="0"/>
    </xf>
    <xf numFmtId="0" fontId="12" fillId="0" borderId="27" xfId="0" applyFont="1" applyBorder="1" applyAlignment="1" applyProtection="1">
      <alignment horizontal="left" vertical="top"/>
      <protection locked="0"/>
    </xf>
    <xf numFmtId="0" fontId="12" fillId="0" borderId="2" xfId="0" applyFont="1" applyBorder="1" applyAlignment="1" applyProtection="1">
      <alignment horizontal="left" vertical="top"/>
      <protection locked="0"/>
    </xf>
    <xf numFmtId="0" fontId="12" fillId="0" borderId="0" xfId="0" applyFont="1" applyBorder="1" applyAlignment="1" applyProtection="1">
      <alignment horizontal="left" vertical="top"/>
      <protection locked="0"/>
    </xf>
    <xf numFmtId="0" fontId="12" fillId="0" borderId="1" xfId="0" applyFont="1" applyBorder="1" applyAlignment="1" applyProtection="1">
      <alignment horizontal="left" vertical="top"/>
      <protection locked="0"/>
    </xf>
    <xf numFmtId="0" fontId="7" fillId="0" borderId="4" xfId="0" applyFont="1" applyBorder="1" applyAlignment="1" applyProtection="1">
      <alignment horizontal="left" vertical="top"/>
      <protection locked="0"/>
    </xf>
    <xf numFmtId="0" fontId="7" fillId="0" borderId="26" xfId="0" applyFont="1" applyBorder="1" applyAlignment="1" applyProtection="1">
      <alignment horizontal="left" vertical="top"/>
      <protection locked="0"/>
    </xf>
    <xf numFmtId="0" fontId="7" fillId="0" borderId="27" xfId="0" applyFont="1" applyBorder="1" applyAlignment="1" applyProtection="1">
      <alignment horizontal="left" vertical="top"/>
      <protection locked="0"/>
    </xf>
    <xf numFmtId="0" fontId="7" fillId="0" borderId="2" xfId="0" applyFont="1" applyBorder="1" applyAlignment="1" applyProtection="1">
      <alignment horizontal="left" vertical="top"/>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8" fillId="0" borderId="0" xfId="0" applyFont="1" applyAlignment="1" applyProtection="1">
      <alignment horizontal="right" vertical="top" wrapText="1"/>
      <protection locked="0"/>
    </xf>
    <xf numFmtId="0" fontId="8" fillId="0" borderId="0" xfId="0" applyFont="1" applyAlignment="1" applyProtection="1">
      <alignment vertical="top" wrapText="1"/>
      <protection locked="0"/>
    </xf>
    <xf numFmtId="0" fontId="0" fillId="0" borderId="0" xfId="0" applyAlignment="1" applyProtection="1">
      <alignment vertical="top" wrapText="1"/>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2" xfId="0" applyFont="1" applyBorder="1" applyAlignment="1" applyProtection="1">
      <alignment horizontal="lef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3" xfId="0" applyFont="1" applyBorder="1" applyAlignment="1" applyProtection="1">
      <alignment vertical="top"/>
      <protection locked="0"/>
    </xf>
    <xf numFmtId="0" fontId="7" fillId="0" borderId="24" xfId="0" applyFont="1" applyBorder="1" applyAlignment="1" applyProtection="1">
      <alignment vertical="top"/>
      <protection locked="0"/>
    </xf>
    <xf numFmtId="0" fontId="7" fillId="0" borderId="25" xfId="0" applyFont="1" applyBorder="1" applyAlignment="1" applyProtection="1">
      <alignment vertical="top"/>
      <protection locked="0"/>
    </xf>
    <xf numFmtId="0" fontId="7" fillId="0" borderId="23" xfId="0" applyFont="1" applyBorder="1" applyAlignment="1" applyProtection="1">
      <alignment horizontal="left" vertical="top"/>
      <protection locked="0"/>
    </xf>
    <xf numFmtId="0" fontId="7" fillId="0" borderId="24" xfId="0" applyFont="1" applyBorder="1" applyAlignment="1" applyProtection="1">
      <alignment horizontal="left" vertical="top"/>
      <protection locked="0"/>
    </xf>
    <xf numFmtId="0" fontId="7" fillId="0" borderId="25" xfId="0" applyFont="1" applyBorder="1" applyAlignment="1" applyProtection="1">
      <alignment horizontal="left" vertical="top"/>
      <protection locked="0"/>
    </xf>
    <xf numFmtId="0" fontId="7" fillId="0" borderId="23" xfId="0" applyFont="1" applyBorder="1" applyAlignment="1" applyProtection="1">
      <alignment horizontal="left" vertical="top" wrapText="1"/>
      <protection locked="0"/>
    </xf>
    <xf numFmtId="0" fontId="7" fillId="0" borderId="24" xfId="0" applyFont="1" applyBorder="1" applyAlignment="1" applyProtection="1">
      <alignment horizontal="left" vertical="top" wrapText="1"/>
      <protection locked="0"/>
    </xf>
    <xf numFmtId="0" fontId="7" fillId="0" borderId="25" xfId="0" applyFont="1" applyBorder="1" applyAlignment="1" applyProtection="1">
      <alignment horizontal="left" vertical="top" wrapText="1"/>
      <protection locked="0"/>
    </xf>
    <xf numFmtId="0" fontId="14" fillId="11" borderId="0" xfId="0" applyFont="1" applyFill="1" applyAlignment="1" applyProtection="1">
      <alignment horizontal="center" vertical="center"/>
      <protection locked="0"/>
    </xf>
    <xf numFmtId="0" fontId="15" fillId="11" borderId="0" xfId="0" applyFont="1" applyFill="1" applyAlignment="1" applyProtection="1">
      <alignment horizontal="center" vertical="center"/>
      <protection locked="0"/>
    </xf>
    <xf numFmtId="0" fontId="8" fillId="0" borderId="0" xfId="0" applyFont="1" applyFill="1" applyBorder="1" applyAlignment="1" applyProtection="1">
      <alignment horizontal="center" vertical="center" wrapText="1"/>
      <protection locked="0"/>
    </xf>
    <xf numFmtId="0" fontId="67"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14" fillId="10" borderId="0" xfId="0" applyFont="1" applyFill="1" applyAlignment="1" applyProtection="1">
      <alignment horizontal="center" vertical="center"/>
      <protection locked="0"/>
    </xf>
    <xf numFmtId="0" fontId="15" fillId="10" borderId="0" xfId="0" applyFont="1" applyFill="1" applyAlignment="1" applyProtection="1">
      <alignment horizontal="center" vertical="center"/>
      <protection locked="0"/>
    </xf>
    <xf numFmtId="0" fontId="7" fillId="10" borderId="0" xfId="0" applyFont="1" applyFill="1" applyAlignment="1" applyProtection="1">
      <alignment horizontal="center" vertical="center"/>
      <protection locked="0"/>
    </xf>
    <xf numFmtId="0" fontId="14" fillId="6" borderId="0" xfId="0" applyFont="1" applyFill="1" applyAlignment="1" applyProtection="1">
      <alignment horizontal="center" vertical="center"/>
      <protection locked="0"/>
    </xf>
    <xf numFmtId="0" fontId="0" fillId="6" borderId="0" xfId="0" applyFill="1" applyAlignment="1" applyProtection="1">
      <alignment horizontal="center" vertical="center"/>
      <protection locked="0"/>
    </xf>
    <xf numFmtId="0" fontId="14" fillId="7" borderId="0" xfId="0" applyFont="1" applyFill="1" applyAlignment="1" applyProtection="1">
      <alignment horizontal="center" vertical="center"/>
      <protection locked="0"/>
    </xf>
    <xf numFmtId="0" fontId="0" fillId="7" borderId="0" xfId="0" applyFill="1" applyAlignment="1" applyProtection="1">
      <alignment horizontal="center" vertical="center"/>
      <protection locked="0"/>
    </xf>
    <xf numFmtId="0" fontId="14" fillId="8" borderId="0" xfId="0" applyFont="1" applyFill="1" applyAlignment="1" applyProtection="1">
      <alignment horizontal="center" vertical="center"/>
      <protection locked="0"/>
    </xf>
    <xf numFmtId="0" fontId="0" fillId="8" borderId="0" xfId="0" applyFill="1" applyAlignment="1" applyProtection="1">
      <alignment horizontal="center" vertical="center"/>
      <protection locked="0"/>
    </xf>
    <xf numFmtId="0" fontId="118" fillId="9" borderId="0" xfId="0" applyFont="1" applyFill="1" applyAlignment="1" applyProtection="1">
      <alignment horizontal="center" vertical="center"/>
      <protection locked="0"/>
    </xf>
    <xf numFmtId="0" fontId="100" fillId="9" borderId="0" xfId="0" applyFont="1" applyFill="1" applyAlignment="1" applyProtection="1">
      <alignment horizontal="center" vertical="center"/>
      <protection locked="0"/>
    </xf>
    <xf numFmtId="0" fontId="2" fillId="0" borderId="4" xfId="0" applyFont="1" applyFill="1" applyBorder="1" applyAlignment="1" applyProtection="1">
      <alignment horizontal="left" vertical="center"/>
      <protection locked="0"/>
    </xf>
    <xf numFmtId="0" fontId="2" fillId="0" borderId="26" xfId="0" applyFont="1" applyFill="1" applyBorder="1" applyAlignment="1" applyProtection="1">
      <alignment horizontal="left" vertical="center"/>
      <protection locked="0"/>
    </xf>
    <xf numFmtId="0" fontId="2" fillId="0" borderId="27" xfId="0" applyFont="1" applyFill="1" applyBorder="1" applyAlignment="1" applyProtection="1">
      <alignment horizontal="left" vertical="center"/>
      <protection locked="0"/>
    </xf>
    <xf numFmtId="0" fontId="2" fillId="0" borderId="23" xfId="0" applyFont="1" applyFill="1" applyBorder="1" applyAlignment="1" applyProtection="1">
      <alignment horizontal="left" vertical="center"/>
      <protection locked="0"/>
    </xf>
    <xf numFmtId="0" fontId="2" fillId="0" borderId="24" xfId="0" applyFont="1" applyFill="1" applyBorder="1" applyAlignment="1" applyProtection="1">
      <alignment horizontal="left" vertical="center"/>
      <protection locked="0"/>
    </xf>
    <xf numFmtId="0" fontId="2" fillId="0" borderId="25" xfId="0" applyFont="1" applyFill="1" applyBorder="1" applyAlignment="1" applyProtection="1">
      <alignment horizontal="left" vertical="center"/>
      <protection locked="0"/>
    </xf>
    <xf numFmtId="0" fontId="2" fillId="24" borderId="46" xfId="0" applyFont="1" applyFill="1" applyBorder="1" applyAlignment="1" applyProtection="1">
      <alignment horizontal="center" vertical="center"/>
      <protection locked="0"/>
    </xf>
    <xf numFmtId="0" fontId="2" fillId="24" borderId="47" xfId="0" applyFont="1" applyFill="1" applyBorder="1" applyAlignment="1" applyProtection="1">
      <alignment horizontal="center" vertical="center"/>
      <protection locked="0"/>
    </xf>
    <xf numFmtId="0" fontId="2" fillId="0" borderId="17" xfId="0" applyFont="1" applyBorder="1" applyAlignment="1" applyProtection="1">
      <alignment horizontal="center" vertical="center"/>
      <protection locked="0"/>
    </xf>
    <xf numFmtId="0" fontId="2" fillId="0" borderId="18" xfId="0" applyFont="1" applyBorder="1" applyAlignment="1" applyProtection="1">
      <alignment horizontal="center" vertical="center"/>
      <protection locked="0"/>
    </xf>
    <xf numFmtId="0" fontId="2" fillId="0" borderId="17" xfId="0" applyFont="1" applyBorder="1" applyAlignment="1" applyProtection="1">
      <alignment vertical="center"/>
      <protection locked="0"/>
    </xf>
    <xf numFmtId="0" fontId="2" fillId="0" borderId="18" xfId="0" applyFont="1" applyBorder="1" applyAlignment="1" applyProtection="1">
      <alignment vertical="center"/>
      <protection locked="0"/>
    </xf>
    <xf numFmtId="0" fontId="99" fillId="24" borderId="0" xfId="0" applyFont="1" applyFill="1" applyBorder="1" applyAlignment="1" applyProtection="1">
      <alignment horizontal="left" vertical="center"/>
      <protection locked="0"/>
    </xf>
    <xf numFmtId="0" fontId="8" fillId="24" borderId="0" xfId="0" applyFont="1" applyFill="1" applyBorder="1" applyAlignment="1" applyProtection="1">
      <alignment horizontal="center" vertical="center"/>
      <protection locked="0"/>
    </xf>
    <xf numFmtId="0" fontId="14" fillId="24" borderId="21" xfId="0" applyFont="1" applyFill="1" applyBorder="1" applyAlignment="1" applyProtection="1">
      <alignment horizontal="center" vertical="center" wrapText="1"/>
      <protection locked="0"/>
    </xf>
    <xf numFmtId="0" fontId="14" fillId="24" borderId="45" xfId="0" applyFont="1" applyFill="1" applyBorder="1" applyAlignment="1" applyProtection="1">
      <alignment horizontal="center" vertical="center" wrapText="1"/>
      <protection locked="0"/>
    </xf>
    <xf numFmtId="0" fontId="14" fillId="24" borderId="39" xfId="0" applyFont="1" applyFill="1" applyBorder="1" applyAlignment="1" applyProtection="1">
      <alignment horizontal="center" vertical="center" wrapText="1"/>
      <protection locked="0"/>
    </xf>
    <xf numFmtId="0" fontId="14" fillId="24" borderId="22" xfId="0" applyFont="1" applyFill="1" applyBorder="1" applyAlignment="1" applyProtection="1">
      <alignment horizontal="center" vertical="center" wrapText="1"/>
      <protection locked="0"/>
    </xf>
    <xf numFmtId="0" fontId="2" fillId="24" borderId="40" xfId="0" applyFont="1" applyFill="1" applyBorder="1" applyAlignment="1" applyProtection="1">
      <alignment horizontal="left" vertical="center" wrapText="1"/>
      <protection locked="0"/>
    </xf>
    <xf numFmtId="0" fontId="2" fillId="24" borderId="48" xfId="0" applyFont="1" applyFill="1" applyBorder="1" applyAlignment="1" applyProtection="1">
      <alignment horizontal="left" vertical="center" wrapText="1"/>
      <protection locked="0"/>
    </xf>
    <xf numFmtId="0" fontId="2" fillId="24" borderId="13" xfId="0" applyFont="1" applyFill="1" applyBorder="1" applyAlignment="1" applyProtection="1">
      <alignment horizontal="left" vertical="center" wrapText="1"/>
      <protection locked="0"/>
    </xf>
    <xf numFmtId="0" fontId="2" fillId="24" borderId="3" xfId="0" applyFont="1" applyFill="1" applyBorder="1" applyAlignment="1" applyProtection="1">
      <alignment horizontal="left" vertical="center" wrapText="1"/>
      <protection locked="0"/>
    </xf>
    <xf numFmtId="0" fontId="2" fillId="24" borderId="0" xfId="0" applyFont="1" applyFill="1" applyBorder="1" applyAlignment="1" applyProtection="1">
      <alignment horizontal="center" vertical="center" wrapText="1"/>
      <protection locked="0"/>
    </xf>
    <xf numFmtId="0" fontId="2" fillId="24" borderId="41" xfId="0" applyFont="1" applyFill="1" applyBorder="1" applyAlignment="1" applyProtection="1">
      <alignment horizontal="center" vertical="center" wrapText="1"/>
      <protection locked="0"/>
    </xf>
    <xf numFmtId="0" fontId="2" fillId="24" borderId="31" xfId="0" applyFont="1" applyFill="1" applyBorder="1" applyAlignment="1" applyProtection="1">
      <alignment horizontal="left" vertical="center" wrapText="1"/>
      <protection locked="0"/>
    </xf>
    <xf numFmtId="0" fontId="2" fillId="24" borderId="26" xfId="0" applyFont="1" applyFill="1" applyBorder="1" applyAlignment="1" applyProtection="1">
      <alignment horizontal="left" vertical="center" wrapText="1"/>
      <protection locked="0"/>
    </xf>
    <xf numFmtId="0" fontId="2" fillId="24" borderId="27" xfId="0" applyFont="1" applyFill="1" applyBorder="1" applyAlignment="1" applyProtection="1">
      <alignment horizontal="left" vertical="center" wrapText="1"/>
      <protection locked="0"/>
    </xf>
    <xf numFmtId="0" fontId="2" fillId="24" borderId="4" xfId="0" applyFont="1" applyFill="1" applyBorder="1" applyAlignment="1" applyProtection="1">
      <alignment horizontal="left" vertical="center" wrapText="1"/>
      <protection locked="0"/>
    </xf>
    <xf numFmtId="0" fontId="2" fillId="24" borderId="49" xfId="0" applyFont="1" applyFill="1" applyBorder="1" applyAlignment="1" applyProtection="1">
      <alignment horizontal="left" vertical="center"/>
      <protection locked="0"/>
    </xf>
    <xf numFmtId="0" fontId="2" fillId="24" borderId="42" xfId="0" applyFont="1" applyFill="1" applyBorder="1" applyAlignment="1" applyProtection="1">
      <alignment horizontal="left" vertical="center"/>
      <protection locked="0"/>
    </xf>
    <xf numFmtId="0" fontId="132" fillId="24" borderId="17" xfId="0" applyFont="1" applyFill="1" applyBorder="1" applyAlignment="1" applyProtection="1">
      <alignment horizontal="left" vertical="center" wrapText="1"/>
      <protection locked="0"/>
    </xf>
    <xf numFmtId="0" fontId="2" fillId="24" borderId="42" xfId="0" applyFont="1" applyFill="1" applyBorder="1" applyAlignment="1" applyProtection="1">
      <alignment horizontal="left" vertical="center" wrapText="1"/>
      <protection locked="0"/>
    </xf>
    <xf numFmtId="0" fontId="2" fillId="24" borderId="50" xfId="0" applyFont="1" applyFill="1" applyBorder="1" applyAlignment="1" applyProtection="1">
      <alignment horizontal="left" vertical="center" wrapText="1"/>
      <protection locked="0"/>
    </xf>
    <xf numFmtId="0" fontId="2" fillId="24" borderId="31" xfId="0" applyFont="1" applyFill="1" applyBorder="1" applyAlignment="1" applyProtection="1">
      <alignment horizontal="center" vertical="center" wrapText="1"/>
      <protection locked="0"/>
    </xf>
    <xf numFmtId="0" fontId="2" fillId="24" borderId="26" xfId="0" applyFont="1" applyFill="1" applyBorder="1" applyAlignment="1" applyProtection="1">
      <alignment horizontal="center" vertical="center" wrapText="1"/>
      <protection locked="0"/>
    </xf>
    <xf numFmtId="0" fontId="2" fillId="24" borderId="32" xfId="0" applyFont="1" applyFill="1" applyBorder="1" applyAlignment="1" applyProtection="1">
      <alignment horizontal="center" vertical="center" wrapText="1"/>
      <protection locked="0"/>
    </xf>
    <xf numFmtId="0" fontId="2" fillId="24" borderId="33" xfId="0" applyFont="1" applyFill="1" applyBorder="1" applyAlignment="1" applyProtection="1">
      <alignment horizontal="center" vertical="center" wrapText="1"/>
      <protection locked="0"/>
    </xf>
    <xf numFmtId="0" fontId="2" fillId="24" borderId="43" xfId="0" applyFont="1" applyFill="1" applyBorder="1" applyAlignment="1" applyProtection="1">
      <alignment horizontal="center" vertical="center" wrapText="1"/>
      <protection locked="0"/>
    </xf>
    <xf numFmtId="0" fontId="132" fillId="24" borderId="4" xfId="0" applyFont="1" applyFill="1" applyBorder="1" applyAlignment="1" applyProtection="1">
      <alignment horizontal="left" vertical="center" wrapText="1"/>
      <protection locked="0"/>
    </xf>
    <xf numFmtId="0" fontId="132" fillId="24" borderId="26" xfId="0" applyFont="1" applyFill="1" applyBorder="1" applyAlignment="1" applyProtection="1">
      <alignment horizontal="left" vertical="center" wrapText="1"/>
      <protection locked="0"/>
    </xf>
    <xf numFmtId="0" fontId="132" fillId="24" borderId="38" xfId="0" applyFont="1" applyFill="1" applyBorder="1" applyAlignment="1" applyProtection="1">
      <alignment horizontal="left" vertical="center" wrapText="1"/>
      <protection locked="0"/>
    </xf>
    <xf numFmtId="0" fontId="132" fillId="24" borderId="2" xfId="0" applyFont="1" applyFill="1" applyBorder="1" applyAlignment="1" applyProtection="1">
      <alignment horizontal="left" vertical="center" wrapText="1"/>
      <protection locked="0"/>
    </xf>
    <xf numFmtId="0" fontId="132" fillId="24" borderId="0" xfId="0" applyFont="1" applyFill="1" applyBorder="1" applyAlignment="1" applyProtection="1">
      <alignment horizontal="left" vertical="center" wrapText="1"/>
      <protection locked="0"/>
    </xf>
    <xf numFmtId="0" fontId="132" fillId="24" borderId="41" xfId="0" applyFont="1" applyFill="1" applyBorder="1" applyAlignment="1" applyProtection="1">
      <alignment horizontal="left" vertical="center" wrapText="1"/>
      <protection locked="0"/>
    </xf>
    <xf numFmtId="0" fontId="132" fillId="24" borderId="52" xfId="0" applyFont="1" applyFill="1" applyBorder="1" applyAlignment="1" applyProtection="1">
      <alignment horizontal="left" vertical="center" wrapText="1"/>
      <protection locked="0"/>
    </xf>
    <xf numFmtId="0" fontId="132" fillId="24" borderId="43" xfId="0" applyFont="1" applyFill="1" applyBorder="1" applyAlignment="1" applyProtection="1">
      <alignment horizontal="left" vertical="center" wrapText="1"/>
      <protection locked="0"/>
    </xf>
    <xf numFmtId="0" fontId="132" fillId="24" borderId="51" xfId="0" applyFont="1" applyFill="1" applyBorder="1" applyAlignment="1" applyProtection="1">
      <alignment horizontal="left" vertical="center" wrapText="1"/>
      <protection locked="0"/>
    </xf>
    <xf numFmtId="0" fontId="2" fillId="24" borderId="38" xfId="0" applyFont="1" applyFill="1" applyBorder="1" applyAlignment="1" applyProtection="1">
      <alignment horizontal="left" vertical="center" wrapText="1"/>
      <protection locked="0"/>
    </xf>
    <xf numFmtId="0" fontId="2" fillId="24" borderId="4" xfId="0" applyFont="1" applyFill="1" applyBorder="1" applyAlignment="1" applyProtection="1">
      <alignment horizontal="center" vertical="center" wrapText="1"/>
      <protection locked="0"/>
    </xf>
    <xf numFmtId="0" fontId="2" fillId="24" borderId="38" xfId="0" applyFont="1" applyFill="1" applyBorder="1" applyAlignment="1" applyProtection="1">
      <alignment horizontal="center" vertical="center" wrapText="1"/>
      <protection locked="0"/>
    </xf>
    <xf numFmtId="0" fontId="2" fillId="24" borderId="8" xfId="0" applyFont="1" applyFill="1" applyBorder="1" applyAlignment="1" applyProtection="1">
      <alignment horizontal="left" vertical="center"/>
      <protection locked="0"/>
    </xf>
    <xf numFmtId="0" fontId="2" fillId="24" borderId="18" xfId="0" applyFont="1" applyFill="1" applyBorder="1" applyAlignment="1" applyProtection="1">
      <alignment horizontal="left" vertical="center"/>
      <protection locked="0"/>
    </xf>
    <xf numFmtId="0" fontId="2" fillId="24" borderId="3" xfId="0" applyFont="1" applyFill="1" applyBorder="1" applyAlignment="1" applyProtection="1">
      <alignment horizontal="left" vertical="center"/>
      <protection locked="0"/>
    </xf>
    <xf numFmtId="0" fontId="2" fillId="24" borderId="9" xfId="0" applyFont="1" applyFill="1" applyBorder="1" applyAlignment="1" applyProtection="1">
      <alignment horizontal="center" vertical="center" wrapText="1"/>
      <protection locked="0"/>
    </xf>
    <xf numFmtId="0" fontId="2" fillId="24" borderId="9" xfId="0" applyFont="1" applyFill="1" applyBorder="1" applyAlignment="1" applyProtection="1">
      <alignment horizontal="center" vertical="center"/>
      <protection locked="0"/>
    </xf>
    <xf numFmtId="0" fontId="2" fillId="24" borderId="17" xfId="0" applyFont="1" applyFill="1" applyBorder="1" applyAlignment="1" applyProtection="1">
      <alignment horizontal="center" vertical="center"/>
      <protection locked="0"/>
    </xf>
    <xf numFmtId="0" fontId="2" fillId="24" borderId="18" xfId="0" applyFont="1" applyFill="1" applyBorder="1" applyAlignment="1" applyProtection="1">
      <alignment horizontal="center" vertical="center"/>
      <protection locked="0"/>
    </xf>
    <xf numFmtId="0" fontId="14" fillId="24" borderId="28" xfId="0" applyFont="1" applyFill="1" applyBorder="1" applyAlignment="1" applyProtection="1">
      <alignment horizontal="center" vertical="center" wrapText="1"/>
      <protection locked="0"/>
    </xf>
    <xf numFmtId="0" fontId="14" fillId="24" borderId="29" xfId="0" applyFont="1" applyFill="1" applyBorder="1" applyAlignment="1" applyProtection="1">
      <alignment horizontal="center" vertical="center" wrapText="1"/>
      <protection locked="0"/>
    </xf>
    <xf numFmtId="0" fontId="14" fillId="24" borderId="30" xfId="0" applyFont="1" applyFill="1" applyBorder="1" applyAlignment="1" applyProtection="1">
      <alignment horizontal="center" vertical="center" wrapText="1"/>
      <protection locked="0"/>
    </xf>
    <xf numFmtId="0" fontId="2" fillId="24" borderId="31" xfId="0" applyFont="1" applyFill="1" applyBorder="1" applyAlignment="1" applyProtection="1">
      <alignment horizontal="left" vertical="center"/>
      <protection locked="0"/>
    </xf>
    <xf numFmtId="0" fontId="2" fillId="24" borderId="26" xfId="0" applyFont="1" applyFill="1" applyBorder="1" applyAlignment="1" applyProtection="1">
      <alignment horizontal="left" vertical="center"/>
      <protection locked="0"/>
    </xf>
    <xf numFmtId="0" fontId="2" fillId="24" borderId="27" xfId="0" applyFont="1" applyFill="1" applyBorder="1" applyAlignment="1" applyProtection="1">
      <alignment horizontal="left" vertical="center"/>
      <protection locked="0"/>
    </xf>
    <xf numFmtId="0" fontId="14" fillId="24" borderId="35" xfId="0" applyFont="1" applyFill="1" applyBorder="1" applyAlignment="1" applyProtection="1">
      <alignment horizontal="center" vertical="center" wrapText="1"/>
      <protection locked="0"/>
    </xf>
    <xf numFmtId="0" fontId="14" fillId="24" borderId="24" xfId="0" applyFont="1" applyFill="1" applyBorder="1" applyAlignment="1" applyProtection="1">
      <alignment horizontal="center" vertical="center" wrapText="1"/>
      <protection locked="0"/>
    </xf>
    <xf numFmtId="0" fontId="14" fillId="24" borderId="36" xfId="0" applyFont="1" applyFill="1" applyBorder="1" applyAlignment="1" applyProtection="1">
      <alignment horizontal="center" vertical="center" wrapText="1"/>
      <protection locked="0"/>
    </xf>
    <xf numFmtId="0" fontId="2" fillId="24" borderId="37" xfId="0" applyFont="1" applyFill="1" applyBorder="1" applyAlignment="1" applyProtection="1">
      <alignment horizontal="left" vertical="center" wrapText="1"/>
      <protection locked="0"/>
    </xf>
    <xf numFmtId="0" fontId="2" fillId="24" borderId="34" xfId="0" applyFont="1" applyFill="1" applyBorder="1" applyAlignment="1" applyProtection="1">
      <alignment horizontal="left" vertical="center" wrapText="1"/>
      <protection locked="0"/>
    </xf>
    <xf numFmtId="0" fontId="2" fillId="24" borderId="15" xfId="0" applyFont="1" applyFill="1" applyBorder="1" applyAlignment="1" applyProtection="1">
      <alignment horizontal="left" vertical="center" wrapText="1"/>
      <protection locked="0"/>
    </xf>
    <xf numFmtId="0" fontId="2" fillId="24" borderId="8" xfId="0" applyFont="1" applyFill="1" applyBorder="1" applyAlignment="1" applyProtection="1">
      <alignment horizontal="left" vertical="center" wrapText="1"/>
      <protection locked="0"/>
    </xf>
    <xf numFmtId="0" fontId="2" fillId="24" borderId="18" xfId="0" applyFont="1" applyFill="1" applyBorder="1" applyAlignment="1" applyProtection="1">
      <alignment horizontal="left" vertical="center" wrapText="1"/>
      <protection locked="0"/>
    </xf>
    <xf numFmtId="0" fontId="2" fillId="0" borderId="3" xfId="0" applyFont="1" applyBorder="1" applyAlignment="1" applyProtection="1">
      <alignment horizontal="center" vertical="center"/>
      <protection locked="0"/>
    </xf>
    <xf numFmtId="0" fontId="2" fillId="24" borderId="4" xfId="0" applyFont="1" applyFill="1" applyBorder="1" applyAlignment="1" applyProtection="1">
      <alignment horizontal="center" vertical="center"/>
      <protection locked="0"/>
    </xf>
    <xf numFmtId="0" fontId="2" fillId="24" borderId="27" xfId="0" applyFont="1" applyFill="1" applyBorder="1" applyAlignment="1" applyProtection="1">
      <alignment horizontal="center" vertical="center"/>
      <protection locked="0"/>
    </xf>
    <xf numFmtId="0" fontId="2" fillId="0" borderId="3" xfId="0" applyFont="1" applyBorder="1" applyAlignment="1" applyProtection="1">
      <alignment vertical="center"/>
      <protection locked="0"/>
    </xf>
    <xf numFmtId="0" fontId="2" fillId="24" borderId="27" xfId="0" applyFont="1" applyFill="1" applyBorder="1" applyAlignment="1" applyProtection="1">
      <alignment horizontal="center" vertical="center" wrapText="1"/>
      <protection locked="0"/>
    </xf>
    <xf numFmtId="0" fontId="2" fillId="24" borderId="11" xfId="0" applyFont="1" applyFill="1" applyBorder="1" applyAlignment="1" applyProtection="1">
      <alignment horizontal="center" vertical="center"/>
      <protection locked="0"/>
    </xf>
    <xf numFmtId="0" fontId="2" fillId="0" borderId="11" xfId="0" applyFont="1" applyBorder="1" applyAlignment="1" applyProtection="1">
      <alignment horizontal="center" vertical="center"/>
      <protection locked="0"/>
    </xf>
    <xf numFmtId="0" fontId="119" fillId="0" borderId="0" xfId="0" applyFont="1" applyFill="1" applyBorder="1" applyAlignment="1" applyProtection="1">
      <alignment horizontal="left" vertical="center" wrapText="1"/>
      <protection locked="0"/>
    </xf>
    <xf numFmtId="0" fontId="0" fillId="0" borderId="0" xfId="0" applyFill="1" applyAlignment="1" applyProtection="1">
      <alignment vertical="center" wrapText="1"/>
      <protection locked="0"/>
    </xf>
    <xf numFmtId="0" fontId="77" fillId="5" borderId="0" xfId="2" applyFont="1" applyFill="1" applyBorder="1" applyAlignment="1" applyProtection="1">
      <alignment horizontal="left" vertical="top" wrapText="1"/>
    </xf>
    <xf numFmtId="0" fontId="10" fillId="5" borderId="0" xfId="2" applyFont="1" applyFill="1" applyAlignment="1" applyProtection="1">
      <alignment vertical="top" wrapText="1"/>
    </xf>
    <xf numFmtId="0" fontId="2" fillId="0" borderId="26" xfId="0" applyFont="1" applyFill="1" applyBorder="1" applyAlignment="1" applyProtection="1">
      <alignment horizontal="center" vertical="center" wrapText="1"/>
      <protection locked="0"/>
    </xf>
    <xf numFmtId="0" fontId="0" fillId="0" borderId="26" xfId="0" applyBorder="1" applyAlignment="1" applyProtection="1">
      <alignment vertical="center" wrapText="1"/>
      <protection locked="0"/>
    </xf>
    <xf numFmtId="0" fontId="2" fillId="0" borderId="0" xfId="0" applyFont="1" applyFill="1" applyBorder="1" applyAlignment="1" applyProtection="1">
      <alignment horizontal="center" vertical="center" wrapText="1"/>
      <protection locked="0"/>
    </xf>
    <xf numFmtId="0" fontId="0" fillId="0" borderId="0" xfId="0" applyAlignment="1" applyProtection="1">
      <alignment vertical="center" wrapText="1"/>
      <protection locked="0"/>
    </xf>
    <xf numFmtId="0" fontId="15" fillId="0" borderId="0" xfId="0" applyFont="1" applyAlignment="1" applyProtection="1">
      <alignment horizontal="left" vertical="center" wrapText="1"/>
      <protection locked="0"/>
    </xf>
    <xf numFmtId="0" fontId="8" fillId="0" borderId="0" xfId="0" applyFont="1" applyAlignment="1" applyProtection="1">
      <alignment horizontal="center" vertical="top" wrapText="1"/>
      <protection locked="0"/>
    </xf>
    <xf numFmtId="0" fontId="2" fillId="0" borderId="3" xfId="0" applyFont="1" applyFill="1" applyBorder="1" applyAlignment="1" applyProtection="1">
      <alignment horizontal="center" vertical="center" textRotation="255" wrapText="1"/>
      <protection locked="0"/>
    </xf>
    <xf numFmtId="0" fontId="2" fillId="0" borderId="5" xfId="0" applyFont="1" applyFill="1" applyBorder="1" applyAlignment="1" applyProtection="1">
      <alignment horizontal="center" vertical="center" textRotation="255" wrapText="1"/>
      <protection locked="0"/>
    </xf>
    <xf numFmtId="0" fontId="2" fillId="0" borderId="19" xfId="0" applyFont="1" applyFill="1" applyBorder="1" applyAlignment="1" applyProtection="1">
      <alignment horizontal="center" vertical="center" textRotation="255" wrapText="1"/>
      <protection locked="0"/>
    </xf>
    <xf numFmtId="0" fontId="2" fillId="0" borderId="20" xfId="0" applyFont="1" applyFill="1" applyBorder="1" applyAlignment="1" applyProtection="1">
      <alignment horizontal="center" vertical="center" textRotation="255" wrapText="1"/>
      <protection locked="0"/>
    </xf>
    <xf numFmtId="0" fontId="9" fillId="0" borderId="0" xfId="2" applyFill="1" applyAlignment="1" applyProtection="1">
      <alignment vertical="center"/>
    </xf>
    <xf numFmtId="0" fontId="8" fillId="0" borderId="0" xfId="0" applyFont="1" applyFill="1" applyBorder="1" applyAlignment="1" applyProtection="1">
      <alignment horizontal="center" vertical="center"/>
      <protection locked="0"/>
    </xf>
    <xf numFmtId="0" fontId="8" fillId="0" borderId="0" xfId="0" applyFont="1" applyFill="1" applyAlignment="1" applyProtection="1">
      <alignment horizontal="center" vertical="center"/>
      <protection locked="0"/>
    </xf>
    <xf numFmtId="0" fontId="79" fillId="0" borderId="5" xfId="2" applyFont="1" applyFill="1" applyBorder="1" applyAlignment="1" applyProtection="1">
      <alignment vertical="center" wrapText="1"/>
      <protection locked="0"/>
    </xf>
    <xf numFmtId="0" fontId="79" fillId="0" borderId="19" xfId="2" applyFont="1" applyFill="1" applyBorder="1" applyAlignment="1" applyProtection="1">
      <alignment vertical="center" wrapText="1"/>
      <protection locked="0"/>
    </xf>
    <xf numFmtId="0" fontId="79" fillId="0" borderId="20" xfId="2" applyFont="1" applyFill="1" applyBorder="1" applyAlignment="1" applyProtection="1">
      <alignment vertical="center" wrapText="1"/>
      <protection locked="0"/>
    </xf>
    <xf numFmtId="0" fontId="8" fillId="0" borderId="24"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wrapText="1"/>
      <protection locked="0"/>
    </xf>
    <xf numFmtId="0" fontId="2" fillId="0" borderId="20" xfId="0" applyFont="1" applyFill="1" applyBorder="1" applyAlignment="1" applyProtection="1">
      <alignment horizontal="center" vertical="center" wrapText="1"/>
      <protection locked="0"/>
    </xf>
    <xf numFmtId="0" fontId="14" fillId="0" borderId="5" xfId="0" applyFont="1" applyFill="1" applyBorder="1" applyAlignment="1" applyProtection="1">
      <alignment vertical="center" wrapText="1"/>
      <protection locked="0"/>
    </xf>
    <xf numFmtId="0" fontId="2" fillId="0" borderId="19" xfId="0" applyFont="1" applyFill="1" applyBorder="1" applyAlignment="1" applyProtection="1">
      <alignment vertical="center" wrapText="1"/>
      <protection locked="0"/>
    </xf>
    <xf numFmtId="0" fontId="2" fillId="0" borderId="20" xfId="0" applyFont="1" applyFill="1" applyBorder="1" applyAlignment="1" applyProtection="1">
      <alignment vertical="center" wrapText="1"/>
      <protection locked="0"/>
    </xf>
    <xf numFmtId="0" fontId="63" fillId="0" borderId="0"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protection locked="0"/>
    </xf>
    <xf numFmtId="0" fontId="2" fillId="0" borderId="20" xfId="0"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0" fontId="7" fillId="0" borderId="3" xfId="0" applyFont="1" applyFill="1" applyBorder="1" applyAlignment="1" applyProtection="1">
      <alignment horizontal="center" vertical="center"/>
      <protection locked="0"/>
    </xf>
    <xf numFmtId="0" fontId="115" fillId="0" borderId="3" xfId="0" applyFont="1" applyFill="1" applyBorder="1" applyAlignment="1" applyProtection="1">
      <alignment horizontal="center" vertical="center"/>
      <protection locked="0"/>
    </xf>
    <xf numFmtId="0" fontId="95" fillId="0" borderId="5" xfId="2" applyFont="1" applyFill="1" applyBorder="1" applyAlignment="1" applyProtection="1">
      <alignment vertical="center" wrapText="1"/>
      <protection locked="0"/>
    </xf>
    <xf numFmtId="0" fontId="95" fillId="0" borderId="19" xfId="2" applyFont="1" applyFill="1" applyBorder="1" applyAlignment="1" applyProtection="1">
      <alignment vertical="center" wrapText="1"/>
      <protection locked="0"/>
    </xf>
    <xf numFmtId="0" fontId="95" fillId="0" borderId="20" xfId="2" applyFont="1" applyFill="1" applyBorder="1" applyAlignment="1" applyProtection="1">
      <alignment vertical="center" wrapText="1"/>
      <protection locked="0"/>
    </xf>
    <xf numFmtId="0" fontId="96" fillId="0" borderId="5" xfId="0" applyFont="1" applyFill="1" applyBorder="1" applyAlignment="1" applyProtection="1">
      <alignment vertical="center" wrapText="1"/>
      <protection locked="0"/>
    </xf>
    <xf numFmtId="0" fontId="96" fillId="0" borderId="20" xfId="0" applyFont="1" applyFill="1" applyBorder="1" applyAlignment="1" applyProtection="1">
      <alignment vertical="center" wrapText="1"/>
      <protection locked="0"/>
    </xf>
    <xf numFmtId="0" fontId="79" fillId="5" borderId="3" xfId="2" applyFont="1" applyFill="1" applyBorder="1" applyAlignment="1" applyProtection="1">
      <alignment vertical="center" wrapText="1"/>
      <protection locked="0"/>
    </xf>
    <xf numFmtId="177" fontId="2" fillId="0" borderId="5" xfId="0" applyNumberFormat="1" applyFont="1" applyFill="1" applyBorder="1" applyAlignment="1" applyProtection="1">
      <alignment horizontal="right" vertical="center"/>
    </xf>
    <xf numFmtId="177" fontId="0" fillId="0" borderId="20" xfId="0" applyNumberFormat="1" applyFill="1" applyBorder="1" applyAlignment="1" applyProtection="1">
      <alignment horizontal="right" vertical="center"/>
    </xf>
    <xf numFmtId="0" fontId="91" fillId="0" borderId="0" xfId="2" applyFont="1" applyAlignment="1" applyProtection="1">
      <alignment vertical="center"/>
    </xf>
    <xf numFmtId="0" fontId="9" fillId="0" borderId="0" xfId="2" applyAlignment="1" applyProtection="1">
      <alignment vertical="center"/>
    </xf>
    <xf numFmtId="0" fontId="9" fillId="0" borderId="0" xfId="2" applyFont="1" applyFill="1" applyAlignment="1" applyProtection="1">
      <protection locked="0"/>
    </xf>
    <xf numFmtId="0" fontId="9" fillId="0" borderId="0" xfId="2" applyFill="1" applyAlignment="1" applyProtection="1">
      <protection locked="0"/>
    </xf>
    <xf numFmtId="0" fontId="93" fillId="0" borderId="0" xfId="0" applyFont="1" applyBorder="1" applyAlignment="1" applyProtection="1">
      <alignment horizontal="center" vertical="center"/>
      <protection locked="0"/>
    </xf>
    <xf numFmtId="0" fontId="8" fillId="0" borderId="0" xfId="0" applyFont="1" applyBorder="1" applyAlignment="1" applyProtection="1">
      <alignment horizontal="center" vertical="center"/>
      <protection locked="0"/>
    </xf>
    <xf numFmtId="0" fontId="79" fillId="5" borderId="5" xfId="2" applyFont="1" applyFill="1" applyBorder="1" applyAlignment="1" applyProtection="1">
      <alignment vertical="center" wrapText="1"/>
      <protection locked="0"/>
    </xf>
    <xf numFmtId="0" fontId="79" fillId="5" borderId="19" xfId="2" applyFont="1" applyFill="1" applyBorder="1" applyAlignment="1" applyProtection="1">
      <alignment vertical="center" wrapText="1"/>
      <protection locked="0"/>
    </xf>
    <xf numFmtId="0" fontId="79" fillId="5" borderId="20" xfId="2" applyFont="1" applyFill="1" applyBorder="1" applyAlignment="1" applyProtection="1">
      <alignment vertical="center" wrapText="1"/>
      <protection locked="0"/>
    </xf>
    <xf numFmtId="0" fontId="2" fillId="0" borderId="5" xfId="0" applyFont="1" applyBorder="1" applyAlignment="1" applyProtection="1">
      <alignment horizontal="center" vertical="center"/>
      <protection locked="0"/>
    </xf>
    <xf numFmtId="0" fontId="2" fillId="0" borderId="20" xfId="0" applyFont="1" applyBorder="1" applyAlignment="1" applyProtection="1">
      <alignment horizontal="center" vertical="center"/>
      <protection locked="0"/>
    </xf>
    <xf numFmtId="0" fontId="2" fillId="0" borderId="5" xfId="0" applyFont="1" applyBorder="1" applyAlignment="1" applyProtection="1">
      <alignment horizontal="left" vertical="center" wrapText="1"/>
      <protection locked="0"/>
    </xf>
    <xf numFmtId="0" fontId="2" fillId="0" borderId="20" xfId="0" applyFont="1" applyBorder="1" applyAlignment="1" applyProtection="1">
      <alignment horizontal="left" vertical="center" wrapText="1"/>
      <protection locked="0"/>
    </xf>
    <xf numFmtId="177" fontId="2" fillId="0" borderId="20" xfId="0" applyNumberFormat="1" applyFont="1" applyFill="1" applyBorder="1" applyAlignment="1" applyProtection="1">
      <alignment horizontal="right" vertical="center"/>
    </xf>
    <xf numFmtId="0" fontId="0" fillId="0" borderId="20" xfId="0" applyBorder="1" applyAlignment="1" applyProtection="1">
      <alignment horizontal="center" vertical="center"/>
      <protection locked="0"/>
    </xf>
    <xf numFmtId="0" fontId="2" fillId="0" borderId="5" xfId="0" applyFont="1" applyBorder="1" applyAlignment="1" applyProtection="1">
      <alignment vertical="center"/>
      <protection locked="0"/>
    </xf>
    <xf numFmtId="0" fontId="0" fillId="0" borderId="20" xfId="0" applyBorder="1" applyAlignment="1" applyProtection="1">
      <alignment vertical="center"/>
      <protection locked="0"/>
    </xf>
    <xf numFmtId="177" fontId="2" fillId="0" borderId="5" xfId="0" applyNumberFormat="1" applyFont="1" applyFill="1" applyBorder="1" applyAlignment="1" applyProtection="1">
      <alignment horizontal="right" vertical="center"/>
      <protection locked="0"/>
    </xf>
    <xf numFmtId="177" fontId="0" fillId="0" borderId="20" xfId="0" applyNumberFormat="1" applyFill="1" applyBorder="1" applyAlignment="1" applyProtection="1">
      <alignment horizontal="right" vertical="center"/>
      <protection locked="0"/>
    </xf>
    <xf numFmtId="0" fontId="14" fillId="5" borderId="0" xfId="0" applyFont="1" applyFill="1" applyAlignment="1" applyProtection="1">
      <alignment horizontal="left" vertical="center" wrapText="1"/>
      <protection locked="0"/>
    </xf>
    <xf numFmtId="0" fontId="27" fillId="5" borderId="0" xfId="0" applyFont="1" applyFill="1" applyAlignment="1" applyProtection="1">
      <alignment horizontal="left" vertical="center" wrapText="1"/>
      <protection locked="0"/>
    </xf>
    <xf numFmtId="0" fontId="28" fillId="5" borderId="0" xfId="2" applyFont="1" applyFill="1" applyAlignment="1" applyProtection="1">
      <alignment horizontal="left" vertical="center" wrapText="1"/>
      <protection locked="0"/>
    </xf>
    <xf numFmtId="0" fontId="0" fillId="0" borderId="3" xfId="0" applyBorder="1" applyAlignment="1" applyProtection="1">
      <alignment vertical="center"/>
      <protection locked="0"/>
    </xf>
    <xf numFmtId="177" fontId="2" fillId="0" borderId="3" xfId="0" applyNumberFormat="1" applyFont="1" applyFill="1" applyBorder="1" applyAlignment="1" applyProtection="1">
      <alignment horizontal="right" vertical="center"/>
      <protection locked="0"/>
    </xf>
    <xf numFmtId="177" fontId="0" fillId="0" borderId="3" xfId="0" applyNumberFormat="1" applyFill="1" applyBorder="1" applyAlignment="1" applyProtection="1">
      <alignment vertical="center"/>
      <protection locked="0"/>
    </xf>
    <xf numFmtId="177" fontId="2" fillId="0" borderId="3" xfId="0" applyNumberFormat="1" applyFont="1" applyFill="1" applyBorder="1" applyAlignment="1" applyProtection="1">
      <alignment horizontal="right" vertical="center"/>
    </xf>
    <xf numFmtId="177" fontId="0" fillId="0" borderId="3" xfId="0" applyNumberFormat="1" applyFill="1" applyBorder="1" applyAlignment="1" applyProtection="1">
      <alignment vertical="center"/>
    </xf>
    <xf numFmtId="0" fontId="2" fillId="0" borderId="0" xfId="0" applyFont="1" applyAlignment="1" applyProtection="1">
      <alignment horizontal="center" vertical="center" wrapText="1"/>
      <protection locked="0"/>
    </xf>
    <xf numFmtId="0" fontId="91" fillId="0" borderId="0" xfId="2" applyFont="1" applyFill="1" applyAlignment="1" applyProtection="1">
      <alignment vertical="center"/>
    </xf>
    <xf numFmtId="0" fontId="9" fillId="0" borderId="0" xfId="2" applyFill="1" applyAlignment="1" applyProtection="1">
      <alignment horizontal="left" vertical="center"/>
      <protection locked="0"/>
    </xf>
    <xf numFmtId="0" fontId="63" fillId="0" borderId="24"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wrapText="1"/>
      <protection locked="0"/>
    </xf>
    <xf numFmtId="0" fontId="2" fillId="0" borderId="0" xfId="0" applyFont="1" applyFill="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14" fillId="0" borderId="0" xfId="0" applyFont="1" applyFill="1" applyAlignment="1" applyProtection="1">
      <alignment horizontal="left" vertical="center" wrapText="1"/>
      <protection locked="0"/>
    </xf>
    <xf numFmtId="0" fontId="15" fillId="0" borderId="0" xfId="0" applyFont="1" applyFill="1" applyAlignment="1" applyProtection="1">
      <alignment horizontal="left" vertical="center" wrapText="1"/>
      <protection locked="0"/>
    </xf>
    <xf numFmtId="0" fontId="79" fillId="0" borderId="0" xfId="2" applyFont="1" applyFill="1" applyAlignment="1" applyProtection="1">
      <alignment horizontal="left" vertical="center" wrapText="1"/>
      <protection locked="0"/>
    </xf>
    <xf numFmtId="0" fontId="2" fillId="0" borderId="5" xfId="0" applyFont="1" applyFill="1" applyBorder="1" applyAlignment="1" applyProtection="1">
      <alignment vertical="center" wrapText="1"/>
      <protection locked="0"/>
    </xf>
    <xf numFmtId="0" fontId="2" fillId="0" borderId="26" xfId="0" applyFont="1" applyFill="1" applyBorder="1" applyAlignment="1" applyProtection="1">
      <alignment horizontal="left" vertical="center" wrapText="1"/>
      <protection locked="0"/>
    </xf>
    <xf numFmtId="0" fontId="0" fillId="0" borderId="26" xfId="0" applyFill="1" applyBorder="1" applyAlignment="1" applyProtection="1">
      <alignment horizontal="left" vertical="center" wrapText="1"/>
      <protection locked="0"/>
    </xf>
    <xf numFmtId="0" fontId="2" fillId="0" borderId="17" xfId="0" applyFont="1" applyFill="1" applyBorder="1" applyAlignment="1" applyProtection="1">
      <alignment horizontal="center" vertical="center"/>
      <protection locked="0"/>
    </xf>
    <xf numFmtId="0" fontId="2" fillId="0" borderId="42" xfId="0" applyFont="1" applyFill="1" applyBorder="1" applyAlignment="1" applyProtection="1">
      <alignment horizontal="center" vertical="center"/>
      <protection locked="0"/>
    </xf>
    <xf numFmtId="0" fontId="2" fillId="0" borderId="18" xfId="0" applyFont="1" applyFill="1" applyBorder="1" applyAlignment="1" applyProtection="1">
      <alignment horizontal="center" vertical="center"/>
      <protection locked="0"/>
    </xf>
    <xf numFmtId="0" fontId="79" fillId="0" borderId="0" xfId="2" applyFont="1" applyFill="1" applyAlignment="1" applyProtection="1">
      <alignment vertical="center" wrapText="1"/>
      <protection locked="0"/>
    </xf>
    <xf numFmtId="0" fontId="81" fillId="0" borderId="0" xfId="0" applyFont="1" applyFill="1" applyAlignment="1" applyProtection="1">
      <alignment vertical="center" wrapText="1"/>
      <protection locked="0"/>
    </xf>
    <xf numFmtId="0" fontId="83" fillId="0" borderId="0" xfId="0" applyFont="1" applyFill="1" applyAlignment="1" applyProtection="1">
      <alignment vertical="center" wrapText="1"/>
      <protection locked="0"/>
    </xf>
    <xf numFmtId="0" fontId="2" fillId="0" borderId="26" xfId="0" applyFont="1" applyFill="1" applyBorder="1" applyAlignment="1" applyProtection="1">
      <alignment vertical="center" wrapText="1"/>
      <protection locked="0"/>
    </xf>
    <xf numFmtId="0" fontId="0" fillId="0" borderId="26" xfId="0" applyFill="1" applyBorder="1" applyAlignment="1" applyProtection="1">
      <alignment vertical="center" wrapText="1"/>
      <protection locked="0"/>
    </xf>
    <xf numFmtId="0" fontId="2" fillId="0" borderId="0" xfId="0" applyFont="1" applyFill="1" applyAlignment="1" applyProtection="1">
      <alignment vertical="center" wrapText="1"/>
      <protection locked="0"/>
    </xf>
    <xf numFmtId="0" fontId="91" fillId="0" borderId="0" xfId="2" applyFont="1" applyFill="1" applyAlignment="1" applyProtection="1">
      <alignment horizontal="left" vertical="center"/>
      <protection locked="0"/>
    </xf>
    <xf numFmtId="0" fontId="93" fillId="0" borderId="24" xfId="0" applyFont="1" applyFill="1" applyBorder="1" applyAlignment="1" applyProtection="1">
      <alignment horizontal="center" vertical="center"/>
      <protection locked="0"/>
    </xf>
    <xf numFmtId="0" fontId="2" fillId="0" borderId="4" xfId="0" applyFont="1" applyFill="1" applyBorder="1" applyAlignment="1" applyProtection="1">
      <alignment horizontal="center" vertical="center" wrapText="1"/>
      <protection locked="0"/>
    </xf>
    <xf numFmtId="0" fontId="2" fillId="0" borderId="27" xfId="0" applyFont="1" applyFill="1" applyBorder="1" applyAlignment="1" applyProtection="1">
      <alignment horizontal="center" vertical="center" wrapText="1"/>
      <protection locked="0"/>
    </xf>
    <xf numFmtId="0" fontId="81" fillId="0" borderId="0" xfId="0" applyFont="1" applyFill="1" applyAlignment="1" applyProtection="1">
      <alignment wrapText="1"/>
      <protection locked="0"/>
    </xf>
    <xf numFmtId="40" fontId="4" fillId="0" borderId="3" xfId="0" applyNumberFormat="1" applyFont="1" applyFill="1" applyBorder="1" applyAlignment="1" applyProtection="1">
      <alignment horizontal="center" vertical="center"/>
      <protection locked="0"/>
    </xf>
    <xf numFmtId="40" fontId="4" fillId="0" borderId="5" xfId="0" applyNumberFormat="1" applyFont="1" applyFill="1" applyBorder="1" applyAlignment="1" applyProtection="1">
      <alignment vertical="center"/>
    </xf>
    <xf numFmtId="40" fontId="4" fillId="0" borderId="19" xfId="0" applyNumberFormat="1" applyFont="1" applyFill="1" applyBorder="1" applyAlignment="1" applyProtection="1">
      <alignment vertical="center"/>
    </xf>
    <xf numFmtId="40" fontId="4" fillId="0" borderId="20" xfId="0" applyNumberFormat="1" applyFont="1" applyFill="1" applyBorder="1" applyAlignment="1" applyProtection="1">
      <alignment vertical="center"/>
    </xf>
    <xf numFmtId="0" fontId="94" fillId="0" borderId="0" xfId="0" applyFont="1" applyFill="1" applyAlignment="1" applyProtection="1">
      <alignment wrapText="1"/>
      <protection locked="0"/>
    </xf>
    <xf numFmtId="0" fontId="79" fillId="0" borderId="0" xfId="2" applyFont="1" applyFill="1" applyAlignment="1" applyProtection="1">
      <alignment wrapText="1"/>
      <protection locked="0"/>
    </xf>
    <xf numFmtId="0" fontId="2" fillId="0" borderId="0" xfId="0" applyFont="1" applyFill="1" applyAlignment="1" applyProtection="1">
      <alignment wrapText="1"/>
      <protection locked="0"/>
    </xf>
    <xf numFmtId="0" fontId="0" fillId="0" borderId="0" xfId="0" applyFill="1" applyAlignment="1" applyProtection="1">
      <alignment wrapText="1"/>
      <protection locked="0"/>
    </xf>
    <xf numFmtId="0" fontId="83" fillId="0" borderId="0" xfId="0" applyFont="1" applyFill="1" applyAlignment="1" applyProtection="1">
      <alignment wrapText="1"/>
      <protection locked="0"/>
    </xf>
    <xf numFmtId="0" fontId="23" fillId="0" borderId="5" xfId="0" applyFont="1" applyFill="1" applyBorder="1" applyAlignment="1" applyProtection="1">
      <alignment horizontal="center" vertical="center"/>
      <protection locked="0"/>
    </xf>
    <xf numFmtId="0" fontId="23" fillId="0" borderId="20" xfId="0" applyFont="1" applyFill="1" applyBorder="1" applyAlignment="1" applyProtection="1">
      <alignment horizontal="center" vertical="center"/>
      <protection locked="0"/>
    </xf>
    <xf numFmtId="0" fontId="23" fillId="0" borderId="0" xfId="0" applyFont="1" applyFill="1" applyAlignment="1" applyProtection="1">
      <alignment vertical="center" wrapText="1"/>
      <protection locked="0"/>
    </xf>
    <xf numFmtId="0" fontId="23" fillId="0" borderId="5" xfId="0" applyFont="1" applyFill="1" applyBorder="1" applyAlignment="1" applyProtection="1">
      <alignment horizontal="center" vertical="center" wrapText="1"/>
      <protection locked="0"/>
    </xf>
    <xf numFmtId="0" fontId="23" fillId="0" borderId="20" xfId="0" applyFont="1" applyFill="1" applyBorder="1" applyAlignment="1" applyProtection="1">
      <alignment horizontal="center" vertical="center" wrapText="1"/>
      <protection locked="0"/>
    </xf>
    <xf numFmtId="0" fontId="81" fillId="0" borderId="5" xfId="0" applyFont="1" applyFill="1" applyBorder="1" applyAlignment="1" applyProtection="1">
      <alignment vertical="center" wrapText="1"/>
      <protection locked="0"/>
    </xf>
    <xf numFmtId="0" fontId="81" fillId="0" borderId="19" xfId="0" applyFont="1" applyFill="1" applyBorder="1" applyAlignment="1" applyProtection="1">
      <alignment vertical="center" wrapText="1"/>
      <protection locked="0"/>
    </xf>
    <xf numFmtId="0" fontId="81" fillId="0" borderId="20" xfId="0" applyFont="1" applyFill="1" applyBorder="1" applyAlignment="1" applyProtection="1">
      <alignment vertical="center" wrapText="1"/>
      <protection locked="0"/>
    </xf>
    <xf numFmtId="0" fontId="79" fillId="0" borderId="5" xfId="2" applyFont="1" applyFill="1" applyBorder="1" applyAlignment="1" applyProtection="1">
      <alignment horizontal="left" vertical="center" wrapText="1"/>
      <protection locked="0"/>
    </xf>
    <xf numFmtId="0" fontId="79" fillId="0" borderId="20" xfId="2" applyFont="1" applyFill="1" applyBorder="1" applyAlignment="1" applyProtection="1">
      <alignment horizontal="left" vertical="center" wrapText="1"/>
      <protection locked="0"/>
    </xf>
    <xf numFmtId="0" fontId="79" fillId="0" borderId="19" xfId="2" applyFont="1" applyFill="1" applyBorder="1" applyAlignment="1" applyProtection="1">
      <alignment horizontal="left" vertical="center" wrapText="1"/>
      <protection locked="0"/>
    </xf>
    <xf numFmtId="0" fontId="23" fillId="0" borderId="26" xfId="0" applyFont="1" applyFill="1" applyBorder="1" applyAlignment="1" applyProtection="1">
      <alignment vertical="center" wrapText="1"/>
      <protection locked="0"/>
    </xf>
    <xf numFmtId="0" fontId="30" fillId="0" borderId="24" xfId="0" applyFont="1" applyFill="1" applyBorder="1" applyAlignment="1" applyProtection="1">
      <alignment horizontal="center" vertical="center"/>
      <protection locked="0"/>
    </xf>
    <xf numFmtId="0" fontId="23" fillId="0" borderId="19" xfId="0" applyFont="1" applyFill="1" applyBorder="1" applyAlignment="1" applyProtection="1">
      <alignment horizontal="center" vertical="center"/>
      <protection locked="0"/>
    </xf>
    <xf numFmtId="0" fontId="23" fillId="0" borderId="3" xfId="0" applyFont="1" applyFill="1" applyBorder="1" applyAlignment="1" applyProtection="1">
      <alignment horizontal="center" vertical="center"/>
      <protection locked="0"/>
    </xf>
    <xf numFmtId="0" fontId="23" fillId="0" borderId="3" xfId="0" applyFont="1" applyFill="1" applyBorder="1" applyAlignment="1" applyProtection="1">
      <alignment horizontal="left" vertical="center" wrapText="1"/>
      <protection locked="0"/>
    </xf>
    <xf numFmtId="177" fontId="23" fillId="0" borderId="5" xfId="0" applyNumberFormat="1" applyFont="1" applyFill="1" applyBorder="1" applyAlignment="1" applyProtection="1">
      <alignment horizontal="right" vertical="center"/>
    </xf>
    <xf numFmtId="177" fontId="23" fillId="0" borderId="20" xfId="0" applyNumberFormat="1" applyFont="1" applyFill="1" applyBorder="1" applyAlignment="1" applyProtection="1">
      <alignment horizontal="right" vertical="center"/>
    </xf>
    <xf numFmtId="0" fontId="82" fillId="0" borderId="0" xfId="0" applyFont="1" applyFill="1" applyAlignment="1" applyProtection="1">
      <alignment vertical="center" wrapText="1"/>
      <protection locked="0"/>
    </xf>
    <xf numFmtId="0" fontId="84" fillId="0" borderId="0" xfId="0" applyFont="1" applyFill="1" applyAlignment="1" applyProtection="1">
      <alignment vertical="center" wrapText="1"/>
      <protection locked="0"/>
    </xf>
    <xf numFmtId="0" fontId="93" fillId="0" borderId="0" xfId="0" applyFont="1" applyFill="1" applyAlignment="1" applyProtection="1">
      <alignment horizontal="center" vertical="center"/>
      <protection locked="0"/>
    </xf>
    <xf numFmtId="0" fontId="30" fillId="0" borderId="0" xfId="0" applyFont="1" applyFill="1" applyAlignment="1" applyProtection="1">
      <alignment horizontal="center" vertical="center"/>
      <protection locked="0"/>
    </xf>
    <xf numFmtId="0" fontId="23" fillId="0" borderId="0" xfId="0" applyFont="1" applyFill="1" applyBorder="1" applyAlignment="1" applyProtection="1">
      <alignment horizontal="left" vertical="center" wrapText="1"/>
      <protection locked="0"/>
    </xf>
    <xf numFmtId="0" fontId="29" fillId="0" borderId="0" xfId="0" applyFont="1" applyFill="1" applyAlignment="1" applyProtection="1">
      <alignment horizontal="left" vertical="center" wrapText="1"/>
      <protection locked="0"/>
    </xf>
    <xf numFmtId="0" fontId="26" fillId="0" borderId="0" xfId="0" applyFont="1" applyFill="1" applyBorder="1" applyAlignment="1" applyProtection="1">
      <alignment horizontal="left" vertical="center" wrapText="1"/>
      <protection locked="0"/>
    </xf>
    <xf numFmtId="0" fontId="27" fillId="0" borderId="0" xfId="0" applyFont="1" applyFill="1" applyAlignment="1" applyProtection="1">
      <alignment horizontal="left" vertical="center" wrapText="1"/>
      <protection locked="0"/>
    </xf>
    <xf numFmtId="0" fontId="25" fillId="0" borderId="0" xfId="2" applyFont="1" applyFill="1" applyBorder="1" applyAlignment="1" applyProtection="1">
      <alignment horizontal="left" vertical="center" wrapText="1"/>
      <protection locked="0"/>
    </xf>
    <xf numFmtId="0" fontId="25" fillId="0" borderId="0" xfId="2" applyFont="1" applyFill="1" applyAlignment="1" applyProtection="1">
      <alignment horizontal="left" vertical="center" wrapText="1"/>
      <protection locked="0"/>
    </xf>
    <xf numFmtId="0" fontId="116" fillId="0" borderId="3" xfId="0" applyFont="1" applyFill="1" applyBorder="1" applyAlignment="1">
      <alignment horizontal="center" vertical="center"/>
    </xf>
    <xf numFmtId="0" fontId="116" fillId="0" borderId="3" xfId="0" applyFont="1" applyFill="1" applyBorder="1" applyAlignment="1">
      <alignment horizontal="center" vertical="center" wrapText="1"/>
    </xf>
    <xf numFmtId="0" fontId="83" fillId="0" borderId="0" xfId="0" applyFont="1" applyFill="1" applyBorder="1" applyAlignment="1" applyProtection="1">
      <alignment horizontal="left" vertical="center" wrapText="1"/>
      <protection locked="0"/>
    </xf>
    <xf numFmtId="0" fontId="84" fillId="0" borderId="0" xfId="0" applyFont="1" applyFill="1" applyAlignment="1" applyProtection="1">
      <alignment horizontal="left" vertical="center" wrapText="1"/>
      <protection locked="0"/>
    </xf>
    <xf numFmtId="0" fontId="79" fillId="0" borderId="0" xfId="2" applyFont="1" applyFill="1" applyBorder="1" applyAlignment="1" applyProtection="1">
      <alignment horizontal="left" vertical="center" wrapText="1"/>
      <protection locked="0"/>
    </xf>
    <xf numFmtId="0" fontId="81" fillId="0" borderId="0" xfId="0" applyFont="1" applyFill="1" applyBorder="1" applyAlignment="1" applyProtection="1">
      <alignment horizontal="left" vertical="center" wrapText="1"/>
      <protection locked="0"/>
    </xf>
    <xf numFmtId="0" fontId="82" fillId="0" borderId="0" xfId="0" applyFont="1" applyFill="1" applyAlignment="1" applyProtection="1">
      <alignment horizontal="left" vertical="center" wrapText="1"/>
      <protection locked="0"/>
    </xf>
    <xf numFmtId="0" fontId="23" fillId="0" borderId="17" xfId="0" applyFont="1" applyFill="1" applyBorder="1" applyAlignment="1" applyProtection="1">
      <alignment vertical="center"/>
      <protection locked="0"/>
    </xf>
    <xf numFmtId="0" fontId="23" fillId="0" borderId="18" xfId="0" applyFont="1" applyFill="1" applyBorder="1" applyAlignment="1" applyProtection="1">
      <alignment vertical="center"/>
      <protection locked="0"/>
    </xf>
    <xf numFmtId="0" fontId="35" fillId="0" borderId="17" xfId="0" applyFont="1" applyFill="1" applyBorder="1" applyAlignment="1" applyProtection="1">
      <alignment vertical="center"/>
      <protection locked="0"/>
    </xf>
    <xf numFmtId="0" fontId="23" fillId="0" borderId="17" xfId="0" applyFont="1" applyFill="1" applyBorder="1" applyAlignment="1" applyProtection="1">
      <alignment vertical="center" wrapText="1"/>
      <protection locked="0"/>
    </xf>
    <xf numFmtId="0" fontId="23" fillId="0" borderId="18" xfId="0" applyFont="1" applyFill="1" applyBorder="1" applyAlignment="1" applyProtection="1">
      <alignment vertical="center" wrapText="1"/>
      <protection locked="0"/>
    </xf>
    <xf numFmtId="0" fontId="35" fillId="0" borderId="17" xfId="0" applyFont="1" applyFill="1" applyBorder="1" applyAlignment="1" applyProtection="1">
      <alignment vertical="center" wrapText="1"/>
      <protection locked="0"/>
    </xf>
    <xf numFmtId="0" fontId="23" fillId="0" borderId="19" xfId="0" applyFont="1" applyFill="1" applyBorder="1" applyAlignment="1" applyProtection="1">
      <alignment horizontal="center" vertical="center" wrapText="1"/>
      <protection locked="0"/>
    </xf>
    <xf numFmtId="0" fontId="23" fillId="0" borderId="17" xfId="0" applyFont="1" applyFill="1" applyBorder="1" applyAlignment="1" applyProtection="1">
      <alignment horizontal="left" vertical="center"/>
      <protection locked="0"/>
    </xf>
    <xf numFmtId="0" fontId="23" fillId="0" borderId="18" xfId="0" applyFont="1" applyFill="1" applyBorder="1" applyAlignment="1" applyProtection="1">
      <alignment horizontal="left" vertical="center"/>
      <protection locked="0"/>
    </xf>
    <xf numFmtId="0" fontId="35" fillId="0" borderId="3" xfId="0" applyFont="1" applyFill="1" applyBorder="1" applyAlignment="1" applyProtection="1">
      <alignment horizontal="center" vertical="center" wrapText="1"/>
      <protection locked="0"/>
    </xf>
    <xf numFmtId="0" fontId="35" fillId="0" borderId="5" xfId="0" applyFont="1" applyFill="1" applyBorder="1" applyAlignment="1" applyProtection="1">
      <alignment horizontal="center" vertical="center" wrapText="1"/>
      <protection locked="0"/>
    </xf>
    <xf numFmtId="0" fontId="23" fillId="0" borderId="3" xfId="0" applyFont="1" applyFill="1" applyBorder="1" applyAlignment="1" applyProtection="1">
      <alignment horizontal="center" vertical="center" wrapText="1"/>
      <protection locked="0"/>
    </xf>
    <xf numFmtId="0" fontId="35" fillId="0" borderId="5" xfId="0" applyFont="1" applyFill="1" applyBorder="1" applyAlignment="1" applyProtection="1">
      <alignment horizontal="left" vertical="center" wrapText="1"/>
      <protection locked="0"/>
    </xf>
    <xf numFmtId="0" fontId="23" fillId="0" borderId="19" xfId="0" applyFont="1" applyFill="1" applyBorder="1" applyAlignment="1" applyProtection="1">
      <alignment horizontal="left" vertical="center" wrapText="1"/>
      <protection locked="0"/>
    </xf>
    <xf numFmtId="0" fontId="9" fillId="0" borderId="0" xfId="2" applyFill="1" applyBorder="1" applyAlignment="1" applyProtection="1">
      <alignment horizontal="left" vertical="center"/>
      <protection locked="0"/>
    </xf>
    <xf numFmtId="0" fontId="35" fillId="0" borderId="19" xfId="0" applyFont="1" applyFill="1" applyBorder="1" applyAlignment="1" applyProtection="1">
      <alignment horizontal="center" vertical="center" wrapText="1"/>
      <protection locked="0"/>
    </xf>
    <xf numFmtId="0" fontId="35" fillId="0" borderId="20" xfId="0" applyFont="1" applyFill="1" applyBorder="1" applyAlignment="1" applyProtection="1">
      <alignment horizontal="center" vertical="center" wrapText="1"/>
      <protection locked="0"/>
    </xf>
    <xf numFmtId="0" fontId="23" fillId="0" borderId="4" xfId="0" applyFont="1" applyFill="1" applyBorder="1" applyAlignment="1" applyProtection="1">
      <alignment horizontal="center" vertical="center"/>
      <protection locked="0"/>
    </xf>
    <xf numFmtId="0" fontId="23" fillId="0" borderId="27" xfId="0" applyFont="1" applyFill="1" applyBorder="1" applyAlignment="1" applyProtection="1">
      <alignment horizontal="center" vertical="center"/>
      <protection locked="0"/>
    </xf>
    <xf numFmtId="0" fontId="23" fillId="0" borderId="2" xfId="0" applyFont="1" applyFill="1" applyBorder="1" applyAlignment="1" applyProtection="1">
      <alignment horizontal="center" vertical="center"/>
      <protection locked="0"/>
    </xf>
    <xf numFmtId="0" fontId="23" fillId="0" borderId="1" xfId="0" applyFont="1" applyFill="1" applyBorder="1" applyAlignment="1" applyProtection="1">
      <alignment horizontal="center" vertical="center"/>
      <protection locked="0"/>
    </xf>
    <xf numFmtId="0" fontId="23" fillId="0" borderId="23" xfId="0" applyFont="1" applyFill="1" applyBorder="1" applyAlignment="1" applyProtection="1">
      <alignment horizontal="center" vertical="center"/>
      <protection locked="0"/>
    </xf>
    <xf numFmtId="0" fontId="23" fillId="0" borderId="25" xfId="0" applyFont="1" applyFill="1" applyBorder="1" applyAlignment="1" applyProtection="1">
      <alignment horizontal="center" vertical="center"/>
      <protection locked="0"/>
    </xf>
    <xf numFmtId="0" fontId="79" fillId="0" borderId="0" xfId="2" applyFont="1" applyFill="1" applyAlignment="1" applyProtection="1">
      <protection locked="0"/>
    </xf>
    <xf numFmtId="0" fontId="9" fillId="0" borderId="0" xfId="2" applyFill="1" applyAlignment="1" applyProtection="1">
      <alignment vertical="center"/>
      <protection locked="0"/>
    </xf>
    <xf numFmtId="0" fontId="63" fillId="0" borderId="0" xfId="0" applyFont="1" applyFill="1" applyAlignment="1" applyProtection="1">
      <alignment horizontal="center" vertical="center"/>
      <protection locked="0"/>
    </xf>
    <xf numFmtId="0" fontId="40" fillId="0" borderId="0" xfId="0" applyFont="1" applyFill="1" applyAlignment="1" applyProtection="1">
      <alignment horizontal="center" vertical="center"/>
      <protection locked="0"/>
    </xf>
    <xf numFmtId="0" fontId="41" fillId="0" borderId="0" xfId="0" applyFont="1" applyFill="1" applyAlignment="1" applyProtection="1">
      <alignment vertical="center"/>
      <protection locked="0"/>
    </xf>
    <xf numFmtId="0" fontId="35" fillId="0" borderId="3" xfId="0" applyFont="1" applyFill="1" applyBorder="1" applyAlignment="1" applyProtection="1">
      <alignment horizontal="center" vertical="center"/>
      <protection locked="0"/>
    </xf>
    <xf numFmtId="0" fontId="36" fillId="0" borderId="0" xfId="0" applyFont="1" applyFill="1" applyAlignment="1" applyProtection="1">
      <alignment wrapText="1"/>
      <protection locked="0"/>
    </xf>
    <xf numFmtId="0" fontId="79" fillId="0" borderId="3" xfId="2" applyFont="1" applyFill="1" applyBorder="1" applyAlignment="1" applyProtection="1">
      <alignment horizontal="left" vertical="center" wrapText="1"/>
      <protection locked="0"/>
    </xf>
    <xf numFmtId="0" fontId="93" fillId="0" borderId="0" xfId="0" applyFont="1" applyFill="1" applyBorder="1" applyAlignment="1" applyProtection="1">
      <alignment horizontal="center" vertical="center"/>
      <protection locked="0"/>
    </xf>
    <xf numFmtId="0" fontId="40" fillId="0" borderId="0" xfId="0" applyFont="1" applyFill="1" applyBorder="1" applyAlignment="1" applyProtection="1">
      <alignment horizontal="center" vertical="center"/>
      <protection locked="0"/>
    </xf>
    <xf numFmtId="0" fontId="35" fillId="0" borderId="5" xfId="0" applyFont="1" applyFill="1" applyBorder="1" applyAlignment="1" applyProtection="1">
      <alignment horizontal="center" vertical="center"/>
      <protection locked="0"/>
    </xf>
    <xf numFmtId="0" fontId="35" fillId="0" borderId="19" xfId="0" applyFont="1" applyFill="1" applyBorder="1" applyAlignment="1" applyProtection="1">
      <alignment horizontal="center" vertical="center"/>
      <protection locked="0"/>
    </xf>
    <xf numFmtId="0" fontId="35" fillId="0" borderId="20" xfId="0" applyFont="1" applyFill="1" applyBorder="1" applyAlignment="1" applyProtection="1">
      <alignment horizontal="center" vertical="center"/>
      <protection locked="0"/>
    </xf>
    <xf numFmtId="0" fontId="35" fillId="0" borderId="0" xfId="0" applyFont="1" applyFill="1" applyAlignment="1" applyProtection="1">
      <alignment wrapText="1"/>
      <protection locked="0"/>
    </xf>
    <xf numFmtId="0" fontId="84" fillId="0" borderId="0" xfId="0" applyFont="1" applyFill="1" applyAlignment="1" applyProtection="1">
      <alignment wrapText="1"/>
      <protection locked="0"/>
    </xf>
    <xf numFmtId="0" fontId="83" fillId="0" borderId="0" xfId="0" applyFont="1" applyFill="1" applyAlignment="1" applyProtection="1">
      <alignment horizontal="left" vertical="center"/>
      <protection locked="0"/>
    </xf>
    <xf numFmtId="0" fontId="0" fillId="0" borderId="0" xfId="0" applyFill="1" applyAlignment="1" applyProtection="1">
      <alignment vertical="center"/>
      <protection locked="0"/>
    </xf>
    <xf numFmtId="0" fontId="79" fillId="0" borderId="0" xfId="2" applyFont="1" applyFill="1" applyAlignment="1" applyProtection="1">
      <alignment horizontal="left" vertical="center"/>
      <protection locked="0"/>
    </xf>
    <xf numFmtId="0" fontId="79" fillId="0" borderId="0" xfId="2" applyFont="1" applyFill="1" applyAlignment="1" applyProtection="1">
      <alignment vertical="center"/>
      <protection locked="0"/>
    </xf>
    <xf numFmtId="0" fontId="65" fillId="0" borderId="0" xfId="0" applyFont="1" applyFill="1" applyBorder="1" applyAlignment="1" applyProtection="1">
      <alignment horizontal="center" vertical="center"/>
      <protection locked="0"/>
    </xf>
    <xf numFmtId="0" fontId="39" fillId="0" borderId="0" xfId="0" applyFont="1" applyFill="1" applyBorder="1" applyAlignment="1" applyProtection="1">
      <alignment horizontal="center" vertical="center"/>
      <protection locked="0"/>
    </xf>
    <xf numFmtId="0" fontId="35" fillId="0" borderId="26" xfId="0" applyFont="1" applyFill="1" applyBorder="1" applyAlignment="1" applyProtection="1">
      <alignment horizontal="left" vertical="center"/>
      <protection locked="0"/>
    </xf>
    <xf numFmtId="0" fontId="35" fillId="0" borderId="0" xfId="0" applyFont="1" applyFill="1" applyBorder="1" applyAlignment="1" applyProtection="1">
      <alignment horizontal="left" vertical="center" wrapText="1"/>
      <protection locked="0"/>
    </xf>
    <xf numFmtId="0" fontId="81" fillId="0" borderId="5" xfId="0" applyFont="1" applyFill="1" applyBorder="1" applyAlignment="1" applyProtection="1">
      <alignment horizontal="left" vertical="center" wrapText="1"/>
      <protection locked="0"/>
    </xf>
    <xf numFmtId="0" fontId="81" fillId="0" borderId="20" xfId="0" applyFont="1" applyFill="1" applyBorder="1" applyAlignment="1" applyProtection="1">
      <alignment horizontal="left" vertical="center" wrapText="1"/>
      <protection locked="0"/>
    </xf>
    <xf numFmtId="0" fontId="35" fillId="0" borderId="3" xfId="0" applyFont="1" applyFill="1" applyBorder="1" applyAlignment="1" applyProtection="1">
      <alignment vertical="center"/>
      <protection locked="0"/>
    </xf>
    <xf numFmtId="0" fontId="35" fillId="0" borderId="4" xfId="0" applyFont="1" applyFill="1" applyBorder="1" applyAlignment="1" applyProtection="1">
      <alignment horizontal="center" vertical="center"/>
      <protection locked="0"/>
    </xf>
    <xf numFmtId="0" fontId="35" fillId="0" borderId="26" xfId="0" applyFont="1" applyFill="1" applyBorder="1" applyAlignment="1" applyProtection="1">
      <alignment horizontal="center" vertical="center"/>
      <protection locked="0"/>
    </xf>
    <xf numFmtId="0" fontId="35" fillId="0" borderId="27" xfId="0" applyFont="1" applyFill="1" applyBorder="1" applyAlignment="1" applyProtection="1">
      <alignment horizontal="center" vertical="center"/>
      <protection locked="0"/>
    </xf>
    <xf numFmtId="0" fontId="35" fillId="0" borderId="23" xfId="0" applyFont="1" applyFill="1" applyBorder="1" applyAlignment="1" applyProtection="1">
      <alignment horizontal="center" vertical="center"/>
      <protection locked="0"/>
    </xf>
    <xf numFmtId="0" fontId="35" fillId="0" borderId="24" xfId="0" applyFont="1" applyFill="1" applyBorder="1" applyAlignment="1" applyProtection="1">
      <alignment horizontal="center" vertical="center"/>
      <protection locked="0"/>
    </xf>
    <xf numFmtId="0" fontId="35" fillId="0" borderId="25" xfId="0" applyFont="1" applyFill="1" applyBorder="1" applyAlignment="1" applyProtection="1">
      <alignment horizontal="center" vertical="center"/>
      <protection locked="0"/>
    </xf>
    <xf numFmtId="0" fontId="35" fillId="0" borderId="42" xfId="0" applyFont="1" applyFill="1" applyBorder="1" applyAlignment="1" applyProtection="1">
      <alignment vertical="center"/>
      <protection locked="0"/>
    </xf>
    <xf numFmtId="0" fontId="35" fillId="0" borderId="18" xfId="0" applyFont="1" applyFill="1" applyBorder="1" applyAlignment="1" applyProtection="1">
      <alignment vertical="center"/>
      <protection locked="0"/>
    </xf>
    <xf numFmtId="0" fontId="35" fillId="0" borderId="3" xfId="0" applyFont="1" applyFill="1" applyBorder="1" applyAlignment="1" applyProtection="1">
      <alignment horizontal="left" vertical="center"/>
      <protection locked="0"/>
    </xf>
    <xf numFmtId="0" fontId="35" fillId="0" borderId="17" xfId="0" applyFont="1" applyFill="1" applyBorder="1" applyAlignment="1" applyProtection="1">
      <alignment horizontal="left" vertical="center"/>
      <protection locked="0"/>
    </xf>
    <xf numFmtId="0" fontId="35" fillId="0" borderId="42" xfId="0" applyFont="1" applyFill="1" applyBorder="1" applyAlignment="1" applyProtection="1">
      <alignment horizontal="left" vertical="center"/>
      <protection locked="0"/>
    </xf>
    <xf numFmtId="0" fontId="35" fillId="0" borderId="18" xfId="0" applyFont="1" applyFill="1" applyBorder="1" applyAlignment="1" applyProtection="1">
      <alignment horizontal="left" vertical="center"/>
      <protection locked="0"/>
    </xf>
    <xf numFmtId="0" fontId="36" fillId="0" borderId="0" xfId="0" applyFont="1" applyFill="1" applyAlignment="1" applyProtection="1">
      <alignment vertical="center" wrapText="1"/>
      <protection locked="0"/>
    </xf>
    <xf numFmtId="0" fontId="35" fillId="0" borderId="20" xfId="0" applyFont="1" applyFill="1" applyBorder="1" applyAlignment="1" applyProtection="1">
      <alignment vertical="center"/>
      <protection locked="0"/>
    </xf>
    <xf numFmtId="0" fontId="0" fillId="0" borderId="26" xfId="0" applyFont="1" applyFill="1" applyBorder="1" applyAlignment="1" applyProtection="1">
      <alignment vertical="center" wrapText="1"/>
      <protection locked="0"/>
    </xf>
    <xf numFmtId="0" fontId="0" fillId="0" borderId="0" xfId="0" applyFont="1" applyFill="1" applyAlignment="1" applyProtection="1">
      <alignment vertical="center" wrapText="1"/>
      <protection locked="0"/>
    </xf>
    <xf numFmtId="0" fontId="45" fillId="0" borderId="5" xfId="0" applyFont="1" applyFill="1" applyBorder="1" applyAlignment="1" applyProtection="1">
      <alignment horizontal="center" vertical="center"/>
      <protection locked="0"/>
    </xf>
    <xf numFmtId="0" fontId="45" fillId="0" borderId="19" xfId="0" applyFont="1" applyFill="1" applyBorder="1" applyAlignment="1" applyProtection="1">
      <alignment horizontal="center" vertical="center"/>
      <protection locked="0"/>
    </xf>
    <xf numFmtId="0" fontId="45" fillId="0" borderId="20" xfId="0" applyFont="1" applyFill="1" applyBorder="1" applyAlignment="1" applyProtection="1">
      <alignment horizontal="center" vertical="center"/>
      <protection locked="0"/>
    </xf>
    <xf numFmtId="177" fontId="45" fillId="0" borderId="3" xfId="0" applyNumberFormat="1" applyFont="1" applyFill="1" applyBorder="1" applyAlignment="1" applyProtection="1">
      <alignment horizontal="left" vertical="center" wrapText="1"/>
      <protection locked="0"/>
    </xf>
    <xf numFmtId="177" fontId="45" fillId="0" borderId="17" xfId="0" applyNumberFormat="1" applyFont="1" applyFill="1" applyBorder="1" applyAlignment="1" applyProtection="1">
      <alignment horizontal="left" vertical="center" wrapText="1"/>
      <protection locked="0"/>
    </xf>
    <xf numFmtId="177" fontId="45" fillId="0" borderId="42" xfId="0" applyNumberFormat="1" applyFont="1" applyFill="1" applyBorder="1" applyAlignment="1" applyProtection="1">
      <alignment horizontal="left" vertical="center" wrapText="1"/>
      <protection locked="0"/>
    </xf>
    <xf numFmtId="177" fontId="45" fillId="0" borderId="18" xfId="0" applyNumberFormat="1" applyFont="1" applyFill="1" applyBorder="1" applyAlignment="1" applyProtection="1">
      <alignment horizontal="left" vertical="center" wrapText="1"/>
      <protection locked="0"/>
    </xf>
    <xf numFmtId="0" fontId="45" fillId="0" borderId="5" xfId="0" applyFont="1" applyFill="1" applyBorder="1" applyAlignment="1" applyProtection="1">
      <alignment horizontal="center" vertical="center" wrapText="1"/>
      <protection locked="0"/>
    </xf>
    <xf numFmtId="0" fontId="45" fillId="0" borderId="19" xfId="0" applyFont="1" applyFill="1" applyBorder="1" applyAlignment="1" applyProtection="1">
      <alignment horizontal="center" vertical="center" wrapText="1"/>
      <protection locked="0"/>
    </xf>
    <xf numFmtId="0" fontId="45" fillId="0" borderId="20" xfId="0" applyFont="1" applyFill="1" applyBorder="1" applyAlignment="1" applyProtection="1">
      <alignment horizontal="center" vertical="center" wrapText="1"/>
      <protection locked="0"/>
    </xf>
    <xf numFmtId="0" fontId="45" fillId="0" borderId="0" xfId="0" applyFont="1" applyFill="1" applyBorder="1" applyAlignment="1" applyProtection="1">
      <alignment horizontal="center" vertical="center"/>
      <protection locked="0"/>
    </xf>
    <xf numFmtId="0" fontId="45" fillId="0" borderId="0" xfId="0" applyFont="1" applyFill="1" applyAlignment="1" applyProtection="1">
      <alignment wrapText="1"/>
      <protection locked="0"/>
    </xf>
    <xf numFmtId="0" fontId="45" fillId="0" borderId="3" xfId="0" applyFont="1" applyFill="1" applyBorder="1" applyAlignment="1" applyProtection="1">
      <alignment horizontal="center" vertical="center" wrapText="1"/>
      <protection locked="0"/>
    </xf>
    <xf numFmtId="0" fontId="45" fillId="0" borderId="4" xfId="0" applyFont="1" applyFill="1" applyBorder="1" applyAlignment="1" applyProtection="1">
      <alignment horizontal="center" vertical="center" wrapText="1"/>
      <protection locked="0"/>
    </xf>
    <xf numFmtId="0" fontId="45" fillId="0" borderId="27" xfId="0" applyFont="1" applyFill="1" applyBorder="1" applyAlignment="1" applyProtection="1">
      <alignment horizontal="center" vertical="center" wrapText="1"/>
      <protection locked="0"/>
    </xf>
    <xf numFmtId="0" fontId="45" fillId="0" borderId="23" xfId="0" applyFont="1" applyFill="1" applyBorder="1" applyAlignment="1" applyProtection="1">
      <alignment horizontal="center" vertical="center" wrapText="1"/>
      <protection locked="0"/>
    </xf>
    <xf numFmtId="0" fontId="45" fillId="0" borderId="25" xfId="0" applyFont="1" applyFill="1" applyBorder="1" applyAlignment="1" applyProtection="1">
      <alignment horizontal="center" vertical="center" wrapText="1"/>
      <protection locked="0"/>
    </xf>
    <xf numFmtId="0" fontId="45" fillId="0" borderId="26" xfId="0" applyFont="1" applyFill="1" applyBorder="1" applyAlignment="1" applyProtection="1">
      <alignment horizontal="center" vertical="center" wrapText="1"/>
      <protection locked="0"/>
    </xf>
    <xf numFmtId="0" fontId="45" fillId="0" borderId="24" xfId="0" applyFont="1" applyFill="1" applyBorder="1" applyAlignment="1" applyProtection="1">
      <alignment horizontal="center" vertical="center" wrapText="1"/>
      <protection locked="0"/>
    </xf>
    <xf numFmtId="0" fontId="51" fillId="0" borderId="24" xfId="0" applyFont="1" applyFill="1" applyBorder="1" applyAlignment="1" applyProtection="1">
      <alignment horizontal="center" vertical="center"/>
      <protection locked="0"/>
    </xf>
    <xf numFmtId="0" fontId="121" fillId="0" borderId="24" xfId="0" applyFont="1" applyFill="1" applyBorder="1" applyAlignment="1">
      <alignment horizontal="center" vertical="center"/>
    </xf>
    <xf numFmtId="0" fontId="107" fillId="0" borderId="3" xfId="0" applyFont="1" applyFill="1" applyBorder="1" applyAlignment="1">
      <alignment horizontal="left" vertical="center" wrapText="1" indent="2"/>
    </xf>
    <xf numFmtId="0" fontId="122" fillId="0" borderId="3" xfId="0" applyFont="1" applyFill="1" applyBorder="1" applyAlignment="1">
      <alignment horizontal="center" vertical="center"/>
    </xf>
    <xf numFmtId="0" fontId="120" fillId="0" borderId="3" xfId="0" applyFont="1" applyFill="1" applyBorder="1" applyAlignment="1">
      <alignment horizontal="center" vertical="center" wrapText="1"/>
    </xf>
    <xf numFmtId="0" fontId="107" fillId="0" borderId="3" xfId="0" applyFont="1" applyFill="1" applyBorder="1" applyAlignment="1">
      <alignment horizontal="left" vertical="center" wrapText="1" indent="4"/>
    </xf>
    <xf numFmtId="0" fontId="116" fillId="0" borderId="3" xfId="0" applyFont="1" applyFill="1" applyBorder="1" applyAlignment="1">
      <alignment horizontal="left" vertical="center" wrapText="1"/>
    </xf>
    <xf numFmtId="0" fontId="45" fillId="0" borderId="3" xfId="0" applyFont="1" applyFill="1" applyBorder="1" applyAlignment="1" applyProtection="1">
      <alignment horizontal="center" vertical="center"/>
      <protection locked="0"/>
    </xf>
    <xf numFmtId="0" fontId="45" fillId="0" borderId="5" xfId="0" applyFont="1" applyFill="1" applyBorder="1" applyAlignment="1" applyProtection="1">
      <alignment horizontal="left" vertical="center" wrapText="1"/>
      <protection locked="0"/>
    </xf>
    <xf numFmtId="0" fontId="45" fillId="0" borderId="19" xfId="0" applyFont="1" applyFill="1" applyBorder="1" applyAlignment="1" applyProtection="1">
      <alignment horizontal="left" vertical="center" wrapText="1"/>
      <protection locked="0"/>
    </xf>
    <xf numFmtId="0" fontId="45" fillId="0" borderId="20" xfId="0" applyFont="1" applyFill="1" applyBorder="1" applyAlignment="1" applyProtection="1">
      <alignment horizontal="left" vertical="center" wrapText="1"/>
      <protection locked="0"/>
    </xf>
    <xf numFmtId="0" fontId="120" fillId="0" borderId="3" xfId="0" applyFont="1" applyFill="1" applyBorder="1" applyAlignment="1">
      <alignment horizontal="left" vertical="center" wrapText="1"/>
    </xf>
    <xf numFmtId="0" fontId="64" fillId="0" borderId="0" xfId="2" applyFont="1" applyFill="1" applyAlignment="1" applyProtection="1">
      <alignment horizontal="left" vertical="center"/>
      <protection locked="0"/>
    </xf>
    <xf numFmtId="0" fontId="47" fillId="0" borderId="0" xfId="2" applyFont="1" applyFill="1" applyAlignment="1" applyProtection="1">
      <alignment horizontal="left" vertical="center"/>
      <protection locked="0"/>
    </xf>
    <xf numFmtId="0" fontId="83" fillId="0" borderId="0" xfId="0" applyFont="1" applyFill="1" applyBorder="1" applyAlignment="1" applyProtection="1">
      <protection locked="0"/>
    </xf>
    <xf numFmtId="0" fontId="79" fillId="0" borderId="0" xfId="2" applyFont="1" applyFill="1" applyBorder="1" applyAlignment="1" applyProtection="1">
      <protection locked="0"/>
    </xf>
    <xf numFmtId="0" fontId="81" fillId="0" borderId="0" xfId="0" applyFont="1" applyFill="1" applyAlignment="1" applyProtection="1">
      <protection locked="0"/>
    </xf>
    <xf numFmtId="0" fontId="107" fillId="0" borderId="3" xfId="0" applyFont="1" applyFill="1" applyBorder="1" applyAlignment="1">
      <alignment horizontal="center" vertical="center" wrapText="1"/>
    </xf>
    <xf numFmtId="0" fontId="79" fillId="0" borderId="0" xfId="2" applyFont="1" applyFill="1" applyBorder="1" applyAlignment="1" applyProtection="1">
      <alignment vertical="center" wrapText="1"/>
      <protection locked="0"/>
    </xf>
    <xf numFmtId="0" fontId="81" fillId="0" borderId="0" xfId="0" applyFont="1" applyFill="1" applyBorder="1" applyAlignment="1" applyProtection="1">
      <alignment vertical="center" wrapText="1"/>
      <protection locked="0"/>
    </xf>
    <xf numFmtId="0" fontId="105" fillId="0" borderId="0" xfId="0" applyFont="1" applyFill="1" applyBorder="1" applyAlignment="1" applyProtection="1">
      <alignment vertical="center" wrapText="1"/>
      <protection locked="0"/>
    </xf>
    <xf numFmtId="0" fontId="105" fillId="0" borderId="0" xfId="0" applyFont="1" applyFill="1" applyAlignment="1" applyProtection="1">
      <alignment vertical="center" wrapText="1"/>
      <protection locked="0"/>
    </xf>
    <xf numFmtId="0" fontId="95" fillId="0" borderId="0" xfId="2" applyFont="1" applyFill="1" applyBorder="1" applyAlignment="1" applyProtection="1">
      <alignment vertical="center" wrapText="1"/>
      <protection locked="0"/>
    </xf>
    <xf numFmtId="0" fontId="95" fillId="0" borderId="0" xfId="2" applyFont="1" applyFill="1" applyAlignment="1" applyProtection="1">
      <alignment vertical="center" wrapText="1"/>
      <protection locked="0"/>
    </xf>
    <xf numFmtId="0" fontId="51" fillId="0" borderId="0" xfId="0" applyFont="1" applyFill="1" applyAlignment="1" applyProtection="1">
      <alignment horizontal="center" vertical="center"/>
      <protection locked="0"/>
    </xf>
    <xf numFmtId="0" fontId="45" fillId="0" borderId="0" xfId="0" applyFont="1" applyFill="1" applyBorder="1" applyAlignment="1" applyProtection="1">
      <alignment horizontal="left" vertical="center" wrapText="1"/>
      <protection locked="0"/>
    </xf>
    <xf numFmtId="0" fontId="45" fillId="0" borderId="0" xfId="0" applyFont="1" applyFill="1" applyAlignment="1" applyProtection="1">
      <alignment vertical="center" wrapText="1"/>
      <protection locked="0"/>
    </xf>
    <xf numFmtId="0" fontId="45" fillId="0" borderId="0" xfId="0" applyFont="1" applyFill="1" applyBorder="1" applyAlignment="1" applyProtection="1">
      <alignment vertical="center" wrapText="1"/>
      <protection locked="0"/>
    </xf>
    <xf numFmtId="0" fontId="83" fillId="0" borderId="0" xfId="0" applyFont="1" applyFill="1" applyBorder="1" applyAlignment="1" applyProtection="1">
      <alignment vertical="center" wrapText="1"/>
      <protection locked="0"/>
    </xf>
    <xf numFmtId="0" fontId="83" fillId="0" borderId="0" xfId="0" applyFont="1" applyFill="1" applyAlignment="1" applyProtection="1">
      <alignment horizontal="left" vertical="center" wrapText="1"/>
      <protection locked="0"/>
    </xf>
    <xf numFmtId="0" fontId="81" fillId="0" borderId="0" xfId="0" applyFont="1" applyFill="1" applyAlignment="1" applyProtection="1">
      <alignment horizontal="left" vertical="center" wrapText="1"/>
      <protection locked="0"/>
    </xf>
    <xf numFmtId="0" fontId="90" fillId="0" borderId="3" xfId="0" applyFont="1" applyFill="1" applyBorder="1" applyAlignment="1">
      <alignment horizontal="left" vertical="center"/>
    </xf>
    <xf numFmtId="0" fontId="90" fillId="0" borderId="3" xfId="0" applyFont="1" applyFill="1" applyBorder="1" applyAlignment="1">
      <alignment horizontal="left" vertical="center" wrapText="1"/>
    </xf>
    <xf numFmtId="0" fontId="90" fillId="0" borderId="3" xfId="0" applyFont="1" applyFill="1" applyBorder="1" applyAlignment="1">
      <alignment horizontal="left" vertical="center" wrapText="1" indent="5"/>
    </xf>
    <xf numFmtId="0" fontId="90" fillId="0" borderId="3" xfId="0" applyFont="1" applyFill="1" applyBorder="1" applyAlignment="1">
      <alignment horizontal="left" vertical="center" wrapText="1" indent="2"/>
    </xf>
    <xf numFmtId="0" fontId="90" fillId="0" borderId="3" xfId="0" applyFont="1" applyFill="1" applyBorder="1" applyAlignment="1">
      <alignment horizontal="left" vertical="center" wrapText="1" indent="4"/>
    </xf>
    <xf numFmtId="0" fontId="90" fillId="0" borderId="3" xfId="0" applyFont="1" applyFill="1" applyBorder="1" applyAlignment="1">
      <alignment horizontal="center" vertical="center"/>
    </xf>
    <xf numFmtId="0" fontId="90" fillId="0" borderId="3" xfId="0" applyFont="1" applyFill="1" applyBorder="1" applyAlignment="1">
      <alignment horizontal="left" vertical="center" indent="5"/>
    </xf>
    <xf numFmtId="0" fontId="89" fillId="0" borderId="3" xfId="0" applyFont="1" applyFill="1" applyBorder="1" applyAlignment="1">
      <alignment horizontal="center" vertical="center" wrapText="1"/>
    </xf>
    <xf numFmtId="0" fontId="90" fillId="0" borderId="3" xfId="0" applyFont="1" applyFill="1" applyBorder="1" applyAlignment="1">
      <alignment horizontal="left" vertical="center" indent="2"/>
    </xf>
    <xf numFmtId="0" fontId="123" fillId="0" borderId="24" xfId="0" applyFont="1" applyFill="1" applyBorder="1" applyAlignment="1">
      <alignment horizontal="center" vertical="center"/>
    </xf>
    <xf numFmtId="0" fontId="107" fillId="0" borderId="4" xfId="0" applyFont="1" applyFill="1" applyBorder="1" applyAlignment="1">
      <alignment horizontal="left" vertical="center" wrapText="1"/>
    </xf>
    <xf numFmtId="0" fontId="107" fillId="0" borderId="27" xfId="0" applyFont="1" applyFill="1" applyBorder="1" applyAlignment="1">
      <alignment horizontal="left" vertical="center" wrapText="1"/>
    </xf>
    <xf numFmtId="0" fontId="107" fillId="0" borderId="23" xfId="0" applyFont="1" applyFill="1" applyBorder="1" applyAlignment="1">
      <alignment horizontal="left" vertical="center" wrapText="1"/>
    </xf>
    <xf numFmtId="0" fontId="107" fillId="0" borderId="25" xfId="0" applyFont="1" applyFill="1" applyBorder="1" applyAlignment="1">
      <alignment horizontal="left" vertical="center" wrapText="1"/>
    </xf>
    <xf numFmtId="0" fontId="107" fillId="0" borderId="26" xfId="0" applyFont="1" applyFill="1" applyBorder="1" applyAlignment="1">
      <alignment horizontal="left" vertical="center" wrapText="1"/>
    </xf>
    <xf numFmtId="0" fontId="107" fillId="0" borderId="24" xfId="0" applyFont="1" applyFill="1" applyBorder="1" applyAlignment="1">
      <alignment horizontal="left" vertical="center" wrapText="1"/>
    </xf>
    <xf numFmtId="0" fontId="124" fillId="0" borderId="3" xfId="0" applyFont="1" applyFill="1" applyBorder="1" applyAlignment="1">
      <alignment horizontal="center" vertical="center"/>
    </xf>
    <xf numFmtId="0" fontId="107" fillId="0" borderId="3" xfId="0" applyFont="1" applyFill="1" applyBorder="1" applyAlignment="1">
      <alignment horizontal="left" vertical="center"/>
    </xf>
    <xf numFmtId="0" fontId="107" fillId="0" borderId="3" xfId="0" applyFont="1" applyFill="1" applyBorder="1" applyAlignment="1">
      <alignment horizontal="center" vertical="center"/>
    </xf>
    <xf numFmtId="0" fontId="2" fillId="0" borderId="0" xfId="0" applyFont="1" applyFill="1" applyAlignment="1" applyProtection="1">
      <protection locked="0"/>
    </xf>
    <xf numFmtId="0" fontId="82" fillId="0" borderId="0" xfId="0" applyFont="1" applyFill="1" applyAlignment="1" applyProtection="1">
      <protection locked="0"/>
    </xf>
    <xf numFmtId="0" fontId="7" fillId="0" borderId="26" xfId="0" applyFont="1" applyFill="1" applyBorder="1" applyAlignment="1" applyProtection="1">
      <protection locked="0"/>
    </xf>
    <xf numFmtId="0" fontId="0" fillId="0" borderId="26" xfId="0" applyFill="1" applyBorder="1" applyAlignment="1" applyProtection="1">
      <protection locked="0"/>
    </xf>
    <xf numFmtId="0" fontId="7" fillId="0" borderId="0" xfId="0" applyFont="1" applyFill="1" applyAlignment="1" applyProtection="1">
      <protection locked="0"/>
    </xf>
    <xf numFmtId="0" fontId="0" fillId="0" borderId="0" xfId="0" applyFill="1" applyAlignment="1" applyProtection="1">
      <protection locked="0"/>
    </xf>
    <xf numFmtId="177" fontId="2" fillId="0" borderId="3" xfId="0" applyNumberFormat="1"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center" vertical="center"/>
      <protection locked="0"/>
    </xf>
    <xf numFmtId="0" fontId="2" fillId="0" borderId="3" xfId="0" applyFont="1" applyFill="1" applyBorder="1" applyAlignment="1" applyProtection="1">
      <alignment vertical="center"/>
      <protection locked="0"/>
    </xf>
    <xf numFmtId="0" fontId="58" fillId="0" borderId="0" xfId="0" applyFont="1" applyFill="1" applyAlignment="1" applyProtection="1">
      <alignment horizontal="left" vertical="center"/>
      <protection locked="0"/>
    </xf>
    <xf numFmtId="0" fontId="82" fillId="0" borderId="0" xfId="0" applyFont="1" applyFill="1" applyAlignment="1" applyProtection="1">
      <alignment horizontal="left" vertical="center"/>
      <protection locked="0"/>
    </xf>
    <xf numFmtId="0" fontId="81" fillId="0" borderId="0" xfId="0" applyFont="1" applyFill="1" applyAlignment="1" applyProtection="1">
      <alignment horizontal="left" vertical="center"/>
      <protection locked="0"/>
    </xf>
    <xf numFmtId="0" fontId="2" fillId="0" borderId="0" xfId="0" applyFont="1" applyFill="1" applyAlignment="1" applyProtection="1">
      <alignment horizontal="left" vertical="center"/>
      <protection locked="0"/>
    </xf>
    <xf numFmtId="0" fontId="0" fillId="0" borderId="0" xfId="0" applyFill="1" applyAlignment="1" applyProtection="1">
      <alignment horizontal="left" vertical="center"/>
      <protection locked="0"/>
    </xf>
    <xf numFmtId="0" fontId="63" fillId="0" borderId="24" xfId="0" applyFont="1" applyFill="1" applyBorder="1" applyAlignment="1" applyProtection="1">
      <alignment horizontal="center" vertical="center" wrapText="1"/>
      <protection locked="0"/>
    </xf>
    <xf numFmtId="0" fontId="8" fillId="0" borderId="24" xfId="0" applyFont="1" applyFill="1" applyBorder="1" applyAlignment="1" applyProtection="1">
      <alignment horizontal="center" vertical="center" wrapText="1"/>
      <protection locked="0"/>
    </xf>
    <xf numFmtId="0" fontId="79" fillId="0" borderId="0" xfId="2" applyFont="1" applyFill="1" applyBorder="1" applyAlignment="1" applyProtection="1">
      <alignment horizontal="left" vertical="center"/>
      <protection locked="0"/>
    </xf>
    <xf numFmtId="0" fontId="2" fillId="0" borderId="0" xfId="0" applyFont="1" applyFill="1" applyBorder="1" applyAlignment="1" applyProtection="1">
      <alignment vertical="center"/>
      <protection locked="0"/>
    </xf>
    <xf numFmtId="0" fontId="0" fillId="0" borderId="0" xfId="0" applyFill="1" applyBorder="1" applyAlignment="1" applyProtection="1">
      <alignment vertical="center"/>
      <protection locked="0"/>
    </xf>
    <xf numFmtId="0" fontId="83" fillId="0" borderId="0" xfId="0" applyFont="1" applyFill="1" applyBorder="1" applyAlignment="1" applyProtection="1">
      <alignment horizontal="left" vertical="center"/>
      <protection locked="0"/>
    </xf>
    <xf numFmtId="0" fontId="81" fillId="0" borderId="0" xfId="0" applyFont="1" applyFill="1" applyBorder="1" applyAlignment="1" applyProtection="1">
      <alignment horizontal="left" vertical="center"/>
      <protection locked="0"/>
    </xf>
    <xf numFmtId="0" fontId="82" fillId="0" borderId="0" xfId="0" applyFont="1" applyFill="1" applyBorder="1" applyAlignment="1" applyProtection="1">
      <alignment horizontal="left" vertical="center"/>
      <protection locked="0"/>
    </xf>
    <xf numFmtId="0" fontId="58" fillId="0" borderId="0" xfId="0" applyFont="1" applyFill="1" applyBorder="1" applyAlignment="1" applyProtection="1">
      <alignment horizontal="left" vertical="center"/>
      <protection locked="0"/>
    </xf>
    <xf numFmtId="0" fontId="2" fillId="0" borderId="26" xfId="0" applyFont="1" applyFill="1" applyBorder="1" applyAlignment="1" applyProtection="1">
      <alignment vertical="center"/>
      <protection locked="0"/>
    </xf>
    <xf numFmtId="0" fontId="0" fillId="0" borderId="26" xfId="0" applyFill="1" applyBorder="1" applyAlignment="1" applyProtection="1">
      <alignment vertical="center"/>
      <protection locked="0"/>
    </xf>
    <xf numFmtId="0" fontId="2" fillId="0" borderId="23" xfId="0" applyFont="1" applyFill="1" applyBorder="1" applyAlignment="1" applyProtection="1">
      <alignment horizontal="center" vertical="center" wrapText="1"/>
      <protection locked="0"/>
    </xf>
    <xf numFmtId="0" fontId="2" fillId="0" borderId="24" xfId="0" applyFont="1" applyFill="1" applyBorder="1" applyAlignment="1" applyProtection="1">
      <alignment horizontal="center" vertical="center" wrapText="1"/>
      <protection locked="0"/>
    </xf>
    <xf numFmtId="0" fontId="2" fillId="0" borderId="25" xfId="0" applyFont="1" applyFill="1" applyBorder="1" applyAlignment="1" applyProtection="1">
      <alignment horizontal="center" vertical="center" wrapText="1"/>
      <protection locked="0"/>
    </xf>
    <xf numFmtId="0" fontId="79" fillId="0" borderId="0" xfId="2" applyFont="1" applyFill="1" applyBorder="1" applyAlignment="1" applyProtection="1">
      <alignment vertical="center"/>
      <protection locked="0"/>
    </xf>
    <xf numFmtId="0" fontId="81" fillId="0" borderId="0" xfId="0" applyFont="1" applyFill="1" applyAlignment="1" applyProtection="1">
      <alignment vertical="center"/>
      <protection locked="0"/>
    </xf>
    <xf numFmtId="0" fontId="81" fillId="0" borderId="0" xfId="0" applyFont="1" applyFill="1" applyBorder="1" applyAlignment="1" applyProtection="1">
      <alignment vertical="center"/>
      <protection locked="0"/>
    </xf>
    <xf numFmtId="0" fontId="83" fillId="0" borderId="0" xfId="0" applyFont="1" applyFill="1" applyBorder="1" applyAlignment="1" applyProtection="1">
      <alignment vertical="center"/>
      <protection locked="0"/>
    </xf>
    <xf numFmtId="0" fontId="0" fillId="0" borderId="24" xfId="0" applyFill="1" applyBorder="1" applyAlignment="1" applyProtection="1">
      <alignment horizontal="center" vertical="center"/>
      <protection locked="0"/>
    </xf>
    <xf numFmtId="0" fontId="82" fillId="0" borderId="0" xfId="0" applyFont="1" applyFill="1" applyAlignment="1" applyProtection="1">
      <alignment vertical="center"/>
      <protection locked="0"/>
    </xf>
    <xf numFmtId="0" fontId="82" fillId="0" borderId="0" xfId="0" applyFont="1" applyFill="1" applyBorder="1" applyAlignment="1" applyProtection="1">
      <alignment vertical="center"/>
      <protection locked="0"/>
    </xf>
    <xf numFmtId="0" fontId="2" fillId="24" borderId="42" xfId="0" applyFont="1" applyFill="1" applyBorder="1" applyAlignment="1" applyProtection="1">
      <alignment horizontal="center" vertical="center" wrapText="1"/>
      <protection locked="0"/>
    </xf>
    <xf numFmtId="0" fontId="2" fillId="24" borderId="18" xfId="0" applyFont="1" applyFill="1" applyBorder="1" applyAlignment="1" applyProtection="1">
      <alignment horizontal="center" vertical="center" wrapText="1"/>
      <protection locked="0"/>
    </xf>
    <xf numFmtId="0" fontId="2" fillId="24" borderId="17" xfId="0" applyFont="1" applyFill="1" applyBorder="1" applyAlignment="1" applyProtection="1">
      <alignment horizontal="center" vertical="center" wrapText="1"/>
      <protection locked="0"/>
    </xf>
    <xf numFmtId="43" fontId="2" fillId="12" borderId="17" xfId="3" applyFont="1" applyFill="1" applyBorder="1" applyAlignment="1" applyProtection="1">
      <alignment horizontal="right" vertical="center" wrapText="1"/>
    </xf>
    <xf numFmtId="43" fontId="2" fillId="12" borderId="42" xfId="3" applyFont="1" applyFill="1" applyBorder="1" applyAlignment="1" applyProtection="1">
      <alignment horizontal="right" vertical="center" wrapText="1"/>
    </xf>
    <xf numFmtId="43" fontId="2" fillId="12" borderId="18" xfId="3" applyFont="1" applyFill="1" applyBorder="1" applyAlignment="1" applyProtection="1">
      <alignment horizontal="right" vertical="center" wrapText="1"/>
    </xf>
    <xf numFmtId="0" fontId="78" fillId="0" borderId="0" xfId="2" applyFont="1" applyFill="1" applyAlignment="1" applyProtection="1">
      <alignment vertical="center" wrapText="1"/>
      <protection locked="0"/>
    </xf>
    <xf numFmtId="0" fontId="9" fillId="0" borderId="0" xfId="2" applyFill="1" applyAlignment="1" applyProtection="1">
      <alignment vertical="center" wrapText="1"/>
      <protection locked="0"/>
    </xf>
    <xf numFmtId="0" fontId="2" fillId="24" borderId="24" xfId="0" applyFont="1" applyFill="1" applyBorder="1" applyAlignment="1" applyProtection="1">
      <alignment horizontal="left" vertical="center"/>
      <protection locked="0"/>
    </xf>
    <xf numFmtId="0" fontId="9" fillId="24" borderId="0" xfId="2" applyFill="1" applyBorder="1" applyAlignment="1" applyProtection="1">
      <alignment horizontal="left" vertical="center"/>
      <protection locked="0"/>
    </xf>
    <xf numFmtId="0" fontId="63" fillId="24" borderId="0" xfId="0" applyFont="1" applyFill="1" applyBorder="1" applyAlignment="1" applyProtection="1">
      <alignment horizontal="center" vertical="center" wrapText="1"/>
      <protection locked="0"/>
    </xf>
    <xf numFmtId="0" fontId="8" fillId="24" borderId="0" xfId="0" applyFont="1" applyFill="1" applyBorder="1" applyAlignment="1" applyProtection="1">
      <alignment horizontal="center" vertical="center" wrapText="1"/>
      <protection locked="0"/>
    </xf>
    <xf numFmtId="0" fontId="2" fillId="24" borderId="0" xfId="0" applyFont="1" applyFill="1" applyAlignment="1" applyProtection="1">
      <alignment horizontal="center" vertical="center"/>
      <protection locked="0"/>
    </xf>
    <xf numFmtId="0" fontId="2" fillId="24" borderId="0" xfId="0" applyFont="1" applyFill="1" applyBorder="1" applyAlignment="1" applyProtection="1">
      <alignment horizontal="left" vertical="center"/>
      <protection locked="0"/>
    </xf>
    <xf numFmtId="0" fontId="69" fillId="0" borderId="17" xfId="0" applyFont="1" applyFill="1" applyBorder="1" applyAlignment="1">
      <alignment horizontal="left" vertical="center" wrapText="1"/>
    </xf>
    <xf numFmtId="0" fontId="69" fillId="0" borderId="18" xfId="0" applyFont="1" applyFill="1" applyBorder="1" applyAlignment="1">
      <alignment horizontal="left" vertical="center" wrapText="1"/>
    </xf>
    <xf numFmtId="0" fontId="81" fillId="0" borderId="0" xfId="0" applyFont="1" applyFill="1" applyAlignment="1">
      <alignment vertical="center" wrapText="1"/>
    </xf>
    <xf numFmtId="0" fontId="83" fillId="0" borderId="0" xfId="0" applyFont="1" applyFill="1" applyAlignment="1">
      <alignment vertical="center" wrapText="1"/>
    </xf>
    <xf numFmtId="0" fontId="79" fillId="0" borderId="0" xfId="2" applyFont="1" applyFill="1" applyAlignment="1" applyProtection="1">
      <alignment vertical="center" wrapText="1"/>
    </xf>
    <xf numFmtId="0" fontId="67" fillId="0" borderId="17" xfId="0" applyFont="1" applyFill="1" applyBorder="1" applyAlignment="1">
      <alignment horizontal="left" vertical="center" wrapText="1"/>
    </xf>
    <xf numFmtId="0" fontId="67" fillId="0" borderId="18" xfId="0" applyFont="1" applyFill="1" applyBorder="1" applyAlignment="1">
      <alignment horizontal="left" vertical="center" wrapText="1"/>
    </xf>
    <xf numFmtId="0" fontId="69" fillId="0" borderId="46" xfId="0" applyFont="1" applyFill="1" applyBorder="1" applyAlignment="1">
      <alignment horizontal="left" vertical="center" wrapText="1"/>
    </xf>
    <xf numFmtId="0" fontId="69" fillId="0" borderId="47" xfId="0" applyFont="1" applyFill="1" applyBorder="1" applyAlignment="1">
      <alignment horizontal="left" vertical="center" wrapText="1"/>
    </xf>
    <xf numFmtId="0" fontId="83" fillId="0" borderId="0" xfId="0" applyFont="1" applyFill="1" applyBorder="1" applyAlignment="1">
      <alignment horizontal="left" vertical="center" wrapText="1"/>
    </xf>
    <xf numFmtId="0" fontId="73" fillId="0" borderId="17" xfId="0" applyFont="1" applyFill="1" applyBorder="1" applyAlignment="1">
      <alignment horizontal="left" vertical="center" wrapText="1"/>
    </xf>
    <xf numFmtId="0" fontId="73" fillId="0" borderId="18" xfId="0" applyFont="1" applyFill="1" applyBorder="1" applyAlignment="1">
      <alignment horizontal="left" vertical="center" wrapText="1"/>
    </xf>
    <xf numFmtId="0" fontId="75" fillId="0" borderId="17" xfId="0" applyFont="1" applyFill="1" applyBorder="1" applyAlignment="1">
      <alignment horizontal="left" vertical="center" wrapText="1"/>
    </xf>
    <xf numFmtId="0" fontId="75" fillId="0" borderId="18" xfId="0" applyFont="1" applyFill="1" applyBorder="1" applyAlignment="1">
      <alignment horizontal="left" vertical="center" wrapText="1"/>
    </xf>
    <xf numFmtId="0" fontId="74" fillId="0" borderId="17" xfId="0" applyFont="1" applyFill="1" applyBorder="1" applyAlignment="1">
      <alignment horizontal="left" vertical="center" wrapText="1"/>
    </xf>
    <xf numFmtId="0" fontId="74" fillId="0" borderId="18" xfId="0" applyFont="1" applyFill="1" applyBorder="1" applyAlignment="1">
      <alignment horizontal="left" vertical="center" wrapText="1"/>
    </xf>
    <xf numFmtId="0" fontId="67" fillId="0" borderId="5" xfId="0" applyFont="1" applyFill="1" applyBorder="1" applyAlignment="1">
      <alignment horizontal="left" vertical="center" wrapText="1"/>
    </xf>
    <xf numFmtId="0" fontId="67" fillId="0" borderId="20" xfId="0" applyFont="1" applyFill="1" applyBorder="1" applyAlignment="1">
      <alignment horizontal="left" vertical="center" wrapText="1"/>
    </xf>
    <xf numFmtId="0" fontId="67" fillId="0" borderId="19" xfId="0" applyFont="1" applyFill="1" applyBorder="1" applyAlignment="1">
      <alignment horizontal="left" vertical="center" wrapText="1"/>
    </xf>
    <xf numFmtId="0" fontId="63" fillId="0" borderId="0" xfId="0" applyFont="1" applyFill="1" applyBorder="1" applyAlignment="1" applyProtection="1">
      <alignment horizontal="center" vertical="center" wrapText="1"/>
      <protection locked="0"/>
    </xf>
    <xf numFmtId="0" fontId="71" fillId="0" borderId="43" xfId="0" applyFont="1" applyFill="1" applyBorder="1" applyAlignment="1">
      <alignment horizontal="center" vertical="center" wrapText="1"/>
    </xf>
    <xf numFmtId="0" fontId="69" fillId="0" borderId="44" xfId="0" applyFont="1" applyFill="1" applyBorder="1" applyAlignment="1">
      <alignment horizontal="center" vertical="center" wrapText="1"/>
    </xf>
    <xf numFmtId="0" fontId="69" fillId="0" borderId="45" xfId="0" applyFont="1" applyFill="1" applyBorder="1" applyAlignment="1">
      <alignment horizontal="center" vertical="center" wrapText="1"/>
    </xf>
    <xf numFmtId="0" fontId="112" fillId="0" borderId="3" xfId="0" applyFont="1" applyFill="1" applyBorder="1" applyAlignment="1">
      <alignment horizontal="center" vertical="center" wrapText="1"/>
    </xf>
    <xf numFmtId="0" fontId="112" fillId="0" borderId="39" xfId="0" applyFont="1" applyFill="1" applyBorder="1" applyAlignment="1">
      <alignment horizontal="center" vertical="center" wrapText="1"/>
    </xf>
    <xf numFmtId="49" fontId="112" fillId="0" borderId="39" xfId="0" applyNumberFormat="1" applyFont="1" applyFill="1" applyBorder="1" applyAlignment="1">
      <alignment horizontal="center" vertical="center" wrapText="1"/>
    </xf>
    <xf numFmtId="49" fontId="112" fillId="0" borderId="3" xfId="0" applyNumberFormat="1" applyFont="1" applyFill="1" applyBorder="1" applyAlignment="1">
      <alignment horizontal="center" vertical="center" wrapText="1"/>
    </xf>
    <xf numFmtId="0" fontId="79" fillId="0" borderId="0" xfId="2" applyFont="1" applyFill="1" applyBorder="1" applyAlignment="1" applyProtection="1">
      <alignment vertical="center" wrapText="1"/>
    </xf>
    <xf numFmtId="0" fontId="112" fillId="0" borderId="3" xfId="0" applyFont="1" applyFill="1" applyBorder="1" applyAlignment="1">
      <alignment horizontal="left" vertical="center" wrapText="1"/>
    </xf>
    <xf numFmtId="0" fontId="112" fillId="0" borderId="8" xfId="0" applyFont="1" applyFill="1" applyBorder="1" applyAlignment="1">
      <alignment horizontal="center" vertical="center" wrapText="1"/>
    </xf>
    <xf numFmtId="0" fontId="112" fillId="0" borderId="6" xfId="0" applyFont="1" applyFill="1" applyBorder="1" applyAlignment="1">
      <alignment horizontal="center" vertical="center" wrapText="1"/>
    </xf>
    <xf numFmtId="0" fontId="112" fillId="0" borderId="10" xfId="0" applyFont="1" applyFill="1" applyBorder="1" applyAlignment="1">
      <alignment horizontal="center" vertical="center" wrapText="1"/>
    </xf>
    <xf numFmtId="0" fontId="112" fillId="0" borderId="0" xfId="0" applyFont="1" applyFill="1" applyBorder="1" applyAlignment="1">
      <alignment vertical="center" wrapText="1"/>
    </xf>
    <xf numFmtId="0" fontId="126" fillId="0" borderId="0" xfId="0" applyFont="1" applyFill="1" applyAlignment="1">
      <alignment vertical="center" wrapText="1"/>
    </xf>
    <xf numFmtId="0" fontId="112" fillId="0" borderId="3" xfId="0" applyFont="1" applyFill="1" applyBorder="1" applyAlignment="1">
      <alignment horizontal="left" vertical="center" wrapText="1" indent="1"/>
    </xf>
    <xf numFmtId="0" fontId="112" fillId="0" borderId="3" xfId="0" applyFont="1" applyFill="1" applyBorder="1" applyAlignment="1">
      <alignment horizontal="left" vertical="center" wrapText="1" indent="2"/>
    </xf>
    <xf numFmtId="0" fontId="114" fillId="0" borderId="22" xfId="0" applyFont="1" applyFill="1" applyBorder="1" applyAlignment="1">
      <alignment horizontal="center" vertical="center" wrapText="1"/>
    </xf>
    <xf numFmtId="0" fontId="114" fillId="0" borderId="9" xfId="0" applyFont="1" applyFill="1" applyBorder="1" applyAlignment="1">
      <alignment horizontal="center" vertical="center" wrapText="1"/>
    </xf>
    <xf numFmtId="0" fontId="115" fillId="0" borderId="3" xfId="0" applyFont="1" applyFill="1" applyBorder="1" applyAlignment="1">
      <alignment horizontal="center" vertical="center" wrapText="1"/>
    </xf>
    <xf numFmtId="0" fontId="114" fillId="0" borderId="3" xfId="0" applyFont="1" applyFill="1" applyBorder="1" applyAlignment="1">
      <alignment horizontal="center" vertical="center" wrapText="1"/>
    </xf>
    <xf numFmtId="0" fontId="114" fillId="0" borderId="39" xfId="0" applyFont="1" applyFill="1" applyBorder="1" applyAlignment="1">
      <alignment horizontal="center" vertical="center" wrapText="1"/>
    </xf>
    <xf numFmtId="0" fontId="125" fillId="0" borderId="0" xfId="0" applyFont="1" applyFill="1" applyAlignment="1">
      <alignment horizontal="center" vertical="center" wrapText="1"/>
    </xf>
    <xf numFmtId="0" fontId="112" fillId="0" borderId="21" xfId="0" applyFont="1" applyFill="1" applyBorder="1" applyAlignment="1">
      <alignment horizontal="center" vertical="center" wrapText="1"/>
    </xf>
    <xf numFmtId="0" fontId="226" fillId="37" borderId="3" xfId="0" applyFont="1" applyFill="1" applyBorder="1" applyAlignment="1">
      <alignment horizontal="center" vertical="center" wrapText="1"/>
    </xf>
    <xf numFmtId="0" fontId="62" fillId="0" borderId="3" xfId="0" applyFont="1" applyBorder="1" applyAlignment="1">
      <alignment horizontal="left" vertical="center" wrapText="1"/>
    </xf>
    <xf numFmtId="0" fontId="62" fillId="0" borderId="3" xfId="0" applyFont="1" applyBorder="1" applyAlignment="1">
      <alignment horizontal="left" vertical="center"/>
    </xf>
    <xf numFmtId="0" fontId="14" fillId="37" borderId="3" xfId="0" applyFont="1" applyFill="1" applyBorder="1" applyAlignment="1">
      <alignment horizontal="left" vertical="center" wrapText="1"/>
    </xf>
    <xf numFmtId="0" fontId="1" fillId="18" borderId="109" xfId="0" applyFont="1" applyFill="1" applyBorder="1" applyAlignment="1" applyProtection="1">
      <alignment vertical="center" wrapText="1"/>
      <protection locked="0"/>
    </xf>
    <xf numFmtId="31" fontId="2" fillId="19" borderId="0" xfId="0" applyNumberFormat="1" applyFont="1" applyFill="1" applyBorder="1" applyAlignment="1" applyProtection="1">
      <alignment horizontal="center"/>
    </xf>
    <xf numFmtId="0" fontId="224" fillId="40" borderId="0" xfId="0" applyFont="1" applyFill="1" applyAlignment="1">
      <alignment horizontal="center" vertical="top" wrapText="1"/>
    </xf>
    <xf numFmtId="0" fontId="225" fillId="41" borderId="0" xfId="0" applyFont="1" applyFill="1" applyAlignment="1">
      <alignment horizontal="center" vertical="center" wrapText="1"/>
    </xf>
  </cellXfs>
  <cellStyles count="8">
    <cellStyle name="百分比" xfId="1" builtinId="5"/>
    <cellStyle name="常规" xfId="0" builtinId="0" customBuiltin="1"/>
    <cellStyle name="常规 2" xfId="5"/>
    <cellStyle name="常规 3" xfId="7"/>
    <cellStyle name="超链接" xfId="2" builtinId="8"/>
    <cellStyle name="超链接 2" xfId="6"/>
    <cellStyle name="好" xfId="4" builtinId="26"/>
    <cellStyle name="千位分隔" xfId="3" builtinId="3"/>
  </cellStyles>
  <dxfs count="17">
    <dxf>
      <numFmt numFmtId="182" formatCode="**;**;**;**"/>
      <fill>
        <patternFill>
          <bgColor rgb="FFCCFFCC"/>
        </patternFill>
      </fill>
    </dxf>
    <dxf>
      <fill>
        <patternFill>
          <bgColor indexed="42"/>
        </patternFill>
      </fill>
    </dxf>
    <dxf>
      <protection locked="0" hidden="0"/>
    </dxf>
    <dxf>
      <protection locked="0" hidden="0"/>
    </dxf>
    <dxf>
      <protection locked="0" hidden="0"/>
    </dxf>
    <dxf>
      <protection locked="0" hidden="0"/>
    </dxf>
    <dxf>
      <protection locked="0" hidden="0"/>
    </dxf>
    <dxf>
      <protection locked="0" hidden="0"/>
    </dxf>
    <dxf>
      <numFmt numFmtId="30" formatCode="@"/>
      <protection locked="0" hidden="0"/>
    </dxf>
    <dxf>
      <numFmt numFmtId="30" formatCode="@"/>
      <protection locked="0" hidden="0"/>
    </dxf>
    <dxf>
      <protection locked="0" hidden="0"/>
    </dxf>
    <dxf>
      <alignment horizontal="center" vertical="center" textRotation="0" wrapText="0" indent="0" justifyLastLine="0" shrinkToFit="0" readingOrder="0"/>
    </dxf>
    <dxf>
      <numFmt numFmtId="182" formatCode="**;**;**;**"/>
      <fill>
        <patternFill>
          <bgColor theme="0" tint="-0.14996795556505021"/>
        </patternFill>
      </fill>
    </dxf>
    <dxf>
      <numFmt numFmtId="182" formatCode="**;**;**;**"/>
      <fill>
        <patternFill>
          <bgColor theme="0" tint="-0.14996795556505021"/>
        </patternFill>
      </fill>
    </dxf>
    <dxf>
      <font>
        <b val="0"/>
        <condense val="0"/>
        <extend val="0"/>
        <u/>
        <sz val="12"/>
      </font>
    </dxf>
    <dxf>
      <fill>
        <patternFill>
          <bgColor theme="0" tint="-4.9989318521683403E-2"/>
        </patternFill>
      </fill>
    </dxf>
    <dxf>
      <font>
        <color theme="0"/>
      </font>
      <fill>
        <patternFill>
          <bgColor rgb="FF339966"/>
        </patternFill>
      </fill>
    </dxf>
  </dxfs>
  <tableStyles count="1" defaultTableStyle="TableStyleMedium2" defaultPivotStyle="PivotStyleLight16">
    <tableStyle name="CustomTableStyle" pivot="0" count="2">
      <tableStyleElement type="headerRow" dxfId="16"/>
      <tableStyleElement type="firstRowStripe" dxfId="15"/>
    </tableStyle>
  </tableStyles>
  <colors>
    <mruColors>
      <color rgb="FFCCFFCC"/>
      <color rgb="FF99CCFF"/>
      <color rgb="FF8080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6.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7.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8.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9.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0.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11.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12.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13.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1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5.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6.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7.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18.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19.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20.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21.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2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23.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24.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25.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26.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27.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28.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29.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0.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1.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2.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33.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5.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36.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37.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8.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9.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0.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1.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3.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4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5.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6.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7.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48.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49.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0.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51.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3.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5.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56.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7.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8.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9.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60.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61.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6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63.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6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65.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66.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67.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1.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8.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9.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20.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3.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24.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2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6.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27.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28.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9.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1.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4.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5.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6.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7.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8.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9.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0.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4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6.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7.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48.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9.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50.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4.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5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6.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7.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8.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9.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0.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6.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1</xdr:row>
      <xdr:rowOff>30480</xdr:rowOff>
    </xdr:from>
    <xdr:to>
      <xdr:col>8</xdr:col>
      <xdr:colOff>1074420</xdr:colOff>
      <xdr:row>1</xdr:row>
      <xdr:rowOff>763075</xdr:rowOff>
    </xdr:to>
    <xdr:pic>
      <xdr:nvPicPr>
        <xdr:cNvPr id="2" name="图片 1">
          <a:extLst>
            <a:ext uri="{FF2B5EF4-FFF2-40B4-BE49-F238E27FC236}">
              <a16:creationId xmlns:a16="http://schemas.microsoft.com/office/drawing/2014/main" xmlns="" id="{83569D41-D154-4E6A-A0C8-2550E23085E4}"/>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8016240" y="228600"/>
          <a:ext cx="1066800" cy="732595"/>
        </a:xfrm>
        <a:prstGeom prst="rect">
          <a:avLst/>
        </a:prstGeom>
      </xdr:spPr>
    </xdr:pic>
    <xdr:clientData/>
  </xdr:twoCellAnchor>
  <xdr:twoCellAnchor editAs="oneCell">
    <xdr:from>
      <xdr:col>8</xdr:col>
      <xdr:colOff>15240</xdr:colOff>
      <xdr:row>2</xdr:row>
      <xdr:rowOff>15239</xdr:rowOff>
    </xdr:from>
    <xdr:to>
      <xdr:col>8</xdr:col>
      <xdr:colOff>1912620</xdr:colOff>
      <xdr:row>2</xdr:row>
      <xdr:rowOff>624839</xdr:rowOff>
    </xdr:to>
    <xdr:pic>
      <xdr:nvPicPr>
        <xdr:cNvPr id="3" name="图片 2" descr="D:\白鷐\Documents\Tencent Files\448036927\Image\C2C\Z]5]1IHZO6TFLO25US`(%P8.png">
          <a:extLst>
            <a:ext uri="{FF2B5EF4-FFF2-40B4-BE49-F238E27FC236}">
              <a16:creationId xmlns:a16="http://schemas.microsoft.com/office/drawing/2014/main" xmlns="" id="{FED6E7EF-B55A-4447-9037-FE95AA71433B}"/>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0016490" y="1015364"/>
          <a:ext cx="189738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1234440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EC9F5D1B-008C-49A2-B446-FCC839A4145B}"/>
                </a:ext>
              </a:extLst>
            </xdr:cNvPr>
            <xdr:cNvPicPr>
              <a:picLocks noChangeAspect="1"/>
              <a:extLst>
                <a:ext uri="{84589F7E-364E-4C9E-8A38-B11213B215E9}">
                  <a14:cameraTool cellRange="Pic" spid="_x0000_s1759242"/>
                </a:ext>
              </a:extLst>
            </xdr:cNvPicPr>
          </xdr:nvPicPr>
          <xdr:blipFill>
            <a:blip xmlns:r="http://schemas.openxmlformats.org/officeDocument/2006/relationships" r:embed="rId2"/>
            <a:stretch>
              <a:fillRect/>
            </a:stretch>
          </xdr:blipFill>
          <xdr:spPr>
            <a:xfrm>
              <a:off x="0" y="0"/>
              <a:ext cx="1948815" cy="788670"/>
            </a:xfrm>
            <a:prstGeom prst="rect">
              <a:avLst/>
            </a:prstGeom>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1588770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22AA525B-36CB-4412-8A9A-76AE9D733ABD}"/>
                </a:ext>
              </a:extLst>
            </xdr:cNvPr>
            <xdr:cNvPicPr>
              <a:picLocks noChangeAspect="1"/>
              <a:extLst>
                <a:ext uri="{84589F7E-364E-4C9E-8A38-B11213B215E9}">
                  <a14:cameraTool cellRange="Pic" spid="_x0000_s1656866"/>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1295400</xdr:colOff>
          <xdr:row>1</xdr:row>
          <xdr:rowOff>464820</xdr:rowOff>
        </xdr:to>
        <xdr:pic>
          <xdr:nvPicPr>
            <xdr:cNvPr id="4" name="图片 3">
              <a:hlinkClick xmlns:r="http://schemas.openxmlformats.org/officeDocument/2006/relationships" r:id="rId1"/>
              <a:extLst>
                <a:ext uri="{FF2B5EF4-FFF2-40B4-BE49-F238E27FC236}">
                  <a16:creationId xmlns:a16="http://schemas.microsoft.com/office/drawing/2014/main" xmlns="" id="{C413B5DC-8E59-4EC8-9196-87736418427D}"/>
                </a:ext>
              </a:extLst>
            </xdr:cNvPr>
            <xdr:cNvPicPr>
              <a:picLocks noChangeAspect="1"/>
              <a:extLst>
                <a:ext uri="{84589F7E-364E-4C9E-8A38-B11213B215E9}">
                  <a14:cameraTool cellRange="Pic" spid="_x0000_s59913"/>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312420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29BECD82-8A27-441A-9637-F0CA2CB6D1A6}"/>
                </a:ext>
              </a:extLst>
            </xdr:cNvPr>
            <xdr:cNvPicPr>
              <a:picLocks noChangeAspect="1"/>
              <a:extLst>
                <a:ext uri="{84589F7E-364E-4C9E-8A38-B11213B215E9}">
                  <a14:cameraTool cellRange="Pic" spid="_x0000_s105951"/>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1950720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C5C7B32E-BD96-4C4D-93AF-43E716077087}"/>
                </a:ext>
              </a:extLst>
            </xdr:cNvPr>
            <xdr:cNvPicPr>
              <a:picLocks noChangeAspect="1"/>
              <a:extLst>
                <a:ext uri="{84589F7E-364E-4C9E-8A38-B11213B215E9}">
                  <a14:cameraTool cellRange="Pic" spid="_x0000_s106973"/>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967740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10D504DC-6225-42F2-B9CB-020C8D80FB13}"/>
                </a:ext>
              </a:extLst>
            </xdr:cNvPr>
            <xdr:cNvPicPr>
              <a:picLocks noChangeAspect="1"/>
              <a:extLst>
                <a:ext uri="{84589F7E-364E-4C9E-8A38-B11213B215E9}">
                  <a14:cameraTool cellRange="Pic" spid="_x0000_s107992"/>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5</xdr:col>
          <xdr:colOff>57150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6ECB49CB-59F3-4490-84ED-AEDFB24E80F6}"/>
                </a:ext>
              </a:extLst>
            </xdr:cNvPr>
            <xdr:cNvPicPr>
              <a:picLocks noChangeAspect="1"/>
              <a:extLst>
                <a:ext uri="{84589F7E-364E-4C9E-8A38-B11213B215E9}">
                  <a14:cameraTool cellRange="Pic" spid="_x0000_s1542243"/>
                </a:ext>
              </a:extLst>
            </xdr:cNvPicPr>
          </xdr:nvPicPr>
          <xdr:blipFill>
            <a:blip xmlns:r="http://schemas.openxmlformats.org/officeDocument/2006/relationships" r:embed="rId2"/>
            <a:stretch>
              <a:fillRect/>
            </a:stretch>
          </xdr:blipFill>
          <xdr:spPr>
            <a:xfrm>
              <a:off x="0" y="0"/>
              <a:ext cx="1952625" cy="788670"/>
            </a:xfrm>
            <a:prstGeom prst="rect">
              <a:avLst/>
            </a:prstGeom>
          </xdr:spPr>
        </xdr:pic>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0</xdr:row>
          <xdr:rowOff>0</xdr:rowOff>
        </xdr:from>
        <xdr:to>
          <xdr:col>1</xdr:col>
          <xdr:colOff>1714500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5F0AA83E-552C-4D02-B114-D68EC96B745C}"/>
                </a:ext>
              </a:extLst>
            </xdr:cNvPr>
            <xdr:cNvPicPr>
              <a:picLocks noChangeAspect="1"/>
              <a:extLst>
                <a:ext uri="{84589F7E-364E-4C9E-8A38-B11213B215E9}">
                  <a14:cameraTool cellRange="Pic" spid="_x0000_s154043"/>
                </a:ext>
              </a:extLst>
            </xdr:cNvPicPr>
          </xdr:nvPicPr>
          <xdr:blipFill>
            <a:blip xmlns:r="http://schemas.openxmlformats.org/officeDocument/2006/relationships" r:embed="rId2"/>
            <a:stretch>
              <a:fillRect/>
            </a:stretch>
          </xdr:blipFill>
          <xdr:spPr>
            <a:xfrm>
              <a:off x="30480" y="0"/>
              <a:ext cx="1950720" cy="792480"/>
            </a:xfrm>
            <a:prstGeom prst="rect">
              <a:avLst/>
            </a:prstGeom>
          </xdr:spPr>
        </xdr:pic>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830580</xdr:colOff>
          <xdr:row>1</xdr:row>
          <xdr:rowOff>464820</xdr:rowOff>
        </xdr:to>
        <xdr:pic>
          <xdr:nvPicPr>
            <xdr:cNvPr id="3" name="图片 2">
              <a:hlinkClick xmlns:r="http://schemas.openxmlformats.org/officeDocument/2006/relationships" r:id="rId1"/>
              <a:extLst>
                <a:ext uri="{FF2B5EF4-FFF2-40B4-BE49-F238E27FC236}">
                  <a16:creationId xmlns:a16="http://schemas.microsoft.com/office/drawing/2014/main" xmlns="" id="{08F92E9A-2AB0-4447-B9B3-86F0376D2548}"/>
                </a:ext>
              </a:extLst>
            </xdr:cNvPr>
            <xdr:cNvPicPr>
              <a:picLocks noChangeAspect="1"/>
              <a:extLst>
                <a:ext uri="{84589F7E-364E-4C9E-8A38-B11213B215E9}">
                  <a14:cameraTool cellRange="Pic" spid="_x0000_s155063"/>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1950720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AD734E48-B5E4-4F95-ADBA-ED3FBB35642C}"/>
                </a:ext>
              </a:extLst>
            </xdr:cNvPr>
            <xdr:cNvPicPr>
              <a:picLocks noChangeAspect="1"/>
              <a:extLst>
                <a:ext uri="{84589F7E-364E-4C9E-8A38-B11213B215E9}">
                  <a14:cameraTool cellRange="Pic" spid="_x0000_s156087"/>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190500</xdr:colOff>
          <xdr:row>1</xdr:row>
          <xdr:rowOff>464820</xdr:rowOff>
        </xdr:to>
        <xdr:pic>
          <xdr:nvPicPr>
            <xdr:cNvPr id="3" name="图片 2">
              <a:hlinkClick xmlns:r="http://schemas.openxmlformats.org/officeDocument/2006/relationships" r:id="rId1"/>
              <a:extLst>
                <a:ext uri="{FF2B5EF4-FFF2-40B4-BE49-F238E27FC236}">
                  <a16:creationId xmlns:a16="http://schemas.microsoft.com/office/drawing/2014/main" xmlns="" id="{D87B87C9-30F6-4352-82BE-C440C276C851}"/>
                </a:ext>
              </a:extLst>
            </xdr:cNvPr>
            <xdr:cNvPicPr>
              <a:picLocks noChangeAspect="1"/>
              <a:extLst>
                <a:ext uri="{84589F7E-364E-4C9E-8A38-B11213B215E9}">
                  <a14:cameraTool cellRange="Pic" spid="_x0000_s159147"/>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190500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B5A1ADA3-5116-4D0C-A33F-5013E68DAC21}"/>
                </a:ext>
              </a:extLst>
            </xdr:cNvPr>
            <xdr:cNvPicPr>
              <a:picLocks noChangeAspect="1"/>
              <a:extLst>
                <a:ext uri="{84589F7E-364E-4C9E-8A38-B11213B215E9}">
                  <a14:cameraTool cellRange="Pic" spid="_x0000_s160170"/>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190500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E5B5FB92-487F-43AB-BF32-075951E66084}"/>
                </a:ext>
              </a:extLst>
            </xdr:cNvPr>
            <xdr:cNvPicPr>
              <a:picLocks noChangeAspect="1"/>
              <a:extLst>
                <a:ext uri="{84589F7E-364E-4C9E-8A38-B11213B215E9}">
                  <a14:cameraTool cellRange="Pic" spid="_x0000_s161193"/>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1371600</xdr:colOff>
          <xdr:row>1</xdr:row>
          <xdr:rowOff>464820</xdr:rowOff>
        </xdr:to>
        <xdr:pic>
          <xdr:nvPicPr>
            <xdr:cNvPr id="3" name="图片 2">
              <a:hlinkClick xmlns:r="http://schemas.openxmlformats.org/officeDocument/2006/relationships" r:id="rId1"/>
              <a:extLst>
                <a:ext uri="{FF2B5EF4-FFF2-40B4-BE49-F238E27FC236}">
                  <a16:creationId xmlns:a16="http://schemas.microsoft.com/office/drawing/2014/main" xmlns="" id="{A11BFF3F-6A0E-48C2-8F09-21DBCB5DDF00}"/>
                </a:ext>
              </a:extLst>
            </xdr:cNvPr>
            <xdr:cNvPicPr>
              <a:picLocks noChangeAspect="1"/>
              <a:extLst>
                <a:ext uri="{84589F7E-364E-4C9E-8A38-B11213B215E9}">
                  <a14:cameraTool cellRange="Pic" spid="_x0000_s162216"/>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1158240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D1EF8766-ABFD-4EA5-946D-C23F6E708AA9}"/>
                </a:ext>
              </a:extLst>
            </xdr:cNvPr>
            <xdr:cNvPicPr>
              <a:picLocks noChangeAspect="1"/>
              <a:extLst>
                <a:ext uri="{84589F7E-364E-4C9E-8A38-B11213B215E9}">
                  <a14:cameraTool cellRange="Pic" spid="_x0000_s163239"/>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1409700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BBA2ECC1-E07B-471B-A4BD-FC4597B29390}"/>
                </a:ext>
              </a:extLst>
            </xdr:cNvPr>
            <xdr:cNvPicPr>
              <a:picLocks noChangeAspect="1"/>
              <a:extLst>
                <a:ext uri="{84589F7E-364E-4C9E-8A38-B11213B215E9}">
                  <a14:cameraTool cellRange="Pic" spid="_x0000_s217501"/>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1158240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1BFEB116-2EA9-4452-9183-EEE71FA62A57}"/>
                </a:ext>
              </a:extLst>
            </xdr:cNvPr>
            <xdr:cNvPicPr>
              <a:picLocks noChangeAspect="1"/>
              <a:extLst>
                <a:ext uri="{84589F7E-364E-4C9E-8A38-B11213B215E9}">
                  <a14:cameraTool cellRange="Pic" spid="_x0000_s218525"/>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190500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58301451-49C8-43E9-AF72-D06049EC6D5A}"/>
                </a:ext>
              </a:extLst>
            </xdr:cNvPr>
            <xdr:cNvPicPr>
              <a:picLocks noChangeAspect="1"/>
              <a:extLst>
                <a:ext uri="{84589F7E-364E-4C9E-8A38-B11213B215E9}">
                  <a14:cameraTool cellRange="Pic" spid="_x0000_s219548"/>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190500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140F3560-00DF-4EB9-AFCA-AF5241750CB4}"/>
                </a:ext>
              </a:extLst>
            </xdr:cNvPr>
            <xdr:cNvPicPr>
              <a:picLocks noChangeAspect="1"/>
              <a:extLst>
                <a:ext uri="{84589F7E-364E-4C9E-8A38-B11213B215E9}">
                  <a14:cameraTool cellRange="Pic" spid="_x0000_s220572"/>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190500</xdr:colOff>
          <xdr:row>2</xdr:row>
          <xdr:rowOff>30480</xdr:rowOff>
        </xdr:to>
        <xdr:pic>
          <xdr:nvPicPr>
            <xdr:cNvPr id="2" name="图片 1">
              <a:hlinkClick xmlns:r="http://schemas.openxmlformats.org/officeDocument/2006/relationships" r:id="rId1"/>
              <a:extLst>
                <a:ext uri="{FF2B5EF4-FFF2-40B4-BE49-F238E27FC236}">
                  <a16:creationId xmlns:a16="http://schemas.microsoft.com/office/drawing/2014/main" xmlns="" id="{75451471-BA57-4FFF-B4F2-27B39598E6E2}"/>
                </a:ext>
              </a:extLst>
            </xdr:cNvPr>
            <xdr:cNvPicPr>
              <a:picLocks noChangeAspect="1"/>
              <a:extLst>
                <a:ext uri="{84589F7E-364E-4C9E-8A38-B11213B215E9}">
                  <a14:cameraTool cellRange="Pic" spid="_x0000_s221596"/>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1158240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FB121635-CABC-4E67-A4C6-22FF030F4C40}"/>
                </a:ext>
              </a:extLst>
            </xdr:cNvPr>
            <xdr:cNvPicPr>
              <a:picLocks noChangeAspect="1"/>
              <a:extLst>
                <a:ext uri="{84589F7E-364E-4C9E-8A38-B11213B215E9}">
                  <a14:cameraTool cellRange="Pic" spid="_x0000_s222624"/>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388620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7D66F8D0-D1EF-4DE6-923B-64FDC73D4353}"/>
                </a:ext>
              </a:extLst>
            </xdr:cNvPr>
            <xdr:cNvPicPr>
              <a:picLocks noChangeAspect="1"/>
              <a:extLst>
                <a:ext uri="{84589F7E-364E-4C9E-8A38-B11213B215E9}">
                  <a14:cameraTool cellRange="Pic" spid="_x0000_s223644"/>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327660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A6DCC7A7-EACF-42A8-82CC-A8BE0B399143}"/>
                </a:ext>
              </a:extLst>
            </xdr:cNvPr>
            <xdr:cNvPicPr>
              <a:picLocks noChangeAspect="1"/>
              <a:extLst>
                <a:ext uri="{84589F7E-364E-4C9E-8A38-B11213B215E9}">
                  <a14:cameraTool cellRange="Pic" spid="_x0000_s288128"/>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15240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A8E62EF1-DC6A-43D9-9244-BCDE0080B3CA}"/>
                </a:ext>
              </a:extLst>
            </xdr:cNvPr>
            <xdr:cNvPicPr>
              <a:picLocks noChangeAspect="1"/>
              <a:extLst>
                <a:ext uri="{84589F7E-364E-4C9E-8A38-B11213B215E9}">
                  <a14:cameraTool cellRange="Pic" spid="_x0000_s289148"/>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91440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75993077-5DC3-4AB3-9EEB-84FE2F12DF80}"/>
                </a:ext>
              </a:extLst>
            </xdr:cNvPr>
            <xdr:cNvPicPr>
              <a:picLocks noChangeAspect="1"/>
              <a:extLst>
                <a:ext uri="{84589F7E-364E-4C9E-8A38-B11213B215E9}">
                  <a14:cameraTool cellRange="Pic" spid="_x0000_s299384"/>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1592580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FE61E308-9A9B-4E43-B40F-720ED0BD59FE}"/>
                </a:ext>
              </a:extLst>
            </xdr:cNvPr>
            <xdr:cNvPicPr>
              <a:picLocks noChangeAspect="1"/>
              <a:extLst>
                <a:ext uri="{84589F7E-364E-4C9E-8A38-B11213B215E9}">
                  <a14:cameraTool cellRange="Pic" spid="_x0000_s767169"/>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822960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BE5948E8-2DAF-41B0-AAB8-99D1BE1D4390}"/>
                </a:ext>
              </a:extLst>
            </xdr:cNvPr>
            <xdr:cNvPicPr>
              <a:picLocks noChangeAspect="1"/>
              <a:extLst>
                <a:ext uri="{84589F7E-364E-4C9E-8A38-B11213B215E9}">
                  <a14:cameraTool cellRange="Pic" spid="_x0000_s292214"/>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152400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B4DC4C45-DDBF-4796-B79F-EFEB63AE7FE0}"/>
                </a:ext>
              </a:extLst>
            </xdr:cNvPr>
            <xdr:cNvPicPr>
              <a:picLocks noChangeAspect="1"/>
              <a:extLst>
                <a:ext uri="{84589F7E-364E-4C9E-8A38-B11213B215E9}">
                  <a14:cameraTool cellRange="Pic" spid="_x0000_s293240"/>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579120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D0332221-4C48-4545-B73E-F4055842054E}"/>
                </a:ext>
              </a:extLst>
            </xdr:cNvPr>
            <xdr:cNvPicPr>
              <a:picLocks noChangeAspect="1"/>
              <a:extLst>
                <a:ext uri="{84589F7E-364E-4C9E-8A38-B11213B215E9}">
                  <a14:cameraTool cellRange="Pic" spid="_x0000_s350587"/>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586740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6EA26FC1-D85B-4833-947D-9592D1E1A66A}"/>
                </a:ext>
              </a:extLst>
            </xdr:cNvPr>
            <xdr:cNvPicPr>
              <a:picLocks noChangeAspect="1"/>
              <a:extLst>
                <a:ext uri="{84589F7E-364E-4C9E-8A38-B11213B215E9}">
                  <a14:cameraTool cellRange="Pic" spid="_x0000_s346855"/>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xdr:row>
          <xdr:rowOff>0</xdr:rowOff>
        </xdr:from>
        <xdr:to>
          <xdr:col>2</xdr:col>
          <xdr:colOff>586740</xdr:colOff>
          <xdr:row>29</xdr:row>
          <xdr:rowOff>464820</xdr:rowOff>
        </xdr:to>
        <xdr:pic>
          <xdr:nvPicPr>
            <xdr:cNvPr id="4" name="图片 3">
              <a:hlinkClick xmlns:r="http://schemas.openxmlformats.org/officeDocument/2006/relationships" r:id="rId1"/>
              <a:extLst>
                <a:ext uri="{FF2B5EF4-FFF2-40B4-BE49-F238E27FC236}">
                  <a16:creationId xmlns:a16="http://schemas.microsoft.com/office/drawing/2014/main" xmlns="" id="{CB02193E-154F-42C0-9107-9BE55AFFE184}"/>
                </a:ext>
              </a:extLst>
            </xdr:cNvPr>
            <xdr:cNvPicPr>
              <a:picLocks noChangeAspect="1"/>
              <a:extLst>
                <a:ext uri="{84589F7E-364E-4C9E-8A38-B11213B215E9}">
                  <a14:cameraTool cellRange="Pic" spid="_x0000_s346856"/>
                </a:ext>
              </a:extLst>
            </xdr:cNvPicPr>
          </xdr:nvPicPr>
          <xdr:blipFill>
            <a:blip xmlns:r="http://schemas.openxmlformats.org/officeDocument/2006/relationships" r:embed="rId2"/>
            <a:stretch>
              <a:fillRect/>
            </a:stretch>
          </xdr:blipFill>
          <xdr:spPr>
            <a:xfrm>
              <a:off x="0" y="6377940"/>
              <a:ext cx="1950720" cy="792480"/>
            </a:xfrm>
            <a:prstGeom prst="rect">
              <a:avLst/>
            </a:prstGeom>
          </xdr:spPr>
        </xdr:pic>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1173480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6B135039-3C53-402C-B792-4479EF25B482}"/>
                </a:ext>
              </a:extLst>
            </xdr:cNvPr>
            <xdr:cNvPicPr>
              <a:picLocks noChangeAspect="1"/>
              <a:extLst>
                <a:ext uri="{84589F7E-364E-4C9E-8A38-B11213B215E9}">
                  <a14:cameraTool cellRange="Pic" spid="_x0000_s395633"/>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1173480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1E7F4AA0-9F92-470E-BA3D-FD7C82F52053}"/>
                </a:ext>
              </a:extLst>
            </xdr:cNvPr>
            <xdr:cNvPicPr>
              <a:picLocks noChangeAspect="1"/>
              <a:extLst>
                <a:ext uri="{84589F7E-364E-4C9E-8A38-B11213B215E9}">
                  <a14:cameraTool cellRange="Pic" spid="_x0000_s466285"/>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1379220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3E9A2DA0-6172-4745-A018-0C386F971A78}"/>
                </a:ext>
              </a:extLst>
            </xdr:cNvPr>
            <xdr:cNvPicPr>
              <a:picLocks noChangeAspect="1"/>
              <a:extLst>
                <a:ext uri="{84589F7E-364E-4C9E-8A38-B11213B215E9}">
                  <a14:cameraTool cellRange="Pic" spid="_x0000_s467309"/>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1516380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930C581F-29A5-4C49-BFCA-6AC2CBB08F66}"/>
                </a:ext>
              </a:extLst>
            </xdr:cNvPr>
            <xdr:cNvPicPr>
              <a:picLocks noChangeAspect="1"/>
              <a:extLst>
                <a:ext uri="{84589F7E-364E-4C9E-8A38-B11213B215E9}">
                  <a14:cameraTool cellRange="Pic" spid="_x0000_s468330"/>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441960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B8C85967-06BB-4EDE-B3C2-58C6821F65AC}"/>
                </a:ext>
              </a:extLst>
            </xdr:cNvPr>
            <xdr:cNvPicPr>
              <a:picLocks noChangeAspect="1"/>
              <a:extLst>
                <a:ext uri="{84589F7E-364E-4C9E-8A38-B11213B215E9}">
                  <a14:cameraTool cellRange="Pic" spid="_x0000_s539979"/>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944880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48A8503B-81A9-4694-8D26-F3B6637E88F8}"/>
                </a:ext>
              </a:extLst>
            </xdr:cNvPr>
            <xdr:cNvPicPr>
              <a:picLocks noChangeAspect="1"/>
              <a:extLst>
                <a:ext uri="{84589F7E-364E-4C9E-8A38-B11213B215E9}">
                  <a14:cameraTool cellRange="Pic" spid="_x0000_s621869"/>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1664970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21535052-4067-44C1-B325-A7C94AAB369C}"/>
                </a:ext>
              </a:extLst>
            </xdr:cNvPr>
            <xdr:cNvPicPr>
              <a:picLocks noChangeAspect="1"/>
              <a:extLst>
                <a:ext uri="{84589F7E-364E-4C9E-8A38-B11213B215E9}">
                  <a14:cameraTool cellRange="Pic" spid="_x0000_s1789960"/>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1569720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6911BE80-8C7B-4873-9E88-5F7D964A024F}"/>
                </a:ext>
              </a:extLst>
            </xdr:cNvPr>
            <xdr:cNvPicPr>
              <a:picLocks noChangeAspect="1"/>
              <a:extLst>
                <a:ext uri="{84589F7E-364E-4C9E-8A38-B11213B215E9}">
                  <a14:cameraTool cellRange="Pic" spid="_x0000_s1868803"/>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1245870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B9DA0704-04A8-40C6-87ED-C558676EE657}"/>
                </a:ext>
              </a:extLst>
            </xdr:cNvPr>
            <xdr:cNvPicPr>
              <a:picLocks noChangeAspect="1"/>
              <a:extLst>
                <a:ext uri="{84589F7E-364E-4C9E-8A38-B11213B215E9}">
                  <a14:cameraTool cellRange="Pic" spid="_x0000_s1792008"/>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1550670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FD7E4745-AC1C-4890-9A08-F41177052162}"/>
                </a:ext>
              </a:extLst>
            </xdr:cNvPr>
            <xdr:cNvPicPr>
              <a:picLocks noChangeAspect="1"/>
              <a:extLst>
                <a:ext uri="{84589F7E-364E-4C9E-8A38-B11213B215E9}">
                  <a14:cameraTool cellRange="Pic" spid="_x0000_s1867779"/>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45720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5AE639E8-CE21-4942-A7BD-2CF947949805}"/>
                </a:ext>
              </a:extLst>
            </xdr:cNvPr>
            <xdr:cNvPicPr>
              <a:picLocks noChangeAspect="1"/>
              <a:extLst>
                <a:ext uri="{84589F7E-364E-4C9E-8A38-B11213B215E9}">
                  <a14:cameraTool cellRange="Pic" spid="_x0000_s1866755"/>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664845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C4FC1799-81CA-423E-8239-806C2D5401CE}"/>
                </a:ext>
              </a:extLst>
            </xdr:cNvPr>
            <xdr:cNvPicPr>
              <a:picLocks noChangeAspect="1"/>
              <a:extLst>
                <a:ext uri="{84589F7E-364E-4C9E-8A38-B11213B215E9}">
                  <a14:cameraTool cellRange="Pic" spid="_x0000_s1795076"/>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137160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4410B515-9597-4655-A92A-4B3060328CAD}"/>
                </a:ext>
              </a:extLst>
            </xdr:cNvPr>
            <xdr:cNvPicPr>
              <a:picLocks noChangeAspect="1"/>
              <a:extLst>
                <a:ext uri="{84589F7E-364E-4C9E-8A38-B11213B215E9}">
                  <a14:cameraTool cellRange="Pic" spid="_x0000_s538958"/>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445770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3BA7B18D-D0C8-46A3-ADC6-833ED2B7DA01}"/>
                </a:ext>
              </a:extLst>
            </xdr:cNvPr>
            <xdr:cNvPicPr>
              <a:picLocks noChangeAspect="1"/>
              <a:extLst>
                <a:ext uri="{84589F7E-364E-4C9E-8A38-B11213B215E9}">
                  <a14:cameraTool cellRange="Pic" spid="_x0000_s1796102"/>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1535430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0E3457F0-65F1-4E14-9D31-E370F73E0CA1}"/>
                </a:ext>
              </a:extLst>
            </xdr:cNvPr>
            <xdr:cNvPicPr>
              <a:picLocks noChangeAspect="1"/>
              <a:extLst>
                <a:ext uri="{84589F7E-364E-4C9E-8A38-B11213B215E9}">
                  <a14:cameraTool cellRange="Pic" spid="_x0000_s1340509"/>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220980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53440B73-B558-41AB-815B-AB8942249AD7}"/>
                </a:ext>
              </a:extLst>
            </xdr:cNvPr>
            <xdr:cNvPicPr>
              <a:picLocks noChangeAspect="1"/>
              <a:extLst>
                <a:ext uri="{84589F7E-364E-4C9E-8A38-B11213B215E9}">
                  <a14:cameraTool cellRange="Pic" spid="_x0000_s1460306"/>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8CDE662B-C08D-41EC-AF79-344AE81D46A3}"/>
                </a:ext>
              </a:extLst>
            </xdr:cNvPr>
            <xdr:cNvPicPr>
              <a:picLocks noChangeAspect="1"/>
              <a:extLst>
                <a:ext uri="{84589F7E-364E-4C9E-8A38-B11213B215E9}">
                  <a14:cameraTool cellRange="Pic" spid="_x0000_s1351788"/>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57C2CECD-16CA-43B8-8A50-AAB192FAF167}"/>
                </a:ext>
              </a:extLst>
            </xdr:cNvPr>
            <xdr:cNvPicPr>
              <a:picLocks noChangeAspect="1"/>
              <a:extLst>
                <a:ext uri="{84589F7E-364E-4C9E-8A38-B11213B215E9}">
                  <a14:cameraTool cellRange="Pic" spid="_x0000_s1353846"/>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A808B6AE-27C4-4A7F-9B34-713F1BCA6B5D}"/>
                </a:ext>
              </a:extLst>
            </xdr:cNvPr>
            <xdr:cNvPicPr>
              <a:picLocks noChangeAspect="1"/>
              <a:extLst>
                <a:ext uri="{84589F7E-364E-4C9E-8A38-B11213B215E9}">
                  <a14:cameraTool cellRange="Pic" spid="_x0000_s1359964"/>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20955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42626A76-9789-4539-AA46-48B0D27F7FDE}"/>
                </a:ext>
              </a:extLst>
            </xdr:cNvPr>
            <xdr:cNvPicPr>
              <a:picLocks noChangeAspect="1"/>
              <a:extLst>
                <a:ext uri="{84589F7E-364E-4C9E-8A38-B11213B215E9}">
                  <a14:cameraTool cellRange="Pic" spid="_x0000_s1308814"/>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1268730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E82A6F3D-06D5-4402-80D5-FA3D9A2A29D7}"/>
                </a:ext>
              </a:extLst>
            </xdr:cNvPr>
            <xdr:cNvPicPr>
              <a:picLocks noChangeAspect="1"/>
              <a:extLst>
                <a:ext uri="{84589F7E-364E-4C9E-8A38-B11213B215E9}">
                  <a14:cameraTool cellRange="Pic" spid="_x0000_s1236066"/>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1640205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3244F4BA-6A06-48D0-881E-D96D19CD5C82}"/>
                </a:ext>
              </a:extLst>
            </xdr:cNvPr>
            <xdr:cNvPicPr>
              <a:picLocks noChangeAspect="1"/>
              <a:extLst>
                <a:ext uri="{84589F7E-364E-4C9E-8A38-B11213B215E9}">
                  <a14:cameraTool cellRange="Pic" spid="_x0000_s1250448"/>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373380</xdr:colOff>
          <xdr:row>1</xdr:row>
          <xdr:rowOff>464820</xdr:rowOff>
        </xdr:to>
        <xdr:pic>
          <xdr:nvPicPr>
            <xdr:cNvPr id="3" name="图片 2">
              <a:hlinkClick xmlns:r="http://schemas.openxmlformats.org/officeDocument/2006/relationships" r:id="rId1"/>
              <a:extLst>
                <a:ext uri="{FF2B5EF4-FFF2-40B4-BE49-F238E27FC236}">
                  <a16:creationId xmlns:a16="http://schemas.microsoft.com/office/drawing/2014/main" xmlns="" id="{4C699D64-D200-4C43-A914-D35769BBDAA6}"/>
                </a:ext>
              </a:extLst>
            </xdr:cNvPr>
            <xdr:cNvPicPr>
              <a:picLocks noChangeAspect="1"/>
              <a:extLst>
                <a:ext uri="{84589F7E-364E-4C9E-8A38-B11213B215E9}">
                  <a14:cameraTool cellRange="Pic" spid="_x0000_s1139868"/>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1516380</xdr:colOff>
          <xdr:row>1</xdr:row>
          <xdr:rowOff>464820</xdr:rowOff>
        </xdr:to>
        <xdr:pic>
          <xdr:nvPicPr>
            <xdr:cNvPr id="3" name="图片 2">
              <a:hlinkClick xmlns:r="http://schemas.openxmlformats.org/officeDocument/2006/relationships" r:id="rId1"/>
              <a:extLst>
                <a:ext uri="{FF2B5EF4-FFF2-40B4-BE49-F238E27FC236}">
                  <a16:creationId xmlns:a16="http://schemas.microsoft.com/office/drawing/2014/main" xmlns="" id="{14F8D004-8D0A-494C-B436-23F5143AB776}"/>
                </a:ext>
              </a:extLst>
            </xdr:cNvPr>
            <xdr:cNvPicPr>
              <a:picLocks noChangeAspect="1"/>
              <a:extLst>
                <a:ext uri="{84589F7E-364E-4C9E-8A38-B11213B215E9}">
                  <a14:cameraTool cellRange="Pic" spid="_x0000_s1142947"/>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2E947E12-5031-49D5-9521-FFE7A83FC1B0}"/>
                </a:ext>
              </a:extLst>
            </xdr:cNvPr>
            <xdr:cNvPicPr>
              <a:picLocks noChangeAspect="1"/>
              <a:extLst>
                <a:ext uri="{84589F7E-364E-4C9E-8A38-B11213B215E9}">
                  <a14:cameraTool cellRange="Pic" spid="_x0000_s1143976"/>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A6A614C4-5D72-43A9-9238-EA3189D7A381}"/>
                </a:ext>
              </a:extLst>
            </xdr:cNvPr>
            <xdr:cNvPicPr>
              <a:picLocks noChangeAspect="1"/>
              <a:extLst>
                <a:ext uri="{84589F7E-364E-4C9E-8A38-B11213B215E9}">
                  <a14:cameraTool cellRange="Pic" spid="_x0000_s1144974"/>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C96F7AAC-0697-44EB-992A-1FEAD112317A}"/>
                </a:ext>
              </a:extLst>
            </xdr:cNvPr>
            <xdr:cNvPicPr>
              <a:picLocks noChangeAspect="1"/>
              <a:extLst>
                <a:ext uri="{84589F7E-364E-4C9E-8A38-B11213B215E9}">
                  <a14:cameraTool cellRange="Pic" spid="_x0000_s1149048"/>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1154430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5D32C94D-4BF4-49F6-BF63-D2F99CDE978D}"/>
                </a:ext>
              </a:extLst>
            </xdr:cNvPr>
            <xdr:cNvPicPr>
              <a:picLocks noChangeAspect="1"/>
              <a:extLst>
                <a:ext uri="{84589F7E-364E-4C9E-8A38-B11213B215E9}">
                  <a14:cameraTool cellRange="Pic" spid="_x0000_s1038505"/>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725805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827CD8C8-A7B3-4E9F-BAE5-2CA48678A383}"/>
                </a:ext>
              </a:extLst>
            </xdr:cNvPr>
            <xdr:cNvPicPr>
              <a:picLocks noChangeAspect="1"/>
              <a:extLst>
                <a:ext uri="{84589F7E-364E-4C9E-8A38-B11213B215E9}">
                  <a14:cameraTool cellRange="Pic" spid="_x0000_s931999"/>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754380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BA1272FA-2078-4BC9-8FB3-B8E6947875E1}"/>
                </a:ext>
              </a:extLst>
            </xdr:cNvPr>
            <xdr:cNvPicPr>
              <a:picLocks noChangeAspect="1"/>
              <a:extLst>
                <a:ext uri="{84589F7E-364E-4C9E-8A38-B11213B215E9}">
                  <a14:cameraTool cellRange="Pic" spid="_x0000_s881822"/>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59055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2B9638FF-7542-4E50-9B35-726C435E6CAB}"/>
                </a:ext>
              </a:extLst>
            </xdr:cNvPr>
            <xdr:cNvPicPr>
              <a:picLocks noChangeAspect="1"/>
              <a:extLst>
                <a:ext uri="{84589F7E-364E-4C9E-8A38-B11213B215E9}">
                  <a14:cameraTool cellRange="Pic" spid="_x0000_s882847"/>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59055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8C6CD55D-CA72-4FD9-8D16-768685904854}"/>
                </a:ext>
              </a:extLst>
            </xdr:cNvPr>
            <xdr:cNvPicPr>
              <a:picLocks noChangeAspect="1"/>
              <a:extLst>
                <a:ext uri="{84589F7E-364E-4C9E-8A38-B11213B215E9}">
                  <a14:cameraTool cellRange="Pic" spid="_x0000_s883871"/>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59055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DD7FB059-1561-4DF2-AA26-083CB69A81A2}"/>
                </a:ext>
              </a:extLst>
            </xdr:cNvPr>
            <xdr:cNvPicPr>
              <a:picLocks noChangeAspect="1"/>
              <a:extLst>
                <a:ext uri="{84589F7E-364E-4C9E-8A38-B11213B215E9}">
                  <a14:cameraTool cellRange="Pic" spid="_x0000_s884904"/>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xdr:col>
          <xdr:colOff>59055</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7B659F8B-A818-4375-B7B6-FF681340415A}"/>
                </a:ext>
              </a:extLst>
            </xdr:cNvPr>
            <xdr:cNvPicPr>
              <a:picLocks noChangeAspect="1"/>
              <a:extLst>
                <a:ext uri="{84589F7E-364E-4C9E-8A38-B11213B215E9}">
                  <a14:cameraTool cellRange="Pic" spid="_x0000_s885929"/>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DD98DC33-3B28-47A3-A38D-46CD3D8EC174}"/>
                </a:ext>
              </a:extLst>
            </xdr:cNvPr>
            <xdr:cNvPicPr>
              <a:picLocks noChangeAspect="1"/>
              <a:extLst>
                <a:ext uri="{84589F7E-364E-4C9E-8A38-B11213B215E9}">
                  <a14:cameraTool cellRange="Pic" spid="_x0000_s886971"/>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1554480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05897BA3-DD6A-4732-88D8-BF362B583D3C}"/>
                </a:ext>
              </a:extLst>
            </xdr:cNvPr>
            <xdr:cNvPicPr>
              <a:picLocks noChangeAspect="1"/>
              <a:extLst>
                <a:ext uri="{84589F7E-364E-4C9E-8A38-B11213B215E9}">
                  <a14:cameraTool cellRange="Pic" spid="_x0000_s887995"/>
                </a:ext>
              </a:extLst>
            </xdr:cNvPicPr>
          </xdr:nvPicPr>
          <xdr:blipFill>
            <a:blip xmlns:r="http://schemas.openxmlformats.org/officeDocument/2006/relationships" r:embed="rId2"/>
            <a:stretch>
              <a:fillRect/>
            </a:stretch>
          </xdr:blipFill>
          <xdr:spPr>
            <a:xfrm>
              <a:off x="0" y="0"/>
              <a:ext cx="1954530" cy="788670"/>
            </a:xfrm>
            <a:prstGeom prst="rect">
              <a:avLst/>
            </a:prstGeom>
          </xdr:spPr>
        </xdr:pic>
        <xdr:clientData/>
      </xdr:twoCellAnchor>
    </mc:Choice>
    <mc:Fallback/>
  </mc:AlternateContent>
</xdr:wsDr>
</file>

<file path=xl/tables/table1.xml><?xml version="1.0" encoding="utf-8"?>
<table xmlns="http://schemas.openxmlformats.org/spreadsheetml/2006/main" id="1" name="表1" displayName="表1" ref="A4:H72" headerRowDxfId="11" dataDxfId="10">
  <autoFilter ref="A4:H7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name="科目编码" totalsRowLabel="汇总" dataDxfId="9"/>
    <tableColumn id="2" name="科目名称" dataDxfId="8"/>
    <tableColumn id="3" name="期初借方" dataDxfId="7" dataCellStyle="千位分隔"/>
    <tableColumn id="4" name="期初贷方" dataDxfId="6" dataCellStyle="千位分隔"/>
    <tableColumn id="5" name="本年发生借方" dataDxfId="5" dataCellStyle="千位分隔"/>
    <tableColumn id="6" name="本年发生贷方" dataDxfId="4" dataCellStyle="千位分隔"/>
    <tableColumn id="7" name="期末借方" dataDxfId="3" dataCellStyle="千位分隔"/>
    <tableColumn id="8" name="期末贷方" totalsRowFunction="count" dataDxfId="2" dataCellStyle="千位分隔"/>
  </tableColumns>
  <tableStyleInfo name="TableStyleMedium13" showFirstColumn="1"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23.bin"/><Relationship Id="rId4" Type="http://schemas.openxmlformats.org/officeDocument/2006/relationships/table" Target="../tables/table1.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2.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4.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5.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6.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7.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8.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9.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0.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1.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2.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3.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4.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5.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6.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7.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8.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9.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3.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4.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5.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36.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37.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38.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39.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40.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41.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42.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43.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3" Type="http://schemas.openxmlformats.org/officeDocument/2006/relationships/vmlDrawing" Target="../drawings/vmlDrawing43.vml"/><Relationship Id="rId2" Type="http://schemas.openxmlformats.org/officeDocument/2006/relationships/drawing" Target="../drawings/drawing44.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44.vml"/><Relationship Id="rId2" Type="http://schemas.openxmlformats.org/officeDocument/2006/relationships/drawing" Target="../drawings/drawing45.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3" Type="http://schemas.openxmlformats.org/officeDocument/2006/relationships/vmlDrawing" Target="../drawings/vmlDrawing45.vml"/><Relationship Id="rId2" Type="http://schemas.openxmlformats.org/officeDocument/2006/relationships/drawing" Target="../drawings/drawing46.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3" Type="http://schemas.openxmlformats.org/officeDocument/2006/relationships/vmlDrawing" Target="../drawings/vmlDrawing46.vml"/><Relationship Id="rId2" Type="http://schemas.openxmlformats.org/officeDocument/2006/relationships/drawing" Target="../drawings/drawing47.xml"/><Relationship Id="rId1" Type="http://schemas.openxmlformats.org/officeDocument/2006/relationships/printerSettings" Target="../printerSettings/printerSettings76.bin"/><Relationship Id="rId4" Type="http://schemas.openxmlformats.org/officeDocument/2006/relationships/comments" Target="../comments1.xml"/></Relationships>
</file>

<file path=xl/worksheets/_rels/sheet77.xml.rels><?xml version="1.0" encoding="UTF-8" standalone="yes"?>
<Relationships xmlns="http://schemas.openxmlformats.org/package/2006/relationships"><Relationship Id="rId3" Type="http://schemas.openxmlformats.org/officeDocument/2006/relationships/vmlDrawing" Target="../drawings/vmlDrawing47.vml"/><Relationship Id="rId2" Type="http://schemas.openxmlformats.org/officeDocument/2006/relationships/drawing" Target="../drawings/drawing48.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3" Type="http://schemas.openxmlformats.org/officeDocument/2006/relationships/vmlDrawing" Target="../drawings/vmlDrawing48.vml"/><Relationship Id="rId2" Type="http://schemas.openxmlformats.org/officeDocument/2006/relationships/drawing" Target="../drawings/drawing49.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3" Type="http://schemas.openxmlformats.org/officeDocument/2006/relationships/vmlDrawing" Target="../drawings/vmlDrawing49.vml"/><Relationship Id="rId2" Type="http://schemas.openxmlformats.org/officeDocument/2006/relationships/drawing" Target="../drawings/drawing50.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3" Type="http://schemas.openxmlformats.org/officeDocument/2006/relationships/vmlDrawing" Target="../drawings/vmlDrawing50.vml"/><Relationship Id="rId2" Type="http://schemas.openxmlformats.org/officeDocument/2006/relationships/drawing" Target="../drawings/drawing51.xml"/><Relationship Id="rId1" Type="http://schemas.openxmlformats.org/officeDocument/2006/relationships/printerSettings" Target="../printerSettings/printerSettings80.bin"/><Relationship Id="rId4" Type="http://schemas.openxmlformats.org/officeDocument/2006/relationships/comments" Target="../comments2.xml"/></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51.vml"/><Relationship Id="rId2" Type="http://schemas.openxmlformats.org/officeDocument/2006/relationships/drawing" Target="../drawings/drawing52.xml"/><Relationship Id="rId1" Type="http://schemas.openxmlformats.org/officeDocument/2006/relationships/printerSettings" Target="../printerSettings/printerSettings81.bin"/><Relationship Id="rId4" Type="http://schemas.openxmlformats.org/officeDocument/2006/relationships/comments" Target="../comments3.xml"/></Relationships>
</file>

<file path=xl/worksheets/_rels/sheet82.xml.rels><?xml version="1.0" encoding="UTF-8" standalone="yes"?>
<Relationships xmlns="http://schemas.openxmlformats.org/package/2006/relationships"><Relationship Id="rId3" Type="http://schemas.openxmlformats.org/officeDocument/2006/relationships/vmlDrawing" Target="../drawings/vmlDrawing52.vml"/><Relationship Id="rId2" Type="http://schemas.openxmlformats.org/officeDocument/2006/relationships/drawing" Target="../drawings/drawing53.xml"/><Relationship Id="rId1" Type="http://schemas.openxmlformats.org/officeDocument/2006/relationships/printerSettings" Target="../printerSettings/printerSettings82.bin"/><Relationship Id="rId4" Type="http://schemas.openxmlformats.org/officeDocument/2006/relationships/comments" Target="../comments4.xml"/></Relationships>
</file>

<file path=xl/worksheets/_rels/sheet83.xml.rels><?xml version="1.0" encoding="UTF-8" standalone="yes"?>
<Relationships xmlns="http://schemas.openxmlformats.org/package/2006/relationships"><Relationship Id="rId3" Type="http://schemas.openxmlformats.org/officeDocument/2006/relationships/vmlDrawing" Target="../drawings/vmlDrawing53.vml"/><Relationship Id="rId2" Type="http://schemas.openxmlformats.org/officeDocument/2006/relationships/drawing" Target="../drawings/drawing54.xml"/><Relationship Id="rId1" Type="http://schemas.openxmlformats.org/officeDocument/2006/relationships/printerSettings" Target="../printerSettings/printerSettings83.bin"/><Relationship Id="rId4" Type="http://schemas.openxmlformats.org/officeDocument/2006/relationships/comments" Target="../comments5.xml"/></Relationships>
</file>

<file path=xl/worksheets/_rels/sheet84.xml.rels><?xml version="1.0" encoding="UTF-8" standalone="yes"?>
<Relationships xmlns="http://schemas.openxmlformats.org/package/2006/relationships"><Relationship Id="rId3" Type="http://schemas.openxmlformats.org/officeDocument/2006/relationships/vmlDrawing" Target="../drawings/vmlDrawing54.vml"/><Relationship Id="rId2" Type="http://schemas.openxmlformats.org/officeDocument/2006/relationships/drawing" Target="../drawings/drawing55.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3" Type="http://schemas.openxmlformats.org/officeDocument/2006/relationships/vmlDrawing" Target="../drawings/vmlDrawing55.vml"/><Relationship Id="rId2" Type="http://schemas.openxmlformats.org/officeDocument/2006/relationships/drawing" Target="../drawings/drawing56.xml"/><Relationship Id="rId1" Type="http://schemas.openxmlformats.org/officeDocument/2006/relationships/printerSettings" Target="../printerSettings/printerSettings85.bin"/><Relationship Id="rId4" Type="http://schemas.openxmlformats.org/officeDocument/2006/relationships/comments" Target="../comments6.xml"/></Relationships>
</file>

<file path=xl/worksheets/_rels/sheet86.xml.rels><?xml version="1.0" encoding="UTF-8" standalone="yes"?>
<Relationships xmlns="http://schemas.openxmlformats.org/package/2006/relationships"><Relationship Id="rId3" Type="http://schemas.openxmlformats.org/officeDocument/2006/relationships/vmlDrawing" Target="../drawings/vmlDrawing56.vml"/><Relationship Id="rId2" Type="http://schemas.openxmlformats.org/officeDocument/2006/relationships/drawing" Target="../drawings/drawing57.xml"/><Relationship Id="rId1" Type="http://schemas.openxmlformats.org/officeDocument/2006/relationships/printerSettings" Target="../printerSettings/printerSettings86.bin"/><Relationship Id="rId4" Type="http://schemas.openxmlformats.org/officeDocument/2006/relationships/comments" Target="../comments7.xml"/></Relationships>
</file>

<file path=xl/worksheets/_rels/sheet87.xml.rels><?xml version="1.0" encoding="UTF-8" standalone="yes"?>
<Relationships xmlns="http://schemas.openxmlformats.org/package/2006/relationships"><Relationship Id="rId3" Type="http://schemas.openxmlformats.org/officeDocument/2006/relationships/vmlDrawing" Target="../drawings/vmlDrawing57.vml"/><Relationship Id="rId2" Type="http://schemas.openxmlformats.org/officeDocument/2006/relationships/drawing" Target="../drawings/drawing58.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3" Type="http://schemas.openxmlformats.org/officeDocument/2006/relationships/vmlDrawing" Target="../drawings/vmlDrawing58.vml"/><Relationship Id="rId2" Type="http://schemas.openxmlformats.org/officeDocument/2006/relationships/drawing" Target="../drawings/drawing59.xml"/><Relationship Id="rId1" Type="http://schemas.openxmlformats.org/officeDocument/2006/relationships/printerSettings" Target="../printerSettings/printerSettings88.bin"/><Relationship Id="rId4" Type="http://schemas.openxmlformats.org/officeDocument/2006/relationships/comments" Target="../comments8.xml"/></Relationships>
</file>

<file path=xl/worksheets/_rels/sheet89.xml.rels><?xml version="1.0" encoding="UTF-8" standalone="yes"?>
<Relationships xmlns="http://schemas.openxmlformats.org/package/2006/relationships"><Relationship Id="rId3" Type="http://schemas.openxmlformats.org/officeDocument/2006/relationships/vmlDrawing" Target="../drawings/vmlDrawing59.vml"/><Relationship Id="rId2" Type="http://schemas.openxmlformats.org/officeDocument/2006/relationships/drawing" Target="../drawings/drawing60.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3" Type="http://schemas.openxmlformats.org/officeDocument/2006/relationships/vmlDrawing" Target="../drawings/vmlDrawing60.vml"/><Relationship Id="rId2" Type="http://schemas.openxmlformats.org/officeDocument/2006/relationships/drawing" Target="../drawings/drawing61.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3" Type="http://schemas.openxmlformats.org/officeDocument/2006/relationships/vmlDrawing" Target="../drawings/vmlDrawing61.vml"/><Relationship Id="rId2" Type="http://schemas.openxmlformats.org/officeDocument/2006/relationships/drawing" Target="../drawings/drawing62.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3" Type="http://schemas.openxmlformats.org/officeDocument/2006/relationships/vmlDrawing" Target="../drawings/vmlDrawing62.vml"/><Relationship Id="rId2" Type="http://schemas.openxmlformats.org/officeDocument/2006/relationships/drawing" Target="../drawings/drawing63.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3" Type="http://schemas.openxmlformats.org/officeDocument/2006/relationships/vmlDrawing" Target="../drawings/vmlDrawing63.vml"/><Relationship Id="rId2" Type="http://schemas.openxmlformats.org/officeDocument/2006/relationships/drawing" Target="../drawings/drawing64.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3" Type="http://schemas.openxmlformats.org/officeDocument/2006/relationships/vmlDrawing" Target="../drawings/vmlDrawing64.vml"/><Relationship Id="rId2" Type="http://schemas.openxmlformats.org/officeDocument/2006/relationships/drawing" Target="../drawings/drawing65.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65.vml"/><Relationship Id="rId2" Type="http://schemas.openxmlformats.org/officeDocument/2006/relationships/drawing" Target="../drawings/drawing66.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3" Type="http://schemas.openxmlformats.org/officeDocument/2006/relationships/vmlDrawing" Target="../drawings/vmlDrawing66.vml"/><Relationship Id="rId2" Type="http://schemas.openxmlformats.org/officeDocument/2006/relationships/drawing" Target="../drawings/drawing67.xml"/><Relationship Id="rId1" Type="http://schemas.openxmlformats.org/officeDocument/2006/relationships/printerSettings" Target="../printerSettings/printerSettings96.bin"/><Relationship Id="rId4" Type="http://schemas.openxmlformats.org/officeDocument/2006/relationships/comments" Target="../comments9.xml"/></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67.v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68.v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69.v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70.v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3"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8"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3"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21"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2"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5" Type="http://schemas.openxmlformats.org/officeDocument/2006/relationships/comments" Target="../comments14.xml"/><Relationship Id="rId2"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16"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20" Type="http://schemas.openxmlformats.org/officeDocument/2006/relationships/hyperlink" Target="http://cctaa.wkinfo.com.cn/document/showcommentary?aid=MzAwMDAyNw%3D%3D&amp;bid=QjAwMDAwMjUyNDA%3D&amp;collection=commentary&amp;language=CN&amp;tokens=7fa131d2d4003e3c3f2bc5fe7ed1497c&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1"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4" Type="http://schemas.openxmlformats.org/officeDocument/2006/relationships/vmlDrawing" Target="../drawings/vmlDrawing71.vml"/><Relationship Id="rId5" Type="http://schemas.openxmlformats.org/officeDocument/2006/relationships/hyperlink" Target="http://cctaa.wkinfo.com.cn/document/showcommentary?aid=MzAwMDAyNw%3D%3D&amp;bid=QjAwMDAwMjUyNjg%3D&amp;collection=commentary&amp;language=CN&amp;tokens=7e3a34010668b6d5b85a3f0a45923845&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23" Type="http://schemas.openxmlformats.org/officeDocument/2006/relationships/printerSettings" Target="../printerSettings/printerSettings103.bin"/><Relationship Id="rId10" Type="http://schemas.openxmlformats.org/officeDocument/2006/relationships/hyperlink" Target="http://cctaa.wkinfo.com.cn/document/showcommentary?aid=MzAwMDAyNw%3D%3D&amp;bid=QjAwMDAwMjUyNjA%3D&amp;collection=commentary&amp;language=CN&amp;tokens=775dbab7c99e6aa858eb7e1808d7cae0&amp;showType=0" TargetMode="External"/><Relationship Id="rId19"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4"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9" Type="http://schemas.openxmlformats.org/officeDocument/2006/relationships/hyperlink" Target="http://cctaa.wkinfo.com.cn/document/showcommentary?aid=MzAwMDA2MQ%3D%3D&amp;bid=QjAwMDAwOTU2ODM%3D&amp;collection=commentary&amp;language=CN&amp;tokens=63e970974d43328967239a71f22f43fb&amp;showType=0" TargetMode="External"/><Relationship Id="rId14"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2" Type="http://schemas.openxmlformats.org/officeDocument/2006/relationships/hyperlink" Target="http://cctaa.wkinfo.com.cn/document/showcommentary?aid=MzAwMDAyNw%3D%3D&amp;bid=QjAwMDAwMjUyMTY%3D&amp;collection=commentary&amp;language=CN&amp;tokens=519df6358b7415eefe0ca2a9c0061cb5&amp;showType=0" TargetMode="External"/></Relationships>
</file>

<file path=xl/worksheets/_rels/sheet10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72.vml"/><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0MDU%3D&amp;collection=commentary&amp;language=CN&amp;tokens=61c62d0a1f3345c5c5b0f35930baa528&amp;showType=0" TargetMode="External"/><Relationship Id="rId13"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8" Type="http://schemas.openxmlformats.org/officeDocument/2006/relationships/printerSettings" Target="../printerSettings/printerSettings105.bin"/><Relationship Id="rId3"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7" Type="http://schemas.openxmlformats.org/officeDocument/2006/relationships/hyperlink" Target="http://cctaa.wkinfo.com.cn/document/showcommentary?aid=MzAwMDAyNw%3D%3D&amp;bid=QjAwMDAwMjUzMDg%3D&amp;collection=commentary&amp;language=CN&amp;tokens=11594874e77494c369b1de26bf8e58d2&amp;showType=0" TargetMode="External"/><Relationship Id="rId12"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7" Type="http://schemas.openxmlformats.org/officeDocument/2006/relationships/hyperlink" Target="http://cctaa.wkinfo.com.cn/document/showcommentary?aid=MzAwMDAyNw%3D%3D&amp;bid=QjAwMDAwMjUzNTc%3D&amp;collection=commentary&amp;language=CN&amp;tokens=ed94a6dab280d6f2c9a7fbebe7f666b1&amp;showType=0" TargetMode="External"/><Relationship Id="rId2"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6" Type="http://schemas.openxmlformats.org/officeDocument/2006/relationships/hyperlink" Target="http://cctaa.wkinfo.com.cn/document/showcommentary?aid=MzAwMDAyNw%3D%3D&amp;bid=QjAwMDAwMjUzMzQ%3D&amp;collection=commentary&amp;language=CN&amp;tokens=d9d8e1a407bead0cbdbe1637737ac310&amp;showType=0" TargetMode="External"/><Relationship Id="rId20" Type="http://schemas.openxmlformats.org/officeDocument/2006/relationships/comments" Target="../comments16.xml"/><Relationship Id="rId1" Type="http://schemas.openxmlformats.org/officeDocument/2006/relationships/hyperlink" Target="http://cctaa.wkinfo.com.cn/document/showcommentary?aid=MzAwMDAyNw%3D%3D&amp;bid=QjAwMDAwMjUyOTQ%3D&amp;collection=commentary&amp;language=CN&amp;tokens=7c95c877464bc3bd222a6aaac6de5dff&amp;showType=0" TargetMode="External"/><Relationship Id="rId6" Type="http://schemas.openxmlformats.org/officeDocument/2006/relationships/hyperlink" Target="http://cctaa.wkinfo.com.cn/document/showcommentary?aid=MzAwMDAyNw%3D%3D&amp;bid=QjAwMDAwMjUyOTE%3D&amp;collection=commentary&amp;language=CN&amp;tokens=b76c2fb3048f3907a29cd7938e48c2e3&amp;showType=0" TargetMode="External"/><Relationship Id="rId11" Type="http://schemas.openxmlformats.org/officeDocument/2006/relationships/hyperlink" Target="http://cctaa.wkinfo.com.cn/document/showcommentary?aid=MzAwMDAyNw%3D%3D&amp;bid=QjAwMDAwMjUzMzU%3D&amp;collection=commentary&amp;language=CN&amp;tokens=ab905f32b76d4f2910fe62d38e5613c2&amp;showType=0" TargetMode="External"/><Relationship Id="rId5" Type="http://schemas.openxmlformats.org/officeDocument/2006/relationships/hyperlink" Target="http://cctaa.wkinfo.com.cn/document/showcommentary?aid=MzAwMDAyNw%3D%3D&amp;bid=QjAwMDAwMjUyNjM%3D&amp;collection=commentary&amp;language=CN&amp;tokens=f71c62aa3280a2a5a622efd8cb193c7c&amp;showType=0" TargetMode="External"/><Relationship Id="rId15" Type="http://schemas.openxmlformats.org/officeDocument/2006/relationships/hyperlink" Target="http://cctaa.wkinfo.com.cn/document/showcommentary?aid=MzAwMDAyNw%3D%3D&amp;bid=QjAwMDAwMjUzMTI%3D&amp;collection=commentary&amp;language=CN&amp;tokens=7e92246be1c61a7412dc120d4a9db8fd&amp;showType=0" TargetMode="External"/><Relationship Id="rId10" Type="http://schemas.openxmlformats.org/officeDocument/2006/relationships/hyperlink" Target="http://cctaa.wkinfo.com.cn/document/showcommentary?aid=MzAwMDAyNw%3D%3D&amp;bid=QjAwMDAwMjYyMzA%3D&amp;collection=commentary&amp;language=CN&amp;tokens=6448f14f427430da038878f7e00cc402&amp;showType=0" TargetMode="External"/><Relationship Id="rId19" Type="http://schemas.openxmlformats.org/officeDocument/2006/relationships/vmlDrawing" Target="../drawings/vmlDrawing73.vml"/><Relationship Id="rId4"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9"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4"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s>
</file>

<file path=xl/worksheets/_rels/sheet10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74.vml"/><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75.vml"/><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13"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18" Type="http://schemas.openxmlformats.org/officeDocument/2006/relationships/hyperlink" Target="http://cctaa.wkinfo.com.cn/document/showcommentary?aid=MzAwMDAyNw%3D%3D&amp;bid=QjAwMDAwMjU4OTE%3D&amp;collection=commentary&amp;language=CN&amp;tokens=d3f7fb0861862a16f3fd7a4fda1989ed&amp;showType=0" TargetMode="External"/><Relationship Id="rId26" Type="http://schemas.openxmlformats.org/officeDocument/2006/relationships/vmlDrawing" Target="../drawings/vmlDrawing76.vml"/><Relationship Id="rId3"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1"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7"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2"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7"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5" Type="http://schemas.openxmlformats.org/officeDocument/2006/relationships/printerSettings" Target="../printerSettings/printerSettings108.bin"/><Relationship Id="rId2"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16"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0" Type="http://schemas.openxmlformats.org/officeDocument/2006/relationships/hyperlink" Target="http://cctaa.wkinfo.com.cn/document/showcommentary?aid=MzAwMDAyNw%3D%3D&amp;bid=QjAwMDAwMjUzMDI%3D&amp;collection=commentary&amp;language=CN&amp;tokens=7916ad86222d3cbf97f42d2f1de24e87&amp;showType=0" TargetMode="External"/><Relationship Id="rId1"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6" Type="http://schemas.openxmlformats.org/officeDocument/2006/relationships/hyperlink" Target="http://cctaa.wkinfo.com.cn/document/showcommentary?aid=MzAwMDAyNw%3D%3D&amp;bid=QjAwMDAwMjUzODY%3D&amp;collection=commentary&amp;language=CN&amp;tokens=029c76ecd96a514f7488d9b19f9767fa&amp;showType=0" TargetMode="External"/><Relationship Id="rId11"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4" Type="http://schemas.openxmlformats.org/officeDocument/2006/relationships/hyperlink" Target="http://cctaa.wkinfo.com.cn/document/showcommentary?aid=MzAwMDAyNw%3D%3D&amp;bid=QjAwMDAwMjUzMDc%3D&amp;collection=commentary&amp;language=CN&amp;tokens=76c39b7bcf3d616f5253acd7490a499a&amp;showType=0" TargetMode="External"/><Relationship Id="rId5"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5"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3" Type="http://schemas.openxmlformats.org/officeDocument/2006/relationships/hyperlink" Target="http://cctaa.wkinfo.com.cn/document/showcommentary?aid=MzAwMDAyNw%3D%3D&amp;bid=QjAwMDAwMjUzMDQ%3D&amp;collection=commentary&amp;language=CN&amp;tokens=8ce3c5bee4599e418a4b82a68f7a0321&amp;showType=0" TargetMode="External"/><Relationship Id="rId10"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9" Type="http://schemas.openxmlformats.org/officeDocument/2006/relationships/hyperlink" Target="http://cctaa.wkinfo.com.cn/document/showcommentary?aid=MzAwMDAyNw%3D%3D&amp;bid=QjAwMDAwMjU2MDI%3D&amp;collection=commentary&amp;language=CN&amp;tokens=4103f8513162f8bb157094008e3c9b65&amp;showType=0" TargetMode="External"/><Relationship Id="rId4"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9"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4"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2" Type="http://schemas.openxmlformats.org/officeDocument/2006/relationships/hyperlink" Target="http://cctaa.wkinfo.com.cn/document/showcommentary?aid=MzAwMDAyNw%3D%3D&amp;bid=QjAwMDAwMjUzNjk%3D&amp;collection=commentary&amp;language=CN&amp;tokens=fb2ea6750d5f2439b60f3ac666384395&amp;showType=0" TargetMode="External"/><Relationship Id="rId27" Type="http://schemas.openxmlformats.org/officeDocument/2006/relationships/comments" Target="../comments19.xml"/></Relationships>
</file>

<file path=xl/worksheets/_rels/sheet109.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13"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8" Type="http://schemas.openxmlformats.org/officeDocument/2006/relationships/hyperlink" Target="http://cctaa.wkinfo.com.cn/document/showcommentary?aid=MzAwMDAyNw%3D%3D&amp;bid=QjAwMDAwMjUzODY%3D&amp;collection=commentary&amp;language=CN&amp;tokens=b01f946be8c897305d28bc7ce4524c1e&amp;showType=0" TargetMode="External"/><Relationship Id="rId26" Type="http://schemas.openxmlformats.org/officeDocument/2006/relationships/printerSettings" Target="../printerSettings/printerSettings109.bin"/><Relationship Id="rId3"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2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7" Type="http://schemas.openxmlformats.org/officeDocument/2006/relationships/hyperlink" Target="http://cctaa.wkinfo.com.cn/document/showcommentary?aid=MzAwMDAyNw%3D%3D&amp;bid=QjAwMDAwMjUyNzc%3D&amp;collection=commentary&amp;language=CN&amp;tokens=6722ceb8f016a4ac85b9fd7963396030&amp;showType=0" TargetMode="External"/><Relationship Id="rId12"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7"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5" Type="http://schemas.openxmlformats.org/officeDocument/2006/relationships/hyperlink" Target="http://cctaa.wkinfo.com.cn/document/showcommentary?aid=MzAwMDAyNw%3D%3D&amp;bid=QjAwMDAwMjYxMDk%3D&amp;collection=commentary&amp;language=CN&amp;tokens=fe9cba3adac6d3f278cbd8c374db956c&amp;showType=0" TargetMode="External"/><Relationship Id="rId2"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 Id="rId16"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0"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6" Type="http://schemas.openxmlformats.org/officeDocument/2006/relationships/hyperlink" Target="http://cctaa.wkinfo.com.cn/document/showcommentary?aid=MzAwMDAyNw%3D%3D&amp;bid=QjAwMDAwMjUyODA%3D&amp;collection=commentary&amp;language=CN&amp;tokens=6f97405484fce5b17be6da90432b8cb4&amp;showType=0" TargetMode="External"/><Relationship Id="rId11"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24"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5" Type="http://schemas.openxmlformats.org/officeDocument/2006/relationships/hyperlink" Target="http://cctaa.wkinfo.com.cn/document/showcommentary?aid=MzAwMDAyNw%3D%3D&amp;bid=QjAwMDAwMjU0MDc%3D&amp;collection=commentary&amp;language=CN&amp;tokens=74abf1479aca5f236156e89d9096673b&amp;showType=0" TargetMode="External"/><Relationship Id="rId15"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3"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 Id="rId28" Type="http://schemas.openxmlformats.org/officeDocument/2006/relationships/comments" Target="../comments20.xml"/><Relationship Id="rId10"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9" Type="http://schemas.openxmlformats.org/officeDocument/2006/relationships/hyperlink" Target="http://cctaa.wkinfo.com.cn/document/showcommentary?aid=MzAwMDAyNw%3D%3D&amp;bid=QjAwMDAwMjUzOTk%3D&amp;collection=commentary&amp;language=CN&amp;tokens=9fa4989434dfa23f757a8fc00b05b065&amp;showType=0" TargetMode="External"/><Relationship Id="rId4"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9"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4"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22"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 Id="rId27" Type="http://schemas.openxmlformats.org/officeDocument/2006/relationships/vmlDrawing" Target="../drawings/vmlDrawing77.vml"/></Relationships>
</file>

<file path=xl/worksheets/_rels/sheet11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3"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18" Type="http://schemas.openxmlformats.org/officeDocument/2006/relationships/comments" Target="../comments21.xml"/><Relationship Id="rId3"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2"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7" Type="http://schemas.openxmlformats.org/officeDocument/2006/relationships/vmlDrawing" Target="../drawings/vmlDrawing78.vml"/><Relationship Id="rId2" Type="http://schemas.openxmlformats.org/officeDocument/2006/relationships/hyperlink" Target="http://taa.wkinfo.com.cn/document/show?aid=MTAxMDAwMDM3Nzc%3D&amp;bid=&amp;collection=legislation&amp;language=&#20013;&#25991;&amp;tokens=&amp;showType=0" TargetMode="External"/><Relationship Id="rId16" Type="http://schemas.openxmlformats.org/officeDocument/2006/relationships/printerSettings" Target="../printerSettings/printerSettings110.bin"/><Relationship Id="rId1" Type="http://schemas.openxmlformats.org/officeDocument/2006/relationships/hyperlink" Target="http://taa.wkinfo.com.cn/document/show?aid=MTAwMDAxNDU4MDQ%3D&amp;bid=&amp;collection=legislation&amp;language=&#20013;&#25991;&amp;tokens=&amp;showType=0" TargetMode="External"/><Relationship Id="rId6" Type="http://schemas.openxmlformats.org/officeDocument/2006/relationships/hyperlink" Target="http://cctaa.wkinfo.com.cn/document/showcommentary?aid=MzAwMDAyNw%3D%3D&amp;bid=QjAwMDAwMjYxMzU%3D&amp;collection=commentary&amp;language=CN&amp;tokens=afd024b1718cb324fea9f7d3ca12cfd6&amp;showType=0" TargetMode="External"/><Relationship Id="rId11"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5"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0"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 Id="rId4"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9"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14"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s>
</file>

<file path=xl/worksheets/_rels/sheet111.xml.rels><?xml version="1.0" encoding="UTF-8" standalone="yes"?>
<Relationships xmlns="http://schemas.openxmlformats.org/package/2006/relationships"><Relationship Id="rId8" Type="http://schemas.openxmlformats.org/officeDocument/2006/relationships/printerSettings" Target="../printerSettings/printerSettings111.bin"/><Relationship Id="rId3" Type="http://schemas.openxmlformats.org/officeDocument/2006/relationships/hyperlink" Target="http://cctaa.wkinfo.com.cn/document/showcommentary?aid=MzAwMDAyNw%3D%3D&amp;bid=QjAwMDAwMjUyNDE%3D&amp;collection=commentary&amp;language=CN&amp;tokens=8421273e2b4ce1e7c834785682f5c750&amp;showType=0" TargetMode="External"/><Relationship Id="rId7" Type="http://schemas.openxmlformats.org/officeDocument/2006/relationships/hyperlink" Target="http://cctaa.wkinfo.com.cn/document/show?aid=MTAwMDAxNDU3OTE%3D&amp;bid=&amp;collection=legislation&amp;language=&#20013;&#25991;&amp;tokens=&amp;showType=0" TargetMode="External"/><Relationship Id="rId2" Type="http://schemas.openxmlformats.org/officeDocument/2006/relationships/hyperlink" Target="http://cctaa.wkinfo.com.cn/document/showcommentary?aid=MzAwMDAyNw%3D%3D&amp;bid=QjAwMDAwMjUyNDM%3D&amp;collection=commentary&amp;language=CN&amp;tokens=49d0bc2aacf2ba3c2388bf01b8991d2e&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cctaa.wkinfo.com.cn/document/showcommentary?aid=MzAwMDAyNw%3D%3D&amp;bid=QjAwMDAwMjUyNjQ%3D&amp;collection=commentary&amp;language=CN&amp;tokens=fad3077daa7ab199e9315cb8c4889066&amp;showType=0" TargetMode="External"/><Relationship Id="rId10" Type="http://schemas.openxmlformats.org/officeDocument/2006/relationships/comments" Target="../comments22.xml"/><Relationship Id="rId4" Type="http://schemas.openxmlformats.org/officeDocument/2006/relationships/hyperlink" Target="http://cctaa.wkinfo.com.cn/document/showcommentary?aid=MzAwMDAyNw%3D%3D&amp;bid=QjAwMDAwMjUyMTE%3D&amp;collection=commentary&amp;language=CN&amp;tokens=73e14ba5b1c03f50ddc6593cdbc11f10&amp;showType=0" TargetMode="External"/><Relationship Id="rId9" Type="http://schemas.openxmlformats.org/officeDocument/2006/relationships/vmlDrawing" Target="../drawings/vmlDrawing79.vml"/></Relationships>
</file>

<file path=xl/worksheets/_rels/sheet112.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hyperlink" Target="http://cctaa.wkinfo.com.cn/document/show?aid=MTAwMDAxNDU0MTg%3D&amp;bid=&amp;collection=legislation&amp;language=&#20013;&#25991;&amp;tokens=&amp;showType=0" TargetMode="External"/><Relationship Id="rId1"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 Id="rId5" Type="http://schemas.openxmlformats.org/officeDocument/2006/relationships/comments" Target="../comments23.xml"/><Relationship Id="rId4" Type="http://schemas.openxmlformats.org/officeDocument/2006/relationships/vmlDrawing" Target="../drawings/vmlDrawing80.vml"/></Relationships>
</file>

<file path=xl/worksheets/_rels/sheet113.xml.rels><?xml version="1.0" encoding="UTF-8" standalone="yes"?>
<Relationships xmlns="http://schemas.openxmlformats.org/package/2006/relationships"><Relationship Id="rId3" Type="http://schemas.openxmlformats.org/officeDocument/2006/relationships/printerSettings" Target="../printerSettings/printerSettings113.bin"/><Relationship Id="rId2" Type="http://schemas.openxmlformats.org/officeDocument/2006/relationships/hyperlink" Target="http://cctaa.wkinfo.com.cn/document/show?aid=MTAwMDE2MjY0NjU%3D&amp;bid=&amp;collection=legislation&amp;language=&#20013;&#25991;&amp;tokens=&amp;showType=0" TargetMode="External"/><Relationship Id="rId1" Type="http://schemas.openxmlformats.org/officeDocument/2006/relationships/hyperlink" Target="http://cctaa.wkinfo.com.cn/document/showcommentary?aid=MzAwMDAyNw%3D%3D&amp;bid=QjAwMDAwMjUzNjU%3D&amp;collection=commentary&amp;language=CN&amp;tokens=9b55fe01e822453ea238573af60ce12e&amp;showType=0" TargetMode="External"/><Relationship Id="rId5" Type="http://schemas.openxmlformats.org/officeDocument/2006/relationships/comments" Target="../comments24.xml"/><Relationship Id="rId4" Type="http://schemas.openxmlformats.org/officeDocument/2006/relationships/vmlDrawing" Target="../drawings/vmlDrawing81.vml"/></Relationships>
</file>

<file path=xl/worksheets/_rels/sheet11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Njg%3D&amp;collection=commentary&amp;language=CN&amp;tokens=b4e6d3609f8e0b2051c32bf5456a2310&amp;showType=0" TargetMode="External"/><Relationship Id="rId13" Type="http://schemas.openxmlformats.org/officeDocument/2006/relationships/vmlDrawing" Target="../drawings/vmlDrawing82.vml"/><Relationship Id="rId3" Type="http://schemas.openxmlformats.org/officeDocument/2006/relationships/hyperlink" Target="http://cctaa.wkinfo.com.cn/document/show?collection=legislation&amp;showType=0&amp;language=&#20013;&#25991;&amp;aid=MTAxMDAxMTI0Mzk%3D" TargetMode="External"/><Relationship Id="rId7"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2" Type="http://schemas.openxmlformats.org/officeDocument/2006/relationships/printerSettings" Target="../printerSettings/printerSettings114.bin"/><Relationship Id="rId2" Type="http://schemas.openxmlformats.org/officeDocument/2006/relationships/hyperlink" Target="http://cctaa.wkinfo.com.cn/document/show?aid=MTAwMDAxNDU1NDc%3D&amp;bid=&amp;collection=legislation&amp;language=&#20013;&#25991;&amp;tokens=&amp;showType=0" TargetMode="External"/><Relationship Id="rId1" Type="http://schemas.openxmlformats.org/officeDocument/2006/relationships/hyperlink" Target="http://cctaa.wkinfo.com.cn/document/show?aid=MTAwMDAxNDU3MTQ%3D&amp;bid=&amp;collection=legislation&amp;language=&#20013;&#25991;&amp;tokens=&amp;showType=0" TargetMode="External"/><Relationship Id="rId6" Type="http://schemas.openxmlformats.org/officeDocument/2006/relationships/hyperlink" Target="http://cctaa.wkinfo.com.cn/document/show?aid=MTAxMDAxMTUxMTg%3D&amp;bid=&amp;collection=legislation&amp;language=%E4%B8%AD%E6%96%87&amp;tokens=&amp;showType=0&amp;searchScope=taaScope" TargetMode="External"/><Relationship Id="rId11"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5" Type="http://schemas.openxmlformats.org/officeDocument/2006/relationships/hyperlink" Target="http://cctaa.wkinfo.com.cn/document/show?aid=MTAwMDUwNzkwODE%3D&amp;bid=&amp;collection=legislation&amp;language=%E4%B8%AD%E6%96%87&amp;tokens=&amp;showType=0&amp;searchScope=taaScope" TargetMode="External"/><Relationship Id="rId10"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4" Type="http://schemas.openxmlformats.org/officeDocument/2006/relationships/hyperlink" Target="http://cctaa.wkinfo.com.cn/document/show?aid=MTAwMDI2MzMxNjM%3D&amp;bid=&amp;collection=legislation&amp;language=&#20013;&#25991;&amp;tokens=&amp;showType=0" TargetMode="External"/><Relationship Id="rId9" Type="http://schemas.openxmlformats.org/officeDocument/2006/relationships/hyperlink" Target="http://cctaa.wkinfo.com.cn/document/showcommentary?aid=MzAwMDAyNw%3D%3D&amp;bid=QjAwMDAwMjUzNTM%3D&amp;collection=commentary&amp;language=CN&amp;tokens=f88fd46440ea3f5580b73953cbde9477&amp;showType=0" TargetMode="External"/><Relationship Id="rId14" Type="http://schemas.openxmlformats.org/officeDocument/2006/relationships/comments" Target="../comments25.xml"/></Relationships>
</file>

<file path=xl/worksheets/_rels/sheet115.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7" Type="http://schemas.openxmlformats.org/officeDocument/2006/relationships/comments" Target="../comments26.xml"/><Relationship Id="rId2" Type="http://schemas.openxmlformats.org/officeDocument/2006/relationships/hyperlink" Target="http://taa.wkinfo.com.cn/document/show?aid=MTAxMDAwMTAzMjE%3D&amp;bid=&amp;collection=legislation&amp;language=&#20013;&#25991;&amp;tokens=f1413b7500251e3d323d5c0db511a8f7&amp;showType=0" TargetMode="External"/><Relationship Id="rId1" Type="http://schemas.openxmlformats.org/officeDocument/2006/relationships/hyperlink" Target="http://taa.wkinfo.com.cn/document/showcommentary?aid=MzAwMDAyNw%3D%3D&amp;bid=QjAwMDAwMjUzNjU%3D&amp;collection=commentary&amp;language=CN&amp;tokens=d175494d72625437366d53a1f6d78c34&amp;showType=0" TargetMode="External"/><Relationship Id="rId6" Type="http://schemas.openxmlformats.org/officeDocument/2006/relationships/vmlDrawing" Target="../drawings/vmlDrawing83.vml"/><Relationship Id="rId5" Type="http://schemas.openxmlformats.org/officeDocument/2006/relationships/printerSettings" Target="../printerSettings/printerSettings115.bin"/><Relationship Id="rId4" Type="http://schemas.openxmlformats.org/officeDocument/2006/relationships/hyperlink" Target="http://cctaa.wkinfo.com.cn/document/show?aid=MTAxMDAwMTAzMjE%3D&amp;bid=&amp;collection=legislation&amp;language=&#20013;&#25991;&amp;tokens=f1413b7500251e3d323d5c0db511a8f7&amp;showType=0" TargetMode="External"/></Relationships>
</file>

<file path=xl/worksheets/_rels/sheet116.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7" Type="http://schemas.openxmlformats.org/officeDocument/2006/relationships/comments" Target="../comments27.xml"/><Relationship Id="rId2" Type="http://schemas.openxmlformats.org/officeDocument/2006/relationships/hyperlink" Target="http://taa.wkinfo.com.cn/document/show?aid=MTAwMDAwNzQ3NjQ%3D&amp;bid=&amp;collection=legislation&amp;language=&#20013;&#25991;&amp;tokens=&amp;showType=0" TargetMode="External"/><Relationship Id="rId1" Type="http://schemas.openxmlformats.org/officeDocument/2006/relationships/hyperlink" Target="http://taa.wkinfo.com.cn/document/showcommentary?aid=MzAwMDAyNw%3D%3D&amp;bid=QjAwMDAwMjU0MDM%3D&amp;collection=commentary&amp;language=CN&amp;tokens=e7b5988eba62db958b3831058c2fcfc0&amp;showType=0" TargetMode="External"/><Relationship Id="rId6" Type="http://schemas.openxmlformats.org/officeDocument/2006/relationships/vmlDrawing" Target="../drawings/vmlDrawing84.vml"/><Relationship Id="rId5" Type="http://schemas.openxmlformats.org/officeDocument/2006/relationships/printerSettings" Target="../printerSettings/printerSettings116.bin"/><Relationship Id="rId4" Type="http://schemas.openxmlformats.org/officeDocument/2006/relationships/hyperlink" Target="http://cctaa.wkinfo.com.cn/document/show?aid=MTAwMDAwNzQ3NjQ%3D&amp;bid=&amp;collection=legislation&amp;language=&#20013;&#25991;&amp;tokens=&amp;showType=0" TargetMode="External"/></Relationships>
</file>

<file path=xl/worksheets/_rels/sheet117.xml.rels><?xml version="1.0" encoding="UTF-8" standalone="yes"?>
<Relationships xmlns="http://schemas.openxmlformats.org/package/2006/relationships"><Relationship Id="rId8" Type="http://schemas.openxmlformats.org/officeDocument/2006/relationships/hyperlink" Target="http://cctaa.wkinfo.com.cn/document/show?aid=MTAwMDEzMjk4NjQ%3D&amp;bid=&amp;collection=legislation&amp;language=&#20013;&#25991;&amp;tokens=&amp;showType=0" TargetMode="External"/><Relationship Id="rId13" Type="http://schemas.openxmlformats.org/officeDocument/2006/relationships/hyperlink" Target="http://cctaa.wkinfo.com.cn/document/show?aid=MTAwMTA4NDQwODg%3D&amp;bid=&amp;collection=legislation&amp;language=%E4%B8%AD%E6%96%87&amp;tokens=&amp;showType=0&amp;searchScope=taaScope" TargetMode="External"/><Relationship Id="rId3" Type="http://schemas.openxmlformats.org/officeDocument/2006/relationships/hyperlink" Target="http://cctaa.wkinfo.com.cn/document/showcommentary?aid=MzAwMDAyNw%3D%3D&amp;bid=QjAwMDAwMjU0Mjc%3D&amp;collection=commentary&amp;language=CN&amp;tokens=ea61e0c2084356f5fa9347f72486c1a9&amp;showType=0" TargetMode="External"/><Relationship Id="rId7" Type="http://schemas.openxmlformats.org/officeDocument/2006/relationships/hyperlink" Target="http://cctaa.wkinfo.com.cn/document/show?aid=MTAwMDEzMzk2Mjg%3D&amp;bid=&amp;collection=legislation&amp;language=&#20013;&#25991;&amp;tokens=&amp;showType=0" TargetMode="External"/><Relationship Id="rId12" Type="http://schemas.openxmlformats.org/officeDocument/2006/relationships/hyperlink" Target="http://cctaa.wkinfo.com.cn/document/show?aid=MTAwMDUyMDMwNTM%3D&amp;bid=&amp;collection=legislation&amp;language=%E4%B8%AD%E6%96%87&amp;tokens=&amp;showType=0&amp;searchScope=taaScope" TargetMode="External"/><Relationship Id="rId17" Type="http://schemas.openxmlformats.org/officeDocument/2006/relationships/comments" Target="../comments28.xml"/><Relationship Id="rId2"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16" Type="http://schemas.openxmlformats.org/officeDocument/2006/relationships/vmlDrawing" Target="../drawings/vmlDrawing85.vml"/><Relationship Id="rId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6" Type="http://schemas.openxmlformats.org/officeDocument/2006/relationships/hyperlink" Target="http://taa.wkinfo.com.cn/document/show?aid=MTAwMDAxNDU2MjE%3D&amp;bid=&amp;collection=legislation&amp;language=&#20013;&#25991;&amp;tokens=&amp;showType=0" TargetMode="External"/><Relationship Id="rId11" Type="http://schemas.openxmlformats.org/officeDocument/2006/relationships/hyperlink" Target="http://cctaa.wkinfo.com.cn/document/show?aid=MTAwMDQ2MzkzNDU%3D&amp;bid=&amp;collection=legislation&amp;language=%E4%B8%AD%E6%96%87&amp;tokens=&amp;showType=0&amp;searchScope=taaScope" TargetMode="External"/><Relationship Id="rId5" Type="http://schemas.openxmlformats.org/officeDocument/2006/relationships/hyperlink" Target="http://cctaa.wkinfo.com.cn/document/showcommentary?aid=MzAwMDAyNw%3D%3D&amp;bid=QjAwMDAwMjU0NDQ%3D&amp;collection=commentary&amp;language=CN&amp;tokens=320fa8c1fca60c0d530db80916cb5fe5&amp;showType=0" TargetMode="External"/><Relationship Id="rId15" Type="http://schemas.openxmlformats.org/officeDocument/2006/relationships/printerSettings" Target="../printerSettings/printerSettings117.bin"/><Relationship Id="rId10" Type="http://schemas.openxmlformats.org/officeDocument/2006/relationships/hyperlink" Target="http://cctaa.wkinfo.com.cn/document/show?aid=MTAxMDAxMDk4NjU%3D&amp;bid=&amp;collection=legislation&amp;language=&#20013;&#25991;&amp;tokens=&amp;showType=0" TargetMode="External"/><Relationship Id="rId4" Type="http://schemas.openxmlformats.org/officeDocument/2006/relationships/hyperlink" Target="http://cctaa.wkinfo.com.cn/document/showcommentary?aid=MzAwMDAyNw%3D%3D&amp;bid=QjAwMDAwMjU0MjE%3D&amp;collection=commentary&amp;language=CN&amp;tokens=6e32e7edc0e40ec37696f400e26acc47&amp;showType=0" TargetMode="External"/><Relationship Id="rId9" Type="http://schemas.openxmlformats.org/officeDocument/2006/relationships/hyperlink" Target="http://cctaa.wkinfo.com.cn/document/show?aid=MTAxMDAwMTQwOTM%3D&amp;bid=&amp;collection=legislation&amp;language=&#20013;&#25991;&amp;tokens=&amp;showType=0" TargetMode="External"/><Relationship Id="rId14" Type="http://schemas.openxmlformats.org/officeDocument/2006/relationships/hyperlink" Target="http://cctaa.wkinfo.com.cn/document/show?aid=MTAwMDAxNDU2MjE%3D&amp;bid=&amp;collection=legislation&amp;language=&#20013;&#25991;&amp;tokens=&amp;showType=0" TargetMode="External"/></Relationships>
</file>

<file path=xl/worksheets/_rels/sheet118.xml.rels><?xml version="1.0" encoding="UTF-8" standalone="yes"?>
<Relationships xmlns="http://schemas.openxmlformats.org/package/2006/relationships"><Relationship Id="rId8" Type="http://schemas.openxmlformats.org/officeDocument/2006/relationships/vmlDrawing" Target="../drawings/vmlDrawing86.vml"/><Relationship Id="rId3" Type="http://schemas.openxmlformats.org/officeDocument/2006/relationships/hyperlink" Target="http://taa.wkinfo.com.cn/document/show?aid=MTAwMDAxNDU2Mjc%3D&amp;bid=&amp;collection=legislation&amp;language=&#20013;&#25991;&amp;tokens=&amp;showType=0" TargetMode="External"/><Relationship Id="rId7" Type="http://schemas.openxmlformats.org/officeDocument/2006/relationships/printerSettings" Target="../printerSettings/printerSettings118.bin"/><Relationship Id="rId2" Type="http://schemas.openxmlformats.org/officeDocument/2006/relationships/hyperlink" Target="http://cctaa.wkinfo.com.cn/document/showcommentary?aid=MzAwMDAyNw%3D%3D&amp;bid=QjAwMDAwMjUzNjA%3D&amp;collection=commentary&amp;language=CN&amp;tokens=b2db0579e38cb6bca33e124a36980931&amp;showType=0" TargetMode="External"/><Relationship Id="rId1"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6" Type="http://schemas.openxmlformats.org/officeDocument/2006/relationships/hyperlink" Target="http://cctaa.wkinfo.com.cn/document/show?aid=MTAwMDAxNDU2Mjc%3D&amp;bid=&amp;collection=legislation&amp;language=&#20013;&#25991;&amp;tokens=&amp;showType=0" TargetMode="External"/><Relationship Id="rId5" Type="http://schemas.openxmlformats.org/officeDocument/2006/relationships/hyperlink" Target="http://cctaa.wkinfo.com.cn/document/show?aid=MTAwMDEyNjAyNTQ%3D&amp;bid=&amp;collection=legislation&amp;language=&#20013;&#25991;&amp;tokens=&amp;showType=0" TargetMode="External"/><Relationship Id="rId4" Type="http://schemas.openxmlformats.org/officeDocument/2006/relationships/hyperlink" Target="http://cctaa.wkinfo.com.cn/document/show?collection=legislation&amp;showType=0&amp;language=&#20013;&#25991;&amp;aid=MTAwMDQzMjExODc%3D" TargetMode="External"/><Relationship Id="rId9" Type="http://schemas.openxmlformats.org/officeDocument/2006/relationships/comments" Target="../comments29.xml"/></Relationships>
</file>

<file path=xl/worksheets/_rels/sheet119.xml.rels><?xml version="1.0" encoding="UTF-8" standalone="yes"?>
<Relationships xmlns="http://schemas.openxmlformats.org/package/2006/relationships"><Relationship Id="rId8" Type="http://schemas.openxmlformats.org/officeDocument/2006/relationships/hyperlink" Target="http://taa.wkinfo.com.cn/document/show?aid=MTAwMDAxNDU2MTM%3D&amp;bid=&amp;collection=legislation&amp;language=&#20013;&#25991;&amp;tokens=&amp;showType=0" TargetMode="External"/><Relationship Id="rId13" Type="http://schemas.openxmlformats.org/officeDocument/2006/relationships/hyperlink" Target="http://taa.wkinfo.com.cn/document/show?aid=MTAwMDUwNzkwODI%3D&amp;bid=&amp;collection=legislation&amp;language=&#20013;&#25991;&amp;tokens=&amp;showType=0&amp;searchScope=taaScope" TargetMode="External"/><Relationship Id="rId18" Type="http://schemas.openxmlformats.org/officeDocument/2006/relationships/hyperlink" Target="http://cctaa.wkinfo.com.cn/document/show?aid=MTAwMDAxNDU2MTM%3D&amp;bid=&amp;collection=legislation&amp;language=&#20013;&#25991;&amp;tokens=&amp;showType=0" TargetMode="External"/><Relationship Id="rId26" Type="http://schemas.openxmlformats.org/officeDocument/2006/relationships/printerSettings" Target="../printerSettings/printerSettings119.bin"/><Relationship Id="rId3" Type="http://schemas.openxmlformats.org/officeDocument/2006/relationships/hyperlink" Target="http://cctaa.wkinfo.com.cn/document/showcommentary?aid=MzAwMDAyNw%3D%3D&amp;bid=QjAwMDAwMjYyNDQ%3D&amp;collection=commentary&amp;language=CN&amp;tokens=e20fdde23cdb00088e3adfcbbf2725bf&amp;showType=0" TargetMode="External"/><Relationship Id="rId21" Type="http://schemas.openxmlformats.org/officeDocument/2006/relationships/hyperlink" Target="http://cctaa.wkinfo.com.cn/document/show?aid=MTAwMDUwNzkwODI%3D&amp;bid=&amp;collection=legislation&amp;language=&#20013;&#25991;&amp;tokens=&amp;showType=0&amp;searchScope=taaScope" TargetMode="External"/><Relationship Id="rId7"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2" Type="http://schemas.openxmlformats.org/officeDocument/2006/relationships/hyperlink" Target="http://taa.wkinfo.com.cn/document/show?aid=MTAwMDQ4ODU5Mjc%3D&amp;bid=&amp;collection=legislation&amp;language=&#20013;&#25991;&amp;tokens=&amp;showType=0&amp;searchScope=taaScope" TargetMode="External"/><Relationship Id="rId17" Type="http://schemas.openxmlformats.org/officeDocument/2006/relationships/hyperlink" Target="http://taa.wkinfo.com.cn/document/show?aid=MTAxMDAxMjExOTI%3D&amp;bid=&amp;collection=legislation&amp;language=&#20013;&#25991;&amp;tokens=&amp;showType=0&amp;searchScope=taaScope" TargetMode="External"/><Relationship Id="rId25" Type="http://schemas.openxmlformats.org/officeDocument/2006/relationships/hyperlink" Target="http://cctaa.wkinfo.com.cn/document/show?aid=MTAxMDAxMjExOTI%3D&amp;bid=&amp;collection=legislation&amp;language=&#20013;&#25991;&amp;tokens=&amp;showType=0&amp;searchScope=taaScope" TargetMode="External"/><Relationship Id="rId2" Type="http://schemas.openxmlformats.org/officeDocument/2006/relationships/hyperlink" Target="http://cctaa.wkinfo.com.cn/document/showcommentary?aid=MzAwMDAyNw%3D%3D&amp;bid=QjAwMDAwMjYyNDU%3D&amp;collection=commentary&amp;language=CN&amp;tokens=0a6622aa72f14559de5296f068b49ecd&amp;showType=0" TargetMode="External"/><Relationship Id="rId16" Type="http://schemas.openxmlformats.org/officeDocument/2006/relationships/hyperlink" Target="http://taa.wkinfo.com.cn/document/show?aid=MTAxMDAxMjExMTY%3D&amp;bid=&amp;collection=legislation&amp;language=&#20013;&#25991;&amp;tokens=&amp;showType=0&amp;searchScope=taaScope" TargetMode="External"/><Relationship Id="rId20" Type="http://schemas.openxmlformats.org/officeDocument/2006/relationships/hyperlink" Target="http://cctaa.wkinfo.com.cn/document/show?aid=MTAwMDQ4ODU5Mjc%3D&amp;bid=&amp;collection=legislation&amp;language=&#20013;&#25991;&amp;tokens=&amp;showType=0&amp;searchScope=taaScope" TargetMode="External"/><Relationship Id="rId1"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 Id="rId6" Type="http://schemas.openxmlformats.org/officeDocument/2006/relationships/hyperlink" Target="http://cctaa.wkinfo.com.cn/document/showcommentary?aid=MzAwMDAyNw%3D%3D&amp;bid=QjAwMDAwMjYyNjA%3D&amp;collection=commentary&amp;language=CN&amp;tokens=dea7c4560e35529bf76ceb2ffe79de40&amp;showType=0" TargetMode="External"/><Relationship Id="rId11" Type="http://schemas.openxmlformats.org/officeDocument/2006/relationships/hyperlink" Target="http://taa.wkinfo.com.cn/document/show?aid=MTAwMDQ4ODU5MjY%3D&amp;bid=&amp;collection=legislation&amp;language=&#20013;&#25991;&amp;tokens=&amp;showType=0&amp;searchScope=taaScope" TargetMode="External"/><Relationship Id="rId24" Type="http://schemas.openxmlformats.org/officeDocument/2006/relationships/hyperlink" Target="http://cctaa.wkinfo.com.cn/document/show?aid=MTAxMDAxMjExMTY%3D&amp;bid=&amp;collection=legislation&amp;language=&#20013;&#25991;&amp;tokens=&amp;showType=0&amp;searchScope=taaScope" TargetMode="External"/><Relationship Id="rId5" Type="http://schemas.openxmlformats.org/officeDocument/2006/relationships/hyperlink" Target="http://cctaa.wkinfo.com.cn/document/showcommentary?aid=MzAwMDAyNw%3D%3D&amp;bid=QjAwMDAwMjYyNDI%3D&amp;collection=commentary&amp;language=CN&amp;tokens=561a60226f645d7d386bacfab74d9807&amp;showType=0" TargetMode="External"/><Relationship Id="rId15" Type="http://schemas.openxmlformats.org/officeDocument/2006/relationships/hyperlink" Target="http://taa.wkinfo.com.cn/document/show?aid=MTAxMDAxMTUzMTM%3D&amp;bid=&amp;collection=legislation&amp;language=&#20013;&#25991;&amp;tokens=&amp;showType=0&amp;searchScope=taaScope" TargetMode="External"/><Relationship Id="rId23" Type="http://schemas.openxmlformats.org/officeDocument/2006/relationships/hyperlink" Target="http://cctaa.wkinfo.com.cn/document/show?aid=MTAxMDAxMTUzMTM%3D&amp;bid=&amp;collection=legislation&amp;language=&#20013;&#25991;&amp;tokens=&amp;showType=0&amp;searchScope=taaScope" TargetMode="External"/><Relationship Id="rId28" Type="http://schemas.openxmlformats.org/officeDocument/2006/relationships/comments" Target="../comments30.xml"/><Relationship Id="rId10" Type="http://schemas.openxmlformats.org/officeDocument/2006/relationships/hyperlink" Target="http://cctaa.wkinfo.com.cn/document/show?aid=MTAwMDQxOTI0ODE%3D&amp;bid=&amp;collection=legislation&amp;language=&#20013;&#25991;&amp;tokens=&amp;showType=0" TargetMode="External"/><Relationship Id="rId19" Type="http://schemas.openxmlformats.org/officeDocument/2006/relationships/hyperlink" Target="http://cctaa.wkinfo.com.cn/document/show?aid=MTAwMDQ4ODU5MjY%3D&amp;bid=&amp;collection=legislation&amp;language=&#20013;&#25991;&amp;tokens=&amp;showType=0&amp;searchScope=taaScope" TargetMode="External"/><Relationship Id="rId4" Type="http://schemas.openxmlformats.org/officeDocument/2006/relationships/hyperlink" Target="http://cctaa.wkinfo.com.cn/document/showcommentary?aid=MzAwMDAyNw%3D%3D&amp;bid=QjAwMDAwMjYyNDM%3D&amp;collection=commentary&amp;language=CN&amp;tokens=13a03a354f0c04661daba28ea11ac2f9&amp;showType=0" TargetMode="External"/><Relationship Id="rId9" Type="http://schemas.openxmlformats.org/officeDocument/2006/relationships/hyperlink" Target="http://cctaa.wkinfo.com.cn/document/show?aid=MTAwMDAxNjM5NTI%3D&amp;bid=&amp;collection=legislation&amp;language=&#20013;&#25991;&amp;tokens=&amp;showType=0" TargetMode="External"/><Relationship Id="rId14" Type="http://schemas.openxmlformats.org/officeDocument/2006/relationships/hyperlink" Target="http://taa.wkinfo.com.cn/document/show?aid=MTAwMDUwOTYzODI%3D&amp;bid=&amp;collection=legislation&amp;language=&#20013;&#25991;&amp;tokens=&amp;showType=0&amp;searchScope=taaScope" TargetMode="External"/><Relationship Id="rId22" Type="http://schemas.openxmlformats.org/officeDocument/2006/relationships/hyperlink" Target="http://cctaa.wkinfo.com.cn/document/show?aid=MTAwMDUwOTYzODI%3D&amp;bid=&amp;collection=legislation&amp;language=&#20013;&#25991;&amp;tokens=&amp;showType=0&amp;searchScope=taaScope" TargetMode="External"/><Relationship Id="rId27" Type="http://schemas.openxmlformats.org/officeDocument/2006/relationships/vmlDrawing" Target="../drawings/vmlDrawing87.vml"/></Relationships>
</file>

<file path=xl/worksheets/_rels/sheet120.xml.rels><?xml version="1.0" encoding="UTF-8" standalone="yes"?>
<Relationships xmlns="http://schemas.openxmlformats.org/package/2006/relationships"><Relationship Id="rId3" Type="http://schemas.openxmlformats.org/officeDocument/2006/relationships/hyperlink" Target="http://taa.wkinfo.com.cn/document/showcommentary?aid=MzAwMDAyNw%3D%3D&amp;bid=QjAwMDAwODkxNzA%3D&amp;collection=commentary&amp;language=CN&amp;tokens=88ad95ff76668b6efdc008ddb4759b01&amp;showType=0" TargetMode="External"/><Relationship Id="rId7" Type="http://schemas.openxmlformats.org/officeDocument/2006/relationships/comments" Target="../comments31.xml"/><Relationship Id="rId2" Type="http://schemas.openxmlformats.org/officeDocument/2006/relationships/hyperlink" Target="http://cctaa.wkinfo.com.cn/document/show?aid=MTAxMDAwMTQwOTM%3D&amp;bid=&amp;collection=legislation&amp;language=&#20013;&#25991;&amp;tokens=&amp;showType=0" TargetMode="External"/><Relationship Id="rId1" Type="http://schemas.openxmlformats.org/officeDocument/2006/relationships/hyperlink" Target="http://cctaa.wkinfo.com.cn/document/show?aid=MTAwMDM2NzQ0MzY%3D&amp;bid=&amp;collection=legislation&amp;language=&#20013;&#25991;&amp;tokens=&amp;showType=0" TargetMode="External"/><Relationship Id="rId6" Type="http://schemas.openxmlformats.org/officeDocument/2006/relationships/vmlDrawing" Target="../drawings/vmlDrawing88.vml"/><Relationship Id="rId5" Type="http://schemas.openxmlformats.org/officeDocument/2006/relationships/printerSettings" Target="../printerSettings/printerSettings120.bin"/><Relationship Id="rId4"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s>
</file>

<file path=xl/worksheets/_rels/sheet121.xml.rels><?xml version="1.0" encoding="UTF-8" standalone="yes"?>
<Relationships xmlns="http://schemas.openxmlformats.org/package/2006/relationships"><Relationship Id="rId8" Type="http://schemas.openxmlformats.org/officeDocument/2006/relationships/hyperlink" Target="http://taa.wkinfo.com.cn/document/show?collection=legislation&amp;aid=MTAwMTA1NTc3NjM%3D&amp;language=%E4%B8%AD%E6%96%87" TargetMode="External"/><Relationship Id="rId13" Type="http://schemas.openxmlformats.org/officeDocument/2006/relationships/hyperlink" Target="http://cctaa.wkinfo.com.cn/document/show?collection=legislation&amp;aid=MTAwMTA1NTc3NjM%3D&amp;language=%E4%B8%AD%E6%96%87" TargetMode="External"/><Relationship Id="rId18" Type="http://schemas.openxmlformats.org/officeDocument/2006/relationships/printerSettings" Target="../printerSettings/printerSettings121.bin"/><Relationship Id="rId3"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7" Type="http://schemas.openxmlformats.org/officeDocument/2006/relationships/hyperlink" Target="http://taa.wkinfo.com.cn/document/show?collection=legislation&amp;showType=0&amp;language=&#20013;&#25991;&amp;aid=MTAwMTA1NTc3NjI%3D" TargetMode="External"/><Relationship Id="rId12" Type="http://schemas.openxmlformats.org/officeDocument/2006/relationships/hyperlink" Target="http://cctaa.wkinfo.com.cn/document/show?collection=legislation&amp;showType=0&amp;language=&#20013;&#25991;&amp;aid=MTAwMTA1NTc3NjI%3D" TargetMode="External"/><Relationship Id="rId17" Type="http://schemas.openxmlformats.org/officeDocument/2006/relationships/hyperlink" Target="http://cctaa.wkinfo.com.cn/document/showcommentary?aid=MzAwMDAyNw%3D%3D&amp;bid=QjAwMDAxNDE0MTA%3D&amp;collection=commentary&amp;language=CN&amp;tokens=&amp;showType=0" TargetMode="External"/><Relationship Id="rId2" Type="http://schemas.openxmlformats.org/officeDocument/2006/relationships/hyperlink" Target="http://cctaa.wkinfo.com.cn/document/showcommentary?aid=MzAwMDAyNw%3D%3D&amp;bid=QjAwMDAwMjUzODQ%3D&amp;collection=commentary&amp;language=CN&amp;tokens=8edc55e52af27512485f7b45b0241c64&amp;showType=0" TargetMode="External"/><Relationship Id="rId16" Type="http://schemas.openxmlformats.org/officeDocument/2006/relationships/hyperlink" Target="http://cctaa.wkinfo.com.cn/document/show?collection=legislation&amp;aid=MTAwMDQ5MTY3NjU%3D&amp;language=%E4%B8%AD%E6%96%87" TargetMode="External"/><Relationship Id="rId20" Type="http://schemas.openxmlformats.org/officeDocument/2006/relationships/comments" Target="../comments32.xml"/><Relationship Id="rId1" Type="http://schemas.openxmlformats.org/officeDocument/2006/relationships/hyperlink" Target="http://cctaa.wkinfo.com.cn/document/showcommentary?aid=MzAwMDAyNw%3D%3D&amp;bid=QjAwMDAwMjUzODM%3D&amp;collection=commentary&amp;language=CN&amp;tokens=70558c0e795cda8b09bc6303fb60fe1b&amp;showType=0" TargetMode="External"/><Relationship Id="rId6" Type="http://schemas.openxmlformats.org/officeDocument/2006/relationships/hyperlink" Target="http://taa.wkinfo.com.cn/document/showcommentary?aid=MzAwMDAyNw%3D%3D&amp;bid=QjAwMDAxNDE0MTA%3D&amp;collection=commentary&amp;language=CN&amp;tokens=&amp;showType=0" TargetMode="External"/><Relationship Id="rId11" Type="http://schemas.openxmlformats.org/officeDocument/2006/relationships/hyperlink" Target="http://taa.wkinfo.com.cn/document/show?collection=legislation&amp;aid=MTAwMDQ5MTY3NjU%3D&amp;language=%E4%B8%AD%E6%96%87" TargetMode="External"/><Relationship Id="rId5" Type="http://schemas.openxmlformats.org/officeDocument/2006/relationships/hyperlink" Target="http://cctaa.wkinfo.com.cn/document/showcommentary?aid=MzAwMDAyNw%3D%3D&amp;bid=QjAwMDAwMjUzOTY%3D&amp;collection=commentary&amp;language=CN&amp;tokens=4fe6b43bc0b80071bb70dcdf640f8613&amp;showType=0" TargetMode="External"/><Relationship Id="rId15" Type="http://schemas.openxmlformats.org/officeDocument/2006/relationships/hyperlink" Target="http://cctaa.wkinfo.com.cn/document/show?collection=legislation&amp;aid=MTAxMDAxMjE4MTY%3D&amp;language=%E4%B8%AD%E6%96%87" TargetMode="External"/><Relationship Id="rId10" Type="http://schemas.openxmlformats.org/officeDocument/2006/relationships/hyperlink" Target="http://taa.wkinfo.com.cn/document/show?collection=legislation&amp;aid=MTAxMDAxMjE4MTY%3D&amp;language=%E4%B8%AD%E6%96%87" TargetMode="External"/><Relationship Id="rId19" Type="http://schemas.openxmlformats.org/officeDocument/2006/relationships/vmlDrawing" Target="../drawings/vmlDrawing89.vml"/><Relationship Id="rId4" Type="http://schemas.openxmlformats.org/officeDocument/2006/relationships/hyperlink" Target="http://cctaa.wkinfo.com.cn/document/showcommentary?aid=MzAwMDAyNw%3D%3D&amp;bid=QjAwMDAwMjUzODU%3D&amp;collection=commentary&amp;language=CN&amp;tokens=2be71dcb0ed461f0c1728a7d630f12a5&amp;showType=0" TargetMode="External"/><Relationship Id="rId9" Type="http://schemas.openxmlformats.org/officeDocument/2006/relationships/hyperlink" Target="http://taa.wkinfo.com.cn/document/show?collection=legislation&amp;aid=MTAxMDAxMjQyNzE%3D&amp;language=&#20013;&#25991;" TargetMode="External"/><Relationship Id="rId14" Type="http://schemas.openxmlformats.org/officeDocument/2006/relationships/hyperlink" Target="http://cctaa.wkinfo.com.cn/document/show?collection=legislation&amp;aid=MTAxMDAxMjQyNzE%3D&amp;language=&#20013;&#25991;" TargetMode="External"/></Relationships>
</file>

<file path=xl/worksheets/_rels/sheet122.xml.rels><?xml version="1.0" encoding="UTF-8" standalone="yes"?>
<Relationships xmlns="http://schemas.openxmlformats.org/package/2006/relationships"><Relationship Id="rId3" Type="http://schemas.openxmlformats.org/officeDocument/2006/relationships/printerSettings" Target="../printerSettings/printerSettings122.bin"/><Relationship Id="rId2" Type="http://schemas.openxmlformats.org/officeDocument/2006/relationships/hyperlink" Target="http://cctaa.wkinfo.com.cn/document/showcommentary?aid=MzAwMDAyNw%3D%3D&amp;bid=QjAwMDAwMjU0NjU%3D&amp;collection=commentary&amp;language=CN&amp;tokens=21e775b70a223d9c381d5ead954e7526&amp;showType=0" TargetMode="External"/><Relationship Id="rId1" Type="http://schemas.openxmlformats.org/officeDocument/2006/relationships/hyperlink" Target="http://taa.wkinfo.com.cn/document/showcommentary?aid=MzAwMDAyNw%3D%3D&amp;bid=QjAwMDAwMjU0NjU%3D&amp;collection=commentary&amp;language=CN&amp;tokens=21e775b70a223d9c381d5ead954e7526&amp;showType=0" TargetMode="External"/><Relationship Id="rId5" Type="http://schemas.openxmlformats.org/officeDocument/2006/relationships/comments" Target="../comments33.xml"/><Relationship Id="rId4" Type="http://schemas.openxmlformats.org/officeDocument/2006/relationships/vmlDrawing" Target="../drawings/vmlDrawing90.vml"/></Relationships>
</file>

<file path=xl/worksheets/_rels/sheet123.xml.rels><?xml version="1.0" encoding="UTF-8" standalone="yes"?>
<Relationships xmlns="http://schemas.openxmlformats.org/package/2006/relationships"><Relationship Id="rId8" Type="http://schemas.openxmlformats.org/officeDocument/2006/relationships/hyperlink" Target="http://cctaa.wkinfo.com.cn/document/show?aid=MTAwMDQxMTAxNTk%3D&amp;bid=&amp;collection=legislation&amp;language=&#20013;&#25991;&amp;tokens=&amp;showType=0" TargetMode="External"/><Relationship Id="rId13" Type="http://schemas.openxmlformats.org/officeDocument/2006/relationships/hyperlink" Target="http://cctaa.wkinfo.com.cn/document/show?aid=MTAwMDQyODQ0NzU%3D&amp;bid=&amp;collection=legislation&amp;language=&#20013;&#25991;&amp;tokens=&amp;showType=0" TargetMode="External"/><Relationship Id="rId18" Type="http://schemas.openxmlformats.org/officeDocument/2006/relationships/printerSettings" Target="../printerSettings/printerSettings123.bin"/><Relationship Id="rId3" Type="http://schemas.openxmlformats.org/officeDocument/2006/relationships/hyperlink" Target="http://cctaa.wkinfo.com.cn/document/show?aid=MTAwMDQyODQ0Nzc%3D&amp;bid=&amp;collection=legislation&amp;language=&#20013;&#25991;&amp;tokens=&amp;showType=0" TargetMode="External"/><Relationship Id="rId7" Type="http://schemas.openxmlformats.org/officeDocument/2006/relationships/hyperlink" Target="http://cctaa.wkinfo.com.cn/document/show?aid=MTAxMDAwNzM0Mzc%3D&amp;bid=&amp;collection=legislation&amp;language=&#20013;&#25991;&amp;tokens=&amp;showType=0" TargetMode="External"/><Relationship Id="rId12" Type="http://schemas.openxmlformats.org/officeDocument/2006/relationships/hyperlink" Target="http://cctaa.wkinfo.com.cn/document/show?aid=MTAwMDE2NjMxNTk%3D&amp;bid=&amp;collection=legislation&amp;language=&#20013;&#25991;&amp;tokens=&amp;showType=0" TargetMode="External"/><Relationship Id="rId17" Type="http://schemas.openxmlformats.org/officeDocument/2006/relationships/hyperlink" Target="http://cctaa.wkinfo.com.cn/document/show?aid=MTAwMDAxNDU5NjE%3D&amp;bid=&amp;collection=legislation&amp;language=%E4%B8%AD%E6%96%87&amp;tokens=df6904e6903c177fa4c07792b054bc5f&amp;showType=0" TargetMode="External"/><Relationship Id="rId2" Type="http://schemas.openxmlformats.org/officeDocument/2006/relationships/hyperlink" Target="http://cctaa.wkinfo.com.cn/document/show?aid=MTAwMDAxNjA3Mzc%3D&amp;bid=&amp;collection=legislation&amp;language=&#20013;&#25991;&amp;tokens=&amp;showType=0" TargetMode="External"/><Relationship Id="rId16" Type="http://schemas.openxmlformats.org/officeDocument/2006/relationships/hyperlink" Target="http://cctaa.wkinfo.com.cn/document/show?aid=MTAwMDAxNjA4Njg%3D&amp;bid=&amp;collection=legislation&amp;language=&#20013;&#25991;&amp;tokens=&amp;showType=0&amp;searchScope=taaScope" TargetMode="External"/><Relationship Id="rId20" Type="http://schemas.openxmlformats.org/officeDocument/2006/relationships/comments" Target="../comments34.xml"/><Relationship Id="rId1" Type="http://schemas.openxmlformats.org/officeDocument/2006/relationships/hyperlink" Target="http://taa.wkinfo.com.cn/document/show?aid=MTAxMDAwMDMzNDA%3D&amp;bid=&amp;collection=legislation&amp;language=&#20013;&#25991;&amp;tokens=&amp;showType=0" TargetMode="External"/><Relationship Id="rId6" Type="http://schemas.openxmlformats.org/officeDocument/2006/relationships/hyperlink" Target="http://cctaa.wkinfo.com.cn/document/show?aid=MTAwMDE2MzU1ODg%3D&amp;bid=&amp;collection=legislation&amp;language=&#20013;&#25991;&amp;tokens=&amp;showType=0" TargetMode="External"/><Relationship Id="rId11" Type="http://schemas.openxmlformats.org/officeDocument/2006/relationships/hyperlink" Target="http://cctaa.wkinfo.com.cn/document/show?aid=MTAwMDExODI3MzU%3D&amp;bid=&amp;collection=legislation&amp;language=&#20013;&#25991;&amp;tokens=0f99e95e703bd5955d4558af3e1e4802&amp;showType=0" TargetMode="External"/><Relationship Id="rId5" Type="http://schemas.openxmlformats.org/officeDocument/2006/relationships/hyperlink" Target="../../../Users/lenovo/AppData/Local/Packages/Microsoft.Office.Desktop_8wekyb3d8bbwe/LocalCache/Documents/WeChat%20Files/dorothywenxu/Files/%25E8%25B4%25A2%25E7%25A8%258E%25E3%2580%25942008%25E3%2580%25951%25E5%258F%25B7" TargetMode="External"/><Relationship Id="rId15" Type="http://schemas.openxmlformats.org/officeDocument/2006/relationships/hyperlink" Target="http://cctaa.wkinfo.com.cn/document/show?aid=MTAxMDAwMDMzNDA%3D&amp;bid=&amp;collection=legislation&amp;language=&#20013;&#25991;&amp;tokens=&amp;showType=0" TargetMode="External"/><Relationship Id="rId10" Type="http://schemas.openxmlformats.org/officeDocument/2006/relationships/hyperlink" Target="http://cctaa.wkinfo.com.cn/document/show?aid=MTAwMDQxNDkxMjg%3D&amp;bid=&amp;collection=legislation&amp;language=&#20013;&#25991;&amp;tokens=&amp;showType=0" TargetMode="External"/><Relationship Id="rId19" Type="http://schemas.openxmlformats.org/officeDocument/2006/relationships/vmlDrawing" Target="../drawings/vmlDrawing91.vml"/><Relationship Id="rId4" Type="http://schemas.openxmlformats.org/officeDocument/2006/relationships/hyperlink" Target="http://taa.wkinfo.com.cn/document/show?aid=MTAwMDAxNjA4Njg%3D&amp;bid=&amp;collection=legislation&amp;language=&#20013;&#25991;&amp;tokens=&amp;showType=0" TargetMode="External"/><Relationship Id="rId9" Type="http://schemas.openxmlformats.org/officeDocument/2006/relationships/hyperlink" Target="http://cctaa.wkinfo.com.cn/document/show?aid=MTAwMDQxNDg4MDk%3D&amp;bid=&amp;collection=legislation&amp;language=&#20013;&#25991;&amp;tokens=&amp;showType=0" TargetMode="External"/><Relationship Id="rId14" Type="http://schemas.openxmlformats.org/officeDocument/2006/relationships/hyperlink" Target="http://cctaa.wkinfo.com.cn/document/show?aid=MTAwMDAxNjE2MzU%3D&amp;bid=&amp;collection=legislation&amp;language=&#20013;&#25991;&amp;tokens=&amp;showType=0" TargetMode="External"/></Relationships>
</file>

<file path=xl/worksheets/_rels/sheet12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3MTg%3D&amp;collection=commentary&amp;language=CN&amp;tokens=53caf2bcf0694810fbdf5a606bcdda6f&amp;showType=0" TargetMode="External"/><Relationship Id="rId13" Type="http://schemas.openxmlformats.org/officeDocument/2006/relationships/hyperlink" Target="http://cctaa.wkinfo.com.cn/document/show?aid=MTAwMDQ3NTA3ODc%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xMDAxMjE5MTM%3D&amp;bid=&amp;collection=legislation&amp;language=&#20013;&#25991;&amp;tokens=&amp;showType=0&amp;searchScope=taaScope" TargetMode="External"/><Relationship Id="rId12" Type="http://schemas.openxmlformats.org/officeDocument/2006/relationships/hyperlink" Target="http://cctaa.wkinfo.com.cn/document/show?aid=MTAwMDEzMjk4NjQ%3D&amp;bid=&amp;collection=legislation&amp;language=&#20013;&#25991;&amp;tokens=&amp;showType=0" TargetMode="External"/><Relationship Id="rId17" Type="http://schemas.openxmlformats.org/officeDocument/2006/relationships/comments" Target="../comments35.xml"/><Relationship Id="rId2" Type="http://schemas.openxmlformats.org/officeDocument/2006/relationships/hyperlink" Target="http://taa.wkinfo.com.cn/document/show?aid=MTAwMDAwNzQ1ODc%3D&amp;bid=&amp;collection=legislation&amp;language=&#20013;&#25991;&amp;tokens=&amp;showType=0" TargetMode="External"/><Relationship Id="rId16" Type="http://schemas.openxmlformats.org/officeDocument/2006/relationships/vmlDrawing" Target="../drawings/vmlDrawing92.vml"/><Relationship Id="rId1" Type="http://schemas.openxmlformats.org/officeDocument/2006/relationships/hyperlink" Target="http://taa.wkinfo.com.cn/document/showcommentary?aid=MzAwMDAyNw%3D%3D&amp;bid=QjAwMDAwMjU3MTg%3D&amp;collection=commentary&amp;language=CN&amp;tokens=53caf2bcf0694810fbdf5a606bcdda6f&amp;showType=0" TargetMode="External"/><Relationship Id="rId6" Type="http://schemas.openxmlformats.org/officeDocument/2006/relationships/hyperlink" Target="http://taa.wkinfo.com.cn/document/show?aid=MTAwMDQ3NTA3ODc%3D&amp;bid=&amp;collection=legislation&amp;language=&#20013;&#25991;&amp;tokens=&amp;showType=0&amp;searchScope=taaScope" TargetMode="External"/><Relationship Id="rId11"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taa.wkinfo.com.cn/document/show?aid=MTAwMDEzMjk4NjQ%3D&amp;bid=&amp;collection=legislation&amp;language=&#20013;&#25991;&amp;tokens=&amp;showType=0" TargetMode="External"/><Relationship Id="rId15" Type="http://schemas.openxmlformats.org/officeDocument/2006/relationships/printerSettings" Target="../printerSettings/printerSettings124.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wMDAxNDU0MTg%3D&amp;bid=&amp;collection=legislation&amp;language=&#20013;&#25991;&amp;tokens=&amp;showType=0" TargetMode="External"/><Relationship Id="rId9" Type="http://schemas.openxmlformats.org/officeDocument/2006/relationships/hyperlink" Target="http://cctaa.wkinfo.com.cn/document/show?aid=MTAwMDAwNzQ1ODc%3D&amp;bid=&amp;collection=legislation&amp;language=&#20013;&#25991;&amp;tokens=&amp;showType=0" TargetMode="External"/><Relationship Id="rId14" Type="http://schemas.openxmlformats.org/officeDocument/2006/relationships/hyperlink" Target="http://cctaa.wkinfo.com.cn/document/show?aid=MTAxMDAxMjE5MTM%3D&amp;bid=&amp;collection=legislation&amp;language=&#20013;&#25991;&amp;tokens=&amp;showType=0&amp;searchScope=taaScope" TargetMode="External"/></Relationships>
</file>

<file path=xl/worksheets/_rels/sheet125.xml.rels><?xml version="1.0" encoding="UTF-8" standalone="yes"?>
<Relationships xmlns="http://schemas.openxmlformats.org/package/2006/relationships"><Relationship Id="rId8"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13" Type="http://schemas.openxmlformats.org/officeDocument/2006/relationships/hyperlink" Target="http://cctaa.wkinfo.com.cn/document/showcommentary?aid=MzAwMDAyNw%3D%3D&amp;bid=QjAwMDAwMjU2MDI%3D&amp;collection=commentary&amp;language=CN&amp;tokens=b5e1bb63a5a9d21aad111ea975aeb718&amp;showType=0" TargetMode="External"/><Relationship Id="rId3" Type="http://schemas.openxmlformats.org/officeDocument/2006/relationships/hyperlink" Target="http://taa.wkinfo.com.cn/document/show?aid=MTAwMTA1NzU3MzE%3D&amp;bid=&amp;collection=legislation&amp;language=&#20013;&#25991;&amp;tokens=&amp;showType=0&amp;searchScope=taaScope" TargetMode="External"/><Relationship Id="rId7" Type="http://schemas.openxmlformats.org/officeDocument/2006/relationships/hyperlink" Target="http://cctaa.wkinfo.com.cn/document/show?aid=MTAxMDAxMTY2MDE%3D&amp;bid=&amp;collection=legislation&amp;language=&#20013;&#25991;&amp;tokens=&amp;showType=0&amp;searchScope=taaScope" TargetMode="External"/><Relationship Id="rId12" Type="http://schemas.openxmlformats.org/officeDocument/2006/relationships/hyperlink" Target="http://cctaa.wkinfo.com.cn/document/show?aid=MTAwMTA5MzkxOTU%3D&amp;bid=&amp;collection=legislation&amp;language=&#20013;&#25991;&amp;tokens=&amp;showType=0&amp;searchScope=taaScope" TargetMode="External"/><Relationship Id="rId2" Type="http://schemas.openxmlformats.org/officeDocument/2006/relationships/hyperlink" Target="http://taa.wkinfo.com.cn/document/show?aid=MTAxMDAxMTY2MDE%3D&amp;bid=&amp;collection=legislation&amp;language=&#20013;&#25991;&amp;tokens=&amp;showType=0&amp;searchScope=taaScope" TargetMode="External"/><Relationship Id="rId16" Type="http://schemas.openxmlformats.org/officeDocument/2006/relationships/comments" Target="../comments36.xml"/><Relationship Id="rId1"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6" Type="http://schemas.openxmlformats.org/officeDocument/2006/relationships/hyperlink" Target="http://taa.wkinfo.com.cn/document/show?aid=MTAwMTA5MzkxOTU%3D&amp;bid=&amp;collection=legislation&amp;language=&#20013;&#25991;&amp;tokens=&amp;showType=0&amp;searchScope=taaScope" TargetMode="External"/><Relationship Id="rId11" Type="http://schemas.openxmlformats.org/officeDocument/2006/relationships/hyperlink" Target="http://cctaa.wkinfo.com.cn/document/show?aid=MTAxMDAxMjM5MjQ%3D&amp;bid=&amp;collection=legislation&amp;language=&#20013;&#25991;&amp;tokens=&amp;showType=0&amp;searchScope=taaScope" TargetMode="External"/><Relationship Id="rId5" Type="http://schemas.openxmlformats.org/officeDocument/2006/relationships/hyperlink" Target="http://taa.wkinfo.com.cn/document/show?aid=MTAxMDAxMjM5MjQ%3D&amp;bid=&amp;collection=legislation&amp;language=&#20013;&#25991;&amp;tokens=&amp;showType=0&amp;searchScope=taaScope" TargetMode="External"/><Relationship Id="rId15" Type="http://schemas.openxmlformats.org/officeDocument/2006/relationships/vmlDrawing" Target="../drawings/vmlDrawing93.vml"/><Relationship Id="rId10" Type="http://schemas.openxmlformats.org/officeDocument/2006/relationships/hyperlink" Target="http://cctaa.wkinfo.com.cn/document/show?aid=MTAxMDAxMjM3MjE%3D&amp;bid=&amp;collection=legislation&amp;language=&#20013;&#25991;&amp;tokens=&amp;showType=0&amp;searchScope=taaScope" TargetMode="External"/><Relationship Id="rId4" Type="http://schemas.openxmlformats.org/officeDocument/2006/relationships/hyperlink" Target="http://taa.wkinfo.com.cn/document/show?aid=MTAxMDAxMjM3MjE%3D&amp;bid=&amp;collection=legislation&amp;language=&#20013;&#25991;&amp;tokens=&amp;showType=0&amp;searchScope=taaScope" TargetMode="External"/><Relationship Id="rId9" Type="http://schemas.openxmlformats.org/officeDocument/2006/relationships/hyperlink" Target="http://cctaa.wkinfo.com.cn/document/show?aid=MTAwMTA1NzU3MzE%3D&amp;bid=&amp;collection=legislation&amp;language=&#20013;&#25991;&amp;tokens=&amp;showType=0&amp;searchScope=taaScope" TargetMode="External"/><Relationship Id="rId14"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8" Type="http://schemas.openxmlformats.org/officeDocument/2006/relationships/hyperlink" Target="http://taa.wkinfo.com.cn/document/show?aid=MTAwMDAxNDU2MjI%3D&amp;bid=&amp;collection=legislation&amp;language=&#20013;&#25991;&amp;tokens=&amp;showType=0&amp;searchScope=taaScope" TargetMode="External"/><Relationship Id="rId13" Type="http://schemas.openxmlformats.org/officeDocument/2006/relationships/hyperlink" Target="http://taa.wkinfo.com.cn/document/show?aid=MTAwMDAxNjE1MjE%3D&amp;bid=&amp;collection=legislation&amp;language=&#20013;&#25991;&amp;tokens=&amp;showType=0&amp;searchScope=taaScope" TargetMode="External"/><Relationship Id="rId18" Type="http://schemas.openxmlformats.org/officeDocument/2006/relationships/hyperlink" Target="http://taa.wkinfo.com.cn/document/show?aid=MTAwMDUyNDg1NTQ%3D&amp;bid=&amp;collection=legislation&amp;language=&#20013;&#25991;&amp;tokens=&amp;showType=0&amp;searchScope=taaScope" TargetMode="External"/><Relationship Id="rId26" Type="http://schemas.openxmlformats.org/officeDocument/2006/relationships/hyperlink" Target="http://cctaa.wkinfo.com.cn/document/show?aid=MTAwMDE2MzU2NjI%3D&amp;bid=&amp;collection=legislation&amp;language=&#20013;&#25991;&amp;tokens=&amp;showType=0&amp;searchScope=taaScope" TargetMode="External"/><Relationship Id="rId39" Type="http://schemas.openxmlformats.org/officeDocument/2006/relationships/hyperlink" Target="http://cctaa.wkinfo.com.cn/document/show?aid=MTAwMDUyNDg1NTQ%3D&amp;bid=&amp;collection=legislation&amp;language=&#20013;&#25991;&amp;tokens=&amp;showType=0&amp;searchScope=taaScope" TargetMode="External"/><Relationship Id="rId3" Type="http://schemas.openxmlformats.org/officeDocument/2006/relationships/hyperlink" Target="http://taa.wkinfo.com.cn/document/show?aid=MTAwMDE5MDg2NjA%3D&amp;bid=&amp;collection=legislation&amp;language=&#20013;&#25991;&amp;tokens=&amp;showType=0&amp;searchScope=taaScope" TargetMode="External"/><Relationship Id="rId21" Type="http://schemas.openxmlformats.org/officeDocument/2006/relationships/hyperlink" Target="http://taa.wkinfo.com.cn/document/show?aid=MTAwMDQyMzU0OTM%3D&amp;bid=&amp;collection=legislation&amp;language=&#20013;&#25991;&amp;tokens=&amp;showType=0&amp;searchScope=taaScope" TargetMode="External"/><Relationship Id="rId34" Type="http://schemas.openxmlformats.org/officeDocument/2006/relationships/hyperlink" Target="http://cctaa.wkinfo.com.cn/document/show?aid=MTAwMDAxNjE1MjE%3D&amp;bid=&amp;collection=legislation&amp;language=&#20013;&#25991;&amp;tokens=&amp;showType=0&amp;searchScope=taaScope" TargetMode="External"/><Relationship Id="rId42" Type="http://schemas.openxmlformats.org/officeDocument/2006/relationships/hyperlink" Target="http://cctaa.wkinfo.com.cn/document/show?aid=MTAwMDQyMzU0OTM%3D&amp;bid=&amp;collection=legislation&amp;language=&#20013;&#25991;&amp;tokens=&amp;showType=0&amp;searchScope=taaScope" TargetMode="External"/><Relationship Id="rId7" Type="http://schemas.openxmlformats.org/officeDocument/2006/relationships/hyperlink" Target="http://taa.wkinfo.com.cn/document/show?aid=MTAwMDAxNDU4MjA%3D&amp;bid=&amp;collection=legislation&amp;language=&#20013;&#25991;&amp;tokens=&amp;showType=0&amp;searchScope=taaScope" TargetMode="External"/><Relationship Id="rId12" Type="http://schemas.openxmlformats.org/officeDocument/2006/relationships/hyperlink" Target="http://taa.wkinfo.com.cn/document/show?aid=MTAxMDAxMTEzOTM%3D&amp;bid=&amp;collection=legislation&amp;language=&#20013;&#25991;&amp;tokens=&amp;showType=0&amp;searchScope=taaScope" TargetMode="External"/><Relationship Id="rId17" Type="http://schemas.openxmlformats.org/officeDocument/2006/relationships/hyperlink" Target="http://taa.wkinfo.com.cn/document/show?aid=MTAxMDAxMDY2MTM%3D&amp;bid=&amp;collection=legislation&amp;language=&#20013;&#25991;&amp;tokens=&amp;showType=0&amp;searchScope=taaScope" TargetMode="External"/><Relationship Id="rId25" Type="http://schemas.openxmlformats.org/officeDocument/2006/relationships/hyperlink" Target="http://cctaa.wkinfo.com.cn/document/show?aid=MTAwMDEzMDYzMzg%3D&amp;bid=&amp;collection=legislation&amp;language=&#20013;&#25991;&amp;tokens=&amp;showType=0&amp;searchScope=taaScope" TargetMode="External"/><Relationship Id="rId33" Type="http://schemas.openxmlformats.org/officeDocument/2006/relationships/hyperlink" Target="http://cctaa.wkinfo.com.cn/document/show?aid=MTAxMDAxMTEzOTM%3D&amp;bid=&amp;collection=legislation&amp;language=&#20013;&#25991;&amp;tokens=&amp;showType=0&amp;searchScope=taaScope" TargetMode="External"/><Relationship Id="rId38" Type="http://schemas.openxmlformats.org/officeDocument/2006/relationships/hyperlink" Target="http://cctaa.wkinfo.com.cn/document/show?aid=MTAxMDAxMDY2MTM%3D&amp;bid=&amp;collection=legislation&amp;language=&#20013;&#25991;&amp;tokens=&amp;showType=0&amp;searchScope=taaScope" TargetMode="External"/><Relationship Id="rId2" Type="http://schemas.openxmlformats.org/officeDocument/2006/relationships/hyperlink" Target="http://taa.wkinfo.com.cn/document/show?aid=MTAwMDAxNDU0NDQ%3D&amp;bid=&amp;collection=legislation&amp;language=&#20013;&#25991;&amp;tokens=&amp;showType=0&amp;searchScope=taaScope" TargetMode="External"/><Relationship Id="rId16" Type="http://schemas.openxmlformats.org/officeDocument/2006/relationships/hyperlink" Target="http://taa.wkinfo.com.cn/document/show?aid=MTAwMDEyMTY5MDY%3D&amp;bid=&amp;collection=legislation&amp;language=&#20013;&#25991;&amp;tokens=&amp;showType=0&amp;searchScope=taaScope" TargetMode="External"/><Relationship Id="rId20" Type="http://schemas.openxmlformats.org/officeDocument/2006/relationships/hyperlink" Target="http://taa.wkinfo.com.cn/document/show?aid=MTAwMDEyMTY4OTU%3D&amp;bid=&amp;collection=legislation&amp;language=&#20013;&#25991;&amp;tokens=&amp;showType=0&amp;searchScope=taaScope" TargetMode="External"/><Relationship Id="rId29" Type="http://schemas.openxmlformats.org/officeDocument/2006/relationships/hyperlink" Target="http://cctaa.wkinfo.com.cn/document/show?aid=MTAwMDAxNDU2MjI%3D&amp;bid=&amp;collection=legislation&amp;language=&#20013;&#25991;&amp;tokens=&amp;showType=0&amp;searchScope=taaScope" TargetMode="External"/><Relationship Id="rId41" Type="http://schemas.openxmlformats.org/officeDocument/2006/relationships/hyperlink" Target="http://cctaa.wkinfo.com.cn/document/show?aid=MTAwMDEyMTY4OTU%3D&amp;bid=&amp;collection=legislation&amp;language=&#20013;&#25991;&amp;tokens=&amp;showType=0&amp;searchScope=taaScope" TargetMode="External"/><Relationship Id="rId1" Type="http://schemas.openxmlformats.org/officeDocument/2006/relationships/hyperlink" Target="http://taa.wkinfo.com.cn/document/show?aid=MTAwMDAwNzQ4MjU%3D&amp;bid=&amp;collection=legislation&amp;language=&#20013;&#25991;&amp;tokens=&amp;showType=0&amp;searchScope=taaScope" TargetMode="External"/><Relationship Id="rId6" Type="http://schemas.openxmlformats.org/officeDocument/2006/relationships/hyperlink" Target="http://taa.wkinfo.com.cn/document/show?aid=MTAwMDAxNjEwMDM%3D&amp;bid=&amp;collection=legislation&amp;language=&#20013;&#25991;&amp;tokens=&amp;showType=0&amp;searchScope=taaScope" TargetMode="External"/><Relationship Id="rId11" Type="http://schemas.openxmlformats.org/officeDocument/2006/relationships/hyperlink" Target="http://taa.wkinfo.com.cn/document/show?aid=MTAwMDM4NjY0ODU%3D&amp;bid=&amp;collection=legislation&amp;language=&#20013;&#25991;&amp;tokens=&amp;showType=0&amp;searchScope=taaScope" TargetMode="External"/><Relationship Id="rId24" Type="http://schemas.openxmlformats.org/officeDocument/2006/relationships/hyperlink" Target="http://cctaa.wkinfo.com.cn/document/show?aid=MTAwMDE5MDg2NjA%3D&amp;bid=&amp;collection=legislation&amp;language=&#20013;&#25991;&amp;tokens=&amp;showType=0&amp;searchScope=taaScope" TargetMode="External"/><Relationship Id="rId32" Type="http://schemas.openxmlformats.org/officeDocument/2006/relationships/hyperlink" Target="http://cctaa.wkinfo.com.cn/document/show?aid=MTAwMDM4NjY0ODU%3D&amp;bid=&amp;collection=legislation&amp;language=&#20013;&#25991;&amp;tokens=&amp;showType=0&amp;searchScope=taaScope" TargetMode="External"/><Relationship Id="rId37" Type="http://schemas.openxmlformats.org/officeDocument/2006/relationships/hyperlink" Target="http://cctaa.wkinfo.com.cn/document/show?aid=MTAwMDEyMTY5MDY%3D&amp;bid=&amp;collection=legislation&amp;language=&#20013;&#25991;&amp;tokens=&amp;showType=0&amp;searchScope=taaScope" TargetMode="External"/><Relationship Id="rId40" Type="http://schemas.openxmlformats.org/officeDocument/2006/relationships/hyperlink" Target="http://cctaa.wkinfo.com.cn/document/show?aid=MTAwMDAxNjA4Njg%3D&amp;bid=&amp;collection=legislation&amp;language=&#20013;&#25991;&amp;tokens=&amp;showType=0&amp;searchScope=taaScope" TargetMode="External"/><Relationship Id="rId45" Type="http://schemas.openxmlformats.org/officeDocument/2006/relationships/comments" Target="../comments37.xml"/><Relationship Id="rId5" Type="http://schemas.openxmlformats.org/officeDocument/2006/relationships/hyperlink" Target="http://taa.wkinfo.com.cn/document/show?aid=MTAwMDE2MzU2NjI%3D&amp;bid=&amp;collection=legislation&amp;language=&#20013;&#25991;&amp;tokens=&amp;showType=0&amp;searchScope=taaScope" TargetMode="External"/><Relationship Id="rId15" Type="http://schemas.openxmlformats.org/officeDocument/2006/relationships/hyperlink" Target="http://taa.wkinfo.com.cn/document/show?aid=MTAwMDAxNDU2MTU%3D&amp;bid=&amp;collection=legislation&amp;language=&#20013;&#25991;&amp;tokens=&amp;showType=0&amp;searchScope=taaScope" TargetMode="External"/><Relationship Id="rId23" Type="http://schemas.openxmlformats.org/officeDocument/2006/relationships/hyperlink" Target="http://cctaa.wkinfo.com.cn/document/show?aid=MTAwMDAxNDU0NDQ%3D&amp;bid=&amp;collection=legislation&amp;language=&#20013;&#25991;&amp;tokens=&amp;showType=0&amp;searchScope=taaScope" TargetMode="External"/><Relationship Id="rId28" Type="http://schemas.openxmlformats.org/officeDocument/2006/relationships/hyperlink" Target="http://cctaa.wkinfo.com.cn/document/show?aid=MTAwMDAxNDU4MjA%3D&amp;bid=&amp;collection=legislation&amp;language=&#20013;&#25991;&amp;tokens=&amp;showType=0&amp;searchScope=taaScope" TargetMode="External"/><Relationship Id="rId36" Type="http://schemas.openxmlformats.org/officeDocument/2006/relationships/hyperlink" Target="http://cctaa.wkinfo.com.cn/document/show?aid=MTAwMDAxNDU2MTU%3D&amp;bid=&amp;collection=legislation&amp;language=&#20013;&#25991;&amp;tokens=&amp;showType=0&amp;searchScope=taaScope" TargetMode="External"/><Relationship Id="rId10" Type="http://schemas.openxmlformats.org/officeDocument/2006/relationships/hyperlink" Target="http://taa.wkinfo.com.cn/document/show?aid=MTAxMDAwMDk4NDI%3D&amp;bid=&amp;collection=legislation&amp;language=&#20013;&#25991;&amp;tokens=&amp;showType=0&amp;searchScope=taaScope" TargetMode="External"/><Relationship Id="rId19" Type="http://schemas.openxmlformats.org/officeDocument/2006/relationships/hyperlink" Target="http://taa.wkinfo.com.cn/document/show?aid=MTAwMDAxNjA4Njg%3D&amp;bid=&amp;collection=legislation&amp;language=&#20013;&#25991;&amp;tokens=&amp;showType=0&amp;searchScope=taaScope" TargetMode="External"/><Relationship Id="rId31" Type="http://schemas.openxmlformats.org/officeDocument/2006/relationships/hyperlink" Target="http://cctaa.wkinfo.com.cn/document/show?aid=MTAxMDAwMDk4NDI%3D&amp;bid=&amp;collection=legislation&amp;language=&#20013;&#25991;&amp;tokens=&amp;showType=0&amp;searchScope=taaScope" TargetMode="External"/><Relationship Id="rId44" Type="http://schemas.openxmlformats.org/officeDocument/2006/relationships/vmlDrawing" Target="../drawings/vmlDrawing94.vml"/><Relationship Id="rId4" Type="http://schemas.openxmlformats.org/officeDocument/2006/relationships/hyperlink" Target="http://taa.wkinfo.com.cn/document/show?aid=MTAwMDEzMDYzMzg%3D&amp;bid=&amp;collection=legislation&amp;language=&#20013;&#25991;&amp;tokens=&amp;showType=0&amp;searchScope=taaScope" TargetMode="External"/><Relationship Id="rId9" Type="http://schemas.openxmlformats.org/officeDocument/2006/relationships/hyperlink" Target="http://taa.wkinfo.com.cn/document/show?aid=MTAwMDIwOTE4NTM%3D&amp;bid=&amp;collection=legislation&amp;language=&#20013;&#25991;&amp;tokens=&amp;showType=0&amp;searchScope=taaScope" TargetMode="External"/><Relationship Id="rId14" Type="http://schemas.openxmlformats.org/officeDocument/2006/relationships/hyperlink" Target="http://taa.wkinfo.com.cn/document/show?aid=MTAwMDIwOTE4NTM%3D&amp;bid=&amp;collection=legislation&amp;language=&#20013;&#25991;&amp;tokens=&amp;showType=0&amp;searchScope=taaScope" TargetMode="External"/><Relationship Id="rId22" Type="http://schemas.openxmlformats.org/officeDocument/2006/relationships/hyperlink" Target="http://cctaa.wkinfo.com.cn/document/show?aid=MTAwMDAwNzQ4MjU%3D&amp;bid=&amp;collection=legislation&amp;language=&#20013;&#25991;&amp;tokens=&amp;showType=0&amp;searchScope=taaScope" TargetMode="External"/><Relationship Id="rId27" Type="http://schemas.openxmlformats.org/officeDocument/2006/relationships/hyperlink" Target="http://cctaa.wkinfo.com.cn/document/show?aid=MTAwMDAxNjEwMDM%3D&amp;bid=&amp;collection=legislation&amp;language=&#20013;&#25991;&amp;tokens=&amp;showType=0&amp;searchScope=taaScope" TargetMode="External"/><Relationship Id="rId30" Type="http://schemas.openxmlformats.org/officeDocument/2006/relationships/hyperlink" Target="http://cctaa.wkinfo.com.cn/document/show?aid=MTAwMDIwOTE4NTM%3D&amp;bid=&amp;collection=legislation&amp;language=&#20013;&#25991;&amp;tokens=&amp;showType=0&amp;searchScope=taaScope" TargetMode="External"/><Relationship Id="rId35" Type="http://schemas.openxmlformats.org/officeDocument/2006/relationships/hyperlink" Target="http://cctaa.wkinfo.com.cn/document/show?aid=MTAwMDIwOTE4NTM%3D&amp;bid=&amp;collection=legislation&amp;language=&#20013;&#25991;&amp;tokens=&amp;showType=0&amp;searchScope=taaScope" TargetMode="External"/><Relationship Id="rId43"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OTg0NjU%3D&amp;collection=commentary&amp;language=CN&amp;tokens=b0167378d22ee83b875c9963c8bd39b6&amp;showType=0" TargetMode="External"/><Relationship Id="rId13" Type="http://schemas.openxmlformats.org/officeDocument/2006/relationships/hyperlink" Target="http://cctaa.wkinfo.com.cn/document/show?aid=MTAwMTA1NzU3MzI%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wMTA2MjgzMzE%3D&amp;bid=&amp;collection=legislation&amp;language=&#20013;&#25991;&amp;tokens=&amp;showType=0&amp;searchScope=taaScope" TargetMode="External"/><Relationship Id="rId12" Type="http://schemas.openxmlformats.org/officeDocument/2006/relationships/hyperlink" Target="http://cctaa.wkinfo.com.cn/document/show?aid=MTAwMDUyNDg1NTc%3D&amp;bid=&amp;collection=legislation&amp;language=%E4%B8%AD%E6%96%87&amp;tokens=e73597fea4cf9e9c6f52eb9a6d7be48f&amp;showType=0" TargetMode="External"/><Relationship Id="rId17" Type="http://schemas.openxmlformats.org/officeDocument/2006/relationships/comments" Target="../comments38.xml"/><Relationship Id="rId2" Type="http://schemas.openxmlformats.org/officeDocument/2006/relationships/hyperlink" Target="http://taa.wkinfo.com.cn/document/show?aid=MTAwMDAxNDU2MDQ%3D&amp;bid=&amp;collection=legislation&amp;language=&#20013;&#25991;&amp;tokens=&amp;showType=0" TargetMode="External"/><Relationship Id="rId16" Type="http://schemas.openxmlformats.org/officeDocument/2006/relationships/vmlDrawing" Target="../drawings/vmlDrawing95.vml"/><Relationship Id="rId1" Type="http://schemas.openxmlformats.org/officeDocument/2006/relationships/hyperlink" Target="http://taa.wkinfo.com.cn/document/showcommentary?aid=MzAwMDAyNw%3D%3D&amp;bid=QjAwMDAwOTg0NjU%3D&amp;collection=commentary&amp;language=CN&amp;tokens=b0167378d22ee83b875c9963c8bd39b6&amp;showType=0" TargetMode="External"/><Relationship Id="rId6" Type="http://schemas.openxmlformats.org/officeDocument/2006/relationships/hyperlink" Target="http://taa.wkinfo.com.cn/document/show?aid=MTAwMTA1NzU3MzI%3D&amp;bid=&amp;collection=legislation&amp;language=&#20013;&#25991;&amp;tokens=&amp;showType=0&amp;searchScope=taaScope" TargetMode="External"/><Relationship Id="rId11" Type="http://schemas.openxmlformats.org/officeDocument/2006/relationships/hyperlink" Target="http://cctaa.wkinfo.com.cn/document/show?aid=MTAxMDAxMTY1NTQ%3D&amp;bid=&amp;collection=legislation&amp;language=%E4%B8%AD%E6%96%87&amp;tokens=92e3a27ec1a89064f716fb25ba786189&amp;showType=0" TargetMode="External"/><Relationship Id="rId5" Type="http://schemas.openxmlformats.org/officeDocument/2006/relationships/hyperlink" Target="http://taa.wkinfo.com.cn/document/show?aid=MTAwMDUyNDg1NTc%3D&amp;bid=&amp;collection=legislation&amp;language=%E4%B8%AD%E6%96%87&amp;tokens=e73597fea4cf9e9c6f52eb9a6d7be48f&amp;showType=0" TargetMode="External"/><Relationship Id="rId15" Type="http://schemas.openxmlformats.org/officeDocument/2006/relationships/printerSettings" Target="../printerSettings/printerSettings127.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xMDAxMTY1NTQ%3D&amp;bid=&amp;collection=legislation&amp;language=%E4%B8%AD%E6%96%87&amp;tokens=92e3a27ec1a89064f716fb25ba786189&amp;showType=0" TargetMode="External"/><Relationship Id="rId9" Type="http://schemas.openxmlformats.org/officeDocument/2006/relationships/hyperlink" Target="http://cctaa.wkinfo.com.cn/document/show?aid=MTAwMDAxNDU2MDQ%3D&amp;bid=&amp;collection=legislation&amp;language=&#20013;&#25991;&amp;tokens=&amp;showType=0" TargetMode="External"/><Relationship Id="rId14" Type="http://schemas.openxmlformats.org/officeDocument/2006/relationships/hyperlink" Target="http://cctaa.wkinfo.com.cn/document/show?aid=MTAwMTA2MjgzMzE%3D&amp;bid=&amp;collection=legislation&amp;language=&#20013;&#25991;&amp;tokens=&amp;showType=0&amp;searchScope=taaScope" TargetMode="External"/></Relationships>
</file>

<file path=xl/worksheets/_rels/sheet128.xml.rels><?xml version="1.0" encoding="UTF-8" standalone="yes"?>
<Relationships xmlns="http://schemas.openxmlformats.org/package/2006/relationships"><Relationship Id="rId13" Type="http://schemas.openxmlformats.org/officeDocument/2006/relationships/hyperlink" Target="http://cctaa.wkinfo.com.cn/document/show?aid=MTAwMDUzODAyNzU%3D&amp;bid=&amp;collection=legislation&amp;language=&#20013;&#25991;&amp;tokens=&amp;showType=0&amp;searchScope=taaScope" TargetMode="External"/><Relationship Id="rId18" Type="http://schemas.openxmlformats.org/officeDocument/2006/relationships/hyperlink" Target="http://cctaa.wkinfo.com.cn/document/show?aid=MTAwMDI2MzMxNjM%3D&amp;bid=&amp;collection=legislation&amp;language=&#20013;&#25991;&amp;tokens=&amp;showType=0&amp;searchScope=taaScope" TargetMode="External"/><Relationship Id="rId26" Type="http://schemas.openxmlformats.org/officeDocument/2006/relationships/hyperlink" Target="http://cctaa.wkinfo.com.cn/document/show?aid=MTAxMDAxMTQwMDc%3D&amp;bid=&amp;collection=legislation&amp;language=&#20013;&#25991;&amp;tokens=&amp;showType=0&amp;searchScope=taaScope" TargetMode="External"/><Relationship Id="rId39" Type="http://schemas.openxmlformats.org/officeDocument/2006/relationships/hyperlink" Target="http://cctaa.wkinfo.com.cn/document/show?aid=MTAxMDAwODE1OTk%3D&amp;bid=&amp;collection=legislation&amp;language=&#20013;&#25991;&amp;tokens=&amp;showType=0&amp;searchScope=taaScope" TargetMode="External"/><Relationship Id="rId21" Type="http://schemas.openxmlformats.org/officeDocument/2006/relationships/hyperlink" Target="http://cctaa.wkinfo.com.cn/document/show?aid=MTAwMDUzODAyNzU%3D&amp;bid=&amp;collection=legislation&amp;language=&#20013;&#25991;&amp;tokens=&amp;showType=0&amp;searchScope=taaScope" TargetMode="External"/><Relationship Id="rId34" Type="http://schemas.openxmlformats.org/officeDocument/2006/relationships/hyperlink" Target="http://cctaa.wkinfo.com.cn/document/show?aid=MTAwMDE0NTA0NTI%3D&amp;bid=&amp;collection=legislation&amp;language=&#20013;&#25991;&amp;tokens=&amp;showType=0&amp;searchScope=taaScope" TargetMode="External"/><Relationship Id="rId42" Type="http://schemas.openxmlformats.org/officeDocument/2006/relationships/hyperlink" Target="http://cctaa.wkinfo.com.cn/document/show?aid=MTAxMDAxMjQ1MzU%3D&amp;bid=&amp;collection=legislation&amp;language=&#20013;&#25991;&amp;tokens=&amp;showType=0&amp;searchScope=taaScope" TargetMode="External"/><Relationship Id="rId47" Type="http://schemas.openxmlformats.org/officeDocument/2006/relationships/hyperlink" Target="http://taa.wkinfo.com.cn/document/show?aid=MTAwMDAxODIzOTM%3D&amp;bid=&amp;collection=legislation&amp;language=&#20013;&#25991;&amp;tokens=&amp;showType=0&amp;searchScope=taaScope" TargetMode="External"/><Relationship Id="rId50" Type="http://schemas.openxmlformats.org/officeDocument/2006/relationships/hyperlink" Target="http://cctaa.wkinfo.com.cn/document/show?aid=MTAwMDExODc5NDQ%3D&amp;bid=&amp;collection=legislation&amp;language=&#20013;&#25991;&amp;tokens=&amp;showType=0&amp;searchScope=taaScope" TargetMode="External"/><Relationship Id="rId55" Type="http://schemas.openxmlformats.org/officeDocument/2006/relationships/vmlDrawing" Target="../drawings/vmlDrawing96.vml"/><Relationship Id="rId7" Type="http://schemas.openxmlformats.org/officeDocument/2006/relationships/hyperlink" Target="http://cctaa.wkinfo.com.cn/document/show?aid=MTAwMDEyODg1OTE%3D&amp;bid=&amp;collection=legislation&amp;language=&#20013;&#25991;&amp;tokens=&amp;showType=0&amp;searchScope=taaScope" TargetMode="External"/><Relationship Id="rId12" Type="http://schemas.openxmlformats.org/officeDocument/2006/relationships/hyperlink" Target="http://cctaa.wkinfo.com.cn/document/show?aid=MTAwMDI2MzMxNjM%3D&amp;bid=&amp;collection=legislation&amp;language=&#20013;&#25991;&amp;tokens=&amp;showType=0&amp;searchScope=taaScope" TargetMode="External"/><Relationship Id="rId17" Type="http://schemas.openxmlformats.org/officeDocument/2006/relationships/hyperlink" Target="http://cctaa.wkinfo.com.cn/document/show?aid=MTAwMDUzODAyNzU%3D&amp;bid=&amp;collection=legislation&amp;language=&#20013;&#25991;&amp;tokens=&amp;showType=0&amp;searchScope=taaScope" TargetMode="External"/><Relationship Id="rId25" Type="http://schemas.openxmlformats.org/officeDocument/2006/relationships/hyperlink" Target="http://cctaa.wkinfo.com.cn/document/show?aid=MTAwMDUzODAyNzU%3D&amp;bid=&amp;collection=legislation&amp;language=&#20013;&#25991;&amp;tokens=&amp;showType=0&amp;searchScope=taaScope" TargetMode="External"/><Relationship Id="rId33" Type="http://schemas.openxmlformats.org/officeDocument/2006/relationships/hyperlink" Target="http://cctaa.wkinfo.com.cn/document/show?aid=MTAwMTAyMjI5ODc%3D&amp;bid=&amp;collection=legislation&amp;language=&#20013;&#25991;&amp;tokens=&amp;showType=0&amp;searchScope=taaScope" TargetMode="External"/><Relationship Id="rId38" Type="http://schemas.openxmlformats.org/officeDocument/2006/relationships/hyperlink" Target="http://cctaa.wkinfo.com.cn/document/show?aid=MTAwMDQ5NTY2MTc%3D&amp;bid=&amp;collection=legislation&amp;language=&#20013;&#25991;&amp;tokens=&amp;showType=0&amp;searchScope=taaScope" TargetMode="External"/><Relationship Id="rId46" Type="http://schemas.openxmlformats.org/officeDocument/2006/relationships/hyperlink" Target="http://cctaa.wkinfo.com.cn/document/show?aid=MTAwMDAxNjE4MjU%3D&amp;bid=&amp;collection=legislation&amp;language=&#20013;&#25991;&amp;tokens=&amp;showType=0&amp;searchScope=taaScope" TargetMode="External"/><Relationship Id="rId2" Type="http://schemas.openxmlformats.org/officeDocument/2006/relationships/hyperlink" Target="http://cctaa.wkinfo.com.cn/document/show?aid=MTAwMDAxNjE4MjU%3D&amp;bid=&amp;collection=legislation&amp;language=&#20013;&#25991;&amp;tokens=&amp;showType=0&amp;searchScope=taaScope" TargetMode="External"/><Relationship Id="rId16" Type="http://schemas.openxmlformats.org/officeDocument/2006/relationships/hyperlink" Target="http://cctaa.wkinfo.com.cn/document/show?aid=MTAwMDI2MzMxNjM%3D&amp;bid=&amp;collection=legislation&amp;language=&#20013;&#25991;&amp;tokens=&amp;showType=0&amp;searchScope=taaScope" TargetMode="External"/><Relationship Id="rId20" Type="http://schemas.openxmlformats.org/officeDocument/2006/relationships/hyperlink" Target="http://cctaa.wkinfo.com.cn/document/show?aid=MTAwMDI2MzMxNjM%3D&amp;bid=&amp;collection=legislation&amp;language=&#20013;&#25991;&amp;tokens=&amp;showType=0&amp;searchScope=taaScope" TargetMode="External"/><Relationship Id="rId29" Type="http://schemas.openxmlformats.org/officeDocument/2006/relationships/hyperlink" Target="http://cctaa.wkinfo.com.cn/document/show?aid=MTAxMDAxMjE3OTA%3D&amp;bid=&amp;collection=legislation&amp;language=&#20013;&#25991;&amp;tokens=&amp;showType=0&amp;searchScope=taaScope" TargetMode="External"/><Relationship Id="rId41" Type="http://schemas.openxmlformats.org/officeDocument/2006/relationships/hyperlink" Target="http://cctaa.wkinfo.com.cn/document/show?aid=MTAwMDQzNDU3NjA%3D&amp;bid=&amp;collection=legislation&amp;language=&#20013;&#25991;&amp;tokens=&amp;showType=0&amp;searchScope=taaScope" TargetMode="External"/><Relationship Id="rId54" Type="http://schemas.openxmlformats.org/officeDocument/2006/relationships/printerSettings" Target="../printerSettings/printerSettings128.bin"/><Relationship Id="rId1" Type="http://schemas.openxmlformats.org/officeDocument/2006/relationships/hyperlink" Target="http://taa.wkinfo.com.cn/document/show?aid=MTAwMDExODc5NDQ%3D&amp;bid=&amp;collection=legislation&amp;language=&#20013;&#25991;&amp;tokens=&amp;showType=0&amp;searchScope=taaScope" TargetMode="External"/><Relationship Id="rId6" Type="http://schemas.openxmlformats.org/officeDocument/2006/relationships/hyperlink" Target="http://cctaa.wkinfo.com.cn/document/show?aid=MTAwMDAxNDU3MTA%3D&amp;bid=&amp;collection=legislation&amp;language=&#20013;&#25991;&amp;tokens=&amp;showType=0&amp;searchScope=taaScope" TargetMode="External"/><Relationship Id="rId11" Type="http://schemas.openxmlformats.org/officeDocument/2006/relationships/hyperlink" Target="http://cctaa.wkinfo.com.cn/document/show?aid=MTAwMDUzODAyNzU%3D&amp;bid=&amp;collection=legislation&amp;language=&#20013;&#25991;&amp;tokens=&amp;showType=0&amp;searchScope=taaScope" TargetMode="External"/><Relationship Id="rId24" Type="http://schemas.openxmlformats.org/officeDocument/2006/relationships/hyperlink" Target="http://cctaa.wkinfo.com.cn/document/show?aid=MTAwMDI2MzMxNjM%3D&amp;bid=&amp;collection=legislation&amp;language=&#20013;&#25991;&amp;tokens=&amp;showType=0&amp;searchScope=taaScope" TargetMode="External"/><Relationship Id="rId32" Type="http://schemas.openxmlformats.org/officeDocument/2006/relationships/hyperlink" Target="http://cctaa.wkinfo.com.cn/document/show?aid=MTAxMDAxMjU3NTg%3D&amp;bid=&amp;collection=legislation&amp;language=&#20013;&#25991;&amp;tokens=&amp;showType=0&amp;searchScope=taaScope" TargetMode="External"/><Relationship Id="rId37" Type="http://schemas.openxmlformats.org/officeDocument/2006/relationships/hyperlink" Target="http://cctaa.wkinfo.com.cn/document/show?aid=MTAwMDQ1Njk5NDQ%3D&amp;bid=&amp;collection=legislation&amp;language=&#20013;&#25991;&amp;tokens=&amp;showType=0&amp;searchScope=taaScope" TargetMode="External"/><Relationship Id="rId40" Type="http://schemas.openxmlformats.org/officeDocument/2006/relationships/hyperlink" Target="http://taa.wkinfo.com.cn/document/show?aid=MTAwMDI1NDk4MDU%3D&amp;bid=&amp;collection=legislation&amp;language=&#20013;&#25991;&amp;tokens=&amp;showType=0&amp;searchScope=taaScope" TargetMode="External"/><Relationship Id="rId45" Type="http://schemas.openxmlformats.org/officeDocument/2006/relationships/hyperlink" Target="http://cctaa.wkinfo.com.cn/document/show?aid=MTAwMTA2NTAxODM%3D&amp;bid=&amp;collection=legislation&amp;language=&#20013;&#25991;&amp;tokens=&amp;showType=0&amp;searchScope=taaScope" TargetMode="External"/><Relationship Id="rId53" Type="http://schemas.openxmlformats.org/officeDocument/2006/relationships/hyperlink" Target="http://cctaa.wkinfo.com.cn/document/show?aid=MTAwMDAxODIzOTM%3D&amp;bid=&amp;collection=legislation&amp;language=&#20013;&#25991;&amp;tokens=&amp;showType=0&amp;searchScope=taaScope" TargetMode="External"/><Relationship Id="rId5" Type="http://schemas.openxmlformats.org/officeDocument/2006/relationships/hyperlink" Target="http://cctaa.wkinfo.com.cn/document/show?aid=MTAwMDAxNDU1NDc%3D&amp;bid=&amp;collection=legislation&amp;language=&#20013;&#25991;&amp;tokens=&amp;showType=0&amp;searchScope=taaScope" TargetMode="External"/><Relationship Id="rId15" Type="http://schemas.openxmlformats.org/officeDocument/2006/relationships/hyperlink" Target="http://cctaa.wkinfo.com.cn/document/show?aid=MTAwMDUzODAyNzU%3D&amp;bid=&amp;collection=legislation&amp;language=&#20013;&#25991;&amp;tokens=&amp;showType=0&amp;searchScope=taaScope" TargetMode="External"/><Relationship Id="rId23" Type="http://schemas.openxmlformats.org/officeDocument/2006/relationships/hyperlink" Target="http://cctaa.wkinfo.com.cn/document/show?aid=MTAwMDUzODAyNzU%3D&amp;bid=&amp;collection=legislation&amp;language=&#20013;&#25991;&amp;tokens=&amp;showType=0&amp;searchScope=taaScope" TargetMode="External"/><Relationship Id="rId28" Type="http://schemas.openxmlformats.org/officeDocument/2006/relationships/hyperlink" Target="http://cctaa.wkinfo.com.cn/document/show?aid=MTAxMDAxMTI2NzM%3D&amp;bid=&amp;collection=legislation&amp;language=&#20013;&#25991;&amp;tokens=&amp;showType=0&amp;searchScope=taaScope" TargetMode="External"/><Relationship Id="rId36" Type="http://schemas.openxmlformats.org/officeDocument/2006/relationships/hyperlink" Target="http://cctaa.wkinfo.com.cn/document/show?aid=MTAwMDM0NzM1MzM%3D&amp;bid=&amp;collection=legislation&amp;language=&#20013;&#25991;&amp;tokens=&amp;showType=0&amp;searchScope=taaScope" TargetMode="External"/><Relationship Id="rId49" Type="http://schemas.openxmlformats.org/officeDocument/2006/relationships/hyperlink" Target="http://cctaa.wkinfo.com.cn/document/show?aid=MTAxMDAxMjQwNjM%3D&amp;bid=&amp;collection=legislation&amp;language=%E4%B8%AD%E6%96%87&amp;tokens=1c82ded8911f506d3963ea3ba452ef2b&amp;showType=0" TargetMode="External"/><Relationship Id="rId10" Type="http://schemas.openxmlformats.org/officeDocument/2006/relationships/hyperlink" Target="http://cctaa.wkinfo.com.cn/document/show?aid=MTAwMDI2MzMxNjM%3D&amp;bid=&amp;collection=legislation&amp;language=&#20013;&#25991;&amp;tokens=&amp;showType=0&amp;searchScope=taaScope" TargetMode="External"/><Relationship Id="rId19" Type="http://schemas.openxmlformats.org/officeDocument/2006/relationships/hyperlink" Target="http://cctaa.wkinfo.com.cn/document/show?aid=MTAwMDUzODAyNzU%3D&amp;bid=&amp;collection=legislation&amp;language=&#20013;&#25991;&amp;tokens=&amp;showType=0&amp;searchScope=taaScope" TargetMode="External"/><Relationship Id="rId31" Type="http://schemas.openxmlformats.org/officeDocument/2006/relationships/hyperlink" Target="http://cctaa.wkinfo.com.cn/document/show?aid=MTAwMTAyMDc2NzI%3D&amp;bid=&amp;collection=legislation&amp;language=&#20013;&#25991;&amp;tokens=&amp;showType=0&amp;searchScope=taaScope" TargetMode="External"/><Relationship Id="rId44" Type="http://schemas.openxmlformats.org/officeDocument/2006/relationships/hyperlink" Target="http://cctaa.wkinfo.com.cn/document/show?aid=MTAwMTA2NTExODE%3D&amp;bid=&amp;collection=legislation&amp;language=&#20013;&#25991;&amp;tokens=&amp;showType=0&amp;searchScope=taaScope" TargetMode="External"/><Relationship Id="rId52" Type="http://schemas.openxmlformats.org/officeDocument/2006/relationships/hyperlink" Target="http://cctaa.wkinfo.com.cn/document/show?aid=MTAwMDI1NDk4MDU%3D&amp;bid=&amp;collection=legislation&amp;language=&#20013;&#25991;&amp;tokens=&amp;showType=0&amp;searchScope=taaScope" TargetMode="External"/><Relationship Id="rId4" Type="http://schemas.openxmlformats.org/officeDocument/2006/relationships/hyperlink" Target="http://cctaa.wkinfo.com.cn/document/show?aid=MTAxMDAxMTM2Njk%3D&amp;bid=&amp;collection=legislation&amp;language=&#20013;&#25991;&amp;tokens=&amp;showType=0&amp;searchScope=taaScope" TargetMode="External"/><Relationship Id="rId9" Type="http://schemas.openxmlformats.org/officeDocument/2006/relationships/hyperlink" Target="http://cctaa.wkinfo.com.cn/document/show?aid=MTAwMDUzODAyNzU%3D&amp;bid=&amp;collection=legislation&amp;language=&#20013;&#25991;&amp;tokens=&amp;showType=0&amp;searchScope=taaScope" TargetMode="External"/><Relationship Id="rId14" Type="http://schemas.openxmlformats.org/officeDocument/2006/relationships/hyperlink" Target="http://cctaa.wkinfo.com.cn/document/show?aid=MTAwMDI2MzMxNjM%3D&amp;bid=&amp;collection=legislation&amp;language=&#20013;&#25991;&amp;tokens=&amp;showType=0&amp;searchScope=taaScope" TargetMode="External"/><Relationship Id="rId22" Type="http://schemas.openxmlformats.org/officeDocument/2006/relationships/hyperlink" Target="http://cctaa.wkinfo.com.cn/document/show?aid=MTAwMDI2MzMxNjM%3D&amp;bid=&amp;collection=legislation&amp;language=&#20013;&#25991;&amp;tokens=&amp;showType=0&amp;searchScope=taaScope" TargetMode="External"/><Relationship Id="rId27" Type="http://schemas.openxmlformats.org/officeDocument/2006/relationships/hyperlink" Target="http://cctaa.wkinfo.com.cn/document/show?aid=MTAxMDAxMTQwMDc%3D&amp;bid=&amp;collection=legislation&amp;language=&#20013;&#25991;&amp;tokens=&amp;showType=0&amp;searchScope=taaScope" TargetMode="External"/><Relationship Id="rId30" Type="http://schemas.openxmlformats.org/officeDocument/2006/relationships/hyperlink" Target="http://cctaa.wkinfo.com.cn/document/show?aid=MTAxMDAxMTI0Mzk%3D&amp;bid=&amp;collection=legislation&amp;language=&#20013;&#25991;&amp;tokens=&amp;showType=0&amp;searchScope=taaScope" TargetMode="External"/><Relationship Id="rId35" Type="http://schemas.openxmlformats.org/officeDocument/2006/relationships/hyperlink" Target="http://cctaa.wkinfo.com.cn/document/show?aid=MTAxMDAwMDk4MjI%3D&amp;bid=&amp;collection=legislation&amp;language=&#20013;&#25991;&amp;tokens=&amp;showType=0&amp;searchScope=taaScope" TargetMode="External"/><Relationship Id="rId43" Type="http://schemas.openxmlformats.org/officeDocument/2006/relationships/hyperlink" Target="http://cctaa.wkinfo.com.cn/document/show?aid=MTAwMDExODc5NDM%3D&amp;bid=&amp;collection=legislation&amp;language=&#20013;&#25991;&amp;tokens=&amp;showType=0&amp;searchScope=taaScope" TargetMode="External"/><Relationship Id="rId48" Type="http://schemas.openxmlformats.org/officeDocument/2006/relationships/hyperlink" Target="http://cctaa.wkinfo.com.cn/document/show?aid=MTAxMDAxMjQwMjM%3D&amp;bid=&amp;collection=legislation&amp;language=%E4%B8%AD%E6%96%87&amp;tokens=e7a6f03023d5bdc24abd1acbb9a6af23&amp;showType=0" TargetMode="External"/><Relationship Id="rId56" Type="http://schemas.openxmlformats.org/officeDocument/2006/relationships/comments" Target="../comments39.xml"/><Relationship Id="rId8" Type="http://schemas.openxmlformats.org/officeDocument/2006/relationships/hyperlink" Target="http://cctaa.wkinfo.com.cn/document/show?aid=MTAwMDI2MzMxNjM%3D&amp;bid=&amp;collection=legislation&amp;language=&#20013;&#25991;&amp;tokens=&amp;showType=0&amp;searchScope=taaScope" TargetMode="External"/><Relationship Id="rId51" Type="http://schemas.openxmlformats.org/officeDocument/2006/relationships/hyperlink" Target="http://cctaa.wkinfo.com.cn/document/show?aid=MTAwMTAyMTMxMDk%3D&amp;bid=&amp;collection=legislation&amp;language=%E4%B8%AD%E6%96%87&amp;tokens=2add5c4fc1d08134cbf35abfbf10c2a6&amp;showType=0" TargetMode="External"/><Relationship Id="rId3" Type="http://schemas.openxmlformats.org/officeDocument/2006/relationships/hyperlink" Target="http://cctaa.wkinfo.com.cn/document/show?aid=MTAwMDQxMTAxNTk%3D&amp;bid=&amp;collection=legislation&amp;language=&#20013;&#25991;&amp;tokens=&amp;showType=0&amp;searchScope=taaScope" TargetMode="External"/></Relationships>
</file>

<file path=xl/worksheets/_rels/sheet129.xml.rels><?xml version="1.0" encoding="UTF-8" standalone="yes"?>
<Relationships xmlns="http://schemas.openxmlformats.org/package/2006/relationships"><Relationship Id="rId3" Type="http://schemas.openxmlformats.org/officeDocument/2006/relationships/hyperlink" Target="http://cctaa.wkinfo.com.cn/document/show?aid=MTAxMDAxMjAxMTM%3D&amp;bid=&amp;collection=legislation&amp;language=%E4%B8%AD%E6%96%87&amp;tokens=&amp;showType=0&amp;searchScope=taaScope" TargetMode="External"/><Relationship Id="rId7" Type="http://schemas.openxmlformats.org/officeDocument/2006/relationships/comments" Target="../comments40.xml"/><Relationship Id="rId2" Type="http://schemas.openxmlformats.org/officeDocument/2006/relationships/hyperlink" Target="http://cctaa.wkinfo.com.cn/document/show?aid=MTAxMDAxMTc4OTM%3D&amp;bid=&amp;collection=legislation&amp;language=%E4%B8%AD%E6%96%87&amp;tokens=&amp;showType=0&amp;searchScope=taaScope" TargetMode="External"/><Relationship Id="rId1" Type="http://schemas.openxmlformats.org/officeDocument/2006/relationships/hyperlink" Target="http://cctaa.wkinfo.com.cn/document/showcommentary?aid=MzAwMDAyNw%3D%3D&amp;bid=QjAwMDAwMjU2MjQ%3D&amp;collection=commentary&amp;language=CN&amp;tokens=c3cd8a30554991a633ba902e3cd86e9b&amp;showType=0" TargetMode="External"/><Relationship Id="rId6" Type="http://schemas.openxmlformats.org/officeDocument/2006/relationships/vmlDrawing" Target="../drawings/vmlDrawing97.vml"/><Relationship Id="rId5" Type="http://schemas.openxmlformats.org/officeDocument/2006/relationships/printerSettings" Target="../printerSettings/printerSettings129.bin"/><Relationship Id="rId4" Type="http://schemas.openxmlformats.org/officeDocument/2006/relationships/hyperlink" Target="http://cctaa.wkinfo.com.cn/document/show?aid=MTAwMTA2NTM5MDY%3D&amp;bid=&amp;collection=legislation&amp;language=%E4%B8%AD%E6%96%87&amp;tokens=&amp;showType=0&amp;searchScope=taaScope" TargetMode="External"/></Relationships>
</file>

<file path=xl/worksheets/_rels/sheet13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zM%3D&amp;collection=commentary&amp;language=CN&amp;tokens=780c670fda3c6bcee404294207f77973&amp;showType=0" TargetMode="External"/><Relationship Id="rId13" Type="http://schemas.openxmlformats.org/officeDocument/2006/relationships/printerSettings" Target="../printerSettings/printerSettings130.bin"/><Relationship Id="rId3" Type="http://schemas.openxmlformats.org/officeDocument/2006/relationships/hyperlink" Target="http://taa.wkinfo.com.cn/document/show?aid=MTAwMDI2MzMxNjM%3D&amp;bid=&amp;collection=legislation&amp;language=&#20013;&#25991;&amp;tokens=&amp;showType=0" TargetMode="External"/><Relationship Id="rId7" Type="http://schemas.openxmlformats.org/officeDocument/2006/relationships/hyperlink" Target="http://cctaa.wkinfo.com.cn/document/showcommentary?aid=MzAwMDAyNw%3D%3D&amp;bid=QjAwMDAwMjU2MzY%3D&amp;collection=commentary&amp;language=CN&amp;tokens=936158ec094614a511a267f486e1041a&amp;showType=0" TargetMode="External"/><Relationship Id="rId12" Type="http://schemas.openxmlformats.org/officeDocument/2006/relationships/hyperlink" Target="http://cctaa.wkinfo.com.cn/document/show?aid=MTAxMDAxMTQwMDc%3D&amp;bid=&amp;collection=legislation&amp;language=%E4%B8%AD%E6%96%87&amp;tokens=&amp;showType=0&amp;searchScope=taaScope" TargetMode="External"/><Relationship Id="rId2" Type="http://schemas.openxmlformats.org/officeDocument/2006/relationships/hyperlink" Target="http://taa.wkinfo.com.cn/document/showcommentary?aid=MzAwMDAyNw%3D%3D&amp;bid=QjAwMDAwMjU2MzM%3D&amp;collection=commentary&amp;language=CN&amp;tokens=780c670fda3c6bcee404294207f77973&amp;showType=0" TargetMode="External"/><Relationship Id="rId1" Type="http://schemas.openxmlformats.org/officeDocument/2006/relationships/hyperlink" Target="http://taa.wkinfo.com.cn/document/showcommentary?aid=MzAwMDAyNw%3D%3D&amp;bid=QjAwMDAwMjU2MzY%3D&amp;collection=commentary&amp;language=CN&amp;tokens=936158ec094614a511a267f486e1041a&amp;showType=0" TargetMode="External"/><Relationship Id="rId6" Type="http://schemas.openxmlformats.org/officeDocument/2006/relationships/hyperlink" Target="http://taa.wkinfo.com.cn/document/show?aid=MTAxMDAxMTQwMDc%3D&amp;bid=&amp;collection=legislation&amp;language=%E4%B8%AD%E6%96%87&amp;tokens=&amp;showType=0&amp;searchScope=taaScope" TargetMode="External"/><Relationship Id="rId11" Type="http://schemas.openxmlformats.org/officeDocument/2006/relationships/hyperlink" Target="http://cctaa.wkinfo.com.cn/document/show?aid=MTAwMDUzODc0MDc%3D&amp;bid=&amp;collection=legislation&amp;language=%E4%B8%AD%E6%96%87&amp;tokens=&amp;showType=0&amp;searchScope=taaScope" TargetMode="External"/><Relationship Id="rId5" Type="http://schemas.openxmlformats.org/officeDocument/2006/relationships/hyperlink" Target="http://taa.wkinfo.com.cn/document/show?aid=MTAwMDUzODc0MDc%3D&amp;bid=&amp;collection=legislation&amp;language=%E4%B8%AD%E6%96%87&amp;tokens=&amp;showType=0&amp;searchScope=taaScope" TargetMode="External"/><Relationship Id="rId15" Type="http://schemas.openxmlformats.org/officeDocument/2006/relationships/comments" Target="../comments41.xml"/><Relationship Id="rId10" Type="http://schemas.openxmlformats.org/officeDocument/2006/relationships/hyperlink" Target="http://cctaa.wkinfo.com.cn/document/show?aid=MTAwMDUzODAyNzU%3D&amp;bid=&amp;collection=legislation&amp;language=%E4%B8%AD%E6%96%87&amp;tokens=&amp;showType=0&amp;searchScope=taaScope" TargetMode="External"/><Relationship Id="rId4" Type="http://schemas.openxmlformats.org/officeDocument/2006/relationships/hyperlink" Target="http://taa.wkinfo.com.cn/document/show?aid=MTAwMDUzODAyNzU%3D&amp;bid=&amp;collection=legislation&amp;language=%E4%B8%AD%E6%96%87&amp;tokens=&amp;showType=0&amp;searchScope=taaScope" TargetMode="External"/><Relationship Id="rId9" Type="http://schemas.openxmlformats.org/officeDocument/2006/relationships/hyperlink" Target="http://cctaa.wkinfo.com.cn/document/show?aid=MTAwMDI2MzMxNjM%3D&amp;bid=&amp;collection=legislation&amp;language=&#20013;&#25991;&amp;tokens=&amp;showType=0" TargetMode="External"/><Relationship Id="rId14" Type="http://schemas.openxmlformats.org/officeDocument/2006/relationships/vmlDrawing" Target="../drawings/vmlDrawing98.vml"/></Relationships>
</file>

<file path=xl/worksheets/_rels/sheet131.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DA%3D&amp;collection=commentary&amp;language=CN&amp;tokens=daeb3264ab318ba140324e7b145a7f3c&amp;showType=0" TargetMode="External"/><Relationship Id="rId13" Type="http://schemas.openxmlformats.org/officeDocument/2006/relationships/hyperlink" Target="http://cctaa.wkinfo.com.cn/document/show?aid=MTAwMDAxNDYwNzM%3D&amp;bid=&amp;collection=legislation&amp;language=&#20013;&#25991;&amp;tokens=&amp;showType=0" TargetMode="External"/><Relationship Id="rId3" Type="http://schemas.openxmlformats.org/officeDocument/2006/relationships/hyperlink" Target="http://taa.wkinfo.com.cn/document/show?aid=MTAwMDAyNzQ3MDc%3D&amp;bid=&amp;collection=legislation&amp;language=&#20013;&#25991;&amp;tokens=&amp;showType=0" TargetMode="External"/><Relationship Id="rId7" Type="http://schemas.openxmlformats.org/officeDocument/2006/relationships/hyperlink" Target="http://taa.wkinfo.com.cn/document/show?aid=MTAwMTA4Mzc5NTc%3D&amp;bid=&amp;collection=legislation&amp;language=%E4%B8%AD%E6%96%87&amp;tokens=&amp;showType=0&amp;searchScope=taaScope" TargetMode="External"/><Relationship Id="rId12" Type="http://schemas.openxmlformats.org/officeDocument/2006/relationships/hyperlink" Target="http://cctaa.wkinfo.com.cn/document/show?aid=MTAwMDAxNDU2MjQ%3D&amp;bid=&amp;collection=legislation&amp;language=&#20013;&#25991;&amp;tokens=&amp;showType=0" TargetMode="External"/><Relationship Id="rId17" Type="http://schemas.openxmlformats.org/officeDocument/2006/relationships/comments" Target="../comments42.xml"/><Relationship Id="rId2" Type="http://schemas.openxmlformats.org/officeDocument/2006/relationships/hyperlink" Target="http://taa.wkinfo.com.cn/document/show?aid=MTAwMDEyOTEwNzA%3D&amp;bid=&amp;collection=legislation&amp;language=&#20013;&#25991;&amp;tokens=&amp;showType=0" TargetMode="External"/><Relationship Id="rId16" Type="http://schemas.openxmlformats.org/officeDocument/2006/relationships/vmlDrawing" Target="../drawings/vmlDrawing99.vml"/><Relationship Id="rId1" Type="http://schemas.openxmlformats.org/officeDocument/2006/relationships/hyperlink" Target="http://taa.wkinfo.com.cn/document/showcommentary?aid=MzAwMDAyNw%3D%3D&amp;bid=QjAwMDAwMjU2MDA%3D&amp;collection=commentary&amp;language=CN&amp;tokens=daeb3264ab318ba140324e7b145a7f3c&amp;showType=0" TargetMode="External"/><Relationship Id="rId6" Type="http://schemas.openxmlformats.org/officeDocument/2006/relationships/hyperlink" Target="http://taa.wkinfo.com.cn/document/show?aid=MTAwMDAxNDYwNzM%3D&amp;bid=&amp;collection=legislation&amp;language=&#20013;&#25991;&amp;tokens=&amp;showType=0" TargetMode="External"/><Relationship Id="rId11" Type="http://schemas.openxmlformats.org/officeDocument/2006/relationships/hyperlink" Target="http://cctaa.wkinfo.com.cn/document/show?aid=MTAwMDEyOTExNDc%3D&amp;bid=&amp;collection=legislation&amp;language=&#20013;&#25991;&amp;tokens=&amp;showType=0" TargetMode="External"/><Relationship Id="rId5" Type="http://schemas.openxmlformats.org/officeDocument/2006/relationships/hyperlink" Target="http://taa.wkinfo.com.cn/document/show?aid=MTAwMDAxNDU2MjQ%3D&amp;bid=&amp;collection=legislation&amp;language=&#20013;&#25991;&amp;tokens=&amp;showType=0" TargetMode="External"/><Relationship Id="rId15" Type="http://schemas.openxmlformats.org/officeDocument/2006/relationships/printerSettings" Target="../printerSettings/printerSettings131.bin"/><Relationship Id="rId10" Type="http://schemas.openxmlformats.org/officeDocument/2006/relationships/hyperlink" Target="http://cctaa.wkinfo.com.cn/document/show?aid=MTAwMDAyNzQ3MDc%3D&amp;bid=&amp;collection=legislation&amp;language=&#20013;&#25991;&amp;tokens=&amp;showType=0" TargetMode="External"/><Relationship Id="rId4" Type="http://schemas.openxmlformats.org/officeDocument/2006/relationships/hyperlink" Target="http://taa.wkinfo.com.cn/document/show?aid=MTAwMDEyOTExNDc%3D&amp;bid=&amp;collection=legislation&amp;language=&#20013;&#25991;&amp;tokens=&amp;showType=0" TargetMode="External"/><Relationship Id="rId9" Type="http://schemas.openxmlformats.org/officeDocument/2006/relationships/hyperlink" Target="http://cctaa.wkinfo.com.cn/document/show?aid=MTAwMDEyOTEwNzA%3D&amp;bid=&amp;collection=legislation&amp;language=&#20013;&#25991;&amp;tokens=&amp;showType=0" TargetMode="External"/><Relationship Id="rId14" Type="http://schemas.openxmlformats.org/officeDocument/2006/relationships/hyperlink" Target="http://cctaa.wkinfo.com.cn/document/show?aid=MTAwMTA4Mzc5NTc%3D&amp;bid=&amp;collection=legislation&amp;language=%E4%B8%AD%E6%96%87&amp;tokens=&amp;showType=0&amp;searchScope=taaScope" TargetMode="External"/></Relationships>
</file>

<file path=xl/worksheets/_rels/sheet132.xml.rels><?xml version="1.0" encoding="UTF-8" standalone="yes"?>
<Relationships xmlns="http://schemas.openxmlformats.org/package/2006/relationships"><Relationship Id="rId8" Type="http://schemas.openxmlformats.org/officeDocument/2006/relationships/hyperlink" Target="http://cctaa.wkinfo.com.cn/document/show?aid=MTAwMDE0MjkyODE%3D&amp;bid=&amp;collection=legislation&amp;language=&#20013;&#25991;&amp;tokens=c03379d71c6f753d01fea2daddf54a53&amp;showType=0" TargetMode="External"/><Relationship Id="rId13" Type="http://schemas.openxmlformats.org/officeDocument/2006/relationships/comments" Target="../comments43.xm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AxNjA3MDE%3D&amp;bid=&amp;collection=legislation&amp;language=&#20013;&#25991;&amp;tokens=&amp;showType=0" TargetMode="External"/><Relationship Id="rId12" Type="http://schemas.openxmlformats.org/officeDocument/2006/relationships/vmlDrawing" Target="../drawings/vmlDrawing100.vm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1" Type="http://schemas.openxmlformats.org/officeDocument/2006/relationships/printerSettings" Target="../printerSettings/printerSettings132.bin"/><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0" Type="http://schemas.openxmlformats.org/officeDocument/2006/relationships/hyperlink" Target="http://cctaa.wkinfo.com.cn/document/show?aid=MTAwMTA5ODE2NDU%3D&amp;bid=&amp;collection=legislation&amp;language=%E4%B8%AD%E6%96%87&amp;tokens=&amp;showType=0&amp;searchScope=taaScope" TargetMode="External"/><Relationship Id="rId4" Type="http://schemas.openxmlformats.org/officeDocument/2006/relationships/hyperlink" Target="http://taa.wkinfo.com.cn/document/show?aid=MTAxMDAwMDQxMzE%3D&amp;bid=&amp;collection=legislation&amp;language=&#20013;&#25991;&amp;tokens=&amp;showType=0" TargetMode="External"/><Relationship Id="rId9" Type="http://schemas.openxmlformats.org/officeDocument/2006/relationships/hyperlink" Target="http://cctaa.wkinfo.com.cn/document/show?aid=MTAxMDAwMDQxMzE%3D&amp;bid=&amp;collection=legislation&amp;language=&#20013;&#25991;&amp;tokens=&amp;showType=0" TargetMode="External"/></Relationships>
</file>

<file path=xl/worksheets/_rels/sheet133.xml.rels><?xml version="1.0" encoding="UTF-8" standalone="yes"?>
<Relationships xmlns="http://schemas.openxmlformats.org/package/2006/relationships"><Relationship Id="rId8" Type="http://schemas.openxmlformats.org/officeDocument/2006/relationships/hyperlink" Target="http://cctaa.wkinfo.com.cn/document/show?aid=MTAwMDAxNjA3MDE%3D&amp;bid=&amp;collection=legislation&amp;language=&#20013;&#25991;&amp;tokens=&amp;showType=0" TargetMode="External"/><Relationship Id="rId13" Type="http://schemas.openxmlformats.org/officeDocument/2006/relationships/printerSettings" Target="../printerSettings/printerSettings133.bin"/><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2" Type="http://schemas.openxmlformats.org/officeDocument/2006/relationships/hyperlink" Target="http://cctaa.wkinfo.com.cn/document/show?aid=MTAxMDAwMDQxMzE%3D&amp;bid=&amp;collection=legislation&amp;language=&#20013;&#25991;&amp;tokens=&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taa.wkinfo.com.cn/document/show?aid=MTAxMDAwMDQxMzE%3D&amp;bid=&amp;collection=legislation&amp;language=&#20013;&#25991;&amp;tokens=&amp;showType=0" TargetMode="External"/><Relationship Id="rId11" Type="http://schemas.openxmlformats.org/officeDocument/2006/relationships/hyperlink" Target="http://cctaa.wkinfo.com.cn/document/show?aid=MTAwMTA5ODE2NDU%3D&amp;bid=&amp;collection=legislation&amp;language=%E4%B8%AD%E6%96%87&amp;tokens=&amp;showType=0&amp;searchScope=taaScope" TargetMode="External"/><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5" Type="http://schemas.openxmlformats.org/officeDocument/2006/relationships/comments" Target="../comments44.xml"/><Relationship Id="rId10" Type="http://schemas.openxmlformats.org/officeDocument/2006/relationships/hyperlink" Target="http://cctaa.wkinfo.com.cn/document/show?aid=MTAxMDAxMTA1MTA%3D&amp;bid=&amp;collection=legislation&amp;language=&#20013;&#25991;&amp;tokens=6e3a09e41302f60c55e9a849d13fbb00&amp;showType=0" TargetMode="External"/><Relationship Id="rId4" Type="http://schemas.openxmlformats.org/officeDocument/2006/relationships/hyperlink" Target="http://taa.wkinfo.com.cn/document/show?aid=MTAxMDAxMTA1MTA%3D&amp;bid=&amp;collection=legislation&amp;language=&#20013;&#25991;&amp;tokens=6e3a09e41302f60c55e9a849d13fbb00&amp;showType=0" TargetMode="External"/><Relationship Id="rId9" Type="http://schemas.openxmlformats.org/officeDocument/2006/relationships/hyperlink" Target="http://cctaa.wkinfo.com.cn/document/show?aid=MTAwMDE0MjkyODE%3D&amp;bid=&amp;collection=legislation&amp;language=&#20013;&#25991;&amp;tokens=c03379d71c6f753d01fea2daddf54a53&amp;showType=0" TargetMode="External"/><Relationship Id="rId14" Type="http://schemas.openxmlformats.org/officeDocument/2006/relationships/vmlDrawing" Target="../drawings/vmlDrawing101.vml"/></Relationships>
</file>

<file path=xl/worksheets/_rels/sheet134.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11" Type="http://schemas.openxmlformats.org/officeDocument/2006/relationships/comments" Target="../comments45.xm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0" Type="http://schemas.openxmlformats.org/officeDocument/2006/relationships/vmlDrawing" Target="../drawings/vmlDrawing102.vm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11" Type="http://schemas.openxmlformats.org/officeDocument/2006/relationships/comments" Target="../comments46.xm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0" Type="http://schemas.openxmlformats.org/officeDocument/2006/relationships/vmlDrawing" Target="../drawings/vmlDrawing103.vm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8" Type="http://schemas.openxmlformats.org/officeDocument/2006/relationships/comments" Target="../comments47.xml"/><Relationship Id="rId3" Type="http://schemas.openxmlformats.org/officeDocument/2006/relationships/hyperlink" Target="http://taa.wkinfo.com.cn/document/show?aid=MTAwMDM0NTk1NDE%3D&amp;bid=&amp;collection=legislation&amp;language=&#20013;&#25991;&amp;tokens=&amp;showType=0" TargetMode="External"/><Relationship Id="rId7" Type="http://schemas.openxmlformats.org/officeDocument/2006/relationships/vmlDrawing" Target="../drawings/vmlDrawing104.vml"/><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6" Type="http://schemas.openxmlformats.org/officeDocument/2006/relationships/printerSettings" Target="../printerSettings/printerSettings136.bin"/><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s>
</file>

<file path=xl/worksheets/_rels/sheet137.xml.rels><?xml version="1.0" encoding="UTF-8" standalone="yes"?>
<Relationships xmlns="http://schemas.openxmlformats.org/package/2006/relationships"><Relationship Id="rId8" Type="http://schemas.openxmlformats.org/officeDocument/2006/relationships/vmlDrawing" Target="../drawings/vmlDrawing105.vml"/><Relationship Id="rId3" Type="http://schemas.openxmlformats.org/officeDocument/2006/relationships/hyperlink" Target="http://taa.wkinfo.com.cn/document/show?aid=MTAwMDM0NTk1NDE%3D&amp;bid=&amp;collection=legislation&amp;language=&#20013;&#25991;&amp;tokens=&amp;showType=0" TargetMode="External"/><Relationship Id="rId7" Type="http://schemas.openxmlformats.org/officeDocument/2006/relationships/printerSettings" Target="../printerSettings/printerSettings137.bin"/><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taa.wkinfo.com.cn/document/showcommentary?aid=MzAwMDAyNw%3D%3D&amp;bid=QjAwMDAwMjYwMzM%3D&amp;collection=commentary&amp;language=CN&amp;tokens=80a342395a62d7778955dd7544bb933a&amp;showType=0" TargetMode="External"/><Relationship Id="rId6"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 Id="rId9" Type="http://schemas.openxmlformats.org/officeDocument/2006/relationships/comments" Target="../comments48.xml"/></Relationships>
</file>

<file path=xl/worksheets/_rels/sheet138.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6" Type="http://schemas.openxmlformats.org/officeDocument/2006/relationships/comments" Target="../comments49.xml"/><Relationship Id="rId5" Type="http://schemas.openxmlformats.org/officeDocument/2006/relationships/vmlDrawing" Target="../drawings/vmlDrawing106.vml"/><Relationship Id="rId4"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6" Type="http://schemas.openxmlformats.org/officeDocument/2006/relationships/comments" Target="../comments50.xml"/><Relationship Id="rId5" Type="http://schemas.openxmlformats.org/officeDocument/2006/relationships/vmlDrawing" Target="../drawings/vmlDrawing107.vml"/><Relationship Id="rId4"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808000"/>
  </sheetPr>
  <dimension ref="A1:T1184"/>
  <sheetViews>
    <sheetView topLeftCell="I1" workbookViewId="0">
      <selection activeCell="R3" sqref="R3"/>
    </sheetView>
  </sheetViews>
  <sheetFormatPr defaultRowHeight="16.5"/>
  <cols>
    <col min="1" max="1" width="12.75" customWidth="1"/>
    <col min="2" max="2" width="12.75" bestFit="1" customWidth="1"/>
    <col min="3" max="3" width="9.875" bestFit="1" customWidth="1"/>
    <col min="4" max="4" width="13.625" bestFit="1" customWidth="1"/>
    <col min="6" max="6" width="9.125" customWidth="1"/>
    <col min="7" max="7" width="33.875" bestFit="1" customWidth="1"/>
    <col min="8" max="8" width="30.25" bestFit="1" customWidth="1"/>
    <col min="9" max="9" width="25.625" customWidth="1"/>
    <col min="13" max="13" width="19.375" bestFit="1" customWidth="1"/>
    <col min="14" max="14" width="20.5" bestFit="1" customWidth="1"/>
    <col min="15" max="15" width="20.75" bestFit="1" customWidth="1"/>
  </cols>
  <sheetData>
    <row r="1" spans="1:20">
      <c r="A1" s="499" t="s">
        <v>1805</v>
      </c>
      <c r="B1" s="500"/>
      <c r="C1" s="500"/>
      <c r="D1" s="501"/>
      <c r="F1" s="509" t="s">
        <v>1768</v>
      </c>
      <c r="G1" s="510"/>
      <c r="H1" s="605" t="s">
        <v>4462</v>
      </c>
      <c r="I1" s="519" t="s">
        <v>6667</v>
      </c>
      <c r="K1" t="s">
        <v>6455</v>
      </c>
      <c r="Q1" s="1850" t="s">
        <v>6673</v>
      </c>
      <c r="R1" s="1850" t="s">
        <v>6674</v>
      </c>
      <c r="S1" s="1850" t="s">
        <v>6776</v>
      </c>
      <c r="T1" s="1850" t="s">
        <v>6777</v>
      </c>
    </row>
    <row r="2" spans="1:20" ht="62.45" customHeight="1">
      <c r="A2" s="502" t="s">
        <v>1799</v>
      </c>
      <c r="B2" s="503" t="s">
        <v>1826</v>
      </c>
      <c r="C2" s="503"/>
      <c r="D2" s="504"/>
      <c r="F2" s="512" t="s">
        <v>1925</v>
      </c>
      <c r="G2" s="511" t="s">
        <v>1860</v>
      </c>
      <c r="H2" t="s">
        <v>4208</v>
      </c>
      <c r="K2" t="s">
        <v>6447</v>
      </c>
      <c r="L2" s="1850" t="s">
        <v>6450</v>
      </c>
      <c r="M2" s="1850" t="s">
        <v>6453</v>
      </c>
      <c r="N2" s="1850" t="s">
        <v>6454</v>
      </c>
      <c r="P2" s="1850"/>
      <c r="Q2" s="1850" t="s">
        <v>6675</v>
      </c>
      <c r="R2" s="1850" t="s">
        <v>5631</v>
      </c>
      <c r="S2" s="1850" t="s">
        <v>6778</v>
      </c>
      <c r="T2" s="1850" t="s">
        <v>6779</v>
      </c>
    </row>
    <row r="3" spans="1:20" ht="62.45" customHeight="1">
      <c r="A3" s="502" t="s">
        <v>1800</v>
      </c>
      <c r="B3" s="505" t="s">
        <v>1806</v>
      </c>
      <c r="C3" s="505" t="s">
        <v>1807</v>
      </c>
      <c r="D3" s="504"/>
      <c r="F3" s="512" t="s">
        <v>1926</v>
      </c>
      <c r="G3" s="511" t="s">
        <v>1861</v>
      </c>
      <c r="H3" s="520" t="s">
        <v>4207</v>
      </c>
      <c r="K3" t="s">
        <v>6448</v>
      </c>
      <c r="L3" t="s">
        <v>6451</v>
      </c>
      <c r="M3" t="s">
        <v>6467</v>
      </c>
      <c r="N3" s="1850" t="s">
        <v>6468</v>
      </c>
      <c r="Q3" s="1850" t="s">
        <v>6676</v>
      </c>
      <c r="R3" s="1850" t="s">
        <v>5912</v>
      </c>
      <c r="S3" s="1850" t="s">
        <v>6780</v>
      </c>
      <c r="T3" s="1850" t="s">
        <v>6781</v>
      </c>
    </row>
    <row r="4" spans="1:20">
      <c r="A4" s="502" t="s">
        <v>1801</v>
      </c>
      <c r="B4" s="505" t="s">
        <v>1810</v>
      </c>
      <c r="C4" s="505" t="s">
        <v>1808</v>
      </c>
      <c r="D4" s="504" t="s">
        <v>1809</v>
      </c>
      <c r="F4" s="512" t="s">
        <v>1927</v>
      </c>
      <c r="G4" s="511" t="s">
        <v>1862</v>
      </c>
      <c r="K4" s="1850" t="s">
        <v>6469</v>
      </c>
      <c r="L4" t="s">
        <v>6451</v>
      </c>
      <c r="M4" t="s">
        <v>6467</v>
      </c>
      <c r="N4" t="s">
        <v>6468</v>
      </c>
      <c r="O4" t="s">
        <v>6470</v>
      </c>
      <c r="Q4" s="1850" t="s">
        <v>6677</v>
      </c>
      <c r="R4" s="1850" t="s">
        <v>6678</v>
      </c>
      <c r="S4" s="1850" t="s">
        <v>6782</v>
      </c>
      <c r="T4" s="1850" t="s">
        <v>6783</v>
      </c>
    </row>
    <row r="5" spans="1:20">
      <c r="A5" s="502" t="s">
        <v>1802</v>
      </c>
      <c r="B5" s="505" t="s">
        <v>1810</v>
      </c>
      <c r="C5" s="505" t="s">
        <v>1811</v>
      </c>
      <c r="D5" s="504"/>
      <c r="F5" s="512" t="s">
        <v>1928</v>
      </c>
      <c r="G5" s="511" t="s">
        <v>1863</v>
      </c>
      <c r="K5" s="1850" t="s">
        <v>6471</v>
      </c>
      <c r="L5" s="1850" t="s">
        <v>6451</v>
      </c>
      <c r="M5" s="1850" t="s">
        <v>6467</v>
      </c>
      <c r="N5" s="1850" t="s">
        <v>6468</v>
      </c>
      <c r="O5" s="1850" t="s">
        <v>6470</v>
      </c>
      <c r="Q5" s="1850" t="s">
        <v>6679</v>
      </c>
      <c r="R5" s="1850" t="s">
        <v>5760</v>
      </c>
      <c r="S5" s="1850" t="s">
        <v>6784</v>
      </c>
      <c r="T5" s="1850" t="s">
        <v>6785</v>
      </c>
    </row>
    <row r="6" spans="1:20">
      <c r="A6" s="502" t="s">
        <v>1803</v>
      </c>
      <c r="B6" s="505" t="s">
        <v>1813</v>
      </c>
      <c r="C6" s="505" t="s">
        <v>1812</v>
      </c>
      <c r="D6" s="504" t="s">
        <v>1814</v>
      </c>
      <c r="F6" s="512" t="s">
        <v>1929</v>
      </c>
      <c r="G6" s="511" t="s">
        <v>1864</v>
      </c>
      <c r="K6" t="s">
        <v>6449</v>
      </c>
      <c r="L6" t="s">
        <v>6452</v>
      </c>
      <c r="Q6" s="1850" t="s">
        <v>6680</v>
      </c>
      <c r="R6" s="1850" t="s">
        <v>6681</v>
      </c>
      <c r="S6" s="1850" t="s">
        <v>6786</v>
      </c>
      <c r="T6" s="1850" t="s">
        <v>6787</v>
      </c>
    </row>
    <row r="7" spans="1:20">
      <c r="A7" s="506" t="s">
        <v>1804</v>
      </c>
      <c r="B7" s="507" t="s">
        <v>1816</v>
      </c>
      <c r="C7" s="507" t="s">
        <v>1815</v>
      </c>
      <c r="D7" s="508" t="s">
        <v>1817</v>
      </c>
      <c r="F7" s="512" t="s">
        <v>1930</v>
      </c>
      <c r="G7" s="511" t="s">
        <v>1865</v>
      </c>
      <c r="K7" t="s">
        <v>6472</v>
      </c>
      <c r="L7" t="s">
        <v>6452</v>
      </c>
      <c r="Q7" s="1850" t="s">
        <v>6682</v>
      </c>
      <c r="R7" s="1850" t="s">
        <v>5768</v>
      </c>
      <c r="S7" s="1850" t="s">
        <v>6788</v>
      </c>
      <c r="T7" s="1850" t="s">
        <v>6789</v>
      </c>
    </row>
    <row r="8" spans="1:20">
      <c r="F8" s="512" t="s">
        <v>1931</v>
      </c>
      <c r="G8" s="511" t="s">
        <v>1866</v>
      </c>
      <c r="K8" s="1850" t="s">
        <v>6473</v>
      </c>
      <c r="L8" t="s">
        <v>6452</v>
      </c>
      <c r="Q8" s="1850" t="s">
        <v>6683</v>
      </c>
      <c r="R8" s="1850" t="s">
        <v>5917</v>
      </c>
      <c r="S8" s="1850" t="s">
        <v>6790</v>
      </c>
      <c r="T8" s="1850" t="s">
        <v>6791</v>
      </c>
    </row>
    <row r="9" spans="1:20">
      <c r="A9" s="499" t="s">
        <v>4206</v>
      </c>
      <c r="B9" s="500"/>
      <c r="F9" s="512" t="s">
        <v>1932</v>
      </c>
      <c r="G9" s="511" t="s">
        <v>1867</v>
      </c>
      <c r="Q9" s="1850" t="s">
        <v>6684</v>
      </c>
      <c r="R9" s="1850" t="s">
        <v>5913</v>
      </c>
      <c r="S9" s="1850" t="s">
        <v>6792</v>
      </c>
      <c r="T9" s="1850" t="s">
        <v>6793</v>
      </c>
    </row>
    <row r="10" spans="1:20">
      <c r="A10" s="515">
        <v>1</v>
      </c>
      <c r="B10" s="511" t="s">
        <v>4202</v>
      </c>
      <c r="F10" s="512" t="s">
        <v>1933</v>
      </c>
      <c r="G10" s="511" t="s">
        <v>1868</v>
      </c>
      <c r="K10" s="1850" t="s">
        <v>6456</v>
      </c>
      <c r="L10" s="1850" t="s">
        <v>6461</v>
      </c>
      <c r="M10" s="1850"/>
      <c r="O10" t="s">
        <v>6466</v>
      </c>
      <c r="Q10" s="1850" t="s">
        <v>6685</v>
      </c>
      <c r="R10" s="1850" t="s">
        <v>5761</v>
      </c>
      <c r="S10" s="1850" t="s">
        <v>6794</v>
      </c>
      <c r="T10" s="1850" t="s">
        <v>6795</v>
      </c>
    </row>
    <row r="11" spans="1:20">
      <c r="A11" s="515">
        <v>2</v>
      </c>
      <c r="B11" s="511" t="s">
        <v>4203</v>
      </c>
      <c r="F11" s="512" t="s">
        <v>1934</v>
      </c>
      <c r="G11" s="511" t="s">
        <v>1869</v>
      </c>
      <c r="J11" s="1850"/>
      <c r="K11" s="1850" t="s">
        <v>6457</v>
      </c>
      <c r="L11" s="1850"/>
      <c r="O11" s="1850" t="s">
        <v>6466</v>
      </c>
      <c r="Q11" s="1850" t="s">
        <v>6686</v>
      </c>
      <c r="R11" s="1850" t="s">
        <v>5762</v>
      </c>
      <c r="S11" s="1850" t="s">
        <v>6796</v>
      </c>
      <c r="T11" s="1850" t="s">
        <v>6797</v>
      </c>
    </row>
    <row r="12" spans="1:20">
      <c r="A12" s="515">
        <v>3</v>
      </c>
      <c r="B12" s="511" t="s">
        <v>4204</v>
      </c>
      <c r="F12" s="512" t="s">
        <v>1935</v>
      </c>
      <c r="G12" s="511" t="s">
        <v>1870</v>
      </c>
      <c r="J12" s="1850"/>
      <c r="K12" s="1850" t="s">
        <v>6458</v>
      </c>
      <c r="L12" s="1850"/>
      <c r="M12" s="1850" t="s">
        <v>6464</v>
      </c>
      <c r="N12" s="1850" t="s">
        <v>6465</v>
      </c>
      <c r="O12" s="1850" t="s">
        <v>6466</v>
      </c>
      <c r="Q12" s="1850" t="s">
        <v>6687</v>
      </c>
      <c r="R12" s="1850" t="s">
        <v>6688</v>
      </c>
      <c r="S12" s="1850" t="s">
        <v>6798</v>
      </c>
      <c r="T12" s="1850" t="s">
        <v>6799</v>
      </c>
    </row>
    <row r="13" spans="1:20">
      <c r="A13" s="515">
        <v>4</v>
      </c>
      <c r="B13" s="511" t="s">
        <v>4205</v>
      </c>
      <c r="F13" s="512" t="s">
        <v>1936</v>
      </c>
      <c r="G13" s="511" t="s">
        <v>1871</v>
      </c>
      <c r="K13" s="1850" t="s">
        <v>6459</v>
      </c>
      <c r="L13" s="1850" t="s">
        <v>6461</v>
      </c>
      <c r="M13" s="1850"/>
      <c r="N13" s="1850"/>
      <c r="O13" s="1850" t="s">
        <v>6466</v>
      </c>
      <c r="Q13" s="1850" t="s">
        <v>6689</v>
      </c>
      <c r="R13" s="1850" t="s">
        <v>5918</v>
      </c>
      <c r="S13" s="1850" t="s">
        <v>6800</v>
      </c>
      <c r="T13" s="1850" t="s">
        <v>6801</v>
      </c>
    </row>
    <row r="14" spans="1:20">
      <c r="F14" s="512" t="s">
        <v>1937</v>
      </c>
      <c r="G14" s="511" t="s">
        <v>1872</v>
      </c>
      <c r="K14" s="1850" t="s">
        <v>6474</v>
      </c>
      <c r="L14" t="s">
        <v>6462</v>
      </c>
      <c r="O14" s="1850" t="s">
        <v>6466</v>
      </c>
      <c r="Q14" s="1850" t="s">
        <v>6690</v>
      </c>
      <c r="R14" s="1850" t="s">
        <v>5763</v>
      </c>
      <c r="S14" s="1850" t="s">
        <v>6802</v>
      </c>
      <c r="T14" s="1850" t="s">
        <v>6803</v>
      </c>
    </row>
    <row r="15" spans="1:20">
      <c r="A15" t="s">
        <v>4463</v>
      </c>
      <c r="B15" s="606">
        <f>DATE(基本情况!$F$6,MONTH(基本情况!$F$8),DAY(基本情况!$F$8))</f>
        <v>43100</v>
      </c>
      <c r="F15" s="512" t="s">
        <v>1938</v>
      </c>
      <c r="G15" s="511" t="s">
        <v>1873</v>
      </c>
      <c r="K15" s="1850" t="s">
        <v>6475</v>
      </c>
      <c r="L15" t="s">
        <v>6462</v>
      </c>
      <c r="O15" s="1850" t="s">
        <v>6466</v>
      </c>
      <c r="Q15" s="1850" t="s">
        <v>6691</v>
      </c>
      <c r="R15" s="1850" t="s">
        <v>6692</v>
      </c>
      <c r="S15" s="1850" t="s">
        <v>6804</v>
      </c>
      <c r="T15" s="1850" t="s">
        <v>6805</v>
      </c>
    </row>
    <row r="16" spans="1:20">
      <c r="A16" t="s">
        <v>6415</v>
      </c>
      <c r="B16" s="2190">
        <f>LEN(IFERROR(INDEX(余额表!$A:$A,B17+3),INDEX(余额表!$A:$A,B18+3)))</f>
        <v>5</v>
      </c>
      <c r="F16" s="512" t="s">
        <v>1939</v>
      </c>
      <c r="G16" s="511" t="s">
        <v>1874</v>
      </c>
      <c r="K16" s="1850" t="s">
        <v>6476</v>
      </c>
      <c r="L16" t="s">
        <v>6461</v>
      </c>
      <c r="M16" s="1850"/>
      <c r="N16" s="1850"/>
      <c r="O16" s="1850" t="s">
        <v>6466</v>
      </c>
      <c r="Q16" s="1850" t="s">
        <v>6693</v>
      </c>
      <c r="R16" s="1850" t="s">
        <v>6694</v>
      </c>
      <c r="S16" s="1850" t="s">
        <v>6806</v>
      </c>
      <c r="T16" s="1850" t="s">
        <v>6807</v>
      </c>
    </row>
    <row r="17" spans="1:20">
      <c r="A17" t="s">
        <v>6413</v>
      </c>
      <c r="B17" s="2190">
        <f>IFERROR(IFERROR(MATCH("现金",余额表!$B:$B,0)-3,MATCH("库存现金",余额表!$B:$B,0)-3),0)</f>
        <v>0</v>
      </c>
      <c r="F17" s="512" t="s">
        <v>1940</v>
      </c>
      <c r="G17" s="511" t="s">
        <v>1875</v>
      </c>
      <c r="K17" s="1850" t="s">
        <v>6477</v>
      </c>
      <c r="L17" s="1850" t="s">
        <v>6461</v>
      </c>
      <c r="O17" s="1850" t="s">
        <v>6466</v>
      </c>
      <c r="Q17" s="1850" t="s">
        <v>6695</v>
      </c>
      <c r="R17" s="1850" t="s">
        <v>6696</v>
      </c>
      <c r="S17" s="1850" t="s">
        <v>6808</v>
      </c>
      <c r="T17" s="1850" t="s">
        <v>6809</v>
      </c>
    </row>
    <row r="18" spans="1:20">
      <c r="A18" t="s">
        <v>6414</v>
      </c>
      <c r="B18" s="2190">
        <f>IFERROR(MATCH("银行存款",余额表!$B:$B,0)-3,0)</f>
        <v>0</v>
      </c>
      <c r="F18" s="512" t="s">
        <v>1941</v>
      </c>
      <c r="G18" s="511" t="s">
        <v>1876</v>
      </c>
      <c r="K18" s="1850" t="s">
        <v>6478</v>
      </c>
      <c r="L18" s="1850" t="s">
        <v>6462</v>
      </c>
      <c r="O18" s="1850" t="s">
        <v>6466</v>
      </c>
      <c r="Q18" s="1850" t="s">
        <v>6697</v>
      </c>
      <c r="R18" s="1850" t="s">
        <v>6698</v>
      </c>
      <c r="S18" s="1850" t="s">
        <v>6810</v>
      </c>
      <c r="T18" s="1850" t="s">
        <v>6811</v>
      </c>
    </row>
    <row r="19" spans="1:20">
      <c r="A19" t="s">
        <v>6416</v>
      </c>
      <c r="B19">
        <f>IFERROR(IFERROR(MATCH("应收账款",余额表!$B:$B,0)-3,MATCH("应收帐款",余额表!$B:$B,0)-3),0)</f>
        <v>0</v>
      </c>
      <c r="F19" s="512" t="s">
        <v>1942</v>
      </c>
      <c r="G19" s="511" t="s">
        <v>1877</v>
      </c>
      <c r="K19" s="1850" t="s">
        <v>6479</v>
      </c>
      <c r="L19" s="1850" t="s">
        <v>6462</v>
      </c>
      <c r="M19" s="1850"/>
      <c r="O19" s="1850" t="s">
        <v>6466</v>
      </c>
      <c r="Q19" s="1850" t="s">
        <v>6699</v>
      </c>
      <c r="R19" s="1850" t="s">
        <v>5920</v>
      </c>
      <c r="S19" s="1850" t="s">
        <v>6812</v>
      </c>
      <c r="T19" s="1850" t="s">
        <v>6813</v>
      </c>
    </row>
    <row r="20" spans="1:20">
      <c r="A20" t="s">
        <v>6417</v>
      </c>
      <c r="B20">
        <f>IFERROR(IFERROR(MATCH("预付账款",余额表!$B:$B,0)-3,MATCH("预付帐款",余额表!$B:$B,0)-3),0)</f>
        <v>0</v>
      </c>
      <c r="F20" s="512" t="s">
        <v>1943</v>
      </c>
      <c r="G20" s="511" t="s">
        <v>1878</v>
      </c>
      <c r="K20" s="1850" t="s">
        <v>6480</v>
      </c>
      <c r="L20" s="1850" t="s">
        <v>6462</v>
      </c>
      <c r="M20" s="1850"/>
      <c r="O20" s="1850" t="s">
        <v>6466</v>
      </c>
      <c r="Q20" s="1850" t="s">
        <v>6700</v>
      </c>
      <c r="R20" s="1850" t="s">
        <v>6701</v>
      </c>
      <c r="S20" s="1850" t="s">
        <v>6814</v>
      </c>
      <c r="T20" s="1850" t="s">
        <v>6815</v>
      </c>
    </row>
    <row r="21" spans="1:20">
      <c r="A21" t="s">
        <v>6418</v>
      </c>
      <c r="B21">
        <f>IFERROR(MATCH("其他应收款",余额表!$B:$B,0)-3,0)</f>
        <v>0</v>
      </c>
      <c r="F21" s="512" t="s">
        <v>1944</v>
      </c>
      <c r="G21" s="511" t="s">
        <v>1879</v>
      </c>
      <c r="K21" s="1850" t="s">
        <v>6481</v>
      </c>
      <c r="L21" s="1850" t="s">
        <v>6462</v>
      </c>
      <c r="M21" s="1850"/>
      <c r="O21" s="1850" t="s">
        <v>6466</v>
      </c>
      <c r="Q21" s="1850" t="s">
        <v>6702</v>
      </c>
      <c r="R21" s="1850" t="s">
        <v>6703</v>
      </c>
      <c r="S21" s="1850" t="s">
        <v>6816</v>
      </c>
      <c r="T21" s="1850" t="s">
        <v>6817</v>
      </c>
    </row>
    <row r="22" spans="1:20">
      <c r="A22" t="s">
        <v>6419</v>
      </c>
      <c r="B22">
        <f>IFERROR(IFERROR(MATCH("应付账款",余额表!$B:$B,0)-3,MATCH("应付帐款",余额表!$B:$B,0)-3),0)</f>
        <v>0</v>
      </c>
      <c r="F22" s="512" t="s">
        <v>1945</v>
      </c>
      <c r="G22" s="511" t="s">
        <v>1880</v>
      </c>
      <c r="K22" s="1850" t="s">
        <v>6482</v>
      </c>
      <c r="L22" t="s">
        <v>6462</v>
      </c>
      <c r="O22" s="1850" t="s">
        <v>6466</v>
      </c>
      <c r="Q22" s="1850" t="s">
        <v>6704</v>
      </c>
      <c r="R22" s="1850" t="s">
        <v>6705</v>
      </c>
      <c r="S22" s="1850" t="s">
        <v>6818</v>
      </c>
      <c r="T22" s="1850" t="s">
        <v>6819</v>
      </c>
    </row>
    <row r="23" spans="1:20">
      <c r="A23" t="s">
        <v>6420</v>
      </c>
      <c r="B23">
        <f>IFERROR(IFERROR(MATCH("预收账款",余额表!$B:$B,0)-3,MATCH("预收帐款",余额表!$B:$B,0)-3),0)</f>
        <v>0</v>
      </c>
      <c r="F23" s="512" t="s">
        <v>1946</v>
      </c>
      <c r="G23" s="511" t="s">
        <v>1881</v>
      </c>
      <c r="K23" s="1850" t="s">
        <v>6483</v>
      </c>
      <c r="L23" t="s">
        <v>6462</v>
      </c>
      <c r="O23" s="1850" t="s">
        <v>6466</v>
      </c>
      <c r="Q23" s="1850" t="s">
        <v>6706</v>
      </c>
      <c r="R23" s="1850" t="s">
        <v>6707</v>
      </c>
      <c r="S23" s="1850" t="s">
        <v>6820</v>
      </c>
      <c r="T23" s="1850" t="s">
        <v>6821</v>
      </c>
    </row>
    <row r="24" spans="1:20">
      <c r="A24" t="s">
        <v>6421</v>
      </c>
      <c r="B24">
        <f>IFERROR(MATCH("其他应付款",余额表!$B:$B,0)-3,0)</f>
        <v>0</v>
      </c>
      <c r="F24" s="512" t="s">
        <v>1947</v>
      </c>
      <c r="G24" s="511" t="s">
        <v>1882</v>
      </c>
      <c r="K24" t="s">
        <v>6460</v>
      </c>
      <c r="L24" t="s">
        <v>6461</v>
      </c>
      <c r="O24" s="1850" t="s">
        <v>6466</v>
      </c>
      <c r="Q24" s="1850" t="s">
        <v>6708</v>
      </c>
      <c r="R24" s="1850" t="s">
        <v>6709</v>
      </c>
      <c r="S24" s="1850" t="s">
        <v>6822</v>
      </c>
      <c r="T24" s="1850" t="s">
        <v>6823</v>
      </c>
    </row>
    <row r="25" spans="1:20">
      <c r="F25" s="512" t="s">
        <v>1948</v>
      </c>
      <c r="G25" s="511" t="s">
        <v>1883</v>
      </c>
      <c r="K25" t="s">
        <v>6484</v>
      </c>
      <c r="L25" t="s">
        <v>6461</v>
      </c>
      <c r="O25" s="1850" t="s">
        <v>6466</v>
      </c>
      <c r="Q25" s="1850" t="s">
        <v>6710</v>
      </c>
      <c r="R25" s="1850" t="s">
        <v>6711</v>
      </c>
      <c r="S25" s="1850" t="s">
        <v>6824</v>
      </c>
      <c r="T25" s="1850" t="s">
        <v>6825</v>
      </c>
    </row>
    <row r="26" spans="1:20">
      <c r="F26" s="512" t="s">
        <v>1949</v>
      </c>
      <c r="G26" s="511" t="s">
        <v>1884</v>
      </c>
      <c r="K26" t="s">
        <v>6485</v>
      </c>
      <c r="L26" t="s">
        <v>6461</v>
      </c>
      <c r="O26" s="1850" t="s">
        <v>6466</v>
      </c>
      <c r="Q26" s="1850" t="s">
        <v>6712</v>
      </c>
      <c r="R26" s="1850" t="s">
        <v>6713</v>
      </c>
      <c r="S26" s="1850" t="s">
        <v>6826</v>
      </c>
      <c r="T26" s="1850" t="s">
        <v>6827</v>
      </c>
    </row>
    <row r="27" spans="1:20">
      <c r="A27" t="s">
        <v>6422</v>
      </c>
      <c r="B27">
        <f>IFERROR(IFERROR(MATCH("实收资本",余额表!$B:$B,0)-3,MATCH("实收资本（或股本）",余额表!$B:$B,0)-3),0)</f>
        <v>0</v>
      </c>
      <c r="F27" s="512" t="s">
        <v>1950</v>
      </c>
      <c r="G27" s="511" t="s">
        <v>1885</v>
      </c>
      <c r="Q27" s="1850" t="s">
        <v>6714</v>
      </c>
      <c r="R27" s="1850" t="s">
        <v>6715</v>
      </c>
      <c r="S27" s="1850" t="s">
        <v>6828</v>
      </c>
      <c r="T27" s="1850" t="s">
        <v>6829</v>
      </c>
    </row>
    <row r="28" spans="1:20">
      <c r="F28" s="512" t="s">
        <v>1951</v>
      </c>
      <c r="G28" s="511" t="s">
        <v>1886</v>
      </c>
      <c r="K28" s="1273" t="s">
        <v>6506</v>
      </c>
      <c r="L28" s="148">
        <v>11</v>
      </c>
      <c r="Q28" s="1850" t="s">
        <v>6716</v>
      </c>
      <c r="R28" s="1850" t="s">
        <v>6717</v>
      </c>
      <c r="S28" s="1850" t="s">
        <v>6830</v>
      </c>
      <c r="T28" s="1850" t="s">
        <v>6831</v>
      </c>
    </row>
    <row r="29" spans="1:20">
      <c r="A29" t="s">
        <v>6423</v>
      </c>
      <c r="B29">
        <f>IFERROR(MATCH("盈余公积",余额表!$B:$B,0)-3,0)</f>
        <v>0</v>
      </c>
      <c r="F29" s="512" t="s">
        <v>1952</v>
      </c>
      <c r="G29" s="511" t="s">
        <v>1887</v>
      </c>
      <c r="K29" s="148" t="s">
        <v>6486</v>
      </c>
      <c r="L29" s="148">
        <v>12</v>
      </c>
      <c r="Q29" s="1850" t="s">
        <v>6718</v>
      </c>
      <c r="R29" s="1850" t="s">
        <v>6719</v>
      </c>
      <c r="S29" s="1850" t="s">
        <v>6832</v>
      </c>
      <c r="T29" s="1850" t="s">
        <v>6833</v>
      </c>
    </row>
    <row r="30" spans="1:20">
      <c r="F30" s="512" t="s">
        <v>1953</v>
      </c>
      <c r="G30" s="511" t="s">
        <v>1888</v>
      </c>
      <c r="K30" s="148" t="s">
        <v>6487</v>
      </c>
      <c r="L30" s="148">
        <v>13</v>
      </c>
      <c r="Q30" s="1850" t="s">
        <v>6720</v>
      </c>
      <c r="R30" s="1850" t="s">
        <v>6721</v>
      </c>
      <c r="S30" s="1850" t="s">
        <v>6834</v>
      </c>
      <c r="T30" s="1850" t="s">
        <v>6835</v>
      </c>
    </row>
    <row r="31" spans="1:20">
      <c r="F31" s="512" t="s">
        <v>1954</v>
      </c>
      <c r="G31" s="511" t="s">
        <v>1889</v>
      </c>
      <c r="K31" s="148" t="s">
        <v>6488</v>
      </c>
      <c r="L31" s="148">
        <v>14</v>
      </c>
      <c r="Q31" s="1850" t="s">
        <v>6722</v>
      </c>
      <c r="R31" s="1850" t="s">
        <v>6723</v>
      </c>
      <c r="S31" s="1850" t="s">
        <v>6836</v>
      </c>
      <c r="T31" s="1850" t="s">
        <v>6837</v>
      </c>
    </row>
    <row r="32" spans="1:20">
      <c r="F32" s="512" t="s">
        <v>1955</v>
      </c>
      <c r="G32" s="511" t="s">
        <v>1890</v>
      </c>
      <c r="K32" s="148" t="s">
        <v>6489</v>
      </c>
      <c r="L32" s="148">
        <v>15</v>
      </c>
      <c r="Q32" s="1850" t="s">
        <v>6724</v>
      </c>
      <c r="R32" s="1850" t="s">
        <v>6725</v>
      </c>
      <c r="S32" s="1850" t="s">
        <v>6838</v>
      </c>
      <c r="T32" s="1850" t="s">
        <v>6839</v>
      </c>
    </row>
    <row r="33" spans="1:20">
      <c r="A33" t="s">
        <v>6669</v>
      </c>
      <c r="B33" t="s">
        <v>6670</v>
      </c>
      <c r="C33" t="s">
        <v>6671</v>
      </c>
      <c r="F33" s="512" t="s">
        <v>1956</v>
      </c>
      <c r="G33" s="511" t="s">
        <v>1891</v>
      </c>
      <c r="K33" s="1850" t="s">
        <v>6492</v>
      </c>
      <c r="L33">
        <v>11</v>
      </c>
      <c r="Q33" s="1850" t="s">
        <v>6726</v>
      </c>
      <c r="R33" s="1850" t="s">
        <v>6727</v>
      </c>
      <c r="S33" s="1850" t="s">
        <v>6840</v>
      </c>
      <c r="T33" s="1850" t="s">
        <v>6841</v>
      </c>
    </row>
    <row r="34" spans="1:20">
      <c r="A34" t="s">
        <v>5807</v>
      </c>
      <c r="B34" t="s">
        <v>5807</v>
      </c>
      <c r="C34" t="s">
        <v>5655</v>
      </c>
      <c r="F34" s="512" t="s">
        <v>1957</v>
      </c>
      <c r="G34" s="511" t="s">
        <v>1892</v>
      </c>
      <c r="K34" s="1850" t="s">
        <v>6493</v>
      </c>
      <c r="L34">
        <v>12</v>
      </c>
      <c r="Q34" s="1850" t="s">
        <v>6728</v>
      </c>
      <c r="R34" s="1850" t="s">
        <v>6729</v>
      </c>
      <c r="S34" s="1850" t="s">
        <v>6842</v>
      </c>
      <c r="T34" s="1850" t="s">
        <v>6843</v>
      </c>
    </row>
    <row r="35" spans="1:20">
      <c r="A35" t="s">
        <v>5809</v>
      </c>
      <c r="B35" t="s">
        <v>5809</v>
      </c>
      <c r="C35" t="s">
        <v>5656</v>
      </c>
      <c r="F35" s="512" t="s">
        <v>1958</v>
      </c>
      <c r="G35" s="511" t="s">
        <v>1893</v>
      </c>
      <c r="K35" s="1850" t="s">
        <v>6494</v>
      </c>
      <c r="L35">
        <v>12</v>
      </c>
      <c r="Q35" s="1850" t="s">
        <v>6730</v>
      </c>
      <c r="R35" s="1850" t="s">
        <v>6731</v>
      </c>
      <c r="S35" s="1850" t="s">
        <v>6844</v>
      </c>
      <c r="T35" s="1850" t="s">
        <v>6845</v>
      </c>
    </row>
    <row r="36" spans="1:20">
      <c r="A36" t="s">
        <v>5810</v>
      </c>
      <c r="B36" t="s">
        <v>5810</v>
      </c>
      <c r="C36" t="s">
        <v>5657</v>
      </c>
      <c r="F36" s="512" t="s">
        <v>1959</v>
      </c>
      <c r="G36" s="511" t="s">
        <v>1894</v>
      </c>
      <c r="K36" s="1850" t="s">
        <v>6495</v>
      </c>
      <c r="L36">
        <v>13</v>
      </c>
      <c r="Q36" s="1850" t="s">
        <v>6732</v>
      </c>
      <c r="R36" s="1850" t="s">
        <v>6733</v>
      </c>
      <c r="S36" s="1850" t="s">
        <v>6846</v>
      </c>
      <c r="T36" s="1850" t="s">
        <v>6847</v>
      </c>
    </row>
    <row r="37" spans="1:20">
      <c r="A37" t="s">
        <v>5811</v>
      </c>
      <c r="B37" t="s">
        <v>5811</v>
      </c>
      <c r="C37" t="s">
        <v>5658</v>
      </c>
      <c r="F37" s="512" t="s">
        <v>1960</v>
      </c>
      <c r="G37" s="511" t="s">
        <v>1895</v>
      </c>
      <c r="K37" s="1850" t="s">
        <v>6496</v>
      </c>
      <c r="L37">
        <v>13</v>
      </c>
      <c r="Q37" s="1850" t="s">
        <v>6734</v>
      </c>
      <c r="R37" s="1850" t="s">
        <v>6735</v>
      </c>
      <c r="S37" s="1850" t="s">
        <v>6848</v>
      </c>
      <c r="T37" s="1850" t="s">
        <v>6849</v>
      </c>
    </row>
    <row r="38" spans="1:20">
      <c r="A38" t="s">
        <v>5812</v>
      </c>
      <c r="B38" t="s">
        <v>5812</v>
      </c>
      <c r="C38" t="s">
        <v>5659</v>
      </c>
      <c r="F38" s="512" t="s">
        <v>1961</v>
      </c>
      <c r="G38" s="511" t="s">
        <v>1896</v>
      </c>
      <c r="K38" s="1850" t="s">
        <v>6497</v>
      </c>
      <c r="L38">
        <v>14</v>
      </c>
      <c r="Q38" s="1850" t="s">
        <v>6736</v>
      </c>
      <c r="R38" s="1850" t="s">
        <v>6737</v>
      </c>
      <c r="S38" s="1850" t="s">
        <v>6850</v>
      </c>
      <c r="T38" s="1850" t="s">
        <v>6851</v>
      </c>
    </row>
    <row r="39" spans="1:20">
      <c r="A39" t="s">
        <v>5813</v>
      </c>
      <c r="B39" t="s">
        <v>5813</v>
      </c>
      <c r="C39" t="s">
        <v>5660</v>
      </c>
      <c r="F39" s="512" t="s">
        <v>1962</v>
      </c>
      <c r="G39" s="511" t="s">
        <v>1897</v>
      </c>
      <c r="K39" s="1850" t="s">
        <v>6498</v>
      </c>
      <c r="L39">
        <v>14</v>
      </c>
      <c r="Q39" s="1850" t="s">
        <v>6738</v>
      </c>
      <c r="R39" s="1850" t="s">
        <v>6739</v>
      </c>
      <c r="S39" s="1850" t="s">
        <v>6852</v>
      </c>
      <c r="T39" s="1850" t="s">
        <v>6853</v>
      </c>
    </row>
    <row r="40" spans="1:20">
      <c r="A40" t="s">
        <v>5814</v>
      </c>
      <c r="B40" t="s">
        <v>5814</v>
      </c>
      <c r="C40" t="s">
        <v>5661</v>
      </c>
      <c r="F40" s="512" t="s">
        <v>1963</v>
      </c>
      <c r="G40" s="511" t="s">
        <v>1898</v>
      </c>
      <c r="K40" s="1850" t="s">
        <v>6499</v>
      </c>
      <c r="L40">
        <v>14</v>
      </c>
      <c r="Q40" s="1850" t="s">
        <v>6740</v>
      </c>
      <c r="R40" s="1850" t="s">
        <v>6741</v>
      </c>
      <c r="S40" s="1850" t="s">
        <v>6854</v>
      </c>
      <c r="T40" s="1850" t="s">
        <v>6855</v>
      </c>
    </row>
    <row r="41" spans="1:20">
      <c r="A41" t="s">
        <v>5219</v>
      </c>
      <c r="B41" t="s">
        <v>5219</v>
      </c>
      <c r="C41" t="s">
        <v>5662</v>
      </c>
      <c r="F41" s="512" t="s">
        <v>1964</v>
      </c>
      <c r="G41" s="511" t="s">
        <v>1899</v>
      </c>
      <c r="K41" s="1850" t="s">
        <v>6500</v>
      </c>
      <c r="L41">
        <v>14</v>
      </c>
      <c r="Q41" s="1850" t="s">
        <v>6742</v>
      </c>
      <c r="R41" s="1850" t="s">
        <v>6743</v>
      </c>
      <c r="S41" s="1850" t="s">
        <v>6856</v>
      </c>
      <c r="T41" s="1850" t="s">
        <v>6857</v>
      </c>
    </row>
    <row r="42" spans="1:20">
      <c r="A42" t="s">
        <v>5816</v>
      </c>
      <c r="B42" t="s">
        <v>5816</v>
      </c>
      <c r="C42" t="s">
        <v>5663</v>
      </c>
      <c r="F42" s="512" t="s">
        <v>1965</v>
      </c>
      <c r="G42" s="511" t="s">
        <v>1900</v>
      </c>
      <c r="K42" s="1850" t="s">
        <v>6501</v>
      </c>
      <c r="L42">
        <v>14</v>
      </c>
      <c r="Q42" s="1850" t="s">
        <v>6744</v>
      </c>
      <c r="R42" s="1850" t="s">
        <v>5915</v>
      </c>
      <c r="S42" s="1850" t="s">
        <v>6858</v>
      </c>
      <c r="T42" s="1850" t="s">
        <v>6859</v>
      </c>
    </row>
    <row r="43" spans="1:20">
      <c r="A43" t="s">
        <v>5003</v>
      </c>
      <c r="B43" t="s">
        <v>5003</v>
      </c>
      <c r="C43" t="s">
        <v>5664</v>
      </c>
      <c r="F43" s="512" t="s">
        <v>1966</v>
      </c>
      <c r="G43" s="511" t="s">
        <v>1901</v>
      </c>
      <c r="K43" s="1850" t="s">
        <v>6502</v>
      </c>
      <c r="L43">
        <v>14</v>
      </c>
      <c r="Q43" s="1850" t="s">
        <v>6745</v>
      </c>
      <c r="R43" s="1850" t="s">
        <v>5745</v>
      </c>
      <c r="S43" s="1850" t="s">
        <v>6860</v>
      </c>
      <c r="T43" s="1850" t="s">
        <v>6861</v>
      </c>
    </row>
    <row r="44" spans="1:20">
      <c r="A44" t="s">
        <v>5819</v>
      </c>
      <c r="B44" t="s">
        <v>5819</v>
      </c>
      <c r="C44" t="s">
        <v>5665</v>
      </c>
      <c r="F44" s="512" t="s">
        <v>1967</v>
      </c>
      <c r="G44" s="511" t="s">
        <v>1902</v>
      </c>
      <c r="K44" s="1850" t="s">
        <v>6503</v>
      </c>
      <c r="L44">
        <v>15</v>
      </c>
      <c r="Q44" s="1850" t="s">
        <v>6746</v>
      </c>
      <c r="R44" s="1850" t="s">
        <v>5767</v>
      </c>
      <c r="S44" s="1850" t="s">
        <v>6862</v>
      </c>
      <c r="T44" s="1850" t="s">
        <v>6863</v>
      </c>
    </row>
    <row r="45" spans="1:20">
      <c r="A45" t="s">
        <v>5821</v>
      </c>
      <c r="B45" t="s">
        <v>5821</v>
      </c>
      <c r="C45" t="s">
        <v>5666</v>
      </c>
      <c r="F45" s="512" t="s">
        <v>1968</v>
      </c>
      <c r="G45" s="511" t="s">
        <v>1903</v>
      </c>
      <c r="K45" s="1850" t="s">
        <v>6504</v>
      </c>
      <c r="L45">
        <v>16</v>
      </c>
      <c r="Q45" s="1850" t="s">
        <v>6747</v>
      </c>
      <c r="R45" s="1850" t="s">
        <v>6748</v>
      </c>
      <c r="S45" s="1850" t="s">
        <v>6864</v>
      </c>
      <c r="T45" s="1850" t="s">
        <v>6865</v>
      </c>
    </row>
    <row r="46" spans="1:20">
      <c r="A46" t="s">
        <v>5823</v>
      </c>
      <c r="B46" t="s">
        <v>5823</v>
      </c>
      <c r="C46" t="s">
        <v>5667</v>
      </c>
      <c r="F46" s="512" t="s">
        <v>1969</v>
      </c>
      <c r="G46" s="511" t="s">
        <v>1904</v>
      </c>
      <c r="K46" s="1850" t="s">
        <v>6505</v>
      </c>
      <c r="L46">
        <v>16</v>
      </c>
      <c r="Q46" s="1850" t="s">
        <v>6749</v>
      </c>
      <c r="R46" s="1850" t="s">
        <v>6750</v>
      </c>
      <c r="S46" s="1850" t="s">
        <v>6866</v>
      </c>
      <c r="T46" s="1850" t="s">
        <v>6867</v>
      </c>
    </row>
    <row r="47" spans="1:20">
      <c r="A47" t="s">
        <v>5825</v>
      </c>
      <c r="B47" t="s">
        <v>5825</v>
      </c>
      <c r="C47" t="s">
        <v>5668</v>
      </c>
      <c r="F47" s="512" t="s">
        <v>1970</v>
      </c>
      <c r="G47" s="511" t="s">
        <v>1905</v>
      </c>
      <c r="Q47" s="1850" t="s">
        <v>6751</v>
      </c>
      <c r="R47" s="1850" t="s">
        <v>6752</v>
      </c>
      <c r="S47" s="1850" t="s">
        <v>6868</v>
      </c>
      <c r="T47" s="1850" t="s">
        <v>6869</v>
      </c>
    </row>
    <row r="48" spans="1:20">
      <c r="A48" t="s">
        <v>5826</v>
      </c>
      <c r="B48" t="s">
        <v>5826</v>
      </c>
      <c r="C48" t="s">
        <v>5669</v>
      </c>
      <c r="F48" s="512" t="s">
        <v>1971</v>
      </c>
      <c r="G48" s="511" t="s">
        <v>1906</v>
      </c>
      <c r="Q48" s="1850" t="s">
        <v>6753</v>
      </c>
      <c r="R48" s="1850" t="s">
        <v>6754</v>
      </c>
      <c r="S48" s="1850" t="s">
        <v>6870</v>
      </c>
      <c r="T48" s="1850" t="s">
        <v>6871</v>
      </c>
    </row>
    <row r="49" spans="1:20">
      <c r="A49" t="s">
        <v>5827</v>
      </c>
      <c r="B49" t="s">
        <v>5827</v>
      </c>
      <c r="C49" t="s">
        <v>5670</v>
      </c>
      <c r="F49" s="512" t="s">
        <v>1972</v>
      </c>
      <c r="G49" s="511" t="s">
        <v>1907</v>
      </c>
      <c r="Q49" s="1850" t="s">
        <v>6755</v>
      </c>
      <c r="R49" s="1850" t="s">
        <v>6756</v>
      </c>
      <c r="S49" s="1850" t="s">
        <v>6872</v>
      </c>
      <c r="T49" s="1850" t="s">
        <v>6873</v>
      </c>
    </row>
    <row r="50" spans="1:20">
      <c r="A50" t="s">
        <v>5828</v>
      </c>
      <c r="B50" t="s">
        <v>5828</v>
      </c>
      <c r="C50" t="s">
        <v>5671</v>
      </c>
      <c r="F50" s="512" t="s">
        <v>1973</v>
      </c>
      <c r="G50" s="511" t="s">
        <v>1908</v>
      </c>
      <c r="Q50" s="1850" t="s">
        <v>6757</v>
      </c>
      <c r="R50" s="1850" t="s">
        <v>6758</v>
      </c>
      <c r="S50" s="1850" t="s">
        <v>6874</v>
      </c>
      <c r="T50" s="1850" t="s">
        <v>6875</v>
      </c>
    </row>
    <row r="51" spans="1:20">
      <c r="A51" t="s">
        <v>5829</v>
      </c>
      <c r="B51" t="s">
        <v>5829</v>
      </c>
      <c r="F51" s="512" t="s">
        <v>1974</v>
      </c>
      <c r="G51" s="511" t="s">
        <v>1909</v>
      </c>
      <c r="Q51" s="1850" t="s">
        <v>6759</v>
      </c>
      <c r="R51" s="1850" t="s">
        <v>6760</v>
      </c>
      <c r="S51" s="1850" t="s">
        <v>6876</v>
      </c>
      <c r="T51" s="1850" t="s">
        <v>6877</v>
      </c>
    </row>
    <row r="52" spans="1:20">
      <c r="A52" t="s">
        <v>5830</v>
      </c>
      <c r="B52" t="s">
        <v>5830</v>
      </c>
      <c r="F52" s="512" t="s">
        <v>1975</v>
      </c>
      <c r="G52" s="511" t="s">
        <v>1910</v>
      </c>
      <c r="Q52" s="1850" t="s">
        <v>6761</v>
      </c>
      <c r="R52" s="1850" t="s">
        <v>6762</v>
      </c>
      <c r="S52" s="1850" t="s">
        <v>6878</v>
      </c>
      <c r="T52" s="1850" t="s">
        <v>6879</v>
      </c>
    </row>
    <row r="53" spans="1:20">
      <c r="A53" t="s">
        <v>5762</v>
      </c>
      <c r="B53" t="s">
        <v>5762</v>
      </c>
      <c r="F53" s="512" t="s">
        <v>1976</v>
      </c>
      <c r="G53" s="511" t="s">
        <v>1911</v>
      </c>
      <c r="Q53" s="1850" t="s">
        <v>6763</v>
      </c>
      <c r="R53" s="1850" t="s">
        <v>6764</v>
      </c>
      <c r="S53" s="1850" t="s">
        <v>6880</v>
      </c>
      <c r="T53" s="1850" t="s">
        <v>6881</v>
      </c>
    </row>
    <row r="54" spans="1:20">
      <c r="A54" t="s">
        <v>5761</v>
      </c>
      <c r="B54" t="s">
        <v>5761</v>
      </c>
      <c r="F54" s="512" t="s">
        <v>1977</v>
      </c>
      <c r="G54" s="511" t="s">
        <v>1912</v>
      </c>
      <c r="Q54" s="1850" t="s">
        <v>6765</v>
      </c>
      <c r="R54" s="1850" t="s">
        <v>6766</v>
      </c>
      <c r="S54" s="1850" t="s">
        <v>6882</v>
      </c>
      <c r="T54" s="1850" t="s">
        <v>6883</v>
      </c>
    </row>
    <row r="55" spans="1:20">
      <c r="A55" t="s">
        <v>5764</v>
      </c>
      <c r="B55" t="s">
        <v>5764</v>
      </c>
      <c r="F55" s="512" t="s">
        <v>1978</v>
      </c>
      <c r="G55" s="511" t="s">
        <v>1913</v>
      </c>
      <c r="Q55" s="1850" t="s">
        <v>6767</v>
      </c>
      <c r="R55" s="1850" t="s">
        <v>6768</v>
      </c>
      <c r="S55" s="1850" t="s">
        <v>6884</v>
      </c>
      <c r="T55" s="1850" t="s">
        <v>6885</v>
      </c>
    </row>
    <row r="56" spans="1:20">
      <c r="A56" t="s">
        <v>5832</v>
      </c>
      <c r="B56" t="s">
        <v>5832</v>
      </c>
      <c r="F56" s="512" t="s">
        <v>1979</v>
      </c>
      <c r="G56" s="511" t="s">
        <v>1914</v>
      </c>
      <c r="Q56" s="1850" t="s">
        <v>6769</v>
      </c>
      <c r="R56" s="1850" t="s">
        <v>6770</v>
      </c>
      <c r="S56" s="1850" t="s">
        <v>6886</v>
      </c>
      <c r="T56" s="1850" t="s">
        <v>6887</v>
      </c>
    </row>
    <row r="57" spans="1:20">
      <c r="A57" t="s">
        <v>5833</v>
      </c>
      <c r="B57" t="s">
        <v>5833</v>
      </c>
      <c r="F57" s="512" t="s">
        <v>1980</v>
      </c>
      <c r="G57" s="511" t="s">
        <v>1915</v>
      </c>
      <c r="Q57" s="1850" t="s">
        <v>6771</v>
      </c>
      <c r="R57" s="1850" t="s">
        <v>6772</v>
      </c>
      <c r="S57" s="1850" t="s">
        <v>6888</v>
      </c>
      <c r="T57" s="1850" t="s">
        <v>6889</v>
      </c>
    </row>
    <row r="58" spans="1:20">
      <c r="A58" t="s">
        <v>5834</v>
      </c>
      <c r="B58" t="s">
        <v>5834</v>
      </c>
      <c r="F58" s="512" t="s">
        <v>1981</v>
      </c>
      <c r="G58" s="511" t="s">
        <v>1916</v>
      </c>
      <c r="Q58" s="1850" t="s">
        <v>6773</v>
      </c>
      <c r="R58" s="1850" t="s">
        <v>6774</v>
      </c>
      <c r="S58" s="1850" t="s">
        <v>6890</v>
      </c>
      <c r="T58" s="1850" t="s">
        <v>6891</v>
      </c>
    </row>
    <row r="59" spans="1:20">
      <c r="A59" t="s">
        <v>5835</v>
      </c>
      <c r="B59" t="s">
        <v>5835</v>
      </c>
      <c r="F59" s="512" t="s">
        <v>1982</v>
      </c>
      <c r="G59" s="511" t="s">
        <v>1917</v>
      </c>
      <c r="Q59" s="1850" t="s">
        <v>6775</v>
      </c>
      <c r="R59" s="1850" t="s">
        <v>5630</v>
      </c>
      <c r="S59" s="1850" t="s">
        <v>6892</v>
      </c>
      <c r="T59" s="1850" t="s">
        <v>6893</v>
      </c>
    </row>
    <row r="60" spans="1:20">
      <c r="A60" t="s">
        <v>5836</v>
      </c>
      <c r="B60" t="s">
        <v>5836</v>
      </c>
      <c r="F60" s="512" t="s">
        <v>1983</v>
      </c>
      <c r="G60" s="511" t="s">
        <v>1918</v>
      </c>
      <c r="S60" s="1850" t="s">
        <v>6894</v>
      </c>
      <c r="T60" s="1850" t="s">
        <v>6895</v>
      </c>
    </row>
    <row r="61" spans="1:20">
      <c r="A61" t="s">
        <v>5837</v>
      </c>
      <c r="B61" t="s">
        <v>5837</v>
      </c>
      <c r="F61" s="512" t="s">
        <v>1984</v>
      </c>
      <c r="G61" s="511" t="s">
        <v>1919</v>
      </c>
      <c r="S61" s="1850" t="s">
        <v>6896</v>
      </c>
      <c r="T61" s="1850" t="s">
        <v>6897</v>
      </c>
    </row>
    <row r="62" spans="1:20">
      <c r="A62" t="s">
        <v>5838</v>
      </c>
      <c r="B62" t="s">
        <v>5838</v>
      </c>
      <c r="F62" s="512" t="s">
        <v>1985</v>
      </c>
      <c r="G62" s="511" t="s">
        <v>1920</v>
      </c>
      <c r="S62" s="1850" t="s">
        <v>6898</v>
      </c>
      <c r="T62" s="1850" t="s">
        <v>6899</v>
      </c>
    </row>
    <row r="63" spans="1:20">
      <c r="A63" t="s">
        <v>5839</v>
      </c>
      <c r="B63" t="s">
        <v>5839</v>
      </c>
      <c r="F63" s="512" t="s">
        <v>1986</v>
      </c>
      <c r="G63" s="511" t="s">
        <v>1921</v>
      </c>
      <c r="S63" s="1850" t="s">
        <v>6900</v>
      </c>
      <c r="T63" s="1850" t="s">
        <v>6901</v>
      </c>
    </row>
    <row r="64" spans="1:20">
      <c r="A64" t="s">
        <v>5840</v>
      </c>
      <c r="B64" t="s">
        <v>5840</v>
      </c>
      <c r="F64" s="512" t="s">
        <v>1987</v>
      </c>
      <c r="G64" s="511" t="s">
        <v>1922</v>
      </c>
      <c r="S64" s="1850" t="s">
        <v>6902</v>
      </c>
      <c r="T64" s="1850" t="s">
        <v>6903</v>
      </c>
    </row>
    <row r="65" spans="1:20">
      <c r="A65" t="s">
        <v>5841</v>
      </c>
      <c r="B65" t="s">
        <v>5841</v>
      </c>
      <c r="F65" s="512" t="s">
        <v>1988</v>
      </c>
      <c r="G65" s="511" t="s">
        <v>1923</v>
      </c>
      <c r="S65" s="1850" t="s">
        <v>6904</v>
      </c>
      <c r="T65" s="1850" t="s">
        <v>6905</v>
      </c>
    </row>
    <row r="66" spans="1:20">
      <c r="A66" t="s">
        <v>5842</v>
      </c>
      <c r="B66" t="s">
        <v>5842</v>
      </c>
      <c r="F66" s="513" t="s">
        <v>1989</v>
      </c>
      <c r="G66" s="498" t="s">
        <v>1924</v>
      </c>
      <c r="S66" s="1850" t="s">
        <v>6906</v>
      </c>
      <c r="T66" s="1850" t="s">
        <v>6907</v>
      </c>
    </row>
    <row r="67" spans="1:20">
      <c r="A67" t="s">
        <v>5844</v>
      </c>
      <c r="B67" t="s">
        <v>5844</v>
      </c>
      <c r="S67" s="1850" t="s">
        <v>6908</v>
      </c>
      <c r="T67" s="1850" t="s">
        <v>6909</v>
      </c>
    </row>
    <row r="68" spans="1:20">
      <c r="A68" t="s">
        <v>5845</v>
      </c>
      <c r="B68" t="s">
        <v>5845</v>
      </c>
      <c r="F68" s="509" t="s">
        <v>1769</v>
      </c>
      <c r="G68" s="509"/>
      <c r="S68" s="1850" t="s">
        <v>6910</v>
      </c>
      <c r="T68" s="1850" t="s">
        <v>6911</v>
      </c>
    </row>
    <row r="69" spans="1:20">
      <c r="A69" t="s">
        <v>5847</v>
      </c>
      <c r="B69" t="s">
        <v>5847</v>
      </c>
      <c r="F69" s="512" t="s">
        <v>1990</v>
      </c>
      <c r="G69" s="511" t="s">
        <v>1991</v>
      </c>
      <c r="S69" s="1850" t="s">
        <v>6912</v>
      </c>
      <c r="T69" s="1850" t="s">
        <v>6913</v>
      </c>
    </row>
    <row r="70" spans="1:20">
      <c r="A70" t="s">
        <v>6148</v>
      </c>
      <c r="B70" t="s">
        <v>5042</v>
      </c>
      <c r="F70" s="512" t="s">
        <v>1992</v>
      </c>
      <c r="G70" s="511" t="s">
        <v>1993</v>
      </c>
      <c r="S70" s="1850" t="s">
        <v>6914</v>
      </c>
      <c r="T70" s="1850" t="s">
        <v>6915</v>
      </c>
    </row>
    <row r="71" spans="1:20">
      <c r="A71" t="s">
        <v>5042</v>
      </c>
      <c r="F71" s="512" t="s">
        <v>1994</v>
      </c>
      <c r="G71" s="511" t="s">
        <v>1995</v>
      </c>
      <c r="S71" s="1850" t="s">
        <v>6916</v>
      </c>
      <c r="T71" s="1850" t="s">
        <v>6917</v>
      </c>
    </row>
    <row r="72" spans="1:20">
      <c r="F72" s="512" t="s">
        <v>1996</v>
      </c>
      <c r="G72" s="511" t="s">
        <v>1997</v>
      </c>
      <c r="S72" s="1850" t="s">
        <v>6918</v>
      </c>
      <c r="T72" s="1850" t="s">
        <v>6919</v>
      </c>
    </row>
    <row r="73" spans="1:20">
      <c r="F73" s="512" t="s">
        <v>1998</v>
      </c>
      <c r="G73" s="511" t="s">
        <v>1999</v>
      </c>
      <c r="S73" s="1850" t="s">
        <v>6920</v>
      </c>
      <c r="T73" s="1850" t="s">
        <v>6921</v>
      </c>
    </row>
    <row r="74" spans="1:20">
      <c r="F74" s="512" t="s">
        <v>2000</v>
      </c>
      <c r="G74" s="511" t="s">
        <v>2001</v>
      </c>
      <c r="S74" s="1850" t="s">
        <v>6922</v>
      </c>
      <c r="T74" s="1850" t="s">
        <v>6923</v>
      </c>
    </row>
    <row r="75" spans="1:20">
      <c r="F75" s="512" t="s">
        <v>2002</v>
      </c>
      <c r="G75" s="511" t="s">
        <v>2003</v>
      </c>
      <c r="S75" s="1850" t="s">
        <v>6924</v>
      </c>
      <c r="T75" s="1850" t="s">
        <v>6925</v>
      </c>
    </row>
    <row r="76" spans="1:20">
      <c r="F76" s="512" t="s">
        <v>2004</v>
      </c>
      <c r="G76" s="511" t="s">
        <v>2005</v>
      </c>
      <c r="S76" s="1850" t="s">
        <v>6926</v>
      </c>
      <c r="T76" s="1850" t="s">
        <v>6927</v>
      </c>
    </row>
    <row r="77" spans="1:20">
      <c r="F77" s="512" t="s">
        <v>2006</v>
      </c>
      <c r="G77" s="511" t="s">
        <v>2007</v>
      </c>
      <c r="S77" s="1850" t="s">
        <v>6928</v>
      </c>
      <c r="T77" s="1850" t="s">
        <v>6929</v>
      </c>
    </row>
    <row r="78" spans="1:20">
      <c r="F78" s="512" t="s">
        <v>2008</v>
      </c>
      <c r="G78" s="511" t="s">
        <v>2009</v>
      </c>
      <c r="S78" s="1850" t="s">
        <v>6930</v>
      </c>
      <c r="T78" s="1850" t="s">
        <v>6931</v>
      </c>
    </row>
    <row r="79" spans="1:20">
      <c r="F79" s="512" t="s">
        <v>2010</v>
      </c>
      <c r="G79" s="511" t="s">
        <v>2011</v>
      </c>
      <c r="S79" s="1850" t="s">
        <v>6932</v>
      </c>
      <c r="T79" s="1850" t="s">
        <v>6933</v>
      </c>
    </row>
    <row r="80" spans="1:20">
      <c r="F80" s="512" t="s">
        <v>2012</v>
      </c>
      <c r="G80" s="511" t="s">
        <v>2013</v>
      </c>
      <c r="S80" s="1850" t="s">
        <v>6934</v>
      </c>
      <c r="T80" s="1850" t="s">
        <v>6935</v>
      </c>
    </row>
    <row r="81" spans="6:20">
      <c r="F81" s="512" t="s">
        <v>2014</v>
      </c>
      <c r="G81" s="511" t="s">
        <v>2015</v>
      </c>
      <c r="S81" s="1850" t="s">
        <v>6936</v>
      </c>
      <c r="T81" s="1850" t="s">
        <v>6937</v>
      </c>
    </row>
    <row r="82" spans="6:20">
      <c r="F82" s="512" t="s">
        <v>2016</v>
      </c>
      <c r="G82" s="511" t="s">
        <v>2017</v>
      </c>
      <c r="S82" s="1850" t="s">
        <v>6938</v>
      </c>
      <c r="T82" s="1850" t="s">
        <v>6939</v>
      </c>
    </row>
    <row r="83" spans="6:20">
      <c r="F83" s="512" t="s">
        <v>2018</v>
      </c>
      <c r="G83" s="511" t="s">
        <v>2019</v>
      </c>
      <c r="S83" s="1850" t="s">
        <v>6940</v>
      </c>
      <c r="T83" s="1850" t="s">
        <v>6941</v>
      </c>
    </row>
    <row r="84" spans="6:20">
      <c r="F84" s="512" t="s">
        <v>2020</v>
      </c>
      <c r="G84" s="511" t="s">
        <v>2021</v>
      </c>
      <c r="S84" s="1850" t="s">
        <v>6942</v>
      </c>
      <c r="T84" s="1850" t="s">
        <v>6943</v>
      </c>
    </row>
    <row r="85" spans="6:20">
      <c r="F85" s="512" t="s">
        <v>2022</v>
      </c>
      <c r="G85" s="511" t="s">
        <v>2023</v>
      </c>
      <c r="S85" s="1850" t="s">
        <v>6944</v>
      </c>
      <c r="T85" s="1850" t="s">
        <v>6945</v>
      </c>
    </row>
    <row r="86" spans="6:20">
      <c r="F86" s="512" t="s">
        <v>2024</v>
      </c>
      <c r="G86" s="511" t="s">
        <v>2025</v>
      </c>
      <c r="S86" s="1850" t="s">
        <v>6946</v>
      </c>
      <c r="T86" s="1850" t="s">
        <v>6947</v>
      </c>
    </row>
    <row r="87" spans="6:20">
      <c r="F87" s="512" t="s">
        <v>2026</v>
      </c>
      <c r="G87" s="511" t="s">
        <v>2027</v>
      </c>
      <c r="S87" s="1850" t="s">
        <v>6948</v>
      </c>
      <c r="T87" s="1850" t="s">
        <v>2183</v>
      </c>
    </row>
    <row r="88" spans="6:20">
      <c r="F88" s="512" t="s">
        <v>2028</v>
      </c>
      <c r="G88" s="511" t="s">
        <v>2029</v>
      </c>
      <c r="S88" s="1850" t="s">
        <v>6949</v>
      </c>
      <c r="T88" s="1850" t="s">
        <v>6950</v>
      </c>
    </row>
    <row r="89" spans="6:20">
      <c r="F89" s="512" t="s">
        <v>2030</v>
      </c>
      <c r="G89" s="511" t="s">
        <v>2031</v>
      </c>
      <c r="S89" s="1850" t="s">
        <v>6951</v>
      </c>
      <c r="T89" s="1850" t="s">
        <v>6952</v>
      </c>
    </row>
    <row r="90" spans="6:20">
      <c r="F90" s="512" t="s">
        <v>2032</v>
      </c>
      <c r="G90" s="511" t="s">
        <v>2033</v>
      </c>
      <c r="S90" s="1850" t="s">
        <v>6953</v>
      </c>
      <c r="T90" s="1850" t="s">
        <v>6954</v>
      </c>
    </row>
    <row r="91" spans="6:20">
      <c r="F91" s="512" t="s">
        <v>2034</v>
      </c>
      <c r="G91" s="511" t="s">
        <v>2035</v>
      </c>
      <c r="S91" s="1850" t="s">
        <v>6955</v>
      </c>
      <c r="T91" s="1850" t="s">
        <v>6956</v>
      </c>
    </row>
    <row r="92" spans="6:20">
      <c r="F92" s="512" t="s">
        <v>2036</v>
      </c>
      <c r="G92" s="511" t="s">
        <v>2037</v>
      </c>
      <c r="S92" s="1850" t="s">
        <v>6957</v>
      </c>
      <c r="T92" s="1850" t="s">
        <v>6958</v>
      </c>
    </row>
    <row r="93" spans="6:20">
      <c r="F93" s="512" t="s">
        <v>2038</v>
      </c>
      <c r="G93" s="511" t="s">
        <v>2039</v>
      </c>
      <c r="S93" s="1850" t="s">
        <v>6959</v>
      </c>
      <c r="T93" s="1850" t="s">
        <v>6960</v>
      </c>
    </row>
    <row r="94" spans="6:20">
      <c r="F94" s="512" t="s">
        <v>2040</v>
      </c>
      <c r="G94" s="511" t="s">
        <v>2041</v>
      </c>
      <c r="S94" s="1850" t="s">
        <v>6961</v>
      </c>
      <c r="T94" s="1850" t="s">
        <v>6962</v>
      </c>
    </row>
    <row r="95" spans="6:20">
      <c r="F95" s="512" t="s">
        <v>2042</v>
      </c>
      <c r="G95" s="511" t="s">
        <v>2043</v>
      </c>
      <c r="S95" s="1850" t="s">
        <v>6963</v>
      </c>
      <c r="T95" s="1850" t="s">
        <v>6964</v>
      </c>
    </row>
    <row r="96" spans="6:20">
      <c r="F96" s="512" t="s">
        <v>2044</v>
      </c>
      <c r="G96" s="511" t="s">
        <v>2045</v>
      </c>
      <c r="S96" s="1850" t="s">
        <v>6965</v>
      </c>
      <c r="T96" s="1850" t="s">
        <v>6966</v>
      </c>
    </row>
    <row r="97" spans="6:20">
      <c r="F97" s="512" t="s">
        <v>2046</v>
      </c>
      <c r="G97" s="511" t="s">
        <v>2047</v>
      </c>
      <c r="S97" s="1850" t="s">
        <v>6967</v>
      </c>
      <c r="T97" s="1850" t="s">
        <v>6968</v>
      </c>
    </row>
    <row r="98" spans="6:20">
      <c r="F98" s="512" t="s">
        <v>2048</v>
      </c>
      <c r="G98" s="511" t="s">
        <v>2049</v>
      </c>
      <c r="S98" s="1850" t="s">
        <v>6969</v>
      </c>
      <c r="T98" s="1850" t="s">
        <v>6970</v>
      </c>
    </row>
    <row r="99" spans="6:20">
      <c r="F99" s="512" t="s">
        <v>2050</v>
      </c>
      <c r="G99" s="511" t="s">
        <v>2051</v>
      </c>
      <c r="S99" s="1850" t="s">
        <v>6971</v>
      </c>
      <c r="T99" s="1850" t="s">
        <v>6972</v>
      </c>
    </row>
    <row r="100" spans="6:20">
      <c r="F100" s="512" t="s">
        <v>2052</v>
      </c>
      <c r="G100" s="511" t="s">
        <v>2053</v>
      </c>
      <c r="S100" s="1850" t="s">
        <v>6973</v>
      </c>
      <c r="T100" s="1850" t="s">
        <v>6974</v>
      </c>
    </row>
    <row r="101" spans="6:20">
      <c r="F101" s="512" t="s">
        <v>2054</v>
      </c>
      <c r="G101" s="511" t="s">
        <v>2055</v>
      </c>
      <c r="S101" s="1850" t="s">
        <v>6975</v>
      </c>
      <c r="T101" s="1850" t="s">
        <v>6976</v>
      </c>
    </row>
    <row r="102" spans="6:20">
      <c r="F102" s="512" t="s">
        <v>2056</v>
      </c>
      <c r="G102" s="511" t="s">
        <v>2057</v>
      </c>
      <c r="S102" s="1850" t="s">
        <v>6977</v>
      </c>
      <c r="T102" s="1850" t="s">
        <v>6978</v>
      </c>
    </row>
    <row r="103" spans="6:20">
      <c r="F103" s="512" t="s">
        <v>2058</v>
      </c>
      <c r="G103" s="511" t="s">
        <v>2059</v>
      </c>
      <c r="S103" s="1850" t="s">
        <v>6979</v>
      </c>
      <c r="T103" s="1850" t="s">
        <v>6980</v>
      </c>
    </row>
    <row r="104" spans="6:20">
      <c r="F104" s="512" t="s">
        <v>2060</v>
      </c>
      <c r="G104" s="511" t="s">
        <v>2061</v>
      </c>
      <c r="S104" s="1850" t="s">
        <v>6981</v>
      </c>
      <c r="T104" s="1850" t="s">
        <v>6982</v>
      </c>
    </row>
    <row r="105" spans="6:20">
      <c r="F105" s="512" t="s">
        <v>2062</v>
      </c>
      <c r="G105" s="511" t="s">
        <v>2063</v>
      </c>
      <c r="S105" s="1850" t="s">
        <v>6983</v>
      </c>
      <c r="T105" s="1850" t="s">
        <v>6984</v>
      </c>
    </row>
    <row r="106" spans="6:20">
      <c r="F106" s="512" t="s">
        <v>2064</v>
      </c>
      <c r="G106" s="511" t="s">
        <v>2065</v>
      </c>
      <c r="S106" s="1850" t="s">
        <v>6985</v>
      </c>
      <c r="T106" s="1850" t="s">
        <v>6986</v>
      </c>
    </row>
    <row r="107" spans="6:20">
      <c r="F107" s="512" t="s">
        <v>2066</v>
      </c>
      <c r="G107" s="511" t="s">
        <v>2067</v>
      </c>
      <c r="S107" s="1850" t="s">
        <v>6987</v>
      </c>
      <c r="T107" s="1850" t="s">
        <v>6988</v>
      </c>
    </row>
    <row r="108" spans="6:20">
      <c r="F108" s="512" t="s">
        <v>2068</v>
      </c>
      <c r="G108" s="511" t="s">
        <v>2069</v>
      </c>
      <c r="S108" s="1850" t="s">
        <v>6989</v>
      </c>
      <c r="T108" s="1850" t="s">
        <v>6990</v>
      </c>
    </row>
    <row r="109" spans="6:20">
      <c r="F109" s="512" t="s">
        <v>2070</v>
      </c>
      <c r="G109" s="511" t="s">
        <v>2071</v>
      </c>
      <c r="S109" s="1850" t="s">
        <v>6991</v>
      </c>
      <c r="T109" s="1850" t="s">
        <v>6992</v>
      </c>
    </row>
    <row r="110" spans="6:20">
      <c r="F110" s="512" t="s">
        <v>2072</v>
      </c>
      <c r="G110" s="511" t="s">
        <v>2073</v>
      </c>
      <c r="S110" s="1850" t="s">
        <v>6993</v>
      </c>
      <c r="T110" s="1850" t="s">
        <v>6994</v>
      </c>
    </row>
    <row r="111" spans="6:20">
      <c r="F111" s="512" t="s">
        <v>2074</v>
      </c>
      <c r="G111" s="511" t="s">
        <v>2075</v>
      </c>
      <c r="S111" s="1850" t="s">
        <v>6995</v>
      </c>
      <c r="T111" s="1850" t="s">
        <v>6996</v>
      </c>
    </row>
    <row r="112" spans="6:20">
      <c r="F112" s="512" t="s">
        <v>2076</v>
      </c>
      <c r="G112" s="511" t="s">
        <v>2077</v>
      </c>
      <c r="S112" s="1850" t="s">
        <v>6997</v>
      </c>
      <c r="T112" s="1850" t="s">
        <v>6998</v>
      </c>
    </row>
    <row r="113" spans="6:20">
      <c r="F113" s="512" t="s">
        <v>2078</v>
      </c>
      <c r="G113" s="511" t="s">
        <v>2079</v>
      </c>
      <c r="S113" s="1850" t="s">
        <v>6999</v>
      </c>
      <c r="T113" s="1850" t="s">
        <v>7000</v>
      </c>
    </row>
    <row r="114" spans="6:20">
      <c r="F114" s="512" t="s">
        <v>2080</v>
      </c>
      <c r="G114" s="511" t="s">
        <v>2081</v>
      </c>
      <c r="S114" s="1850" t="s">
        <v>7001</v>
      </c>
      <c r="T114" s="1850" t="s">
        <v>7002</v>
      </c>
    </row>
    <row r="115" spans="6:20">
      <c r="F115" s="512" t="s">
        <v>2082</v>
      </c>
      <c r="G115" s="511" t="s">
        <v>2083</v>
      </c>
      <c r="S115" s="1850" t="s">
        <v>7003</v>
      </c>
      <c r="T115" s="1850" t="s">
        <v>7004</v>
      </c>
    </row>
    <row r="116" spans="6:20">
      <c r="F116" s="512" t="s">
        <v>2084</v>
      </c>
      <c r="G116" s="511" t="s">
        <v>2085</v>
      </c>
      <c r="S116" s="1850" t="s">
        <v>7005</v>
      </c>
      <c r="T116" s="1850" t="s">
        <v>7006</v>
      </c>
    </row>
    <row r="117" spans="6:20">
      <c r="F117" s="512" t="s">
        <v>2086</v>
      </c>
      <c r="G117" s="511" t="s">
        <v>2087</v>
      </c>
      <c r="S117" s="1850" t="s">
        <v>7007</v>
      </c>
      <c r="T117" s="1850" t="s">
        <v>7008</v>
      </c>
    </row>
    <row r="118" spans="6:20">
      <c r="F118" s="512" t="s">
        <v>2088</v>
      </c>
      <c r="G118" s="511" t="s">
        <v>2089</v>
      </c>
      <c r="S118" s="1850" t="s">
        <v>7009</v>
      </c>
      <c r="T118" s="1850" t="s">
        <v>3789</v>
      </c>
    </row>
    <row r="119" spans="6:20">
      <c r="F119" s="512" t="s">
        <v>2090</v>
      </c>
      <c r="G119" s="511" t="s">
        <v>2091</v>
      </c>
      <c r="S119" s="1850" t="s">
        <v>7010</v>
      </c>
      <c r="T119" s="1850" t="s">
        <v>7011</v>
      </c>
    </row>
    <row r="120" spans="6:20">
      <c r="F120" s="512" t="s">
        <v>2092</v>
      </c>
      <c r="G120" s="511" t="s">
        <v>2093</v>
      </c>
      <c r="S120" s="1850" t="s">
        <v>7012</v>
      </c>
      <c r="T120" s="1850" t="s">
        <v>7013</v>
      </c>
    </row>
    <row r="121" spans="6:20">
      <c r="F121" s="512" t="s">
        <v>2094</v>
      </c>
      <c r="G121" s="511" t="s">
        <v>2095</v>
      </c>
      <c r="S121" s="1850" t="s">
        <v>7014</v>
      </c>
      <c r="T121" s="1850" t="s">
        <v>7015</v>
      </c>
    </row>
    <row r="122" spans="6:20">
      <c r="F122" s="512" t="s">
        <v>2096</v>
      </c>
      <c r="G122" s="511" t="s">
        <v>2097</v>
      </c>
      <c r="S122" s="1850" t="s">
        <v>7016</v>
      </c>
      <c r="T122" s="1850" t="s">
        <v>7017</v>
      </c>
    </row>
    <row r="123" spans="6:20">
      <c r="F123" s="512" t="s">
        <v>2098</v>
      </c>
      <c r="G123" s="511" t="s">
        <v>2099</v>
      </c>
      <c r="S123" s="1850" t="s">
        <v>7018</v>
      </c>
      <c r="T123" s="1850" t="s">
        <v>7019</v>
      </c>
    </row>
    <row r="124" spans="6:20">
      <c r="F124" s="512" t="s">
        <v>2100</v>
      </c>
      <c r="G124" s="511" t="s">
        <v>2101</v>
      </c>
      <c r="S124" s="1850" t="s">
        <v>7020</v>
      </c>
      <c r="T124" s="1850" t="s">
        <v>7021</v>
      </c>
    </row>
    <row r="125" spans="6:20">
      <c r="F125" s="512" t="s">
        <v>2102</v>
      </c>
      <c r="G125" s="511" t="s">
        <v>2103</v>
      </c>
      <c r="S125" s="1850" t="s">
        <v>7022</v>
      </c>
      <c r="T125" s="1850" t="s">
        <v>7023</v>
      </c>
    </row>
    <row r="126" spans="6:20">
      <c r="F126" s="512" t="s">
        <v>2104</v>
      </c>
      <c r="G126" s="511" t="s">
        <v>2105</v>
      </c>
      <c r="S126" s="1850" t="s">
        <v>7024</v>
      </c>
      <c r="T126" s="1850" t="s">
        <v>7025</v>
      </c>
    </row>
    <row r="127" spans="6:20">
      <c r="F127" s="512" t="s">
        <v>2106</v>
      </c>
      <c r="G127" s="511" t="s">
        <v>2107</v>
      </c>
      <c r="S127" s="1850" t="s">
        <v>7026</v>
      </c>
      <c r="T127" s="1850" t="s">
        <v>7027</v>
      </c>
    </row>
    <row r="128" spans="6:20">
      <c r="F128" s="512" t="s">
        <v>2108</v>
      </c>
      <c r="G128" s="511" t="s">
        <v>2109</v>
      </c>
      <c r="S128" s="1850" t="s">
        <v>7028</v>
      </c>
      <c r="T128" s="1850" t="s">
        <v>7029</v>
      </c>
    </row>
    <row r="129" spans="6:20">
      <c r="F129" s="512" t="s">
        <v>2110</v>
      </c>
      <c r="G129" s="511" t="s">
        <v>2111</v>
      </c>
      <c r="S129" s="1850" t="s">
        <v>7030</v>
      </c>
      <c r="T129" s="1850" t="s">
        <v>7031</v>
      </c>
    </row>
    <row r="130" spans="6:20">
      <c r="F130" s="512" t="s">
        <v>2112</v>
      </c>
      <c r="G130" s="511" t="s">
        <v>2113</v>
      </c>
      <c r="S130" s="1850" t="s">
        <v>7032</v>
      </c>
      <c r="T130" s="1850" t="s">
        <v>7033</v>
      </c>
    </row>
    <row r="131" spans="6:20">
      <c r="F131" s="512" t="s">
        <v>2114</v>
      </c>
      <c r="G131" s="511" t="s">
        <v>2115</v>
      </c>
      <c r="S131" s="1850" t="s">
        <v>7034</v>
      </c>
      <c r="T131" s="1850" t="s">
        <v>7035</v>
      </c>
    </row>
    <row r="132" spans="6:20">
      <c r="F132" s="512" t="s">
        <v>2116</v>
      </c>
      <c r="G132" s="511" t="s">
        <v>2117</v>
      </c>
      <c r="S132" s="1850" t="s">
        <v>7036</v>
      </c>
      <c r="T132" s="1850" t="s">
        <v>7037</v>
      </c>
    </row>
    <row r="133" spans="6:20">
      <c r="F133" s="512" t="s">
        <v>2118</v>
      </c>
      <c r="G133" s="511" t="s">
        <v>2119</v>
      </c>
      <c r="S133" s="1850" t="s">
        <v>7038</v>
      </c>
      <c r="T133" s="1850" t="s">
        <v>7039</v>
      </c>
    </row>
    <row r="134" spans="6:20">
      <c r="F134" s="512" t="s">
        <v>2120</v>
      </c>
      <c r="G134" s="511" t="s">
        <v>2121</v>
      </c>
      <c r="S134" s="1850" t="s">
        <v>7040</v>
      </c>
      <c r="T134" s="1850" t="s">
        <v>7041</v>
      </c>
    </row>
    <row r="135" spans="6:20">
      <c r="F135" s="512" t="s">
        <v>2122</v>
      </c>
      <c r="G135" s="511" t="s">
        <v>2123</v>
      </c>
      <c r="S135" s="1850" t="s">
        <v>7042</v>
      </c>
      <c r="T135" s="1850" t="s">
        <v>7043</v>
      </c>
    </row>
    <row r="136" spans="6:20">
      <c r="F136" s="512" t="s">
        <v>2124</v>
      </c>
      <c r="G136" s="511" t="s">
        <v>2125</v>
      </c>
      <c r="S136" s="1850" t="s">
        <v>7044</v>
      </c>
      <c r="T136" s="1850" t="s">
        <v>7045</v>
      </c>
    </row>
    <row r="137" spans="6:20">
      <c r="F137" s="512" t="s">
        <v>2126</v>
      </c>
      <c r="G137" s="511" t="s">
        <v>2127</v>
      </c>
      <c r="S137" s="1850" t="s">
        <v>7046</v>
      </c>
      <c r="T137" s="1850" t="s">
        <v>7047</v>
      </c>
    </row>
    <row r="138" spans="6:20">
      <c r="F138" s="512" t="s">
        <v>2128</v>
      </c>
      <c r="G138" s="511" t="s">
        <v>2129</v>
      </c>
      <c r="S138" s="1850" t="s">
        <v>7048</v>
      </c>
      <c r="T138" s="1850" t="s">
        <v>7049</v>
      </c>
    </row>
    <row r="139" spans="6:20">
      <c r="F139" s="512" t="s">
        <v>2130</v>
      </c>
      <c r="G139" s="511" t="s">
        <v>2131</v>
      </c>
      <c r="S139" s="1850" t="s">
        <v>7050</v>
      </c>
      <c r="T139" s="1850" t="s">
        <v>7051</v>
      </c>
    </row>
    <row r="140" spans="6:20">
      <c r="F140" s="512" t="s">
        <v>2132</v>
      </c>
      <c r="G140" s="511" t="s">
        <v>2133</v>
      </c>
      <c r="S140" s="1850" t="s">
        <v>7052</v>
      </c>
      <c r="T140" s="1850" t="s">
        <v>7053</v>
      </c>
    </row>
    <row r="141" spans="6:20">
      <c r="F141" s="512" t="s">
        <v>2134</v>
      </c>
      <c r="G141" s="511" t="s">
        <v>2135</v>
      </c>
      <c r="S141" s="1850" t="s">
        <v>7054</v>
      </c>
      <c r="T141" s="1850" t="s">
        <v>7055</v>
      </c>
    </row>
    <row r="142" spans="6:20">
      <c r="F142" s="512" t="s">
        <v>2136</v>
      </c>
      <c r="G142" s="511" t="s">
        <v>2137</v>
      </c>
      <c r="S142" s="1850" t="s">
        <v>7056</v>
      </c>
      <c r="T142" s="1850" t="s">
        <v>7057</v>
      </c>
    </row>
    <row r="143" spans="6:20">
      <c r="F143" s="512" t="s">
        <v>2138</v>
      </c>
      <c r="G143" s="511" t="s">
        <v>2139</v>
      </c>
      <c r="S143" s="1850" t="s">
        <v>7058</v>
      </c>
      <c r="T143" s="1850" t="s">
        <v>7059</v>
      </c>
    </row>
    <row r="144" spans="6:20">
      <c r="F144" s="512" t="s">
        <v>2140</v>
      </c>
      <c r="G144" s="511" t="s">
        <v>2141</v>
      </c>
      <c r="S144" s="1850" t="s">
        <v>7060</v>
      </c>
      <c r="T144" s="1850" t="s">
        <v>7061</v>
      </c>
    </row>
    <row r="145" spans="6:20">
      <c r="F145" s="512" t="s">
        <v>2142</v>
      </c>
      <c r="G145" s="511" t="s">
        <v>2143</v>
      </c>
      <c r="S145" s="1850" t="s">
        <v>7062</v>
      </c>
      <c r="T145" s="1850" t="s">
        <v>7063</v>
      </c>
    </row>
    <row r="146" spans="6:20">
      <c r="F146" s="512" t="s">
        <v>2144</v>
      </c>
      <c r="G146" s="511" t="s">
        <v>2145</v>
      </c>
      <c r="S146" s="1850" t="s">
        <v>7064</v>
      </c>
      <c r="T146" s="1850" t="s">
        <v>7065</v>
      </c>
    </row>
    <row r="147" spans="6:20">
      <c r="F147" s="512" t="s">
        <v>2146</v>
      </c>
      <c r="G147" s="511" t="s">
        <v>2147</v>
      </c>
      <c r="S147" s="1850" t="s">
        <v>7066</v>
      </c>
      <c r="T147" s="1850" t="s">
        <v>7067</v>
      </c>
    </row>
    <row r="148" spans="6:20">
      <c r="F148" s="512" t="s">
        <v>2148</v>
      </c>
      <c r="G148" s="511" t="s">
        <v>2149</v>
      </c>
      <c r="S148" s="1850" t="s">
        <v>7068</v>
      </c>
      <c r="T148" s="1850" t="s">
        <v>7069</v>
      </c>
    </row>
    <row r="149" spans="6:20">
      <c r="F149" s="512" t="s">
        <v>2150</v>
      </c>
      <c r="G149" s="511" t="s">
        <v>2151</v>
      </c>
      <c r="S149" s="1850" t="s">
        <v>7070</v>
      </c>
      <c r="T149" s="1850" t="s">
        <v>7071</v>
      </c>
    </row>
    <row r="150" spans="6:20">
      <c r="F150" s="512" t="s">
        <v>2152</v>
      </c>
      <c r="G150" s="511" t="s">
        <v>2153</v>
      </c>
      <c r="S150" s="1850" t="s">
        <v>7072</v>
      </c>
      <c r="T150" s="1850" t="s">
        <v>7073</v>
      </c>
    </row>
    <row r="151" spans="6:20">
      <c r="F151" s="512" t="s">
        <v>2154</v>
      </c>
      <c r="G151" s="511" t="s">
        <v>2155</v>
      </c>
      <c r="S151" s="1850" t="s">
        <v>7074</v>
      </c>
      <c r="T151" s="1850" t="s">
        <v>7075</v>
      </c>
    </row>
    <row r="152" spans="6:20">
      <c r="F152" s="512" t="s">
        <v>2156</v>
      </c>
      <c r="G152" s="511" t="s">
        <v>2157</v>
      </c>
      <c r="S152" s="1850" t="s">
        <v>7076</v>
      </c>
      <c r="T152" s="1850" t="s">
        <v>7077</v>
      </c>
    </row>
    <row r="153" spans="6:20">
      <c r="F153" s="512" t="s">
        <v>2158</v>
      </c>
      <c r="G153" s="511" t="s">
        <v>2159</v>
      </c>
      <c r="S153" s="1850" t="s">
        <v>7078</v>
      </c>
      <c r="T153" s="1850" t="s">
        <v>7079</v>
      </c>
    </row>
    <row r="154" spans="6:20">
      <c r="F154" s="512" t="s">
        <v>2160</v>
      </c>
      <c r="G154" s="511" t="s">
        <v>2161</v>
      </c>
      <c r="S154" s="1850" t="s">
        <v>7080</v>
      </c>
      <c r="T154" s="1850" t="s">
        <v>7081</v>
      </c>
    </row>
    <row r="155" spans="6:20">
      <c r="F155" s="512" t="s">
        <v>2162</v>
      </c>
      <c r="G155" s="511" t="s">
        <v>2163</v>
      </c>
      <c r="S155" s="1850" t="s">
        <v>7082</v>
      </c>
      <c r="T155" s="1850" t="s">
        <v>7083</v>
      </c>
    </row>
    <row r="156" spans="6:20">
      <c r="F156" s="512" t="s">
        <v>2164</v>
      </c>
      <c r="G156" s="511" t="s">
        <v>2165</v>
      </c>
      <c r="S156" s="1850" t="s">
        <v>7084</v>
      </c>
      <c r="T156" s="1850" t="s">
        <v>7085</v>
      </c>
    </row>
    <row r="157" spans="6:20">
      <c r="F157" s="512" t="s">
        <v>2166</v>
      </c>
      <c r="G157" s="511" t="s">
        <v>2167</v>
      </c>
      <c r="S157" s="1850" t="s">
        <v>7086</v>
      </c>
      <c r="T157" s="1850" t="s">
        <v>7087</v>
      </c>
    </row>
    <row r="158" spans="6:20">
      <c r="F158" s="512" t="s">
        <v>2168</v>
      </c>
      <c r="G158" s="511" t="s">
        <v>2169</v>
      </c>
      <c r="S158" s="1850" t="s">
        <v>7088</v>
      </c>
      <c r="T158" s="1850" t="s">
        <v>7089</v>
      </c>
    </row>
    <row r="159" spans="6:20">
      <c r="F159" s="512" t="s">
        <v>2170</v>
      </c>
      <c r="G159" s="511" t="s">
        <v>2171</v>
      </c>
      <c r="S159" s="1850" t="s">
        <v>7090</v>
      </c>
      <c r="T159" s="1850" t="s">
        <v>7091</v>
      </c>
    </row>
    <row r="160" spans="6:20">
      <c r="F160" s="512" t="s">
        <v>2172</v>
      </c>
      <c r="G160" s="511" t="s">
        <v>2173</v>
      </c>
      <c r="S160" s="1850" t="s">
        <v>7092</v>
      </c>
      <c r="T160" s="1850" t="s">
        <v>7093</v>
      </c>
    </row>
    <row r="161" spans="6:20">
      <c r="F161" s="512" t="s">
        <v>2174</v>
      </c>
      <c r="G161" s="511" t="s">
        <v>2175</v>
      </c>
      <c r="S161" s="1850" t="s">
        <v>7094</v>
      </c>
      <c r="T161" s="1850" t="s">
        <v>7095</v>
      </c>
    </row>
    <row r="162" spans="6:20">
      <c r="F162" s="512" t="s">
        <v>2176</v>
      </c>
      <c r="G162" s="511" t="s">
        <v>2177</v>
      </c>
      <c r="S162" s="1850" t="s">
        <v>7096</v>
      </c>
      <c r="T162" s="1850" t="s">
        <v>7097</v>
      </c>
    </row>
    <row r="163" spans="6:20">
      <c r="F163" s="512" t="s">
        <v>2178</v>
      </c>
      <c r="G163" s="511" t="s">
        <v>2179</v>
      </c>
      <c r="S163" s="1850" t="s">
        <v>7098</v>
      </c>
      <c r="T163" s="1850" t="s">
        <v>7099</v>
      </c>
    </row>
    <row r="164" spans="6:20">
      <c r="F164" s="512" t="s">
        <v>2180</v>
      </c>
      <c r="G164" s="511" t="s">
        <v>2181</v>
      </c>
      <c r="S164" s="1850" t="s">
        <v>7100</v>
      </c>
      <c r="T164" s="1850" t="s">
        <v>7101</v>
      </c>
    </row>
    <row r="165" spans="6:20">
      <c r="F165" s="512" t="s">
        <v>2182</v>
      </c>
      <c r="G165" s="511" t="s">
        <v>2183</v>
      </c>
      <c r="S165" s="1850" t="s">
        <v>7102</v>
      </c>
      <c r="T165" s="1850" t="s">
        <v>7103</v>
      </c>
    </row>
    <row r="166" spans="6:20">
      <c r="F166" s="512" t="s">
        <v>2184</v>
      </c>
      <c r="G166" s="511" t="s">
        <v>2185</v>
      </c>
      <c r="S166" s="1850" t="s">
        <v>7104</v>
      </c>
      <c r="T166" s="1850" t="s">
        <v>7105</v>
      </c>
    </row>
    <row r="167" spans="6:20">
      <c r="F167" s="512" t="s">
        <v>2186</v>
      </c>
      <c r="G167" s="511" t="s">
        <v>2187</v>
      </c>
      <c r="S167" s="1850" t="s">
        <v>7106</v>
      </c>
      <c r="T167" s="1850" t="s">
        <v>7107</v>
      </c>
    </row>
    <row r="168" spans="6:20">
      <c r="F168" s="512" t="s">
        <v>2188</v>
      </c>
      <c r="G168" s="511" t="s">
        <v>2189</v>
      </c>
      <c r="S168" s="1850" t="s">
        <v>7108</v>
      </c>
      <c r="T168" s="1850" t="s">
        <v>7109</v>
      </c>
    </row>
    <row r="169" spans="6:20">
      <c r="F169" s="512" t="s">
        <v>2190</v>
      </c>
      <c r="G169" s="511" t="s">
        <v>2191</v>
      </c>
      <c r="S169" s="1850" t="s">
        <v>7110</v>
      </c>
      <c r="T169" s="1850" t="s">
        <v>7111</v>
      </c>
    </row>
    <row r="170" spans="6:20">
      <c r="F170" s="512" t="s">
        <v>2192</v>
      </c>
      <c r="G170" s="511" t="s">
        <v>2193</v>
      </c>
      <c r="S170" s="1850" t="s">
        <v>7112</v>
      </c>
      <c r="T170" s="1850" t="s">
        <v>7113</v>
      </c>
    </row>
    <row r="171" spans="6:20">
      <c r="F171" s="512" t="s">
        <v>2194</v>
      </c>
      <c r="G171" s="511" t="s">
        <v>2195</v>
      </c>
      <c r="S171" s="1850" t="s">
        <v>7114</v>
      </c>
      <c r="T171" s="1850" t="s">
        <v>7115</v>
      </c>
    </row>
    <row r="172" spans="6:20">
      <c r="F172" s="512" t="s">
        <v>2196</v>
      </c>
      <c r="G172" s="511" t="s">
        <v>2197</v>
      </c>
      <c r="S172" s="1850" t="s">
        <v>7116</v>
      </c>
      <c r="T172" s="1850" t="s">
        <v>7117</v>
      </c>
    </row>
    <row r="173" spans="6:20">
      <c r="F173" s="512" t="s">
        <v>2198</v>
      </c>
      <c r="G173" s="511" t="s">
        <v>2199</v>
      </c>
      <c r="S173" s="1850" t="s">
        <v>7118</v>
      </c>
      <c r="T173" s="1850" t="s">
        <v>7119</v>
      </c>
    </row>
    <row r="174" spans="6:20">
      <c r="F174" s="512" t="s">
        <v>2200</v>
      </c>
      <c r="G174" s="511" t="s">
        <v>2201</v>
      </c>
      <c r="S174" s="1850" t="s">
        <v>7120</v>
      </c>
      <c r="T174" s="1850" t="s">
        <v>7121</v>
      </c>
    </row>
    <row r="175" spans="6:20">
      <c r="F175" s="512" t="s">
        <v>2202</v>
      </c>
      <c r="G175" s="511" t="s">
        <v>2203</v>
      </c>
      <c r="S175" s="1850" t="s">
        <v>7122</v>
      </c>
      <c r="T175" s="1850" t="s">
        <v>7123</v>
      </c>
    </row>
    <row r="176" spans="6:20">
      <c r="F176" s="512" t="s">
        <v>2204</v>
      </c>
      <c r="G176" s="511" t="s">
        <v>2205</v>
      </c>
      <c r="S176" s="1850" t="s">
        <v>7124</v>
      </c>
      <c r="T176" s="1850" t="s">
        <v>7125</v>
      </c>
    </row>
    <row r="177" spans="6:20">
      <c r="F177" s="512" t="s">
        <v>2206</v>
      </c>
      <c r="G177" s="511" t="s">
        <v>2207</v>
      </c>
      <c r="S177" s="1850" t="s">
        <v>7126</v>
      </c>
      <c r="T177" s="1850" t="s">
        <v>7127</v>
      </c>
    </row>
    <row r="178" spans="6:20">
      <c r="F178" s="512" t="s">
        <v>2208</v>
      </c>
      <c r="G178" s="511" t="s">
        <v>2209</v>
      </c>
      <c r="S178" s="1850" t="s">
        <v>7128</v>
      </c>
      <c r="T178" s="1850" t="s">
        <v>7129</v>
      </c>
    </row>
    <row r="179" spans="6:20">
      <c r="F179" s="512" t="s">
        <v>2210</v>
      </c>
      <c r="G179" s="511" t="s">
        <v>2211</v>
      </c>
      <c r="S179" s="1850" t="s">
        <v>7130</v>
      </c>
      <c r="T179" s="1850" t="s">
        <v>7131</v>
      </c>
    </row>
    <row r="180" spans="6:20">
      <c r="F180" s="512" t="s">
        <v>2212</v>
      </c>
      <c r="G180" s="511" t="s">
        <v>2213</v>
      </c>
      <c r="S180" s="1850" t="s">
        <v>7132</v>
      </c>
      <c r="T180" s="1850" t="s">
        <v>7133</v>
      </c>
    </row>
    <row r="181" spans="6:20">
      <c r="F181" s="512" t="s">
        <v>2214</v>
      </c>
      <c r="G181" s="511" t="s">
        <v>2215</v>
      </c>
      <c r="S181" s="1850" t="s">
        <v>7134</v>
      </c>
      <c r="T181" s="1850" t="s">
        <v>7135</v>
      </c>
    </row>
    <row r="182" spans="6:20">
      <c r="F182" s="512" t="s">
        <v>2216</v>
      </c>
      <c r="G182" s="511" t="s">
        <v>2217</v>
      </c>
      <c r="S182" s="1850" t="s">
        <v>7136</v>
      </c>
      <c r="T182" s="1850" t="s">
        <v>7137</v>
      </c>
    </row>
    <row r="183" spans="6:20">
      <c r="F183" s="512" t="s">
        <v>2218</v>
      </c>
      <c r="G183" s="511" t="s">
        <v>2219</v>
      </c>
      <c r="S183" s="1850" t="s">
        <v>7138</v>
      </c>
      <c r="T183" s="1850" t="s">
        <v>7139</v>
      </c>
    </row>
    <row r="184" spans="6:20">
      <c r="F184" s="512" t="s">
        <v>2220</v>
      </c>
      <c r="G184" s="511" t="s">
        <v>2221</v>
      </c>
      <c r="S184" s="1850" t="s">
        <v>7140</v>
      </c>
      <c r="T184" s="1850" t="s">
        <v>7141</v>
      </c>
    </row>
    <row r="185" spans="6:20">
      <c r="F185" s="512" t="s">
        <v>2222</v>
      </c>
      <c r="G185" s="511" t="s">
        <v>2223</v>
      </c>
      <c r="S185" s="1850" t="s">
        <v>7142</v>
      </c>
      <c r="T185" s="1850" t="s">
        <v>7143</v>
      </c>
    </row>
    <row r="186" spans="6:20">
      <c r="F186" s="512" t="s">
        <v>2224</v>
      </c>
      <c r="G186" s="511" t="s">
        <v>2225</v>
      </c>
      <c r="S186" s="1850" t="s">
        <v>7144</v>
      </c>
      <c r="T186" s="1850" t="s">
        <v>7145</v>
      </c>
    </row>
    <row r="187" spans="6:20">
      <c r="F187" s="512" t="s">
        <v>2226</v>
      </c>
      <c r="G187" s="511" t="s">
        <v>2227</v>
      </c>
      <c r="S187" s="1850" t="s">
        <v>7146</v>
      </c>
      <c r="T187" s="1850" t="s">
        <v>7147</v>
      </c>
    </row>
    <row r="188" spans="6:20">
      <c r="F188" s="512" t="s">
        <v>2228</v>
      </c>
      <c r="G188" s="511" t="s">
        <v>2229</v>
      </c>
      <c r="S188" s="1850" t="s">
        <v>7148</v>
      </c>
      <c r="T188" s="1850" t="s">
        <v>7149</v>
      </c>
    </row>
    <row r="189" spans="6:20">
      <c r="F189" s="512" t="s">
        <v>2230</v>
      </c>
      <c r="G189" s="511" t="s">
        <v>2231</v>
      </c>
      <c r="S189" s="1850" t="s">
        <v>7150</v>
      </c>
      <c r="T189" s="1850" t="s">
        <v>7151</v>
      </c>
    </row>
    <row r="190" spans="6:20">
      <c r="F190" s="512" t="s">
        <v>2232</v>
      </c>
      <c r="G190" s="511" t="s">
        <v>2233</v>
      </c>
      <c r="S190" s="1850" t="s">
        <v>7152</v>
      </c>
      <c r="T190" s="1850" t="s">
        <v>7153</v>
      </c>
    </row>
    <row r="191" spans="6:20">
      <c r="F191" s="512" t="s">
        <v>2234</v>
      </c>
      <c r="G191" s="511" t="s">
        <v>2235</v>
      </c>
      <c r="S191" s="1850" t="s">
        <v>7154</v>
      </c>
      <c r="T191" s="1850" t="s">
        <v>7155</v>
      </c>
    </row>
    <row r="192" spans="6:20">
      <c r="F192" s="512" t="s">
        <v>2236</v>
      </c>
      <c r="G192" s="511" t="s">
        <v>2237</v>
      </c>
      <c r="S192" s="1850" t="s">
        <v>7156</v>
      </c>
      <c r="T192" s="1850" t="s">
        <v>7157</v>
      </c>
    </row>
    <row r="193" spans="6:20">
      <c r="F193" s="512" t="s">
        <v>2238</v>
      </c>
      <c r="G193" s="511" t="s">
        <v>2239</v>
      </c>
      <c r="S193" s="1850" t="s">
        <v>7158</v>
      </c>
      <c r="T193" s="1850" t="s">
        <v>7159</v>
      </c>
    </row>
    <row r="194" spans="6:20">
      <c r="F194" s="512" t="s">
        <v>2240</v>
      </c>
      <c r="G194" s="511" t="s">
        <v>2241</v>
      </c>
      <c r="S194" s="1850" t="s">
        <v>7160</v>
      </c>
      <c r="T194" s="1850" t="s">
        <v>7161</v>
      </c>
    </row>
    <row r="195" spans="6:20">
      <c r="F195" s="512" t="s">
        <v>2242</v>
      </c>
      <c r="G195" s="511" t="s">
        <v>2243</v>
      </c>
      <c r="S195" s="1850" t="s">
        <v>7162</v>
      </c>
      <c r="T195" s="1850" t="s">
        <v>7163</v>
      </c>
    </row>
    <row r="196" spans="6:20">
      <c r="F196" s="512" t="s">
        <v>2244</v>
      </c>
      <c r="G196" s="511" t="s">
        <v>2245</v>
      </c>
      <c r="S196" s="1850" t="s">
        <v>7164</v>
      </c>
      <c r="T196" s="1850" t="s">
        <v>7165</v>
      </c>
    </row>
    <row r="197" spans="6:20">
      <c r="F197" s="512" t="s">
        <v>2246</v>
      </c>
      <c r="G197" s="511" t="s">
        <v>2247</v>
      </c>
      <c r="S197" s="1850" t="s">
        <v>7166</v>
      </c>
      <c r="T197" s="1850" t="s">
        <v>6781</v>
      </c>
    </row>
    <row r="198" spans="6:20">
      <c r="F198" s="512" t="s">
        <v>2248</v>
      </c>
      <c r="G198" s="511" t="s">
        <v>2249</v>
      </c>
      <c r="S198" s="1850" t="s">
        <v>7167</v>
      </c>
      <c r="T198" s="1850" t="s">
        <v>6783</v>
      </c>
    </row>
    <row r="199" spans="6:20">
      <c r="F199" s="512" t="s">
        <v>2250</v>
      </c>
      <c r="G199" s="511" t="s">
        <v>2251</v>
      </c>
      <c r="S199" s="1850" t="s">
        <v>7168</v>
      </c>
      <c r="T199" s="1850" t="s">
        <v>7169</v>
      </c>
    </row>
    <row r="200" spans="6:20">
      <c r="F200" s="512" t="s">
        <v>2252</v>
      </c>
      <c r="G200" s="511" t="s">
        <v>2253</v>
      </c>
      <c r="S200" s="1850" t="s">
        <v>7170</v>
      </c>
      <c r="T200" s="1850" t="s">
        <v>7171</v>
      </c>
    </row>
    <row r="201" spans="6:20">
      <c r="F201" s="512" t="s">
        <v>2254</v>
      </c>
      <c r="G201" s="511" t="s">
        <v>2255</v>
      </c>
      <c r="S201" s="1850" t="s">
        <v>7172</v>
      </c>
      <c r="T201" s="1850" t="s">
        <v>7173</v>
      </c>
    </row>
    <row r="202" spans="6:20">
      <c r="F202" s="512" t="s">
        <v>2256</v>
      </c>
      <c r="G202" s="511" t="s">
        <v>2257</v>
      </c>
      <c r="S202" s="1850" t="s">
        <v>7174</v>
      </c>
      <c r="T202" s="1850" t="s">
        <v>7175</v>
      </c>
    </row>
    <row r="203" spans="6:20">
      <c r="F203" s="512" t="s">
        <v>2258</v>
      </c>
      <c r="G203" s="511" t="s">
        <v>2259</v>
      </c>
      <c r="S203" s="1850" t="s">
        <v>7176</v>
      </c>
      <c r="T203" s="1850" t="s">
        <v>7177</v>
      </c>
    </row>
    <row r="204" spans="6:20">
      <c r="F204" s="512" t="s">
        <v>2260</v>
      </c>
      <c r="G204" s="511" t="s">
        <v>2261</v>
      </c>
      <c r="S204" s="1850" t="s">
        <v>7178</v>
      </c>
      <c r="T204" s="1850" t="s">
        <v>6791</v>
      </c>
    </row>
    <row r="205" spans="6:20">
      <c r="F205" s="512" t="s">
        <v>2262</v>
      </c>
      <c r="G205" s="511" t="s">
        <v>2263</v>
      </c>
      <c r="S205" s="1850" t="s">
        <v>7179</v>
      </c>
      <c r="T205" s="1850" t="s">
        <v>7180</v>
      </c>
    </row>
    <row r="206" spans="6:20">
      <c r="F206" s="512" t="s">
        <v>2264</v>
      </c>
      <c r="G206" s="511" t="s">
        <v>2265</v>
      </c>
      <c r="S206" s="1850" t="s">
        <v>7181</v>
      </c>
      <c r="T206" s="1850" t="s">
        <v>7182</v>
      </c>
    </row>
    <row r="207" spans="6:20">
      <c r="F207" s="512" t="s">
        <v>2266</v>
      </c>
      <c r="G207" s="511" t="s">
        <v>2267</v>
      </c>
      <c r="S207" s="1850" t="s">
        <v>7183</v>
      </c>
      <c r="T207" s="1850" t="s">
        <v>6795</v>
      </c>
    </row>
    <row r="208" spans="6:20">
      <c r="F208" s="512" t="s">
        <v>2268</v>
      </c>
      <c r="G208" s="511" t="s">
        <v>2269</v>
      </c>
      <c r="S208" s="1850" t="s">
        <v>7184</v>
      </c>
      <c r="T208" s="1850" t="s">
        <v>6849</v>
      </c>
    </row>
    <row r="209" spans="6:20">
      <c r="F209" s="512" t="s">
        <v>2270</v>
      </c>
      <c r="G209" s="511" t="s">
        <v>2271</v>
      </c>
      <c r="S209" s="1850" t="s">
        <v>7185</v>
      </c>
      <c r="T209" s="1850" t="s">
        <v>7186</v>
      </c>
    </row>
    <row r="210" spans="6:20">
      <c r="F210" s="512" t="s">
        <v>2272</v>
      </c>
      <c r="G210" s="511" t="s">
        <v>2273</v>
      </c>
      <c r="S210" s="1850" t="s">
        <v>7187</v>
      </c>
      <c r="T210" s="1850" t="s">
        <v>7188</v>
      </c>
    </row>
    <row r="211" spans="6:20">
      <c r="F211" s="512" t="s">
        <v>2274</v>
      </c>
      <c r="G211" s="511" t="s">
        <v>2275</v>
      </c>
      <c r="S211" s="1850" t="s">
        <v>7189</v>
      </c>
      <c r="T211" s="1850" t="s">
        <v>7190</v>
      </c>
    </row>
    <row r="212" spans="6:20">
      <c r="F212" s="512" t="s">
        <v>2276</v>
      </c>
      <c r="G212" s="511" t="s">
        <v>2277</v>
      </c>
      <c r="S212" s="1850" t="s">
        <v>7191</v>
      </c>
      <c r="T212" s="1850" t="s">
        <v>7192</v>
      </c>
    </row>
    <row r="213" spans="6:20">
      <c r="F213" s="512" t="s">
        <v>2278</v>
      </c>
      <c r="G213" s="511" t="s">
        <v>2279</v>
      </c>
      <c r="S213" s="1850" t="s">
        <v>7193</v>
      </c>
      <c r="T213" s="1850" t="s">
        <v>7194</v>
      </c>
    </row>
    <row r="214" spans="6:20">
      <c r="F214" s="512" t="s">
        <v>2280</v>
      </c>
      <c r="G214" s="511" t="s">
        <v>2281</v>
      </c>
      <c r="S214" s="1850" t="s">
        <v>7195</v>
      </c>
      <c r="T214" s="1850" t="s">
        <v>7196</v>
      </c>
    </row>
    <row r="215" spans="6:20">
      <c r="F215" s="512" t="s">
        <v>2282</v>
      </c>
      <c r="G215" s="511" t="s">
        <v>2283</v>
      </c>
      <c r="S215" s="1850" t="s">
        <v>7197</v>
      </c>
      <c r="T215" s="1850" t="s">
        <v>7198</v>
      </c>
    </row>
    <row r="216" spans="6:20">
      <c r="F216" s="512" t="s">
        <v>2284</v>
      </c>
      <c r="G216" s="511" t="s">
        <v>2285</v>
      </c>
      <c r="S216" s="1850" t="s">
        <v>7199</v>
      </c>
      <c r="T216" s="1850" t="s">
        <v>7200</v>
      </c>
    </row>
    <row r="217" spans="6:20">
      <c r="F217" s="512" t="s">
        <v>2286</v>
      </c>
      <c r="G217" s="511" t="s">
        <v>2287</v>
      </c>
      <c r="S217" s="1850" t="s">
        <v>7201</v>
      </c>
      <c r="T217" s="1850" t="s">
        <v>7202</v>
      </c>
    </row>
    <row r="218" spans="6:20">
      <c r="F218" s="512" t="s">
        <v>2288</v>
      </c>
      <c r="G218" s="511" t="s">
        <v>2289</v>
      </c>
      <c r="S218" s="1850" t="s">
        <v>7203</v>
      </c>
      <c r="T218" s="1850" t="s">
        <v>7204</v>
      </c>
    </row>
    <row r="219" spans="6:20">
      <c r="F219" s="512" t="s">
        <v>2290</v>
      </c>
      <c r="G219" s="511" t="s">
        <v>2291</v>
      </c>
      <c r="S219" s="1850" t="s">
        <v>7205</v>
      </c>
      <c r="T219" s="1850" t="s">
        <v>7206</v>
      </c>
    </row>
    <row r="220" spans="6:20">
      <c r="F220" s="512" t="s">
        <v>2292</v>
      </c>
      <c r="G220" s="511" t="s">
        <v>2293</v>
      </c>
      <c r="S220" s="1850" t="s">
        <v>7207</v>
      </c>
      <c r="T220" s="1850" t="s">
        <v>7208</v>
      </c>
    </row>
    <row r="221" spans="6:20">
      <c r="F221" s="512" t="s">
        <v>2294</v>
      </c>
      <c r="G221" s="511" t="s">
        <v>2295</v>
      </c>
      <c r="S221" s="1850" t="s">
        <v>7209</v>
      </c>
      <c r="T221" s="1850" t="s">
        <v>7210</v>
      </c>
    </row>
    <row r="222" spans="6:20">
      <c r="F222" s="512" t="s">
        <v>2296</v>
      </c>
      <c r="G222" s="511" t="s">
        <v>2297</v>
      </c>
      <c r="S222" s="1850" t="s">
        <v>7211</v>
      </c>
      <c r="T222" s="1850" t="s">
        <v>7212</v>
      </c>
    </row>
    <row r="223" spans="6:20">
      <c r="F223" s="512" t="s">
        <v>2298</v>
      </c>
      <c r="G223" s="511" t="s">
        <v>2299</v>
      </c>
      <c r="S223" s="1850" t="s">
        <v>7213</v>
      </c>
      <c r="T223" s="1850" t="s">
        <v>7214</v>
      </c>
    </row>
    <row r="224" spans="6:20">
      <c r="F224" s="512" t="s">
        <v>2300</v>
      </c>
      <c r="G224" s="511" t="s">
        <v>2301</v>
      </c>
      <c r="S224" s="1850" t="s">
        <v>7215</v>
      </c>
      <c r="T224" s="1850" t="s">
        <v>7216</v>
      </c>
    </row>
    <row r="225" spans="6:20">
      <c r="F225" s="512" t="s">
        <v>2302</v>
      </c>
      <c r="G225" s="511" t="s">
        <v>2303</v>
      </c>
      <c r="S225" s="1850" t="s">
        <v>7217</v>
      </c>
      <c r="T225" s="1850" t="s">
        <v>7218</v>
      </c>
    </row>
    <row r="226" spans="6:20">
      <c r="F226" s="512" t="s">
        <v>2304</v>
      </c>
      <c r="G226" s="511" t="s">
        <v>2305</v>
      </c>
      <c r="S226" s="1850" t="s">
        <v>7219</v>
      </c>
      <c r="T226" s="1850" t="s">
        <v>7220</v>
      </c>
    </row>
    <row r="227" spans="6:20">
      <c r="F227" s="512" t="s">
        <v>2306</v>
      </c>
      <c r="G227" s="511" t="s">
        <v>2307</v>
      </c>
      <c r="S227" s="1850" t="s">
        <v>7221</v>
      </c>
      <c r="T227" s="1850" t="s">
        <v>7222</v>
      </c>
    </row>
    <row r="228" spans="6:20">
      <c r="F228" s="512" t="s">
        <v>2308</v>
      </c>
      <c r="G228" s="511" t="s">
        <v>2309</v>
      </c>
      <c r="S228" s="1850" t="s">
        <v>7223</v>
      </c>
      <c r="T228" s="1850" t="s">
        <v>7224</v>
      </c>
    </row>
    <row r="229" spans="6:20">
      <c r="F229" s="512" t="s">
        <v>2310</v>
      </c>
      <c r="G229" s="511" t="s">
        <v>2311</v>
      </c>
      <c r="S229" s="1850" t="s">
        <v>7225</v>
      </c>
      <c r="T229" s="1850" t="s">
        <v>7226</v>
      </c>
    </row>
    <row r="230" spans="6:20">
      <c r="F230" s="512" t="s">
        <v>2312</v>
      </c>
      <c r="G230" s="511" t="s">
        <v>2313</v>
      </c>
      <c r="S230" s="1850" t="s">
        <v>7227</v>
      </c>
      <c r="T230" s="1850" t="s">
        <v>7228</v>
      </c>
    </row>
    <row r="231" spans="6:20">
      <c r="F231" s="512" t="s">
        <v>2314</v>
      </c>
      <c r="G231" s="511" t="s">
        <v>2315</v>
      </c>
      <c r="S231" s="1850" t="s">
        <v>7229</v>
      </c>
      <c r="T231" s="1850" t="s">
        <v>7230</v>
      </c>
    </row>
    <row r="232" spans="6:20">
      <c r="F232" s="512" t="s">
        <v>2316</v>
      </c>
      <c r="G232" s="511" t="s">
        <v>2317</v>
      </c>
      <c r="S232" s="1850" t="s">
        <v>7231</v>
      </c>
      <c r="T232" s="1850" t="s">
        <v>7232</v>
      </c>
    </row>
    <row r="233" spans="6:20">
      <c r="F233" s="512" t="s">
        <v>2318</v>
      </c>
      <c r="G233" s="511" t="s">
        <v>2319</v>
      </c>
      <c r="S233" s="1850" t="s">
        <v>7233</v>
      </c>
      <c r="T233" s="1850" t="s">
        <v>7234</v>
      </c>
    </row>
    <row r="234" spans="6:20">
      <c r="F234" s="512" t="s">
        <v>2320</v>
      </c>
      <c r="G234" s="511" t="s">
        <v>2321</v>
      </c>
      <c r="S234" s="1850" t="s">
        <v>7235</v>
      </c>
      <c r="T234" s="1850" t="s">
        <v>7236</v>
      </c>
    </row>
    <row r="235" spans="6:20">
      <c r="F235" s="512" t="s">
        <v>2322</v>
      </c>
      <c r="G235" s="511" t="s">
        <v>2323</v>
      </c>
      <c r="S235" s="1850" t="s">
        <v>7237</v>
      </c>
      <c r="T235" s="1850" t="s">
        <v>7238</v>
      </c>
    </row>
    <row r="236" spans="6:20">
      <c r="F236" s="512" t="s">
        <v>2324</v>
      </c>
      <c r="G236" s="511" t="s">
        <v>2325</v>
      </c>
      <c r="S236" s="1850" t="s">
        <v>7239</v>
      </c>
      <c r="T236" s="1850" t="s">
        <v>7240</v>
      </c>
    </row>
    <row r="237" spans="6:20">
      <c r="F237" s="512" t="s">
        <v>2326</v>
      </c>
      <c r="G237" s="511" t="s">
        <v>2327</v>
      </c>
      <c r="S237" s="1850" t="s">
        <v>7241</v>
      </c>
      <c r="T237" s="1850" t="s">
        <v>7242</v>
      </c>
    </row>
    <row r="238" spans="6:20">
      <c r="F238" s="512" t="s">
        <v>2328</v>
      </c>
      <c r="G238" s="511" t="s">
        <v>2329</v>
      </c>
      <c r="S238" s="1850" t="s">
        <v>7243</v>
      </c>
      <c r="T238" s="1850" t="s">
        <v>7244</v>
      </c>
    </row>
    <row r="239" spans="6:20">
      <c r="F239" s="512" t="s">
        <v>2330</v>
      </c>
      <c r="G239" s="511" t="s">
        <v>2331</v>
      </c>
      <c r="S239" s="1850" t="s">
        <v>7245</v>
      </c>
      <c r="T239" s="1850" t="s">
        <v>7246</v>
      </c>
    </row>
    <row r="240" spans="6:20">
      <c r="F240" s="512" t="s">
        <v>2332</v>
      </c>
      <c r="G240" s="511" t="s">
        <v>2333</v>
      </c>
      <c r="S240" s="1850" t="s">
        <v>7247</v>
      </c>
      <c r="T240" s="1850" t="s">
        <v>7153</v>
      </c>
    </row>
    <row r="241" spans="6:20">
      <c r="F241" s="512" t="s">
        <v>2334</v>
      </c>
      <c r="G241" s="511" t="s">
        <v>2335</v>
      </c>
      <c r="S241" s="1850" t="s">
        <v>7248</v>
      </c>
      <c r="T241" s="1850" t="s">
        <v>7155</v>
      </c>
    </row>
    <row r="242" spans="6:20">
      <c r="F242" s="512" t="s">
        <v>2336</v>
      </c>
      <c r="G242" s="511" t="s">
        <v>2337</v>
      </c>
      <c r="S242" s="1850" t="s">
        <v>7249</v>
      </c>
      <c r="T242" s="1850" t="s">
        <v>7250</v>
      </c>
    </row>
    <row r="243" spans="6:20">
      <c r="F243" s="512" t="s">
        <v>2338</v>
      </c>
      <c r="G243" s="511" t="s">
        <v>2339</v>
      </c>
      <c r="S243" s="1850" t="s">
        <v>7251</v>
      </c>
      <c r="T243" s="1850" t="s">
        <v>7252</v>
      </c>
    </row>
    <row r="244" spans="6:20">
      <c r="F244" s="512" t="s">
        <v>2340</v>
      </c>
      <c r="G244" s="511" t="s">
        <v>2341</v>
      </c>
      <c r="S244" s="1850" t="s">
        <v>7253</v>
      </c>
      <c r="T244" s="1850" t="s">
        <v>7254</v>
      </c>
    </row>
    <row r="245" spans="6:20">
      <c r="F245" s="512" t="s">
        <v>2342</v>
      </c>
      <c r="G245" s="511" t="s">
        <v>2343</v>
      </c>
      <c r="S245" s="1850" t="s">
        <v>7255</v>
      </c>
      <c r="T245" s="1850" t="s">
        <v>7256</v>
      </c>
    </row>
    <row r="246" spans="6:20">
      <c r="F246" s="512" t="s">
        <v>2344</v>
      </c>
      <c r="G246" s="511" t="s">
        <v>2345</v>
      </c>
      <c r="S246" s="1850" t="s">
        <v>7257</v>
      </c>
      <c r="T246" s="1850" t="s">
        <v>3601</v>
      </c>
    </row>
    <row r="247" spans="6:20">
      <c r="F247" s="512" t="s">
        <v>2346</v>
      </c>
      <c r="G247" s="511" t="s">
        <v>2347</v>
      </c>
      <c r="S247" s="1850" t="s">
        <v>7258</v>
      </c>
      <c r="T247" s="1850" t="s">
        <v>7259</v>
      </c>
    </row>
    <row r="248" spans="6:20">
      <c r="F248" s="512" t="s">
        <v>2348</v>
      </c>
      <c r="G248" s="511" t="s">
        <v>2349</v>
      </c>
      <c r="S248" s="1850" t="s">
        <v>7260</v>
      </c>
      <c r="T248" s="1850" t="s">
        <v>7261</v>
      </c>
    </row>
    <row r="249" spans="6:20">
      <c r="F249" s="512" t="s">
        <v>2350</v>
      </c>
      <c r="G249" s="511" t="s">
        <v>2351</v>
      </c>
      <c r="S249" s="1850" t="s">
        <v>7262</v>
      </c>
      <c r="T249" s="1850" t="s">
        <v>7263</v>
      </c>
    </row>
    <row r="250" spans="6:20">
      <c r="F250" s="512" t="s">
        <v>2352</v>
      </c>
      <c r="G250" s="511" t="s">
        <v>2353</v>
      </c>
      <c r="S250" s="1850" t="s">
        <v>7264</v>
      </c>
      <c r="T250" s="1850" t="s">
        <v>7265</v>
      </c>
    </row>
    <row r="251" spans="6:20">
      <c r="F251" s="512" t="s">
        <v>2354</v>
      </c>
      <c r="G251" s="511" t="s">
        <v>2355</v>
      </c>
      <c r="S251" s="1850" t="s">
        <v>7266</v>
      </c>
      <c r="T251" s="1850" t="s">
        <v>7267</v>
      </c>
    </row>
    <row r="252" spans="6:20">
      <c r="F252" s="512" t="s">
        <v>2356</v>
      </c>
      <c r="G252" s="511" t="s">
        <v>2357</v>
      </c>
      <c r="S252" s="1850" t="s">
        <v>7268</v>
      </c>
      <c r="T252" s="1850" t="s">
        <v>7269</v>
      </c>
    </row>
    <row r="253" spans="6:20">
      <c r="F253" s="512" t="s">
        <v>2358</v>
      </c>
      <c r="G253" s="511" t="s">
        <v>2359</v>
      </c>
      <c r="S253" s="1850" t="s">
        <v>7270</v>
      </c>
      <c r="T253" s="1850" t="s">
        <v>7271</v>
      </c>
    </row>
    <row r="254" spans="6:20">
      <c r="F254" s="512" t="s">
        <v>2360</v>
      </c>
      <c r="G254" s="511" t="s">
        <v>2361</v>
      </c>
      <c r="S254" s="1850" t="s">
        <v>7272</v>
      </c>
      <c r="T254" s="1850" t="s">
        <v>7273</v>
      </c>
    </row>
    <row r="255" spans="6:20">
      <c r="F255" s="512" t="s">
        <v>2362</v>
      </c>
      <c r="G255" s="511" t="s">
        <v>2363</v>
      </c>
      <c r="S255" s="1850" t="s">
        <v>7274</v>
      </c>
      <c r="T255" s="1850" t="s">
        <v>7275</v>
      </c>
    </row>
    <row r="256" spans="6:20">
      <c r="F256" s="512" t="s">
        <v>2364</v>
      </c>
      <c r="G256" s="511" t="s">
        <v>2365</v>
      </c>
      <c r="S256" s="1850" t="s">
        <v>7276</v>
      </c>
      <c r="T256" s="1850" t="s">
        <v>7277</v>
      </c>
    </row>
    <row r="257" spans="6:20">
      <c r="F257" s="512" t="s">
        <v>2366</v>
      </c>
      <c r="G257" s="511" t="s">
        <v>2367</v>
      </c>
      <c r="S257" s="1850" t="s">
        <v>7278</v>
      </c>
      <c r="T257" s="1850" t="s">
        <v>7279</v>
      </c>
    </row>
    <row r="258" spans="6:20">
      <c r="F258" s="512" t="s">
        <v>2368</v>
      </c>
      <c r="G258" s="511" t="s">
        <v>2369</v>
      </c>
      <c r="S258" s="1850" t="s">
        <v>7280</v>
      </c>
      <c r="T258" s="1850" t="s">
        <v>7281</v>
      </c>
    </row>
    <row r="259" spans="6:20">
      <c r="F259" s="512" t="s">
        <v>2370</v>
      </c>
      <c r="G259" s="511" t="s">
        <v>2371</v>
      </c>
      <c r="S259" s="1850" t="s">
        <v>7282</v>
      </c>
      <c r="T259" s="1850" t="s">
        <v>7283</v>
      </c>
    </row>
    <row r="260" spans="6:20">
      <c r="F260" s="512" t="s">
        <v>2372</v>
      </c>
      <c r="G260" s="511" t="s">
        <v>2373</v>
      </c>
      <c r="S260" s="1850" t="s">
        <v>7284</v>
      </c>
      <c r="T260" s="1850" t="s">
        <v>7285</v>
      </c>
    </row>
    <row r="261" spans="6:20">
      <c r="F261" s="512" t="s">
        <v>2374</v>
      </c>
      <c r="G261" s="511" t="s">
        <v>2375</v>
      </c>
      <c r="S261" s="1850" t="s">
        <v>7286</v>
      </c>
      <c r="T261" s="1850" t="s">
        <v>7287</v>
      </c>
    </row>
    <row r="262" spans="6:20">
      <c r="F262" s="512" t="s">
        <v>2376</v>
      </c>
      <c r="G262" s="511" t="s">
        <v>2377</v>
      </c>
      <c r="S262" s="1850" t="s">
        <v>7288</v>
      </c>
      <c r="T262" s="1850" t="s">
        <v>7289</v>
      </c>
    </row>
    <row r="263" spans="6:20">
      <c r="F263" s="512" t="s">
        <v>2378</v>
      </c>
      <c r="G263" s="511" t="s">
        <v>2379</v>
      </c>
      <c r="S263" s="1850" t="s">
        <v>7290</v>
      </c>
      <c r="T263" s="1850" t="s">
        <v>7291</v>
      </c>
    </row>
    <row r="264" spans="6:20">
      <c r="F264" s="512" t="s">
        <v>2380</v>
      </c>
      <c r="G264" s="511" t="s">
        <v>2381</v>
      </c>
      <c r="S264" s="1850" t="s">
        <v>7292</v>
      </c>
      <c r="T264" s="1850" t="s">
        <v>7293</v>
      </c>
    </row>
    <row r="265" spans="6:20">
      <c r="F265" s="512" t="s">
        <v>2382</v>
      </c>
      <c r="G265" s="511" t="s">
        <v>2383</v>
      </c>
      <c r="S265" s="1850" t="s">
        <v>7294</v>
      </c>
      <c r="T265" s="1850" t="s">
        <v>7295</v>
      </c>
    </row>
    <row r="266" spans="6:20">
      <c r="F266" s="512" t="s">
        <v>2384</v>
      </c>
      <c r="G266" s="511" t="s">
        <v>2385</v>
      </c>
      <c r="S266" s="1850" t="s">
        <v>7296</v>
      </c>
      <c r="T266" s="1850" t="s">
        <v>7297</v>
      </c>
    </row>
    <row r="267" spans="6:20">
      <c r="F267" s="512" t="s">
        <v>2386</v>
      </c>
      <c r="G267" s="511" t="s">
        <v>2387</v>
      </c>
      <c r="S267" s="1850" t="s">
        <v>7298</v>
      </c>
      <c r="T267" s="1850" t="s">
        <v>7299</v>
      </c>
    </row>
    <row r="268" spans="6:20">
      <c r="F268" s="512" t="s">
        <v>2388</v>
      </c>
      <c r="G268" s="511" t="s">
        <v>2389</v>
      </c>
      <c r="S268" s="1850" t="s">
        <v>7300</v>
      </c>
      <c r="T268" s="1850" t="s">
        <v>4125</v>
      </c>
    </row>
    <row r="269" spans="6:20">
      <c r="F269" s="512" t="s">
        <v>2390</v>
      </c>
      <c r="G269" s="511" t="s">
        <v>2391</v>
      </c>
      <c r="S269" s="1850" t="s">
        <v>7301</v>
      </c>
      <c r="T269" s="1850" t="s">
        <v>7302</v>
      </c>
    </row>
    <row r="270" spans="6:20">
      <c r="F270" s="512" t="s">
        <v>2392</v>
      </c>
      <c r="G270" s="511" t="s">
        <v>2393</v>
      </c>
      <c r="S270" s="1850" t="s">
        <v>7303</v>
      </c>
      <c r="T270" s="1850" t="s">
        <v>7304</v>
      </c>
    </row>
    <row r="271" spans="6:20">
      <c r="F271" s="512" t="s">
        <v>2394</v>
      </c>
      <c r="G271" s="511" t="s">
        <v>2395</v>
      </c>
      <c r="S271" s="1850" t="s">
        <v>7305</v>
      </c>
      <c r="T271" s="1850" t="s">
        <v>7306</v>
      </c>
    </row>
    <row r="272" spans="6:20">
      <c r="F272" s="512" t="s">
        <v>2396</v>
      </c>
      <c r="G272" s="511" t="s">
        <v>2397</v>
      </c>
      <c r="S272" s="1850" t="s">
        <v>7307</v>
      </c>
      <c r="T272" s="1850" t="s">
        <v>7308</v>
      </c>
    </row>
    <row r="273" spans="6:20">
      <c r="F273" s="512" t="s">
        <v>2398</v>
      </c>
      <c r="G273" s="511" t="s">
        <v>2399</v>
      </c>
      <c r="S273" s="1850" t="s">
        <v>7309</v>
      </c>
      <c r="T273" s="1850" t="s">
        <v>7310</v>
      </c>
    </row>
    <row r="274" spans="6:20">
      <c r="F274" s="512" t="s">
        <v>2400</v>
      </c>
      <c r="G274" s="511" t="s">
        <v>2401</v>
      </c>
      <c r="S274" s="1850" t="s">
        <v>7311</v>
      </c>
      <c r="T274" s="1850" t="s">
        <v>7312</v>
      </c>
    </row>
    <row r="275" spans="6:20">
      <c r="F275" s="512" t="s">
        <v>2402</v>
      </c>
      <c r="G275" s="511" t="s">
        <v>2403</v>
      </c>
      <c r="S275" s="1850" t="s">
        <v>7313</v>
      </c>
      <c r="T275" s="1850" t="s">
        <v>7314</v>
      </c>
    </row>
    <row r="276" spans="6:20">
      <c r="F276" s="512" t="s">
        <v>2404</v>
      </c>
      <c r="G276" s="511" t="s">
        <v>2405</v>
      </c>
      <c r="S276" s="1850" t="s">
        <v>7315</v>
      </c>
      <c r="T276" s="1850" t="s">
        <v>3787</v>
      </c>
    </row>
    <row r="277" spans="6:20">
      <c r="F277" s="512" t="s">
        <v>2406</v>
      </c>
      <c r="G277" s="511" t="s">
        <v>2407</v>
      </c>
      <c r="S277" s="1850" t="s">
        <v>7316</v>
      </c>
      <c r="T277" s="1850" t="s">
        <v>7317</v>
      </c>
    </row>
    <row r="278" spans="6:20">
      <c r="F278" s="512" t="s">
        <v>2408</v>
      </c>
      <c r="G278" s="511" t="s">
        <v>2409</v>
      </c>
      <c r="S278" s="1850" t="s">
        <v>7318</v>
      </c>
      <c r="T278" s="1850" t="s">
        <v>7319</v>
      </c>
    </row>
    <row r="279" spans="6:20">
      <c r="F279" s="512" t="s">
        <v>2410</v>
      </c>
      <c r="G279" s="511" t="s">
        <v>2411</v>
      </c>
      <c r="S279" s="1850" t="s">
        <v>7320</v>
      </c>
      <c r="T279" s="1850" t="s">
        <v>7321</v>
      </c>
    </row>
    <row r="280" spans="6:20">
      <c r="F280" s="512" t="s">
        <v>2412</v>
      </c>
      <c r="G280" s="511" t="s">
        <v>2413</v>
      </c>
      <c r="S280" s="1850" t="s">
        <v>7322</v>
      </c>
      <c r="T280" s="1850" t="s">
        <v>7323</v>
      </c>
    </row>
    <row r="281" spans="6:20">
      <c r="F281" s="512" t="s">
        <v>2414</v>
      </c>
      <c r="G281" s="511" t="s">
        <v>2415</v>
      </c>
      <c r="S281" s="1850" t="s">
        <v>7324</v>
      </c>
      <c r="T281" s="1850" t="s">
        <v>7325</v>
      </c>
    </row>
    <row r="282" spans="6:20">
      <c r="F282" s="512" t="s">
        <v>2416</v>
      </c>
      <c r="G282" s="511" t="s">
        <v>2417</v>
      </c>
      <c r="S282" s="1850" t="s">
        <v>7326</v>
      </c>
      <c r="T282" s="1850" t="s">
        <v>7327</v>
      </c>
    </row>
    <row r="283" spans="6:20">
      <c r="F283" s="512" t="s">
        <v>2418</v>
      </c>
      <c r="G283" s="511" t="s">
        <v>2419</v>
      </c>
      <c r="S283" s="1850" t="s">
        <v>7328</v>
      </c>
      <c r="T283" s="1850" t="s">
        <v>7329</v>
      </c>
    </row>
    <row r="284" spans="6:20">
      <c r="F284" s="512" t="s">
        <v>2420</v>
      </c>
      <c r="G284" s="511" t="s">
        <v>2421</v>
      </c>
      <c r="S284" s="1850" t="s">
        <v>7330</v>
      </c>
      <c r="T284" s="1850" t="s">
        <v>7331</v>
      </c>
    </row>
    <row r="285" spans="6:20">
      <c r="F285" s="512" t="s">
        <v>2422</v>
      </c>
      <c r="G285" s="511" t="s">
        <v>2423</v>
      </c>
      <c r="S285" s="1850" t="s">
        <v>7332</v>
      </c>
      <c r="T285" s="1850" t="s">
        <v>7333</v>
      </c>
    </row>
    <row r="286" spans="6:20">
      <c r="F286" s="512" t="s">
        <v>2424</v>
      </c>
      <c r="G286" s="511" t="s">
        <v>2425</v>
      </c>
      <c r="S286" s="1850" t="s">
        <v>7334</v>
      </c>
      <c r="T286" s="1850" t="s">
        <v>7335</v>
      </c>
    </row>
    <row r="287" spans="6:20">
      <c r="F287" s="512" t="s">
        <v>2426</v>
      </c>
      <c r="G287" s="511" t="s">
        <v>2427</v>
      </c>
      <c r="S287" s="1850" t="s">
        <v>7336</v>
      </c>
      <c r="T287" s="1850" t="s">
        <v>7337</v>
      </c>
    </row>
    <row r="288" spans="6:20">
      <c r="F288" s="512" t="s">
        <v>2428</v>
      </c>
      <c r="G288" s="511" t="s">
        <v>2429</v>
      </c>
      <c r="S288" s="1850" t="s">
        <v>7338</v>
      </c>
      <c r="T288" s="1850" t="s">
        <v>7339</v>
      </c>
    </row>
    <row r="289" spans="6:20">
      <c r="F289" s="512" t="s">
        <v>2430</v>
      </c>
      <c r="G289" s="511" t="s">
        <v>2431</v>
      </c>
      <c r="S289" s="1850" t="s">
        <v>7340</v>
      </c>
      <c r="T289" s="1850" t="s">
        <v>7341</v>
      </c>
    </row>
    <row r="290" spans="6:20">
      <c r="F290" s="512" t="s">
        <v>2432</v>
      </c>
      <c r="G290" s="511" t="s">
        <v>2433</v>
      </c>
      <c r="S290" s="1850" t="s">
        <v>7342</v>
      </c>
      <c r="T290" s="1850" t="s">
        <v>7153</v>
      </c>
    </row>
    <row r="291" spans="6:20">
      <c r="F291" s="512" t="s">
        <v>2434</v>
      </c>
      <c r="G291" s="511" t="s">
        <v>2435</v>
      </c>
      <c r="S291" s="1850" t="s">
        <v>7343</v>
      </c>
      <c r="T291" s="1850" t="s">
        <v>7155</v>
      </c>
    </row>
    <row r="292" spans="6:20">
      <c r="F292" s="512" t="s">
        <v>2436</v>
      </c>
      <c r="G292" s="511" t="s">
        <v>2437</v>
      </c>
      <c r="S292" s="1850" t="s">
        <v>7344</v>
      </c>
      <c r="T292" s="1850" t="s">
        <v>7345</v>
      </c>
    </row>
    <row r="293" spans="6:20">
      <c r="F293" s="512" t="s">
        <v>2438</v>
      </c>
      <c r="G293" s="511" t="s">
        <v>2439</v>
      </c>
      <c r="S293" s="1850" t="s">
        <v>7346</v>
      </c>
      <c r="T293" s="1850" t="s">
        <v>7153</v>
      </c>
    </row>
    <row r="294" spans="6:20">
      <c r="F294" s="512" t="s">
        <v>2440</v>
      </c>
      <c r="G294" s="511" t="s">
        <v>2441</v>
      </c>
      <c r="S294" s="1850" t="s">
        <v>7347</v>
      </c>
      <c r="T294" s="1850" t="s">
        <v>7155</v>
      </c>
    </row>
    <row r="295" spans="6:20">
      <c r="F295" s="512" t="s">
        <v>2442</v>
      </c>
      <c r="G295" s="511" t="s">
        <v>2443</v>
      </c>
      <c r="S295" s="1850" t="s">
        <v>7348</v>
      </c>
      <c r="T295" s="1850" t="s">
        <v>6772</v>
      </c>
    </row>
    <row r="296" spans="6:20">
      <c r="F296" s="512" t="s">
        <v>2444</v>
      </c>
      <c r="G296" s="511" t="s">
        <v>2445</v>
      </c>
      <c r="S296" s="1850" t="s">
        <v>7349</v>
      </c>
      <c r="T296" s="1850" t="s">
        <v>6681</v>
      </c>
    </row>
    <row r="297" spans="6:20">
      <c r="F297" s="512" t="s">
        <v>2446</v>
      </c>
      <c r="G297" s="511" t="s">
        <v>2447</v>
      </c>
      <c r="S297" s="1850" t="s">
        <v>7350</v>
      </c>
      <c r="T297" s="1850" t="s">
        <v>7351</v>
      </c>
    </row>
    <row r="298" spans="6:20">
      <c r="F298" s="512" t="s">
        <v>2448</v>
      </c>
      <c r="G298" s="511" t="s">
        <v>2449</v>
      </c>
      <c r="S298" s="1850" t="s">
        <v>7352</v>
      </c>
      <c r="T298" s="1850" t="s">
        <v>7353</v>
      </c>
    </row>
    <row r="299" spans="6:20">
      <c r="F299" s="512" t="s">
        <v>2450</v>
      </c>
      <c r="G299" s="511" t="s">
        <v>2451</v>
      </c>
      <c r="S299" s="1850" t="s">
        <v>7354</v>
      </c>
      <c r="T299" s="1850" t="s">
        <v>7355</v>
      </c>
    </row>
    <row r="300" spans="6:20">
      <c r="F300" s="512" t="s">
        <v>2452</v>
      </c>
      <c r="G300" s="511" t="s">
        <v>2453</v>
      </c>
      <c r="S300" s="1850" t="s">
        <v>7356</v>
      </c>
      <c r="T300" s="1850" t="s">
        <v>7357</v>
      </c>
    </row>
    <row r="301" spans="6:20">
      <c r="F301" s="512" t="s">
        <v>2454</v>
      </c>
      <c r="G301" s="511" t="s">
        <v>2455</v>
      </c>
      <c r="S301" s="1850" t="s">
        <v>7358</v>
      </c>
      <c r="T301" s="1850" t="s">
        <v>7359</v>
      </c>
    </row>
    <row r="302" spans="6:20">
      <c r="F302" s="512" t="s">
        <v>2456</v>
      </c>
      <c r="G302" s="511" t="s">
        <v>2457</v>
      </c>
      <c r="S302" s="1850" t="s">
        <v>7360</v>
      </c>
      <c r="T302" s="1850" t="s">
        <v>5549</v>
      </c>
    </row>
    <row r="303" spans="6:20">
      <c r="F303" s="512" t="s">
        <v>2458</v>
      </c>
      <c r="G303" s="511" t="s">
        <v>2459</v>
      </c>
      <c r="S303" s="1850" t="s">
        <v>7361</v>
      </c>
      <c r="T303" s="1850" t="s">
        <v>7362</v>
      </c>
    </row>
    <row r="304" spans="6:20">
      <c r="F304" s="512" t="s">
        <v>2460</v>
      </c>
      <c r="G304" s="511" t="s">
        <v>2461</v>
      </c>
      <c r="S304" s="1850" t="s">
        <v>7363</v>
      </c>
      <c r="T304" s="1850" t="s">
        <v>7364</v>
      </c>
    </row>
    <row r="305" spans="6:20">
      <c r="F305" s="512" t="s">
        <v>2462</v>
      </c>
      <c r="G305" s="511" t="s">
        <v>2463</v>
      </c>
      <c r="S305" s="1850" t="s">
        <v>7365</v>
      </c>
      <c r="T305" s="1850" t="s">
        <v>7366</v>
      </c>
    </row>
    <row r="306" spans="6:20">
      <c r="F306" s="512" t="s">
        <v>2464</v>
      </c>
      <c r="G306" s="511" t="s">
        <v>2465</v>
      </c>
      <c r="S306" s="1850" t="s">
        <v>7367</v>
      </c>
      <c r="T306" s="1850" t="s">
        <v>7368</v>
      </c>
    </row>
    <row r="307" spans="6:20">
      <c r="F307" s="512" t="s">
        <v>2466</v>
      </c>
      <c r="G307" s="511" t="s">
        <v>2467</v>
      </c>
      <c r="S307" s="1850" t="s">
        <v>7369</v>
      </c>
      <c r="T307" s="1850" t="s">
        <v>7370</v>
      </c>
    </row>
    <row r="308" spans="6:20">
      <c r="F308" s="512" t="s">
        <v>2468</v>
      </c>
      <c r="G308" s="511" t="s">
        <v>2469</v>
      </c>
      <c r="S308" s="1850" t="s">
        <v>7371</v>
      </c>
      <c r="T308" s="1850" t="s">
        <v>7372</v>
      </c>
    </row>
    <row r="309" spans="6:20">
      <c r="F309" s="512" t="s">
        <v>2470</v>
      </c>
      <c r="G309" s="511" t="s">
        <v>2471</v>
      </c>
      <c r="S309" s="1850" t="s">
        <v>7373</v>
      </c>
      <c r="T309" s="1850" t="s">
        <v>7374</v>
      </c>
    </row>
    <row r="310" spans="6:20">
      <c r="F310" s="512" t="s">
        <v>2472</v>
      </c>
      <c r="G310" s="511" t="s">
        <v>2473</v>
      </c>
      <c r="S310" s="1850" t="s">
        <v>7375</v>
      </c>
      <c r="T310" s="1850" t="s">
        <v>7376</v>
      </c>
    </row>
    <row r="311" spans="6:20">
      <c r="F311" s="512" t="s">
        <v>2474</v>
      </c>
      <c r="G311" s="511" t="s">
        <v>2475</v>
      </c>
      <c r="S311" s="1850" t="s">
        <v>7377</v>
      </c>
      <c r="T311" s="1850" t="s">
        <v>7378</v>
      </c>
    </row>
    <row r="312" spans="6:20">
      <c r="F312" s="512" t="s">
        <v>2476</v>
      </c>
      <c r="G312" s="511" t="s">
        <v>2477</v>
      </c>
      <c r="S312" s="1850" t="s">
        <v>7379</v>
      </c>
      <c r="T312" s="1850" t="s">
        <v>5551</v>
      </c>
    </row>
    <row r="313" spans="6:20">
      <c r="F313" s="512" t="s">
        <v>2478</v>
      </c>
      <c r="G313" s="511" t="s">
        <v>2479</v>
      </c>
      <c r="S313" s="1850" t="s">
        <v>7380</v>
      </c>
      <c r="T313" s="1850" t="s">
        <v>7153</v>
      </c>
    </row>
    <row r="314" spans="6:20">
      <c r="F314" s="512" t="s">
        <v>2480</v>
      </c>
      <c r="G314" s="511" t="s">
        <v>2481</v>
      </c>
      <c r="S314" s="1850" t="s">
        <v>7381</v>
      </c>
      <c r="T314" s="1850" t="s">
        <v>7155</v>
      </c>
    </row>
    <row r="315" spans="6:20">
      <c r="F315" s="512" t="s">
        <v>2482</v>
      </c>
      <c r="G315" s="511" t="s">
        <v>2483</v>
      </c>
      <c r="S315" s="1850" t="s">
        <v>7382</v>
      </c>
      <c r="T315" s="1850" t="s">
        <v>6939</v>
      </c>
    </row>
    <row r="316" spans="6:20">
      <c r="F316" s="512" t="s">
        <v>2484</v>
      </c>
      <c r="G316" s="511" t="s">
        <v>2485</v>
      </c>
      <c r="S316" s="1850" t="s">
        <v>7383</v>
      </c>
      <c r="T316" s="1850" t="s">
        <v>6941</v>
      </c>
    </row>
    <row r="317" spans="6:20">
      <c r="F317" s="512" t="s">
        <v>2486</v>
      </c>
      <c r="G317" s="511" t="s">
        <v>2487</v>
      </c>
      <c r="S317" s="1850" t="s">
        <v>7384</v>
      </c>
      <c r="T317" s="1850" t="s">
        <v>6931</v>
      </c>
    </row>
    <row r="318" spans="6:20">
      <c r="F318" s="512" t="s">
        <v>2488</v>
      </c>
      <c r="G318" s="511" t="s">
        <v>2489</v>
      </c>
      <c r="S318" s="1850" t="s">
        <v>7385</v>
      </c>
      <c r="T318" s="1850" t="s">
        <v>7386</v>
      </c>
    </row>
    <row r="319" spans="6:20">
      <c r="F319" s="512" t="s">
        <v>2490</v>
      </c>
      <c r="G319" s="511" t="s">
        <v>2491</v>
      </c>
      <c r="S319" s="1850" t="s">
        <v>7387</v>
      </c>
      <c r="T319" s="1850" t="s">
        <v>7388</v>
      </c>
    </row>
    <row r="320" spans="6:20">
      <c r="F320" s="512" t="s">
        <v>2492</v>
      </c>
      <c r="G320" s="511" t="s">
        <v>2493</v>
      </c>
      <c r="S320" s="1850" t="s">
        <v>7389</v>
      </c>
      <c r="T320" s="1850" t="s">
        <v>7390</v>
      </c>
    </row>
    <row r="321" spans="6:20">
      <c r="F321" s="512" t="s">
        <v>2494</v>
      </c>
      <c r="G321" s="511" t="s">
        <v>2495</v>
      </c>
      <c r="S321" s="1850" t="s">
        <v>7391</v>
      </c>
      <c r="T321" s="1850" t="s">
        <v>7392</v>
      </c>
    </row>
    <row r="322" spans="6:20">
      <c r="F322" s="512" t="s">
        <v>2496</v>
      </c>
      <c r="G322" s="511" t="s">
        <v>2497</v>
      </c>
      <c r="S322" s="1850" t="s">
        <v>7393</v>
      </c>
      <c r="T322" s="1850" t="s">
        <v>7394</v>
      </c>
    </row>
    <row r="323" spans="6:20">
      <c r="F323" s="512" t="s">
        <v>2498</v>
      </c>
      <c r="G323" s="511" t="s">
        <v>2499</v>
      </c>
      <c r="S323" s="1850" t="s">
        <v>7395</v>
      </c>
      <c r="T323" s="1850" t="s">
        <v>7396</v>
      </c>
    </row>
    <row r="324" spans="6:20">
      <c r="F324" s="512" t="s">
        <v>2500</v>
      </c>
      <c r="G324" s="511" t="s">
        <v>2501</v>
      </c>
      <c r="S324" s="1850" t="s">
        <v>7397</v>
      </c>
      <c r="T324" s="1850" t="s">
        <v>7398</v>
      </c>
    </row>
    <row r="325" spans="6:20">
      <c r="F325" s="512" t="s">
        <v>2502</v>
      </c>
      <c r="G325" s="511" t="s">
        <v>2503</v>
      </c>
      <c r="S325" s="1850" t="s">
        <v>7399</v>
      </c>
      <c r="T325" s="1850" t="s">
        <v>7400</v>
      </c>
    </row>
    <row r="326" spans="6:20">
      <c r="F326" s="512" t="s">
        <v>2504</v>
      </c>
      <c r="G326" s="511" t="s">
        <v>2505</v>
      </c>
      <c r="S326" s="1850" t="s">
        <v>7401</v>
      </c>
      <c r="T326" s="1850" t="s">
        <v>7402</v>
      </c>
    </row>
    <row r="327" spans="6:20">
      <c r="F327" s="512" t="s">
        <v>2506</v>
      </c>
      <c r="G327" s="511" t="s">
        <v>2507</v>
      </c>
      <c r="S327" s="1850" t="s">
        <v>7403</v>
      </c>
      <c r="T327" s="1850" t="s">
        <v>7404</v>
      </c>
    </row>
    <row r="328" spans="6:20">
      <c r="F328" s="512" t="s">
        <v>2508</v>
      </c>
      <c r="G328" s="511" t="s">
        <v>2509</v>
      </c>
      <c r="S328" s="1850" t="s">
        <v>7405</v>
      </c>
      <c r="T328" s="1850" t="s">
        <v>7406</v>
      </c>
    </row>
    <row r="329" spans="6:20">
      <c r="F329" s="512" t="s">
        <v>2510</v>
      </c>
      <c r="G329" s="511" t="s">
        <v>2511</v>
      </c>
      <c r="S329" s="1850" t="s">
        <v>7407</v>
      </c>
      <c r="T329" s="1850" t="s">
        <v>7408</v>
      </c>
    </row>
    <row r="330" spans="6:20">
      <c r="F330" s="512" t="s">
        <v>2512</v>
      </c>
      <c r="G330" s="511" t="s">
        <v>2513</v>
      </c>
      <c r="S330" s="1850" t="s">
        <v>7409</v>
      </c>
      <c r="T330" s="1850" t="s">
        <v>7410</v>
      </c>
    </row>
    <row r="331" spans="6:20">
      <c r="F331" s="512" t="s">
        <v>2514</v>
      </c>
      <c r="G331" s="511" t="s">
        <v>2515</v>
      </c>
      <c r="S331" s="1850" t="s">
        <v>7411</v>
      </c>
      <c r="T331" s="1850" t="s">
        <v>7412</v>
      </c>
    </row>
    <row r="332" spans="6:20">
      <c r="F332" s="512" t="s">
        <v>2516</v>
      </c>
      <c r="G332" s="511" t="s">
        <v>2517</v>
      </c>
      <c r="S332" s="1850" t="s">
        <v>7413</v>
      </c>
      <c r="T332" s="1850" t="s">
        <v>7414</v>
      </c>
    </row>
    <row r="333" spans="6:20">
      <c r="F333" s="512" t="s">
        <v>2518</v>
      </c>
      <c r="G333" s="511" t="s">
        <v>2519</v>
      </c>
      <c r="S333" s="1850" t="s">
        <v>7415</v>
      </c>
      <c r="T333" s="1850" t="s">
        <v>7416</v>
      </c>
    </row>
    <row r="334" spans="6:20">
      <c r="F334" s="512" t="s">
        <v>2520</v>
      </c>
      <c r="G334" s="511" t="s">
        <v>2521</v>
      </c>
      <c r="S334" s="1850" t="s">
        <v>7417</v>
      </c>
      <c r="T334" s="1850" t="s">
        <v>7418</v>
      </c>
    </row>
    <row r="335" spans="6:20">
      <c r="F335" s="512" t="s">
        <v>2522</v>
      </c>
      <c r="G335" s="511" t="s">
        <v>2523</v>
      </c>
      <c r="S335" s="1850" t="s">
        <v>7419</v>
      </c>
      <c r="T335" s="1850" t="s">
        <v>7420</v>
      </c>
    </row>
    <row r="336" spans="6:20">
      <c r="F336" s="512" t="s">
        <v>2524</v>
      </c>
      <c r="G336" s="511" t="s">
        <v>2525</v>
      </c>
      <c r="S336" s="1850" t="s">
        <v>7421</v>
      </c>
      <c r="T336" s="1850" t="s">
        <v>7422</v>
      </c>
    </row>
    <row r="337" spans="6:20">
      <c r="F337" s="512" t="s">
        <v>2526</v>
      </c>
      <c r="G337" s="511" t="s">
        <v>2527</v>
      </c>
      <c r="S337" s="1850" t="s">
        <v>7423</v>
      </c>
      <c r="T337" s="1850" t="s">
        <v>7424</v>
      </c>
    </row>
    <row r="338" spans="6:20">
      <c r="F338" s="512" t="s">
        <v>2528</v>
      </c>
      <c r="G338" s="511" t="s">
        <v>2529</v>
      </c>
      <c r="S338" s="1850" t="s">
        <v>7425</v>
      </c>
      <c r="T338" s="1850" t="s">
        <v>7426</v>
      </c>
    </row>
    <row r="339" spans="6:20">
      <c r="F339" s="512" t="s">
        <v>2530</v>
      </c>
      <c r="G339" s="511" t="s">
        <v>2531</v>
      </c>
      <c r="S339" s="1850" t="s">
        <v>7427</v>
      </c>
      <c r="T339" s="1850" t="s">
        <v>7428</v>
      </c>
    </row>
    <row r="340" spans="6:20">
      <c r="F340" s="512" t="s">
        <v>2532</v>
      </c>
      <c r="G340" s="511" t="s">
        <v>2533</v>
      </c>
      <c r="S340" s="1850" t="s">
        <v>7429</v>
      </c>
      <c r="T340" s="1850" t="s">
        <v>7430</v>
      </c>
    </row>
    <row r="341" spans="6:20">
      <c r="F341" s="512" t="s">
        <v>2534</v>
      </c>
      <c r="G341" s="511" t="s">
        <v>2535</v>
      </c>
      <c r="S341" s="1850" t="s">
        <v>7431</v>
      </c>
      <c r="T341" s="1850" t="s">
        <v>7432</v>
      </c>
    </row>
    <row r="342" spans="6:20">
      <c r="F342" s="512" t="s">
        <v>2536</v>
      </c>
      <c r="G342" s="511" t="s">
        <v>2537</v>
      </c>
      <c r="S342" s="1850" t="s">
        <v>7433</v>
      </c>
      <c r="T342" s="1850" t="s">
        <v>7434</v>
      </c>
    </row>
    <row r="343" spans="6:20">
      <c r="F343" s="512" t="s">
        <v>2538</v>
      </c>
      <c r="G343" s="511" t="s">
        <v>2539</v>
      </c>
      <c r="S343" s="1850" t="s">
        <v>7435</v>
      </c>
      <c r="T343" s="1850" t="s">
        <v>7436</v>
      </c>
    </row>
    <row r="344" spans="6:20">
      <c r="F344" s="512" t="s">
        <v>2540</v>
      </c>
      <c r="G344" s="511" t="s">
        <v>2541</v>
      </c>
      <c r="S344" s="1850" t="s">
        <v>7437</v>
      </c>
      <c r="T344" s="1850" t="s">
        <v>7438</v>
      </c>
    </row>
    <row r="345" spans="6:20">
      <c r="F345" s="512" t="s">
        <v>2542</v>
      </c>
      <c r="G345" s="511" t="s">
        <v>2543</v>
      </c>
      <c r="S345" s="1850" t="s">
        <v>7439</v>
      </c>
      <c r="T345" s="1850" t="s">
        <v>7440</v>
      </c>
    </row>
    <row r="346" spans="6:20">
      <c r="F346" s="512" t="s">
        <v>2544</v>
      </c>
      <c r="G346" s="511" t="s">
        <v>2545</v>
      </c>
      <c r="S346" s="1850" t="s">
        <v>7441</v>
      </c>
      <c r="T346" s="1850" t="s">
        <v>7442</v>
      </c>
    </row>
    <row r="347" spans="6:20">
      <c r="F347" s="512" t="s">
        <v>2546</v>
      </c>
      <c r="G347" s="511" t="s">
        <v>2547</v>
      </c>
      <c r="S347" s="1850" t="s">
        <v>7443</v>
      </c>
      <c r="T347" s="1850" t="s">
        <v>7444</v>
      </c>
    </row>
    <row r="348" spans="6:20">
      <c r="F348" s="512" t="s">
        <v>2548</v>
      </c>
      <c r="G348" s="511" t="s">
        <v>2549</v>
      </c>
      <c r="S348" s="1850" t="s">
        <v>7445</v>
      </c>
      <c r="T348" s="1850" t="s">
        <v>7446</v>
      </c>
    </row>
    <row r="349" spans="6:20">
      <c r="F349" s="512" t="s">
        <v>2550</v>
      </c>
      <c r="G349" s="511" t="s">
        <v>2551</v>
      </c>
      <c r="S349" s="1850" t="s">
        <v>7447</v>
      </c>
      <c r="T349" s="1850" t="s">
        <v>7448</v>
      </c>
    </row>
    <row r="350" spans="6:20">
      <c r="F350" s="512" t="s">
        <v>2552</v>
      </c>
      <c r="G350" s="511" t="s">
        <v>2553</v>
      </c>
      <c r="S350" s="1850" t="s">
        <v>7449</v>
      </c>
      <c r="T350" s="1850" t="s">
        <v>7450</v>
      </c>
    </row>
    <row r="351" spans="6:20">
      <c r="F351" s="512" t="s">
        <v>2554</v>
      </c>
      <c r="G351" s="511" t="s">
        <v>2555</v>
      </c>
      <c r="S351" s="1850" t="s">
        <v>7451</v>
      </c>
      <c r="T351" s="1850" t="s">
        <v>7452</v>
      </c>
    </row>
    <row r="352" spans="6:20">
      <c r="F352" s="512" t="s">
        <v>2556</v>
      </c>
      <c r="G352" s="511" t="s">
        <v>2557</v>
      </c>
      <c r="S352" s="1850" t="s">
        <v>7453</v>
      </c>
      <c r="T352" s="1850" t="s">
        <v>7454</v>
      </c>
    </row>
    <row r="353" spans="6:20">
      <c r="F353" s="512" t="s">
        <v>2558</v>
      </c>
      <c r="G353" s="511" t="s">
        <v>2559</v>
      </c>
      <c r="S353" s="1850" t="s">
        <v>7455</v>
      </c>
      <c r="T353" s="1850" t="s">
        <v>7456</v>
      </c>
    </row>
    <row r="354" spans="6:20">
      <c r="F354" s="512" t="s">
        <v>2560</v>
      </c>
      <c r="G354" s="511" t="s">
        <v>2561</v>
      </c>
      <c r="S354" s="1850" t="s">
        <v>7457</v>
      </c>
      <c r="T354" s="1850" t="s">
        <v>7458</v>
      </c>
    </row>
    <row r="355" spans="6:20">
      <c r="F355" s="512" t="s">
        <v>2562</v>
      </c>
      <c r="G355" s="511" t="s">
        <v>2563</v>
      </c>
      <c r="S355" s="1850" t="s">
        <v>7459</v>
      </c>
      <c r="T355" s="1850" t="s">
        <v>7460</v>
      </c>
    </row>
    <row r="356" spans="6:20">
      <c r="F356" s="512" t="s">
        <v>2564</v>
      </c>
      <c r="G356" s="511" t="s">
        <v>2565</v>
      </c>
      <c r="S356" s="1850" t="s">
        <v>7461</v>
      </c>
      <c r="T356" s="1850" t="s">
        <v>7462</v>
      </c>
    </row>
    <row r="357" spans="6:20">
      <c r="F357" s="512" t="s">
        <v>2566</v>
      </c>
      <c r="G357" s="511" t="s">
        <v>2567</v>
      </c>
      <c r="S357" s="1850" t="s">
        <v>7463</v>
      </c>
      <c r="T357" s="1850" t="s">
        <v>7464</v>
      </c>
    </row>
    <row r="358" spans="6:20">
      <c r="F358" s="512" t="s">
        <v>2568</v>
      </c>
      <c r="G358" s="511" t="s">
        <v>2569</v>
      </c>
      <c r="S358" s="1850" t="s">
        <v>7465</v>
      </c>
      <c r="T358" s="1850" t="s">
        <v>7466</v>
      </c>
    </row>
    <row r="359" spans="6:20">
      <c r="F359" s="512" t="s">
        <v>2570</v>
      </c>
      <c r="G359" s="511" t="s">
        <v>2571</v>
      </c>
      <c r="S359" s="1850" t="s">
        <v>7467</v>
      </c>
      <c r="T359" s="1850" t="s">
        <v>7468</v>
      </c>
    </row>
    <row r="360" spans="6:20">
      <c r="F360" s="512" t="s">
        <v>2572</v>
      </c>
      <c r="G360" s="511" t="s">
        <v>2573</v>
      </c>
      <c r="S360" s="1850" t="s">
        <v>7469</v>
      </c>
      <c r="T360" s="1850" t="s">
        <v>7470</v>
      </c>
    </row>
    <row r="361" spans="6:20">
      <c r="F361" s="512" t="s">
        <v>2574</v>
      </c>
      <c r="G361" s="511" t="s">
        <v>2575</v>
      </c>
      <c r="S361" s="1850" t="s">
        <v>7471</v>
      </c>
      <c r="T361" s="1850" t="s">
        <v>7472</v>
      </c>
    </row>
    <row r="362" spans="6:20">
      <c r="F362" s="512" t="s">
        <v>2576</v>
      </c>
      <c r="G362" s="511" t="s">
        <v>2577</v>
      </c>
      <c r="S362" s="1850" t="s">
        <v>7473</v>
      </c>
      <c r="T362" s="1850" t="s">
        <v>7474</v>
      </c>
    </row>
    <row r="363" spans="6:20">
      <c r="F363" s="512" t="s">
        <v>2578</v>
      </c>
      <c r="G363" s="511" t="s">
        <v>2579</v>
      </c>
      <c r="S363" s="1850" t="s">
        <v>7475</v>
      </c>
      <c r="T363" s="1850" t="s">
        <v>7476</v>
      </c>
    </row>
    <row r="364" spans="6:20">
      <c r="F364" s="512" t="s">
        <v>2580</v>
      </c>
      <c r="G364" s="511" t="s">
        <v>2581</v>
      </c>
      <c r="S364" s="1850" t="s">
        <v>7477</v>
      </c>
      <c r="T364" s="1850" t="s">
        <v>7478</v>
      </c>
    </row>
    <row r="365" spans="6:20">
      <c r="F365" s="512" t="s">
        <v>2582</v>
      </c>
      <c r="G365" s="511" t="s">
        <v>2583</v>
      </c>
      <c r="S365" s="1850" t="s">
        <v>7479</v>
      </c>
      <c r="T365" s="1850" t="s">
        <v>7480</v>
      </c>
    </row>
    <row r="366" spans="6:20">
      <c r="F366" s="512" t="s">
        <v>2584</v>
      </c>
      <c r="G366" s="511" t="s">
        <v>2585</v>
      </c>
      <c r="S366" s="1850" t="s">
        <v>7481</v>
      </c>
      <c r="T366" s="1850" t="s">
        <v>7482</v>
      </c>
    </row>
    <row r="367" spans="6:20">
      <c r="F367" s="512" t="s">
        <v>2586</v>
      </c>
      <c r="G367" s="511" t="s">
        <v>2587</v>
      </c>
      <c r="S367" s="1850" t="s">
        <v>7483</v>
      </c>
      <c r="T367" s="1850" t="s">
        <v>7484</v>
      </c>
    </row>
    <row r="368" spans="6:20">
      <c r="F368" s="512" t="s">
        <v>2588</v>
      </c>
      <c r="G368" s="511" t="s">
        <v>2589</v>
      </c>
      <c r="S368" s="1850" t="s">
        <v>7485</v>
      </c>
      <c r="T368" s="1850" t="s">
        <v>7486</v>
      </c>
    </row>
    <row r="369" spans="6:20">
      <c r="F369" s="512" t="s">
        <v>2590</v>
      </c>
      <c r="G369" s="511" t="s">
        <v>2591</v>
      </c>
      <c r="S369" s="1850" t="s">
        <v>7487</v>
      </c>
      <c r="T369" s="1850" t="s">
        <v>7488</v>
      </c>
    </row>
    <row r="370" spans="6:20">
      <c r="F370" s="512" t="s">
        <v>2592</v>
      </c>
      <c r="G370" s="511" t="s">
        <v>2593</v>
      </c>
      <c r="S370" s="1850" t="s">
        <v>7489</v>
      </c>
      <c r="T370" s="1850" t="s">
        <v>7490</v>
      </c>
    </row>
    <row r="371" spans="6:20">
      <c r="F371" s="512" t="s">
        <v>2594</v>
      </c>
      <c r="G371" s="511" t="s">
        <v>2595</v>
      </c>
      <c r="S371" s="1850" t="s">
        <v>7491</v>
      </c>
      <c r="T371" s="1850" t="s">
        <v>7492</v>
      </c>
    </row>
    <row r="372" spans="6:20">
      <c r="F372" s="512" t="s">
        <v>2596</v>
      </c>
      <c r="G372" s="511" t="s">
        <v>2597</v>
      </c>
      <c r="S372" s="1850" t="s">
        <v>7493</v>
      </c>
      <c r="T372" s="1850" t="s">
        <v>7494</v>
      </c>
    </row>
    <row r="373" spans="6:20">
      <c r="F373" s="512" t="s">
        <v>2598</v>
      </c>
      <c r="G373" s="511" t="s">
        <v>2599</v>
      </c>
      <c r="S373" s="1850" t="s">
        <v>7495</v>
      </c>
      <c r="T373" s="1850" t="s">
        <v>7496</v>
      </c>
    </row>
    <row r="374" spans="6:20">
      <c r="F374" s="512" t="s">
        <v>2600</v>
      </c>
      <c r="G374" s="511" t="s">
        <v>2601</v>
      </c>
      <c r="S374" s="1850" t="s">
        <v>7497</v>
      </c>
      <c r="T374" s="1850" t="s">
        <v>7498</v>
      </c>
    </row>
    <row r="375" spans="6:20">
      <c r="F375" s="512" t="s">
        <v>2602</v>
      </c>
      <c r="G375" s="511" t="s">
        <v>2603</v>
      </c>
      <c r="S375" s="1850" t="s">
        <v>7499</v>
      </c>
      <c r="T375" s="1850" t="s">
        <v>7500</v>
      </c>
    </row>
    <row r="376" spans="6:20">
      <c r="F376" s="512" t="s">
        <v>2604</v>
      </c>
      <c r="G376" s="511" t="s">
        <v>2605</v>
      </c>
      <c r="S376" s="1850" t="s">
        <v>7501</v>
      </c>
      <c r="T376" s="1850" t="s">
        <v>7502</v>
      </c>
    </row>
    <row r="377" spans="6:20">
      <c r="F377" s="512" t="s">
        <v>2606</v>
      </c>
      <c r="G377" s="511" t="s">
        <v>2607</v>
      </c>
      <c r="S377" s="1850" t="s">
        <v>7503</v>
      </c>
      <c r="T377" s="1850" t="s">
        <v>7504</v>
      </c>
    </row>
    <row r="378" spans="6:20">
      <c r="F378" s="512" t="s">
        <v>2608</v>
      </c>
      <c r="G378" s="511" t="s">
        <v>2609</v>
      </c>
      <c r="S378" s="1850" t="s">
        <v>7505</v>
      </c>
      <c r="T378" s="1850" t="s">
        <v>7506</v>
      </c>
    </row>
    <row r="379" spans="6:20">
      <c r="F379" s="512" t="s">
        <v>2610</v>
      </c>
      <c r="G379" s="511" t="s">
        <v>2611</v>
      </c>
      <c r="S379" s="1850" t="s">
        <v>7507</v>
      </c>
      <c r="T379" s="1850" t="s">
        <v>7508</v>
      </c>
    </row>
    <row r="380" spans="6:20">
      <c r="F380" s="512" t="s">
        <v>2612</v>
      </c>
      <c r="G380" s="511" t="s">
        <v>2613</v>
      </c>
      <c r="S380" s="1850" t="s">
        <v>7509</v>
      </c>
      <c r="T380" s="1850" t="s">
        <v>7510</v>
      </c>
    </row>
    <row r="381" spans="6:20">
      <c r="F381" s="512" t="s">
        <v>2614</v>
      </c>
      <c r="G381" s="511" t="s">
        <v>2615</v>
      </c>
      <c r="S381" s="1850" t="s">
        <v>7511</v>
      </c>
      <c r="T381" s="1850" t="s">
        <v>7512</v>
      </c>
    </row>
    <row r="382" spans="6:20">
      <c r="F382" s="512" t="s">
        <v>2616</v>
      </c>
      <c r="G382" s="511" t="s">
        <v>2617</v>
      </c>
      <c r="S382" s="1850" t="s">
        <v>7513</v>
      </c>
      <c r="T382" s="1850" t="s">
        <v>7514</v>
      </c>
    </row>
    <row r="383" spans="6:20">
      <c r="F383" s="512" t="s">
        <v>2618</v>
      </c>
      <c r="G383" s="511" t="s">
        <v>2619</v>
      </c>
      <c r="S383" s="1850" t="s">
        <v>7515</v>
      </c>
      <c r="T383" s="1850" t="s">
        <v>7516</v>
      </c>
    </row>
    <row r="384" spans="6:20">
      <c r="F384" s="512" t="s">
        <v>2620</v>
      </c>
      <c r="G384" s="511" t="s">
        <v>2621</v>
      </c>
      <c r="S384" s="1850" t="s">
        <v>7517</v>
      </c>
      <c r="T384" s="1850" t="s">
        <v>7518</v>
      </c>
    </row>
    <row r="385" spans="6:20">
      <c r="F385" s="512" t="s">
        <v>2622</v>
      </c>
      <c r="G385" s="511" t="s">
        <v>2623</v>
      </c>
      <c r="S385" s="1850" t="s">
        <v>7519</v>
      </c>
      <c r="T385" s="1850" t="s">
        <v>7520</v>
      </c>
    </row>
    <row r="386" spans="6:20">
      <c r="F386" s="512" t="s">
        <v>2624</v>
      </c>
      <c r="G386" s="511" t="s">
        <v>2625</v>
      </c>
      <c r="S386" s="1850" t="s">
        <v>7521</v>
      </c>
      <c r="T386" s="1850" t="s">
        <v>7522</v>
      </c>
    </row>
    <row r="387" spans="6:20">
      <c r="F387" s="512" t="s">
        <v>2626</v>
      </c>
      <c r="G387" s="511" t="s">
        <v>2627</v>
      </c>
      <c r="S387" s="1850" t="s">
        <v>7523</v>
      </c>
      <c r="T387" s="1850" t="s">
        <v>7524</v>
      </c>
    </row>
    <row r="388" spans="6:20">
      <c r="F388" s="512" t="s">
        <v>2628</v>
      </c>
      <c r="G388" s="511" t="s">
        <v>2629</v>
      </c>
      <c r="S388" s="1850" t="s">
        <v>7525</v>
      </c>
      <c r="T388" s="1850" t="s">
        <v>7526</v>
      </c>
    </row>
    <row r="389" spans="6:20">
      <c r="F389" s="512" t="s">
        <v>2630</v>
      </c>
      <c r="G389" s="511" t="s">
        <v>2631</v>
      </c>
      <c r="S389" s="1850" t="s">
        <v>7527</v>
      </c>
      <c r="T389" s="1850" t="s">
        <v>7528</v>
      </c>
    </row>
    <row r="390" spans="6:20">
      <c r="F390" s="512" t="s">
        <v>2632</v>
      </c>
      <c r="G390" s="511" t="s">
        <v>2633</v>
      </c>
      <c r="S390" s="1850" t="s">
        <v>7529</v>
      </c>
      <c r="T390" s="1850" t="s">
        <v>7530</v>
      </c>
    </row>
    <row r="391" spans="6:20">
      <c r="F391" s="512" t="s">
        <v>2634</v>
      </c>
      <c r="G391" s="511" t="s">
        <v>2635</v>
      </c>
      <c r="S391" s="1850" t="s">
        <v>7531</v>
      </c>
      <c r="T391" s="1850" t="s">
        <v>7532</v>
      </c>
    </row>
    <row r="392" spans="6:20">
      <c r="F392" s="512" t="s">
        <v>2636</v>
      </c>
      <c r="G392" s="511" t="s">
        <v>2637</v>
      </c>
      <c r="S392" s="1850" t="s">
        <v>7533</v>
      </c>
      <c r="T392" s="1850" t="s">
        <v>7534</v>
      </c>
    </row>
    <row r="393" spans="6:20">
      <c r="F393" s="512" t="s">
        <v>2638</v>
      </c>
      <c r="G393" s="511" t="s">
        <v>2639</v>
      </c>
      <c r="S393" s="1850" t="s">
        <v>7535</v>
      </c>
      <c r="T393" s="1850" t="s">
        <v>7536</v>
      </c>
    </row>
    <row r="394" spans="6:20">
      <c r="F394" s="512" t="s">
        <v>2640</v>
      </c>
      <c r="G394" s="511" t="s">
        <v>2641</v>
      </c>
      <c r="S394" s="1850" t="s">
        <v>7537</v>
      </c>
      <c r="T394" s="1850" t="s">
        <v>7538</v>
      </c>
    </row>
    <row r="395" spans="6:20">
      <c r="F395" s="512" t="s">
        <v>2642</v>
      </c>
      <c r="G395" s="511" t="s">
        <v>2643</v>
      </c>
      <c r="S395" s="1850" t="s">
        <v>7539</v>
      </c>
      <c r="T395" s="1850" t="s">
        <v>7540</v>
      </c>
    </row>
    <row r="396" spans="6:20">
      <c r="F396" s="512" t="s">
        <v>2644</v>
      </c>
      <c r="G396" s="511" t="s">
        <v>2645</v>
      </c>
      <c r="S396" s="1850" t="s">
        <v>7541</v>
      </c>
      <c r="T396" s="1850" t="s">
        <v>7542</v>
      </c>
    </row>
    <row r="397" spans="6:20">
      <c r="F397" s="512" t="s">
        <v>2646</v>
      </c>
      <c r="G397" s="511" t="s">
        <v>2647</v>
      </c>
      <c r="S397" s="1850" t="s">
        <v>7543</v>
      </c>
      <c r="T397" s="1850" t="s">
        <v>7544</v>
      </c>
    </row>
    <row r="398" spans="6:20">
      <c r="F398" s="512" t="s">
        <v>2648</v>
      </c>
      <c r="G398" s="511" t="s">
        <v>2649</v>
      </c>
      <c r="S398" s="1850" t="s">
        <v>7545</v>
      </c>
      <c r="T398" s="1850" t="s">
        <v>7546</v>
      </c>
    </row>
    <row r="399" spans="6:20">
      <c r="F399" s="512" t="s">
        <v>2650</v>
      </c>
      <c r="G399" s="511" t="s">
        <v>2651</v>
      </c>
      <c r="S399" s="1850" t="s">
        <v>7547</v>
      </c>
      <c r="T399" s="1850" t="s">
        <v>7548</v>
      </c>
    </row>
    <row r="400" spans="6:20">
      <c r="F400" s="512" t="s">
        <v>2652</v>
      </c>
      <c r="G400" s="511" t="s">
        <v>2653</v>
      </c>
      <c r="S400" s="1850" t="s">
        <v>7549</v>
      </c>
      <c r="T400" s="1850" t="s">
        <v>7550</v>
      </c>
    </row>
    <row r="401" spans="6:20">
      <c r="F401" s="512" t="s">
        <v>2654</v>
      </c>
      <c r="G401" s="511" t="s">
        <v>2655</v>
      </c>
      <c r="S401" s="1850" t="s">
        <v>7551</v>
      </c>
      <c r="T401" s="1850" t="s">
        <v>7552</v>
      </c>
    </row>
    <row r="402" spans="6:20">
      <c r="F402" s="512" t="s">
        <v>2656</v>
      </c>
      <c r="G402" s="511" t="s">
        <v>2657</v>
      </c>
      <c r="S402" s="1850" t="s">
        <v>7553</v>
      </c>
      <c r="T402" s="1850" t="s">
        <v>7554</v>
      </c>
    </row>
    <row r="403" spans="6:20">
      <c r="F403" s="512" t="s">
        <v>2658</v>
      </c>
      <c r="G403" s="511" t="s">
        <v>2659</v>
      </c>
      <c r="S403" s="1850" t="s">
        <v>7555</v>
      </c>
      <c r="T403" s="1850" t="s">
        <v>7556</v>
      </c>
    </row>
    <row r="404" spans="6:20">
      <c r="F404" s="512" t="s">
        <v>2660</v>
      </c>
      <c r="G404" s="511" t="s">
        <v>2661</v>
      </c>
      <c r="S404" s="1850" t="s">
        <v>7557</v>
      </c>
      <c r="T404" s="1850" t="s">
        <v>7558</v>
      </c>
    </row>
    <row r="405" spans="6:20">
      <c r="F405" s="512" t="s">
        <v>2662</v>
      </c>
      <c r="G405" s="511" t="s">
        <v>2663</v>
      </c>
      <c r="S405" s="1850" t="s">
        <v>7559</v>
      </c>
      <c r="T405" s="1850" t="s">
        <v>7560</v>
      </c>
    </row>
    <row r="406" spans="6:20">
      <c r="F406" s="512" t="s">
        <v>2664</v>
      </c>
      <c r="G406" s="511" t="s">
        <v>2665</v>
      </c>
      <c r="S406" s="1850" t="s">
        <v>7561</v>
      </c>
      <c r="T406" s="1850" t="s">
        <v>7562</v>
      </c>
    </row>
    <row r="407" spans="6:20">
      <c r="F407" s="512" t="s">
        <v>2666</v>
      </c>
      <c r="G407" s="511" t="s">
        <v>2667</v>
      </c>
      <c r="S407" s="1850" t="s">
        <v>7563</v>
      </c>
      <c r="T407" s="1850" t="s">
        <v>7564</v>
      </c>
    </row>
    <row r="408" spans="6:20">
      <c r="F408" s="512" t="s">
        <v>2668</v>
      </c>
      <c r="G408" s="511" t="s">
        <v>2669</v>
      </c>
      <c r="S408" s="1850" t="s">
        <v>7565</v>
      </c>
      <c r="T408" s="1850" t="s">
        <v>7566</v>
      </c>
    </row>
    <row r="409" spans="6:20">
      <c r="F409" s="512" t="s">
        <v>2670</v>
      </c>
      <c r="G409" s="511" t="s">
        <v>2671</v>
      </c>
      <c r="S409" s="1850" t="s">
        <v>7567</v>
      </c>
      <c r="T409" s="1850" t="s">
        <v>7568</v>
      </c>
    </row>
    <row r="410" spans="6:20">
      <c r="F410" s="512" t="s">
        <v>2672</v>
      </c>
      <c r="G410" s="511" t="s">
        <v>2673</v>
      </c>
      <c r="S410" s="1850" t="s">
        <v>7569</v>
      </c>
      <c r="T410" s="1850" t="s">
        <v>7570</v>
      </c>
    </row>
    <row r="411" spans="6:20">
      <c r="F411" s="512" t="s">
        <v>2674</v>
      </c>
      <c r="G411" s="511" t="s">
        <v>2675</v>
      </c>
      <c r="S411" s="1850" t="s">
        <v>7571</v>
      </c>
      <c r="T411" s="1850" t="s">
        <v>7572</v>
      </c>
    </row>
    <row r="412" spans="6:20">
      <c r="F412" s="512" t="s">
        <v>2676</v>
      </c>
      <c r="G412" s="511" t="s">
        <v>2677</v>
      </c>
      <c r="S412" s="1850" t="s">
        <v>7573</v>
      </c>
      <c r="T412" s="1850" t="s">
        <v>7574</v>
      </c>
    </row>
    <row r="413" spans="6:20">
      <c r="F413" s="512" t="s">
        <v>2678</v>
      </c>
      <c r="G413" s="511" t="s">
        <v>2679</v>
      </c>
      <c r="S413" s="1850" t="s">
        <v>7575</v>
      </c>
      <c r="T413" s="1850" t="s">
        <v>7576</v>
      </c>
    </row>
    <row r="414" spans="6:20">
      <c r="F414" s="512" t="s">
        <v>2680</v>
      </c>
      <c r="G414" s="511" t="s">
        <v>2681</v>
      </c>
      <c r="S414" s="1850" t="s">
        <v>7577</v>
      </c>
      <c r="T414" s="1850" t="s">
        <v>7578</v>
      </c>
    </row>
    <row r="415" spans="6:20">
      <c r="F415" s="512" t="s">
        <v>2682</v>
      </c>
      <c r="G415" s="511" t="s">
        <v>2683</v>
      </c>
      <c r="S415" s="1850" t="s">
        <v>7579</v>
      </c>
      <c r="T415" s="1850" t="s">
        <v>7580</v>
      </c>
    </row>
    <row r="416" spans="6:20">
      <c r="F416" s="512" t="s">
        <v>2684</v>
      </c>
      <c r="G416" s="511" t="s">
        <v>2685</v>
      </c>
      <c r="S416" s="1850" t="s">
        <v>7581</v>
      </c>
      <c r="T416" s="1850" t="s">
        <v>7582</v>
      </c>
    </row>
    <row r="417" spans="6:20">
      <c r="F417" s="512" t="s">
        <v>2686</v>
      </c>
      <c r="G417" s="511" t="s">
        <v>2687</v>
      </c>
      <c r="S417" s="1850" t="s">
        <v>7583</v>
      </c>
      <c r="T417" s="1850" t="s">
        <v>7584</v>
      </c>
    </row>
    <row r="418" spans="6:20">
      <c r="F418" s="512" t="s">
        <v>2688</v>
      </c>
      <c r="G418" s="511" t="s">
        <v>2689</v>
      </c>
      <c r="S418" s="1850" t="s">
        <v>7585</v>
      </c>
      <c r="T418" s="1850" t="s">
        <v>7586</v>
      </c>
    </row>
    <row r="419" spans="6:20">
      <c r="F419" s="512" t="s">
        <v>2690</v>
      </c>
      <c r="G419" s="511" t="s">
        <v>2691</v>
      </c>
      <c r="S419" s="1850" t="s">
        <v>7587</v>
      </c>
      <c r="T419" s="1850" t="s">
        <v>7588</v>
      </c>
    </row>
    <row r="420" spans="6:20">
      <c r="F420" s="512" t="s">
        <v>2692</v>
      </c>
      <c r="G420" s="511" t="s">
        <v>2693</v>
      </c>
      <c r="S420" s="1850" t="s">
        <v>7589</v>
      </c>
      <c r="T420" s="1850" t="s">
        <v>7590</v>
      </c>
    </row>
    <row r="421" spans="6:20">
      <c r="F421" s="512" t="s">
        <v>2694</v>
      </c>
      <c r="G421" s="511" t="s">
        <v>2695</v>
      </c>
      <c r="S421" s="1850" t="s">
        <v>7591</v>
      </c>
      <c r="T421" s="1850" t="s">
        <v>7592</v>
      </c>
    </row>
    <row r="422" spans="6:20">
      <c r="F422" s="512" t="s">
        <v>2696</v>
      </c>
      <c r="G422" s="511" t="s">
        <v>2697</v>
      </c>
      <c r="S422" s="1850" t="s">
        <v>7593</v>
      </c>
      <c r="T422" s="1850" t="s">
        <v>7594</v>
      </c>
    </row>
    <row r="423" spans="6:20">
      <c r="F423" s="512" t="s">
        <v>2698</v>
      </c>
      <c r="G423" s="511" t="s">
        <v>2699</v>
      </c>
      <c r="S423" s="1850" t="s">
        <v>7595</v>
      </c>
      <c r="T423" s="1850" t="s">
        <v>7596</v>
      </c>
    </row>
    <row r="424" spans="6:20">
      <c r="F424" s="512" t="s">
        <v>2700</v>
      </c>
      <c r="G424" s="511" t="s">
        <v>2701</v>
      </c>
      <c r="S424" s="1850" t="s">
        <v>7597</v>
      </c>
      <c r="T424" s="1850" t="s">
        <v>7598</v>
      </c>
    </row>
    <row r="425" spans="6:20">
      <c r="F425" s="512" t="s">
        <v>2702</v>
      </c>
      <c r="G425" s="511" t="s">
        <v>2703</v>
      </c>
      <c r="S425" s="1850" t="s">
        <v>7599</v>
      </c>
      <c r="T425" s="1850" t="s">
        <v>7600</v>
      </c>
    </row>
    <row r="426" spans="6:20">
      <c r="F426" s="512" t="s">
        <v>2704</v>
      </c>
      <c r="G426" s="511" t="s">
        <v>2705</v>
      </c>
      <c r="S426" s="1850" t="s">
        <v>7601</v>
      </c>
      <c r="T426" s="1850" t="s">
        <v>7602</v>
      </c>
    </row>
    <row r="427" spans="6:20">
      <c r="F427" s="512" t="s">
        <v>2706</v>
      </c>
      <c r="G427" s="511" t="s">
        <v>2707</v>
      </c>
      <c r="S427" s="1850" t="s">
        <v>7603</v>
      </c>
      <c r="T427" s="1850" t="s">
        <v>7604</v>
      </c>
    </row>
    <row r="428" spans="6:20">
      <c r="F428" s="512" t="s">
        <v>2708</v>
      </c>
      <c r="G428" s="511" t="s">
        <v>2709</v>
      </c>
      <c r="S428" s="1850" t="s">
        <v>7605</v>
      </c>
      <c r="T428" s="1850" t="s">
        <v>7606</v>
      </c>
    </row>
    <row r="429" spans="6:20">
      <c r="F429" s="512" t="s">
        <v>2710</v>
      </c>
      <c r="G429" s="511" t="s">
        <v>2711</v>
      </c>
      <c r="S429" s="1850" t="s">
        <v>7607</v>
      </c>
      <c r="T429" s="1850" t="s">
        <v>7608</v>
      </c>
    </row>
    <row r="430" spans="6:20">
      <c r="F430" s="512" t="s">
        <v>2712</v>
      </c>
      <c r="G430" s="511" t="s">
        <v>2713</v>
      </c>
      <c r="S430" s="1850" t="s">
        <v>7609</v>
      </c>
      <c r="T430" s="1850" t="s">
        <v>7610</v>
      </c>
    </row>
    <row r="431" spans="6:20">
      <c r="F431" s="512" t="s">
        <v>2714</v>
      </c>
      <c r="G431" s="511" t="s">
        <v>2715</v>
      </c>
      <c r="S431" s="1850" t="s">
        <v>7611</v>
      </c>
      <c r="T431" s="1850" t="s">
        <v>7612</v>
      </c>
    </row>
    <row r="432" spans="6:20">
      <c r="F432" s="512" t="s">
        <v>2716</v>
      </c>
      <c r="G432" s="511" t="s">
        <v>2717</v>
      </c>
      <c r="S432" s="1850" t="s">
        <v>7613</v>
      </c>
      <c r="T432" s="1850" t="s">
        <v>7614</v>
      </c>
    </row>
    <row r="433" spans="6:20">
      <c r="F433" s="512" t="s">
        <v>2718</v>
      </c>
      <c r="G433" s="511" t="s">
        <v>2719</v>
      </c>
      <c r="S433" s="1850" t="s">
        <v>7615</v>
      </c>
      <c r="T433" s="1850" t="s">
        <v>7616</v>
      </c>
    </row>
    <row r="434" spans="6:20">
      <c r="F434" s="512" t="s">
        <v>2720</v>
      </c>
      <c r="G434" s="511" t="s">
        <v>2721</v>
      </c>
      <c r="S434" s="1850" t="s">
        <v>7617</v>
      </c>
      <c r="T434" s="1850" t="s">
        <v>7618</v>
      </c>
    </row>
    <row r="435" spans="6:20">
      <c r="F435" s="512" t="s">
        <v>2722</v>
      </c>
      <c r="G435" s="511" t="s">
        <v>2723</v>
      </c>
      <c r="S435" s="1850" t="s">
        <v>7619</v>
      </c>
      <c r="T435" s="1850" t="s">
        <v>7620</v>
      </c>
    </row>
    <row r="436" spans="6:20">
      <c r="F436" s="512" t="s">
        <v>2724</v>
      </c>
      <c r="G436" s="511" t="s">
        <v>2725</v>
      </c>
      <c r="S436" s="1850" t="s">
        <v>7621</v>
      </c>
      <c r="T436" s="1850" t="s">
        <v>7622</v>
      </c>
    </row>
    <row r="437" spans="6:20">
      <c r="F437" s="512" t="s">
        <v>2726</v>
      </c>
      <c r="G437" s="511" t="s">
        <v>2727</v>
      </c>
      <c r="S437" s="1850" t="s">
        <v>7623</v>
      </c>
      <c r="T437" s="1850" t="s">
        <v>7624</v>
      </c>
    </row>
    <row r="438" spans="6:20">
      <c r="F438" s="512" t="s">
        <v>2728</v>
      </c>
      <c r="G438" s="511" t="s">
        <v>2729</v>
      </c>
      <c r="S438" s="1850" t="s">
        <v>7625</v>
      </c>
      <c r="T438" s="1850" t="s">
        <v>7626</v>
      </c>
    </row>
    <row r="439" spans="6:20">
      <c r="F439" s="512" t="s">
        <v>2730</v>
      </c>
      <c r="G439" s="511" t="s">
        <v>2731</v>
      </c>
      <c r="S439" s="1850" t="s">
        <v>7627</v>
      </c>
      <c r="T439" s="1850" t="s">
        <v>7628</v>
      </c>
    </row>
    <row r="440" spans="6:20">
      <c r="F440" s="512" t="s">
        <v>2732</v>
      </c>
      <c r="G440" s="511" t="s">
        <v>2733</v>
      </c>
      <c r="S440" s="1850" t="s">
        <v>7629</v>
      </c>
      <c r="T440" s="1850" t="s">
        <v>7630</v>
      </c>
    </row>
    <row r="441" spans="6:20">
      <c r="F441" s="512" t="s">
        <v>2734</v>
      </c>
      <c r="G441" s="511" t="s">
        <v>2735</v>
      </c>
      <c r="S441" s="1850" t="s">
        <v>7631</v>
      </c>
      <c r="T441" s="1850" t="s">
        <v>7632</v>
      </c>
    </row>
    <row r="442" spans="6:20">
      <c r="F442" s="512" t="s">
        <v>2736</v>
      </c>
      <c r="G442" s="511" t="s">
        <v>2737</v>
      </c>
      <c r="S442" s="1850" t="s">
        <v>7633</v>
      </c>
      <c r="T442" s="1850" t="s">
        <v>7634</v>
      </c>
    </row>
    <row r="443" spans="6:20">
      <c r="F443" s="512" t="s">
        <v>2738</v>
      </c>
      <c r="G443" s="511" t="s">
        <v>2739</v>
      </c>
      <c r="S443" s="1850" t="s">
        <v>7635</v>
      </c>
      <c r="T443" s="1850" t="s">
        <v>7636</v>
      </c>
    </row>
    <row r="444" spans="6:20">
      <c r="F444" s="512" t="s">
        <v>2740</v>
      </c>
      <c r="G444" s="511" t="s">
        <v>2741</v>
      </c>
      <c r="S444" s="1850" t="s">
        <v>7637</v>
      </c>
      <c r="T444" s="1850" t="s">
        <v>7638</v>
      </c>
    </row>
    <row r="445" spans="6:20">
      <c r="F445" s="512" t="s">
        <v>2742</v>
      </c>
      <c r="G445" s="511" t="s">
        <v>2743</v>
      </c>
      <c r="S445" s="1850" t="s">
        <v>7639</v>
      </c>
      <c r="T445" s="1850" t="s">
        <v>7640</v>
      </c>
    </row>
    <row r="446" spans="6:20">
      <c r="F446" s="512" t="s">
        <v>2744</v>
      </c>
      <c r="G446" s="511" t="s">
        <v>2745</v>
      </c>
      <c r="S446" s="1850" t="s">
        <v>7641</v>
      </c>
      <c r="T446" s="1850" t="s">
        <v>7642</v>
      </c>
    </row>
    <row r="447" spans="6:20">
      <c r="F447" s="512" t="s">
        <v>2746</v>
      </c>
      <c r="G447" s="511" t="s">
        <v>2747</v>
      </c>
      <c r="S447" s="1850" t="s">
        <v>7643</v>
      </c>
      <c r="T447" s="1850" t="s">
        <v>7644</v>
      </c>
    </row>
    <row r="448" spans="6:20">
      <c r="F448" s="512" t="s">
        <v>2748</v>
      </c>
      <c r="G448" s="511" t="s">
        <v>2749</v>
      </c>
      <c r="S448" s="1850" t="s">
        <v>7645</v>
      </c>
      <c r="T448" s="1850" t="s">
        <v>7646</v>
      </c>
    </row>
    <row r="449" spans="6:20">
      <c r="F449" s="512" t="s">
        <v>2750</v>
      </c>
      <c r="G449" s="511" t="s">
        <v>2751</v>
      </c>
      <c r="S449" s="1850" t="s">
        <v>7647</v>
      </c>
      <c r="T449" s="1850" t="s">
        <v>7648</v>
      </c>
    </row>
    <row r="450" spans="6:20">
      <c r="F450" s="512" t="s">
        <v>2752</v>
      </c>
      <c r="G450" s="511" t="s">
        <v>2753</v>
      </c>
      <c r="S450" s="1850" t="s">
        <v>7649</v>
      </c>
      <c r="T450" s="1850" t="s">
        <v>6939</v>
      </c>
    </row>
    <row r="451" spans="6:20">
      <c r="F451" s="512" t="s">
        <v>2754</v>
      </c>
      <c r="G451" s="511" t="s">
        <v>2755</v>
      </c>
      <c r="S451" s="1850" t="s">
        <v>7650</v>
      </c>
      <c r="T451" s="1850" t="s">
        <v>6941</v>
      </c>
    </row>
    <row r="452" spans="6:20">
      <c r="F452" s="512" t="s">
        <v>2756</v>
      </c>
      <c r="G452" s="511" t="s">
        <v>2757</v>
      </c>
      <c r="S452" s="1850" t="s">
        <v>7651</v>
      </c>
      <c r="T452" s="1850" t="s">
        <v>7652</v>
      </c>
    </row>
    <row r="453" spans="6:20">
      <c r="F453" s="512" t="s">
        <v>2758</v>
      </c>
      <c r="G453" s="511" t="s">
        <v>2759</v>
      </c>
      <c r="S453" s="1850" t="s">
        <v>7653</v>
      </c>
      <c r="T453" s="1850" t="s">
        <v>7654</v>
      </c>
    </row>
    <row r="454" spans="6:20">
      <c r="F454" s="512" t="s">
        <v>2760</v>
      </c>
      <c r="G454" s="511" t="s">
        <v>2761</v>
      </c>
      <c r="S454" s="1850" t="s">
        <v>7655</v>
      </c>
      <c r="T454" s="1850" t="s">
        <v>7656</v>
      </c>
    </row>
    <row r="455" spans="6:20">
      <c r="F455" s="512" t="s">
        <v>2762</v>
      </c>
      <c r="G455" s="511" t="s">
        <v>2763</v>
      </c>
      <c r="S455" s="1850" t="s">
        <v>7657</v>
      </c>
      <c r="T455" s="1850" t="s">
        <v>7658</v>
      </c>
    </row>
    <row r="456" spans="6:20">
      <c r="F456" s="512" t="s">
        <v>2764</v>
      </c>
      <c r="G456" s="511" t="s">
        <v>2765</v>
      </c>
      <c r="S456" s="1850" t="s">
        <v>7659</v>
      </c>
      <c r="T456" s="1850" t="s">
        <v>7660</v>
      </c>
    </row>
    <row r="457" spans="6:20">
      <c r="F457" s="512" t="s">
        <v>2766</v>
      </c>
      <c r="G457" s="511" t="s">
        <v>2767</v>
      </c>
      <c r="S457" s="1850" t="s">
        <v>7661</v>
      </c>
      <c r="T457" s="1850" t="s">
        <v>7662</v>
      </c>
    </row>
    <row r="458" spans="6:20">
      <c r="F458" s="512" t="s">
        <v>2768</v>
      </c>
      <c r="G458" s="511" t="s">
        <v>2769</v>
      </c>
      <c r="S458" s="1850" t="s">
        <v>7663</v>
      </c>
      <c r="T458" s="1850" t="s">
        <v>7664</v>
      </c>
    </row>
    <row r="459" spans="6:20">
      <c r="F459" s="512" t="s">
        <v>2770</v>
      </c>
      <c r="G459" s="511" t="s">
        <v>2771</v>
      </c>
      <c r="S459" s="1850" t="s">
        <v>7665</v>
      </c>
      <c r="T459" s="1850" t="s">
        <v>7666</v>
      </c>
    </row>
    <row r="460" spans="6:20">
      <c r="F460" s="512" t="s">
        <v>2772</v>
      </c>
      <c r="G460" s="511" t="s">
        <v>2773</v>
      </c>
      <c r="S460" s="1850" t="s">
        <v>7667</v>
      </c>
      <c r="T460" s="1850" t="s">
        <v>7668</v>
      </c>
    </row>
    <row r="461" spans="6:20">
      <c r="F461" s="512" t="s">
        <v>2774</v>
      </c>
      <c r="G461" s="511" t="s">
        <v>2775</v>
      </c>
      <c r="S461" s="1850" t="s">
        <v>7669</v>
      </c>
      <c r="T461" s="1850" t="s">
        <v>7670</v>
      </c>
    </row>
    <row r="462" spans="6:20">
      <c r="F462" s="512" t="s">
        <v>2776</v>
      </c>
      <c r="G462" s="511" t="s">
        <v>2777</v>
      </c>
      <c r="S462" s="1850" t="s">
        <v>7671</v>
      </c>
      <c r="T462" s="1850" t="s">
        <v>7672</v>
      </c>
    </row>
    <row r="463" spans="6:20">
      <c r="F463" s="512" t="s">
        <v>2778</v>
      </c>
      <c r="G463" s="511" t="s">
        <v>2779</v>
      </c>
      <c r="S463" s="1850" t="s">
        <v>7673</v>
      </c>
      <c r="T463" s="1850" t="s">
        <v>7674</v>
      </c>
    </row>
    <row r="464" spans="6:20">
      <c r="F464" s="512" t="s">
        <v>2780</v>
      </c>
      <c r="G464" s="511" t="s">
        <v>2781</v>
      </c>
      <c r="S464" s="1850" t="s">
        <v>7675</v>
      </c>
      <c r="T464" s="1850" t="s">
        <v>7676</v>
      </c>
    </row>
    <row r="465" spans="6:20">
      <c r="F465" s="512" t="s">
        <v>2782</v>
      </c>
      <c r="G465" s="511" t="s">
        <v>2783</v>
      </c>
      <c r="S465" s="1850" t="s">
        <v>7677</v>
      </c>
      <c r="T465" s="1850" t="s">
        <v>7538</v>
      </c>
    </row>
    <row r="466" spans="6:20">
      <c r="F466" s="512" t="s">
        <v>2784</v>
      </c>
      <c r="G466" s="511" t="s">
        <v>2785</v>
      </c>
      <c r="S466" s="1850" t="s">
        <v>7678</v>
      </c>
      <c r="T466" s="1850" t="s">
        <v>7536</v>
      </c>
    </row>
    <row r="467" spans="6:20">
      <c r="F467" s="512" t="s">
        <v>2786</v>
      </c>
      <c r="G467" s="511" t="s">
        <v>2787</v>
      </c>
      <c r="S467" s="1850" t="s">
        <v>7679</v>
      </c>
      <c r="T467" s="1850" t="s">
        <v>7632</v>
      </c>
    </row>
    <row r="468" spans="6:20">
      <c r="F468" s="512" t="s">
        <v>2788</v>
      </c>
      <c r="G468" s="511" t="s">
        <v>2789</v>
      </c>
      <c r="S468" s="1850" t="s">
        <v>7680</v>
      </c>
      <c r="T468" s="1850" t="s">
        <v>7634</v>
      </c>
    </row>
    <row r="469" spans="6:20">
      <c r="F469" s="512" t="s">
        <v>2790</v>
      </c>
      <c r="G469" s="511" t="s">
        <v>2791</v>
      </c>
      <c r="S469" s="1850" t="s">
        <v>7681</v>
      </c>
      <c r="T469" s="1850" t="s">
        <v>7682</v>
      </c>
    </row>
    <row r="470" spans="6:20">
      <c r="F470" s="512" t="s">
        <v>2792</v>
      </c>
      <c r="G470" s="511" t="s">
        <v>2793</v>
      </c>
      <c r="S470" s="1850" t="s">
        <v>7683</v>
      </c>
      <c r="T470" s="1850" t="s">
        <v>7684</v>
      </c>
    </row>
    <row r="471" spans="6:20">
      <c r="F471" s="512" t="s">
        <v>2794</v>
      </c>
      <c r="G471" s="511" t="s">
        <v>2795</v>
      </c>
      <c r="S471" s="1850" t="s">
        <v>7685</v>
      </c>
      <c r="T471" s="1850" t="s">
        <v>7686</v>
      </c>
    </row>
    <row r="472" spans="6:20">
      <c r="F472" s="512" t="s">
        <v>2796</v>
      </c>
      <c r="G472" s="511" t="s">
        <v>2797</v>
      </c>
      <c r="S472" s="1850" t="s">
        <v>7687</v>
      </c>
      <c r="T472" s="1850" t="s">
        <v>7688</v>
      </c>
    </row>
    <row r="473" spans="6:20">
      <c r="F473" s="512" t="s">
        <v>2798</v>
      </c>
      <c r="G473" s="511" t="s">
        <v>2799</v>
      </c>
      <c r="S473" s="1850" t="s">
        <v>7689</v>
      </c>
      <c r="T473" s="1850" t="s">
        <v>7690</v>
      </c>
    </row>
    <row r="474" spans="6:20">
      <c r="F474" s="512" t="s">
        <v>2800</v>
      </c>
      <c r="G474" s="511" t="s">
        <v>2801</v>
      </c>
      <c r="S474" s="1850" t="s">
        <v>7691</v>
      </c>
      <c r="T474" s="1850" t="s">
        <v>7692</v>
      </c>
    </row>
    <row r="475" spans="6:20">
      <c r="F475" s="512" t="s">
        <v>2802</v>
      </c>
      <c r="G475" s="511" t="s">
        <v>2803</v>
      </c>
      <c r="S475" s="1850" t="s">
        <v>7693</v>
      </c>
      <c r="T475" s="1850" t="s">
        <v>7694</v>
      </c>
    </row>
    <row r="476" spans="6:20">
      <c r="F476" s="512" t="s">
        <v>2804</v>
      </c>
      <c r="G476" s="511" t="s">
        <v>2805</v>
      </c>
      <c r="S476" s="1850" t="s">
        <v>7695</v>
      </c>
      <c r="T476" s="1850" t="s">
        <v>7696</v>
      </c>
    </row>
    <row r="477" spans="6:20">
      <c r="F477" s="512" t="s">
        <v>2806</v>
      </c>
      <c r="G477" s="511" t="s">
        <v>2807</v>
      </c>
      <c r="S477" s="1850" t="s">
        <v>7697</v>
      </c>
      <c r="T477" s="1850" t="s">
        <v>7698</v>
      </c>
    </row>
    <row r="478" spans="6:20">
      <c r="F478" s="512" t="s">
        <v>2808</v>
      </c>
      <c r="G478" s="511" t="s">
        <v>2809</v>
      </c>
      <c r="S478" s="1850" t="s">
        <v>7699</v>
      </c>
      <c r="T478" s="1850" t="s">
        <v>7700</v>
      </c>
    </row>
    <row r="479" spans="6:20">
      <c r="F479" s="512" t="s">
        <v>2810</v>
      </c>
      <c r="G479" s="511" t="s">
        <v>2811</v>
      </c>
      <c r="S479" s="1850" t="s">
        <v>7701</v>
      </c>
      <c r="T479" s="1850" t="s">
        <v>7702</v>
      </c>
    </row>
    <row r="480" spans="6:20">
      <c r="F480" s="512" t="s">
        <v>2812</v>
      </c>
      <c r="G480" s="511" t="s">
        <v>2813</v>
      </c>
      <c r="S480" s="1850" t="s">
        <v>7703</v>
      </c>
      <c r="T480" s="1850" t="s">
        <v>7704</v>
      </c>
    </row>
    <row r="481" spans="6:20">
      <c r="F481" s="512" t="s">
        <v>2814</v>
      </c>
      <c r="G481" s="511" t="s">
        <v>2815</v>
      </c>
      <c r="S481" s="1850" t="s">
        <v>7705</v>
      </c>
      <c r="T481" s="1850" t="s">
        <v>7706</v>
      </c>
    </row>
    <row r="482" spans="6:20">
      <c r="F482" s="512" t="s">
        <v>2816</v>
      </c>
      <c r="G482" s="511" t="s">
        <v>2817</v>
      </c>
      <c r="S482" s="1850" t="s">
        <v>7707</v>
      </c>
      <c r="T482" s="1850" t="s">
        <v>7708</v>
      </c>
    </row>
    <row r="483" spans="6:20">
      <c r="F483" s="512" t="s">
        <v>2818</v>
      </c>
      <c r="G483" s="511" t="s">
        <v>2819</v>
      </c>
      <c r="S483" s="1850" t="s">
        <v>7709</v>
      </c>
      <c r="T483" s="1850" t="s">
        <v>7710</v>
      </c>
    </row>
    <row r="484" spans="6:20">
      <c r="F484" s="512" t="s">
        <v>2820</v>
      </c>
      <c r="G484" s="511" t="s">
        <v>2821</v>
      </c>
      <c r="S484" s="1850" t="s">
        <v>7711</v>
      </c>
      <c r="T484" s="1850" t="s">
        <v>7712</v>
      </c>
    </row>
    <row r="485" spans="6:20">
      <c r="F485" s="512" t="s">
        <v>2822</v>
      </c>
      <c r="G485" s="511" t="s">
        <v>2823</v>
      </c>
      <c r="S485" s="1850" t="s">
        <v>7713</v>
      </c>
      <c r="T485" s="1850" t="s">
        <v>7412</v>
      </c>
    </row>
    <row r="486" spans="6:20">
      <c r="F486" s="512" t="s">
        <v>2824</v>
      </c>
      <c r="G486" s="511" t="s">
        <v>2825</v>
      </c>
      <c r="S486" s="1850" t="s">
        <v>7714</v>
      </c>
      <c r="T486" s="1850" t="s">
        <v>7390</v>
      </c>
    </row>
    <row r="487" spans="6:20">
      <c r="F487" s="512" t="s">
        <v>2826</v>
      </c>
      <c r="G487" s="511" t="s">
        <v>2827</v>
      </c>
      <c r="S487" s="1850" t="s">
        <v>7715</v>
      </c>
      <c r="T487" s="1850" t="s">
        <v>7716</v>
      </c>
    </row>
    <row r="488" spans="6:20">
      <c r="F488" s="512" t="s">
        <v>2828</v>
      </c>
      <c r="G488" s="511" t="s">
        <v>2829</v>
      </c>
      <c r="S488" s="1850" t="s">
        <v>7717</v>
      </c>
      <c r="T488" s="1850" t="s">
        <v>7396</v>
      </c>
    </row>
    <row r="489" spans="6:20">
      <c r="F489" s="512" t="s">
        <v>2830</v>
      </c>
      <c r="G489" s="511" t="s">
        <v>2831</v>
      </c>
      <c r="S489" s="1850" t="s">
        <v>7718</v>
      </c>
      <c r="T489" s="1850" t="s">
        <v>7464</v>
      </c>
    </row>
    <row r="490" spans="6:20">
      <c r="F490" s="512" t="s">
        <v>2832</v>
      </c>
      <c r="G490" s="511" t="s">
        <v>2833</v>
      </c>
      <c r="S490" s="1850" t="s">
        <v>7719</v>
      </c>
      <c r="T490" s="1850" t="s">
        <v>7458</v>
      </c>
    </row>
    <row r="491" spans="6:20">
      <c r="F491" s="512" t="s">
        <v>2834</v>
      </c>
      <c r="G491" s="511" t="s">
        <v>2835</v>
      </c>
      <c r="S491" s="1850" t="s">
        <v>7720</v>
      </c>
      <c r="T491" s="1850" t="s">
        <v>7721</v>
      </c>
    </row>
    <row r="492" spans="6:20">
      <c r="F492" s="512" t="s">
        <v>2836</v>
      </c>
      <c r="G492" s="511" t="s">
        <v>2837</v>
      </c>
      <c r="S492" s="1850" t="s">
        <v>7722</v>
      </c>
      <c r="T492" s="1850" t="s">
        <v>7723</v>
      </c>
    </row>
    <row r="493" spans="6:20">
      <c r="F493" s="512" t="s">
        <v>2838</v>
      </c>
      <c r="G493" s="511" t="s">
        <v>2839</v>
      </c>
      <c r="S493" s="1850" t="s">
        <v>7724</v>
      </c>
      <c r="T493" s="1850" t="s">
        <v>7725</v>
      </c>
    </row>
    <row r="494" spans="6:20">
      <c r="F494" s="512" t="s">
        <v>2840</v>
      </c>
      <c r="G494" s="511" t="s">
        <v>2841</v>
      </c>
      <c r="S494" s="1850" t="s">
        <v>7726</v>
      </c>
      <c r="T494" s="1850" t="s">
        <v>7727</v>
      </c>
    </row>
    <row r="495" spans="6:20">
      <c r="F495" s="512" t="s">
        <v>2842</v>
      </c>
      <c r="G495" s="511" t="s">
        <v>2843</v>
      </c>
      <c r="S495" s="1850" t="s">
        <v>7728</v>
      </c>
      <c r="T495" s="1850" t="s">
        <v>7729</v>
      </c>
    </row>
    <row r="496" spans="6:20">
      <c r="F496" s="512" t="s">
        <v>2844</v>
      </c>
      <c r="G496" s="511" t="s">
        <v>2845</v>
      </c>
      <c r="S496" s="1850" t="s">
        <v>7730</v>
      </c>
      <c r="T496" s="1850" t="s">
        <v>7642</v>
      </c>
    </row>
    <row r="497" spans="6:20">
      <c r="F497" s="512" t="s">
        <v>2846</v>
      </c>
      <c r="G497" s="511" t="s">
        <v>2847</v>
      </c>
      <c r="S497" s="1850" t="s">
        <v>7731</v>
      </c>
      <c r="T497" s="1850" t="s">
        <v>7644</v>
      </c>
    </row>
    <row r="498" spans="6:20">
      <c r="F498" s="512" t="s">
        <v>2848</v>
      </c>
      <c r="G498" s="511" t="s">
        <v>2849</v>
      </c>
      <c r="S498" s="1850" t="s">
        <v>7732</v>
      </c>
      <c r="T498" s="1850" t="s">
        <v>7733</v>
      </c>
    </row>
    <row r="499" spans="6:20">
      <c r="F499" s="512" t="s">
        <v>2850</v>
      </c>
      <c r="G499" s="511" t="s">
        <v>2851</v>
      </c>
      <c r="S499" s="1850" t="s">
        <v>7734</v>
      </c>
      <c r="T499" s="1850" t="s">
        <v>7735</v>
      </c>
    </row>
    <row r="500" spans="6:20">
      <c r="F500" s="512" t="s">
        <v>2852</v>
      </c>
      <c r="G500" s="511" t="s">
        <v>2853</v>
      </c>
      <c r="S500" s="1850" t="s">
        <v>7736</v>
      </c>
      <c r="T500" s="1850" t="s">
        <v>7737</v>
      </c>
    </row>
    <row r="501" spans="6:20">
      <c r="F501" s="512" t="s">
        <v>2854</v>
      </c>
      <c r="G501" s="511" t="s">
        <v>2855</v>
      </c>
      <c r="S501" s="1850" t="s">
        <v>7738</v>
      </c>
      <c r="T501" s="1850" t="s">
        <v>7739</v>
      </c>
    </row>
    <row r="502" spans="6:20">
      <c r="F502" s="512" t="s">
        <v>2856</v>
      </c>
      <c r="G502" s="511" t="s">
        <v>2857</v>
      </c>
      <c r="S502" s="1850" t="s">
        <v>7740</v>
      </c>
      <c r="T502" s="1850" t="s">
        <v>7741</v>
      </c>
    </row>
    <row r="503" spans="6:20">
      <c r="F503" s="512" t="s">
        <v>2858</v>
      </c>
      <c r="G503" s="511" t="s">
        <v>2859</v>
      </c>
      <c r="S503" s="1850" t="s">
        <v>7742</v>
      </c>
      <c r="T503" s="1850" t="s">
        <v>7414</v>
      </c>
    </row>
    <row r="504" spans="6:20">
      <c r="F504" s="512" t="s">
        <v>2860</v>
      </c>
      <c r="G504" s="511" t="s">
        <v>2861</v>
      </c>
      <c r="S504" s="1850" t="s">
        <v>7743</v>
      </c>
      <c r="T504" s="1850" t="s">
        <v>7744</v>
      </c>
    </row>
    <row r="505" spans="6:20">
      <c r="F505" s="512" t="s">
        <v>2862</v>
      </c>
      <c r="G505" s="511" t="s">
        <v>2863</v>
      </c>
      <c r="S505" s="1850" t="s">
        <v>7745</v>
      </c>
      <c r="T505" s="1850" t="s">
        <v>7746</v>
      </c>
    </row>
    <row r="506" spans="6:20">
      <c r="F506" s="512" t="s">
        <v>2864</v>
      </c>
      <c r="G506" s="511" t="s">
        <v>2865</v>
      </c>
      <c r="S506" s="1850" t="s">
        <v>7747</v>
      </c>
      <c r="T506" s="1850" t="s">
        <v>7440</v>
      </c>
    </row>
    <row r="507" spans="6:20">
      <c r="F507" s="512" t="s">
        <v>2866</v>
      </c>
      <c r="G507" s="511" t="s">
        <v>2867</v>
      </c>
      <c r="S507" s="1850" t="s">
        <v>7748</v>
      </c>
      <c r="T507" s="1850" t="s">
        <v>7400</v>
      </c>
    </row>
    <row r="508" spans="6:20">
      <c r="F508" s="512" t="s">
        <v>2868</v>
      </c>
      <c r="G508" s="511" t="s">
        <v>2869</v>
      </c>
      <c r="S508" s="1850" t="s">
        <v>7749</v>
      </c>
      <c r="T508" s="1850" t="s">
        <v>7422</v>
      </c>
    </row>
    <row r="509" spans="6:20">
      <c r="F509" s="512" t="s">
        <v>2870</v>
      </c>
      <c r="G509" s="511" t="s">
        <v>2871</v>
      </c>
      <c r="S509" s="1850" t="s">
        <v>7750</v>
      </c>
      <c r="T509" s="1850" t="s">
        <v>7428</v>
      </c>
    </row>
    <row r="510" spans="6:20">
      <c r="F510" s="512" t="s">
        <v>2872</v>
      </c>
      <c r="G510" s="511" t="s">
        <v>2873</v>
      </c>
      <c r="S510" s="1850" t="s">
        <v>7751</v>
      </c>
      <c r="T510" s="1850" t="s">
        <v>7752</v>
      </c>
    </row>
    <row r="511" spans="6:20">
      <c r="F511" s="512" t="s">
        <v>2874</v>
      </c>
      <c r="G511" s="511" t="s">
        <v>2875</v>
      </c>
      <c r="S511" s="1850" t="s">
        <v>7753</v>
      </c>
      <c r="T511" s="1850" t="s">
        <v>7424</v>
      </c>
    </row>
    <row r="512" spans="6:20">
      <c r="F512" s="512" t="s">
        <v>2876</v>
      </c>
      <c r="G512" s="511" t="s">
        <v>2877</v>
      </c>
      <c r="S512" s="1850" t="s">
        <v>7754</v>
      </c>
      <c r="T512" s="1850" t="s">
        <v>7416</v>
      </c>
    </row>
    <row r="513" spans="6:20">
      <c r="F513" s="512" t="s">
        <v>2878</v>
      </c>
      <c r="G513" s="511" t="s">
        <v>2879</v>
      </c>
      <c r="S513" s="1850" t="s">
        <v>7755</v>
      </c>
      <c r="T513" s="1850" t="s">
        <v>7404</v>
      </c>
    </row>
    <row r="514" spans="6:20">
      <c r="F514" s="512" t="s">
        <v>2880</v>
      </c>
      <c r="G514" s="511" t="s">
        <v>2881</v>
      </c>
      <c r="S514" s="1850" t="s">
        <v>7756</v>
      </c>
      <c r="T514" s="1850" t="s">
        <v>7388</v>
      </c>
    </row>
    <row r="515" spans="6:20">
      <c r="F515" s="512" t="s">
        <v>2882</v>
      </c>
      <c r="G515" s="511" t="s">
        <v>2883</v>
      </c>
      <c r="S515" s="1850" t="s">
        <v>7757</v>
      </c>
      <c r="T515" s="1850" t="s">
        <v>7758</v>
      </c>
    </row>
    <row r="516" spans="6:20">
      <c r="F516" s="512" t="s">
        <v>2884</v>
      </c>
      <c r="G516" s="511" t="s">
        <v>2885</v>
      </c>
      <c r="S516" s="1850" t="s">
        <v>7759</v>
      </c>
      <c r="T516" s="1850" t="s">
        <v>7760</v>
      </c>
    </row>
    <row r="517" spans="6:20">
      <c r="F517" s="512" t="s">
        <v>2886</v>
      </c>
      <c r="G517" s="511" t="s">
        <v>2887</v>
      </c>
      <c r="S517" s="1850" t="s">
        <v>7761</v>
      </c>
      <c r="T517" s="1850" t="s">
        <v>7410</v>
      </c>
    </row>
    <row r="518" spans="6:20">
      <c r="F518" s="512" t="s">
        <v>2888</v>
      </c>
      <c r="G518" s="511" t="s">
        <v>2889</v>
      </c>
      <c r="S518" s="1850" t="s">
        <v>7762</v>
      </c>
      <c r="T518" s="1850" t="s">
        <v>7763</v>
      </c>
    </row>
    <row r="519" spans="6:20">
      <c r="F519" s="512" t="s">
        <v>2890</v>
      </c>
      <c r="G519" s="511" t="s">
        <v>2891</v>
      </c>
      <c r="S519" s="1850" t="s">
        <v>7764</v>
      </c>
      <c r="T519" s="1850" t="s">
        <v>7402</v>
      </c>
    </row>
    <row r="520" spans="6:20">
      <c r="F520" s="512" t="s">
        <v>2892</v>
      </c>
      <c r="G520" s="511" t="s">
        <v>2893</v>
      </c>
      <c r="S520" s="1850" t="s">
        <v>7765</v>
      </c>
      <c r="T520" s="1850" t="s">
        <v>7766</v>
      </c>
    </row>
    <row r="521" spans="6:20">
      <c r="F521" s="512" t="s">
        <v>2894</v>
      </c>
      <c r="G521" s="511" t="s">
        <v>2895</v>
      </c>
      <c r="S521" s="1850" t="s">
        <v>7767</v>
      </c>
      <c r="T521" s="1850" t="s">
        <v>7768</v>
      </c>
    </row>
    <row r="522" spans="6:20">
      <c r="F522" s="512" t="s">
        <v>2896</v>
      </c>
      <c r="G522" s="511" t="s">
        <v>2897</v>
      </c>
      <c r="S522" s="1850" t="s">
        <v>7769</v>
      </c>
      <c r="T522" s="1850" t="s">
        <v>7436</v>
      </c>
    </row>
    <row r="523" spans="6:20">
      <c r="F523" s="512" t="s">
        <v>2898</v>
      </c>
      <c r="G523" s="511" t="s">
        <v>2899</v>
      </c>
      <c r="S523" s="1850" t="s">
        <v>7770</v>
      </c>
      <c r="T523" s="1850" t="s">
        <v>7434</v>
      </c>
    </row>
    <row r="524" spans="6:20">
      <c r="F524" s="512" t="s">
        <v>2900</v>
      </c>
      <c r="G524" s="511" t="s">
        <v>2901</v>
      </c>
      <c r="S524" s="1850" t="s">
        <v>7771</v>
      </c>
      <c r="T524" s="1850" t="s">
        <v>7772</v>
      </c>
    </row>
    <row r="525" spans="6:20">
      <c r="F525" s="512" t="s">
        <v>2902</v>
      </c>
      <c r="G525" s="511" t="s">
        <v>2903</v>
      </c>
      <c r="S525" s="1850" t="s">
        <v>7773</v>
      </c>
      <c r="T525" s="1850" t="s">
        <v>7774</v>
      </c>
    </row>
    <row r="526" spans="6:20">
      <c r="F526" s="512" t="s">
        <v>2904</v>
      </c>
      <c r="G526" s="511" t="s">
        <v>2905</v>
      </c>
      <c r="S526" s="1850" t="s">
        <v>7775</v>
      </c>
      <c r="T526" s="1850" t="s">
        <v>7776</v>
      </c>
    </row>
    <row r="527" spans="6:20">
      <c r="F527" s="512" t="s">
        <v>2906</v>
      </c>
      <c r="G527" s="511" t="s">
        <v>2907</v>
      </c>
      <c r="S527" s="1850" t="s">
        <v>7777</v>
      </c>
      <c r="T527" s="1850" t="s">
        <v>7430</v>
      </c>
    </row>
    <row r="528" spans="6:20">
      <c r="F528" s="512" t="s">
        <v>2908</v>
      </c>
      <c r="G528" s="511" t="s">
        <v>2909</v>
      </c>
      <c r="S528" s="1850" t="s">
        <v>7778</v>
      </c>
      <c r="T528" s="1850" t="s">
        <v>7779</v>
      </c>
    </row>
    <row r="529" spans="6:20">
      <c r="F529" s="512" t="s">
        <v>2910</v>
      </c>
      <c r="G529" s="511" t="s">
        <v>2911</v>
      </c>
      <c r="S529" s="1850" t="s">
        <v>7780</v>
      </c>
      <c r="T529" s="1850" t="s">
        <v>7781</v>
      </c>
    </row>
    <row r="530" spans="6:20">
      <c r="F530" s="512" t="s">
        <v>2912</v>
      </c>
      <c r="G530" s="511" t="s">
        <v>2913</v>
      </c>
      <c r="S530" s="1850" t="s">
        <v>7782</v>
      </c>
      <c r="T530" s="1850" t="s">
        <v>7783</v>
      </c>
    </row>
    <row r="531" spans="6:20">
      <c r="F531" s="512" t="s">
        <v>2914</v>
      </c>
      <c r="G531" s="511" t="s">
        <v>2915</v>
      </c>
      <c r="S531" s="1850" t="s">
        <v>7784</v>
      </c>
      <c r="T531" s="1850" t="s">
        <v>7785</v>
      </c>
    </row>
    <row r="532" spans="6:20">
      <c r="F532" s="512" t="s">
        <v>2916</v>
      </c>
      <c r="G532" s="511" t="s">
        <v>2917</v>
      </c>
      <c r="S532" s="1850" t="s">
        <v>7786</v>
      </c>
      <c r="T532" s="1850" t="s">
        <v>7787</v>
      </c>
    </row>
    <row r="533" spans="6:20">
      <c r="F533" s="512" t="s">
        <v>2918</v>
      </c>
      <c r="G533" s="511" t="s">
        <v>2919</v>
      </c>
      <c r="S533" s="1850" t="s">
        <v>7788</v>
      </c>
      <c r="T533" s="1850" t="s">
        <v>7418</v>
      </c>
    </row>
    <row r="534" spans="6:20">
      <c r="F534" s="512" t="s">
        <v>2920</v>
      </c>
      <c r="G534" s="511" t="s">
        <v>2921</v>
      </c>
      <c r="S534" s="1850" t="s">
        <v>7789</v>
      </c>
      <c r="T534" s="1850" t="s">
        <v>7420</v>
      </c>
    </row>
    <row r="535" spans="6:20">
      <c r="F535" s="512" t="s">
        <v>2922</v>
      </c>
      <c r="G535" s="511" t="s">
        <v>2923</v>
      </c>
      <c r="S535" s="1850" t="s">
        <v>7790</v>
      </c>
      <c r="T535" s="1850" t="s">
        <v>7791</v>
      </c>
    </row>
    <row r="536" spans="6:20">
      <c r="F536" s="512" t="s">
        <v>2924</v>
      </c>
      <c r="G536" s="511" t="s">
        <v>2925</v>
      </c>
      <c r="S536" s="1850" t="s">
        <v>7792</v>
      </c>
      <c r="T536" s="1850" t="s">
        <v>7793</v>
      </c>
    </row>
    <row r="537" spans="6:20">
      <c r="F537" s="512" t="s">
        <v>2926</v>
      </c>
      <c r="G537" s="511" t="s">
        <v>2927</v>
      </c>
      <c r="S537" s="1850" t="s">
        <v>7794</v>
      </c>
      <c r="T537" s="1850" t="s">
        <v>7795</v>
      </c>
    </row>
    <row r="538" spans="6:20">
      <c r="F538" s="512" t="s">
        <v>2928</v>
      </c>
      <c r="G538" s="511" t="s">
        <v>2929</v>
      </c>
      <c r="S538" s="1850" t="s">
        <v>7796</v>
      </c>
      <c r="T538" s="1850" t="s">
        <v>7438</v>
      </c>
    </row>
    <row r="539" spans="6:20">
      <c r="F539" s="512" t="s">
        <v>2930</v>
      </c>
      <c r="G539" s="511" t="s">
        <v>2931</v>
      </c>
      <c r="S539" s="1850" t="s">
        <v>7797</v>
      </c>
      <c r="T539" s="1850" t="s">
        <v>7798</v>
      </c>
    </row>
    <row r="540" spans="6:20">
      <c r="F540" s="512" t="s">
        <v>2932</v>
      </c>
      <c r="G540" s="511" t="s">
        <v>2933</v>
      </c>
      <c r="S540" s="1850" t="s">
        <v>7799</v>
      </c>
      <c r="T540" s="1850" t="s">
        <v>7460</v>
      </c>
    </row>
    <row r="541" spans="6:20">
      <c r="F541" s="512" t="s">
        <v>2934</v>
      </c>
      <c r="G541" s="511" t="s">
        <v>2935</v>
      </c>
      <c r="S541" s="1850" t="s">
        <v>7800</v>
      </c>
      <c r="T541" s="1850" t="s">
        <v>7801</v>
      </c>
    </row>
    <row r="542" spans="6:20">
      <c r="F542" s="512" t="s">
        <v>2936</v>
      </c>
      <c r="G542" s="511" t="s">
        <v>2937</v>
      </c>
      <c r="S542" s="1850" t="s">
        <v>7802</v>
      </c>
      <c r="T542" s="1850" t="s">
        <v>7406</v>
      </c>
    </row>
    <row r="543" spans="6:20">
      <c r="F543" s="512" t="s">
        <v>2938</v>
      </c>
      <c r="G543" s="511" t="s">
        <v>2939</v>
      </c>
      <c r="S543" s="1850" t="s">
        <v>7803</v>
      </c>
      <c r="T543" s="1850" t="s">
        <v>7804</v>
      </c>
    </row>
    <row r="544" spans="6:20">
      <c r="F544" s="512" t="s">
        <v>2940</v>
      </c>
      <c r="G544" s="511" t="s">
        <v>2941</v>
      </c>
      <c r="S544" s="1850" t="s">
        <v>7805</v>
      </c>
      <c r="T544" s="1850" t="s">
        <v>7806</v>
      </c>
    </row>
    <row r="545" spans="6:20">
      <c r="F545" s="512" t="s">
        <v>2942</v>
      </c>
      <c r="G545" s="511" t="s">
        <v>2943</v>
      </c>
      <c r="S545" s="1850" t="s">
        <v>7807</v>
      </c>
      <c r="T545" s="1850" t="s">
        <v>7462</v>
      </c>
    </row>
    <row r="546" spans="6:20">
      <c r="F546" s="512" t="s">
        <v>2944</v>
      </c>
      <c r="G546" s="511" t="s">
        <v>2945</v>
      </c>
      <c r="S546" s="1850" t="s">
        <v>7808</v>
      </c>
      <c r="T546" s="1850" t="s">
        <v>7809</v>
      </c>
    </row>
    <row r="547" spans="6:20">
      <c r="F547" s="512" t="s">
        <v>2946</v>
      </c>
      <c r="G547" s="511" t="s">
        <v>2947</v>
      </c>
      <c r="S547" s="1850" t="s">
        <v>7810</v>
      </c>
      <c r="T547" s="1850" t="s">
        <v>7811</v>
      </c>
    </row>
    <row r="548" spans="6:20">
      <c r="F548" s="512" t="s">
        <v>2948</v>
      </c>
      <c r="G548" s="511" t="s">
        <v>2949</v>
      </c>
      <c r="S548" s="1850" t="s">
        <v>7812</v>
      </c>
      <c r="T548" s="1850" t="s">
        <v>7813</v>
      </c>
    </row>
    <row r="549" spans="6:20">
      <c r="F549" s="512" t="s">
        <v>2950</v>
      </c>
      <c r="G549" s="511" t="s">
        <v>2951</v>
      </c>
      <c r="S549" s="1850" t="s">
        <v>7814</v>
      </c>
      <c r="T549" s="1850" t="s">
        <v>7815</v>
      </c>
    </row>
    <row r="550" spans="6:20">
      <c r="F550" s="512" t="s">
        <v>2952</v>
      </c>
      <c r="G550" s="511" t="s">
        <v>2953</v>
      </c>
      <c r="S550" s="1850" t="s">
        <v>7816</v>
      </c>
      <c r="T550" s="1850" t="s">
        <v>7817</v>
      </c>
    </row>
    <row r="551" spans="6:20">
      <c r="F551" s="512" t="s">
        <v>2954</v>
      </c>
      <c r="G551" s="511" t="s">
        <v>2955</v>
      </c>
      <c r="S551" s="1850" t="s">
        <v>7818</v>
      </c>
      <c r="T551" s="1850" t="s">
        <v>7819</v>
      </c>
    </row>
    <row r="552" spans="6:20">
      <c r="F552" s="512" t="s">
        <v>2956</v>
      </c>
      <c r="G552" s="511" t="s">
        <v>2957</v>
      </c>
      <c r="S552" s="1850" t="s">
        <v>7820</v>
      </c>
      <c r="T552" s="1850" t="s">
        <v>7821</v>
      </c>
    </row>
    <row r="553" spans="6:20">
      <c r="F553" s="512" t="s">
        <v>2958</v>
      </c>
      <c r="G553" s="511" t="s">
        <v>2959</v>
      </c>
      <c r="S553" s="1850" t="s">
        <v>7822</v>
      </c>
      <c r="T553" s="1850" t="s">
        <v>7823</v>
      </c>
    </row>
    <row r="554" spans="6:20">
      <c r="F554" s="512" t="s">
        <v>2960</v>
      </c>
      <c r="G554" s="511" t="s">
        <v>2961</v>
      </c>
      <c r="S554" s="1850" t="s">
        <v>7824</v>
      </c>
      <c r="T554" s="1850" t="s">
        <v>7825</v>
      </c>
    </row>
    <row r="555" spans="6:20">
      <c r="F555" s="512" t="s">
        <v>2962</v>
      </c>
      <c r="G555" s="511" t="s">
        <v>2963</v>
      </c>
      <c r="S555" s="1850" t="s">
        <v>7826</v>
      </c>
      <c r="T555" s="1850" t="s">
        <v>7827</v>
      </c>
    </row>
    <row r="556" spans="6:20">
      <c r="F556" s="512" t="s">
        <v>2964</v>
      </c>
      <c r="G556" s="511" t="s">
        <v>2965</v>
      </c>
      <c r="S556" s="1850" t="s">
        <v>7828</v>
      </c>
      <c r="T556" s="1850" t="s">
        <v>7829</v>
      </c>
    </row>
    <row r="557" spans="6:20">
      <c r="F557" s="512" t="s">
        <v>2966</v>
      </c>
      <c r="G557" s="511" t="s">
        <v>2967</v>
      </c>
      <c r="S557" s="1850" t="s">
        <v>7830</v>
      </c>
      <c r="T557" s="1850" t="s">
        <v>7831</v>
      </c>
    </row>
    <row r="558" spans="6:20">
      <c r="F558" s="512" t="s">
        <v>2968</v>
      </c>
      <c r="G558" s="511" t="s">
        <v>2969</v>
      </c>
      <c r="S558" s="1850" t="s">
        <v>7832</v>
      </c>
      <c r="T558" s="1850" t="s">
        <v>7833</v>
      </c>
    </row>
    <row r="559" spans="6:20">
      <c r="F559" s="512" t="s">
        <v>2970</v>
      </c>
      <c r="G559" s="511" t="s">
        <v>2971</v>
      </c>
      <c r="S559" s="1850" t="s">
        <v>7834</v>
      </c>
      <c r="T559" s="1850" t="s">
        <v>7835</v>
      </c>
    </row>
    <row r="560" spans="6:20">
      <c r="F560" s="512" t="s">
        <v>2972</v>
      </c>
      <c r="G560" s="511" t="s">
        <v>2973</v>
      </c>
      <c r="S560" s="1850" t="s">
        <v>7836</v>
      </c>
      <c r="T560" s="1850" t="s">
        <v>7837</v>
      </c>
    </row>
    <row r="561" spans="6:20">
      <c r="F561" s="512" t="s">
        <v>2974</v>
      </c>
      <c r="G561" s="511" t="s">
        <v>2975</v>
      </c>
      <c r="S561" s="1850" t="s">
        <v>7838</v>
      </c>
      <c r="T561" s="1850" t="s">
        <v>7839</v>
      </c>
    </row>
    <row r="562" spans="6:20">
      <c r="F562" s="512" t="s">
        <v>2976</v>
      </c>
      <c r="G562" s="511" t="s">
        <v>2977</v>
      </c>
      <c r="S562" s="1850" t="s">
        <v>7840</v>
      </c>
      <c r="T562" s="1850" t="s">
        <v>7841</v>
      </c>
    </row>
    <row r="563" spans="6:20">
      <c r="F563" s="512" t="s">
        <v>2978</v>
      </c>
      <c r="G563" s="511" t="s">
        <v>2979</v>
      </c>
      <c r="S563" s="1850" t="s">
        <v>7842</v>
      </c>
      <c r="T563" s="1850" t="s">
        <v>7843</v>
      </c>
    </row>
    <row r="564" spans="6:20">
      <c r="F564" s="512" t="s">
        <v>2980</v>
      </c>
      <c r="G564" s="511" t="s">
        <v>2981</v>
      </c>
      <c r="S564" s="1850" t="s">
        <v>7844</v>
      </c>
      <c r="T564" s="1850" t="s">
        <v>7845</v>
      </c>
    </row>
    <row r="565" spans="6:20">
      <c r="F565" s="512" t="s">
        <v>2982</v>
      </c>
      <c r="G565" s="511" t="s">
        <v>2983</v>
      </c>
      <c r="S565" s="1850" t="s">
        <v>7846</v>
      </c>
      <c r="T565" s="1850" t="s">
        <v>7847</v>
      </c>
    </row>
    <row r="566" spans="6:20">
      <c r="F566" s="512" t="s">
        <v>2984</v>
      </c>
      <c r="G566" s="511" t="s">
        <v>2985</v>
      </c>
      <c r="S566" s="1850" t="s">
        <v>7848</v>
      </c>
      <c r="T566" s="1850" t="s">
        <v>7849</v>
      </c>
    </row>
    <row r="567" spans="6:20">
      <c r="F567" s="512" t="s">
        <v>2986</v>
      </c>
      <c r="G567" s="511" t="s">
        <v>2987</v>
      </c>
      <c r="S567" s="1850" t="s">
        <v>7850</v>
      </c>
      <c r="T567" s="1850" t="s">
        <v>7851</v>
      </c>
    </row>
    <row r="568" spans="6:20">
      <c r="F568" s="512" t="s">
        <v>2988</v>
      </c>
      <c r="G568" s="511" t="s">
        <v>2989</v>
      </c>
      <c r="S568" s="1850" t="s">
        <v>7852</v>
      </c>
      <c r="T568" s="1850" t="s">
        <v>7853</v>
      </c>
    </row>
    <row r="569" spans="6:20">
      <c r="F569" s="512" t="s">
        <v>2990</v>
      </c>
      <c r="G569" s="511" t="s">
        <v>2991</v>
      </c>
      <c r="S569" s="1850" t="s">
        <v>7854</v>
      </c>
      <c r="T569" s="1850" t="s">
        <v>7855</v>
      </c>
    </row>
    <row r="570" spans="6:20">
      <c r="F570" s="512" t="s">
        <v>2992</v>
      </c>
      <c r="G570" s="511" t="s">
        <v>2993</v>
      </c>
      <c r="S570" s="1850" t="s">
        <v>7856</v>
      </c>
      <c r="T570" s="1850" t="s">
        <v>7857</v>
      </c>
    </row>
    <row r="571" spans="6:20">
      <c r="F571" s="512" t="s">
        <v>2994</v>
      </c>
      <c r="G571" s="511" t="s">
        <v>2995</v>
      </c>
      <c r="S571" s="1850" t="s">
        <v>7858</v>
      </c>
      <c r="T571" s="1850" t="s">
        <v>7859</v>
      </c>
    </row>
    <row r="572" spans="6:20">
      <c r="F572" s="512" t="s">
        <v>2996</v>
      </c>
      <c r="G572" s="511" t="s">
        <v>2997</v>
      </c>
      <c r="S572" s="1850" t="s">
        <v>7860</v>
      </c>
      <c r="T572" s="1850" t="s">
        <v>7861</v>
      </c>
    </row>
    <row r="573" spans="6:20">
      <c r="F573" s="512" t="s">
        <v>2998</v>
      </c>
      <c r="G573" s="511" t="s">
        <v>2999</v>
      </c>
      <c r="S573" s="1850" t="s">
        <v>7862</v>
      </c>
      <c r="T573" s="1850" t="s">
        <v>7863</v>
      </c>
    </row>
    <row r="574" spans="6:20">
      <c r="F574" s="512" t="s">
        <v>3000</v>
      </c>
      <c r="G574" s="511" t="s">
        <v>3001</v>
      </c>
      <c r="S574" s="1850" t="s">
        <v>7864</v>
      </c>
      <c r="T574" s="1850" t="s">
        <v>7865</v>
      </c>
    </row>
    <row r="575" spans="6:20">
      <c r="F575" s="512" t="s">
        <v>3002</v>
      </c>
      <c r="G575" s="511" t="s">
        <v>3003</v>
      </c>
      <c r="S575" s="1850" t="s">
        <v>7866</v>
      </c>
      <c r="T575" s="1850" t="s">
        <v>7867</v>
      </c>
    </row>
    <row r="576" spans="6:20">
      <c r="F576" s="512" t="s">
        <v>3004</v>
      </c>
      <c r="G576" s="511" t="s">
        <v>3005</v>
      </c>
      <c r="S576" s="1850" t="s">
        <v>7868</v>
      </c>
      <c r="T576" s="1850" t="s">
        <v>7869</v>
      </c>
    </row>
    <row r="577" spans="6:20">
      <c r="F577" s="512" t="s">
        <v>3006</v>
      </c>
      <c r="G577" s="511" t="s">
        <v>3007</v>
      </c>
      <c r="S577" s="1850" t="s">
        <v>7870</v>
      </c>
      <c r="T577" s="1850" t="s">
        <v>7871</v>
      </c>
    </row>
    <row r="578" spans="6:20">
      <c r="F578" s="512" t="s">
        <v>3008</v>
      </c>
      <c r="G578" s="511" t="s">
        <v>3009</v>
      </c>
      <c r="S578" s="1850" t="s">
        <v>7872</v>
      </c>
      <c r="T578" s="1850" t="s">
        <v>7873</v>
      </c>
    </row>
    <row r="579" spans="6:20">
      <c r="F579" s="512" t="s">
        <v>3010</v>
      </c>
      <c r="G579" s="511" t="s">
        <v>3011</v>
      </c>
      <c r="S579" s="1850" t="s">
        <v>7874</v>
      </c>
      <c r="T579" s="1850" t="s">
        <v>7875</v>
      </c>
    </row>
    <row r="580" spans="6:20">
      <c r="F580" s="512" t="s">
        <v>3012</v>
      </c>
      <c r="G580" s="511" t="s">
        <v>3013</v>
      </c>
      <c r="S580" s="1850" t="s">
        <v>7876</v>
      </c>
      <c r="T580" s="1850" t="s">
        <v>7877</v>
      </c>
    </row>
    <row r="581" spans="6:20">
      <c r="F581" s="512" t="s">
        <v>3014</v>
      </c>
      <c r="G581" s="511" t="s">
        <v>3015</v>
      </c>
      <c r="S581" s="1850" t="s">
        <v>7878</v>
      </c>
      <c r="T581" s="1850" t="s">
        <v>7879</v>
      </c>
    </row>
    <row r="582" spans="6:20">
      <c r="F582" s="512" t="s">
        <v>3016</v>
      </c>
      <c r="G582" s="511" t="s">
        <v>3017</v>
      </c>
      <c r="S582" s="1850" t="s">
        <v>7880</v>
      </c>
      <c r="T582" s="1850" t="s">
        <v>7881</v>
      </c>
    </row>
    <row r="583" spans="6:20">
      <c r="F583" s="512" t="s">
        <v>3018</v>
      </c>
      <c r="G583" s="511" t="s">
        <v>3019</v>
      </c>
      <c r="S583" s="1850" t="s">
        <v>7882</v>
      </c>
      <c r="T583" s="1850" t="s">
        <v>7883</v>
      </c>
    </row>
    <row r="584" spans="6:20">
      <c r="F584" s="512" t="s">
        <v>3020</v>
      </c>
      <c r="G584" s="511" t="s">
        <v>3021</v>
      </c>
      <c r="S584" s="1850" t="s">
        <v>7884</v>
      </c>
      <c r="T584" s="1850" t="s">
        <v>7885</v>
      </c>
    </row>
    <row r="585" spans="6:20">
      <c r="F585" s="512" t="s">
        <v>3022</v>
      </c>
      <c r="G585" s="511" t="s">
        <v>3023</v>
      </c>
      <c r="S585" s="1850" t="s">
        <v>7886</v>
      </c>
      <c r="T585" s="1850" t="s">
        <v>7887</v>
      </c>
    </row>
    <row r="586" spans="6:20">
      <c r="F586" s="512" t="s">
        <v>3024</v>
      </c>
      <c r="G586" s="511" t="s">
        <v>3025</v>
      </c>
      <c r="S586" s="1850" t="s">
        <v>7888</v>
      </c>
      <c r="T586" s="1850" t="s">
        <v>7889</v>
      </c>
    </row>
    <row r="587" spans="6:20">
      <c r="F587" s="512" t="s">
        <v>3026</v>
      </c>
      <c r="G587" s="511" t="s">
        <v>3027</v>
      </c>
      <c r="S587" s="1850" t="s">
        <v>7890</v>
      </c>
      <c r="T587" s="1850" t="s">
        <v>7891</v>
      </c>
    </row>
    <row r="588" spans="6:20">
      <c r="F588" s="512" t="s">
        <v>3028</v>
      </c>
      <c r="G588" s="511" t="s">
        <v>3029</v>
      </c>
      <c r="S588" s="1850" t="s">
        <v>7892</v>
      </c>
      <c r="T588" s="1850" t="s">
        <v>7893</v>
      </c>
    </row>
    <row r="589" spans="6:20">
      <c r="F589" s="512" t="s">
        <v>3030</v>
      </c>
      <c r="G589" s="511" t="s">
        <v>3031</v>
      </c>
      <c r="S589" s="1850" t="s">
        <v>7894</v>
      </c>
      <c r="T589" s="1850" t="s">
        <v>5042</v>
      </c>
    </row>
    <row r="590" spans="6:20">
      <c r="F590" s="512" t="s">
        <v>3032</v>
      </c>
      <c r="G590" s="511" t="s">
        <v>3033</v>
      </c>
      <c r="S590" s="1850" t="s">
        <v>7895</v>
      </c>
      <c r="T590" s="1850" t="s">
        <v>7153</v>
      </c>
    </row>
    <row r="591" spans="6:20">
      <c r="F591" s="512" t="s">
        <v>3034</v>
      </c>
      <c r="G591" s="511" t="s">
        <v>3035</v>
      </c>
      <c r="S591" s="1850" t="s">
        <v>7896</v>
      </c>
      <c r="T591" s="1850" t="s">
        <v>7155</v>
      </c>
    </row>
    <row r="592" spans="6:20">
      <c r="F592" s="512" t="s">
        <v>3036</v>
      </c>
      <c r="G592" s="511" t="s">
        <v>3037</v>
      </c>
      <c r="S592" s="1850" t="s">
        <v>7897</v>
      </c>
      <c r="T592" s="1850" t="s">
        <v>7153</v>
      </c>
    </row>
    <row r="593" spans="6:20">
      <c r="F593" s="512" t="s">
        <v>3038</v>
      </c>
      <c r="G593" s="511" t="s">
        <v>3039</v>
      </c>
      <c r="S593" s="1850" t="s">
        <v>7898</v>
      </c>
      <c r="T593" s="1850" t="s">
        <v>7155</v>
      </c>
    </row>
    <row r="594" spans="6:20">
      <c r="F594" s="512" t="s">
        <v>3040</v>
      </c>
      <c r="G594" s="511" t="s">
        <v>3041</v>
      </c>
      <c r="S594" s="1850" t="s">
        <v>7899</v>
      </c>
      <c r="T594" s="1850" t="s">
        <v>7900</v>
      </c>
    </row>
    <row r="595" spans="6:20">
      <c r="F595" s="512" t="s">
        <v>3042</v>
      </c>
      <c r="G595" s="511" t="s">
        <v>3043</v>
      </c>
      <c r="S595" s="1850" t="s">
        <v>7901</v>
      </c>
      <c r="T595" s="1850" t="s">
        <v>7902</v>
      </c>
    </row>
    <row r="596" spans="6:20">
      <c r="F596" s="512" t="s">
        <v>3044</v>
      </c>
      <c r="G596" s="511" t="s">
        <v>3045</v>
      </c>
      <c r="S596" s="1850" t="s">
        <v>7903</v>
      </c>
      <c r="T596" s="1850" t="s">
        <v>7904</v>
      </c>
    </row>
    <row r="597" spans="6:20">
      <c r="F597" s="512" t="s">
        <v>3046</v>
      </c>
      <c r="G597" s="511" t="s">
        <v>3047</v>
      </c>
      <c r="S597" s="1850" t="s">
        <v>7905</v>
      </c>
      <c r="T597" s="1850" t="s">
        <v>7906</v>
      </c>
    </row>
    <row r="598" spans="6:20">
      <c r="F598" s="512" t="s">
        <v>3048</v>
      </c>
      <c r="G598" s="511" t="s">
        <v>3049</v>
      </c>
      <c r="S598" s="1850" t="s">
        <v>7907</v>
      </c>
      <c r="T598" s="1850" t="s">
        <v>7908</v>
      </c>
    </row>
    <row r="599" spans="6:20">
      <c r="F599" s="512" t="s">
        <v>3050</v>
      </c>
      <c r="G599" s="511" t="s">
        <v>3051</v>
      </c>
      <c r="S599" s="1850" t="s">
        <v>7909</v>
      </c>
      <c r="T599" s="1850" t="s">
        <v>7910</v>
      </c>
    </row>
    <row r="600" spans="6:20">
      <c r="F600" s="512" t="s">
        <v>3052</v>
      </c>
      <c r="G600" s="511" t="s">
        <v>3053</v>
      </c>
      <c r="S600" s="1850" t="s">
        <v>7911</v>
      </c>
      <c r="T600" s="1850" t="s">
        <v>7912</v>
      </c>
    </row>
    <row r="601" spans="6:20">
      <c r="F601" s="512" t="s">
        <v>3054</v>
      </c>
      <c r="G601" s="511" t="s">
        <v>3055</v>
      </c>
      <c r="S601" s="1850" t="s">
        <v>7913</v>
      </c>
      <c r="T601" s="1850" t="s">
        <v>7914</v>
      </c>
    </row>
    <row r="602" spans="6:20">
      <c r="F602" s="512" t="s">
        <v>3056</v>
      </c>
      <c r="G602" s="511" t="s">
        <v>3057</v>
      </c>
      <c r="S602" s="1850" t="s">
        <v>7915</v>
      </c>
      <c r="T602" s="1850" t="s">
        <v>7916</v>
      </c>
    </row>
    <row r="603" spans="6:20">
      <c r="F603" s="512" t="s">
        <v>3058</v>
      </c>
      <c r="G603" s="511" t="s">
        <v>3059</v>
      </c>
      <c r="S603" s="1850" t="s">
        <v>7917</v>
      </c>
      <c r="T603" s="1850" t="s">
        <v>7918</v>
      </c>
    </row>
    <row r="604" spans="6:20">
      <c r="F604" s="512" t="s">
        <v>3060</v>
      </c>
      <c r="G604" s="511" t="s">
        <v>3061</v>
      </c>
      <c r="S604" s="1850" t="s">
        <v>7919</v>
      </c>
      <c r="T604" s="1850" t="s">
        <v>7153</v>
      </c>
    </row>
    <row r="605" spans="6:20">
      <c r="F605" s="512" t="s">
        <v>3062</v>
      </c>
      <c r="G605" s="511" t="s">
        <v>3063</v>
      </c>
      <c r="S605" s="1850" t="s">
        <v>7920</v>
      </c>
      <c r="T605" s="1850" t="s">
        <v>7155</v>
      </c>
    </row>
    <row r="606" spans="6:20">
      <c r="F606" s="512" t="s">
        <v>3064</v>
      </c>
      <c r="G606" s="511" t="s">
        <v>3065</v>
      </c>
      <c r="S606" s="1850" t="s">
        <v>7921</v>
      </c>
      <c r="T606" s="1850" t="s">
        <v>7922</v>
      </c>
    </row>
    <row r="607" spans="6:20">
      <c r="F607" s="512" t="s">
        <v>3066</v>
      </c>
      <c r="G607" s="511" t="s">
        <v>3067</v>
      </c>
      <c r="S607" s="1850" t="s">
        <v>7923</v>
      </c>
      <c r="T607" s="1850" t="s">
        <v>7924</v>
      </c>
    </row>
    <row r="608" spans="6:20">
      <c r="F608" s="512" t="s">
        <v>3068</v>
      </c>
      <c r="G608" s="511" t="s">
        <v>3069</v>
      </c>
      <c r="S608" s="1850" t="s">
        <v>7925</v>
      </c>
      <c r="T608" s="1850" t="s">
        <v>7926</v>
      </c>
    </row>
    <row r="609" spans="6:20">
      <c r="F609" s="512" t="s">
        <v>3070</v>
      </c>
      <c r="G609" s="511" t="s">
        <v>3071</v>
      </c>
      <c r="S609" s="1850" t="s">
        <v>7927</v>
      </c>
      <c r="T609" s="1850" t="s">
        <v>7153</v>
      </c>
    </row>
    <row r="610" spans="6:20">
      <c r="F610" s="512" t="s">
        <v>3072</v>
      </c>
      <c r="G610" s="511" t="s">
        <v>3073</v>
      </c>
      <c r="S610" s="1850" t="s">
        <v>7928</v>
      </c>
      <c r="T610" s="1850" t="s">
        <v>7155</v>
      </c>
    </row>
    <row r="611" spans="6:20">
      <c r="F611" s="512" t="s">
        <v>3074</v>
      </c>
      <c r="G611" s="511" t="s">
        <v>3075</v>
      </c>
      <c r="S611" s="1850" t="s">
        <v>7929</v>
      </c>
      <c r="T611" s="1850" t="s">
        <v>7930</v>
      </c>
    </row>
    <row r="612" spans="6:20">
      <c r="F612" s="512" t="s">
        <v>3076</v>
      </c>
      <c r="G612" s="511" t="s">
        <v>3077</v>
      </c>
      <c r="S612" s="1850" t="s">
        <v>7931</v>
      </c>
      <c r="T612" s="1850" t="s">
        <v>7932</v>
      </c>
    </row>
    <row r="613" spans="6:20">
      <c r="F613" s="512" t="s">
        <v>3078</v>
      </c>
      <c r="G613" s="511" t="s">
        <v>3079</v>
      </c>
      <c r="S613" s="1850" t="s">
        <v>7933</v>
      </c>
      <c r="T613" s="1850" t="s">
        <v>7934</v>
      </c>
    </row>
    <row r="614" spans="6:20">
      <c r="F614" s="512" t="s">
        <v>3080</v>
      </c>
      <c r="G614" s="511" t="s">
        <v>3081</v>
      </c>
      <c r="S614" s="1850" t="s">
        <v>7935</v>
      </c>
      <c r="T614" s="1850" t="s">
        <v>7936</v>
      </c>
    </row>
    <row r="615" spans="6:20">
      <c r="F615" s="512" t="s">
        <v>3082</v>
      </c>
      <c r="G615" s="511" t="s">
        <v>3083</v>
      </c>
      <c r="S615" s="1850" t="s">
        <v>7937</v>
      </c>
      <c r="T615" s="1850" t="s">
        <v>7938</v>
      </c>
    </row>
    <row r="616" spans="6:20">
      <c r="F616" s="512" t="s">
        <v>3084</v>
      </c>
      <c r="G616" s="511" t="s">
        <v>3085</v>
      </c>
      <c r="S616" s="1850" t="s">
        <v>7939</v>
      </c>
      <c r="T616" s="1850" t="s">
        <v>7940</v>
      </c>
    </row>
    <row r="617" spans="6:20">
      <c r="F617" s="512" t="s">
        <v>3086</v>
      </c>
      <c r="G617" s="511" t="s">
        <v>3087</v>
      </c>
      <c r="S617" s="1850" t="s">
        <v>7941</v>
      </c>
      <c r="T617" s="1850" t="s">
        <v>7942</v>
      </c>
    </row>
    <row r="618" spans="6:20">
      <c r="F618" s="512" t="s">
        <v>3088</v>
      </c>
      <c r="G618" s="511" t="s">
        <v>3089</v>
      </c>
      <c r="S618" s="1850" t="s">
        <v>7943</v>
      </c>
      <c r="T618" s="1850" t="s">
        <v>7944</v>
      </c>
    </row>
    <row r="619" spans="6:20">
      <c r="F619" s="512" t="s">
        <v>3090</v>
      </c>
      <c r="G619" s="511" t="s">
        <v>3091</v>
      </c>
      <c r="S619" s="1850" t="s">
        <v>7945</v>
      </c>
      <c r="T619" s="1850" t="s">
        <v>7946</v>
      </c>
    </row>
    <row r="620" spans="6:20">
      <c r="F620" s="512" t="s">
        <v>3092</v>
      </c>
      <c r="G620" s="511" t="s">
        <v>3093</v>
      </c>
      <c r="S620" s="1850" t="s">
        <v>7947</v>
      </c>
      <c r="T620" s="1850" t="s">
        <v>7948</v>
      </c>
    </row>
    <row r="621" spans="6:20">
      <c r="F621" s="512" t="s">
        <v>3094</v>
      </c>
      <c r="G621" s="511" t="s">
        <v>3095</v>
      </c>
      <c r="S621" s="1850" t="s">
        <v>7949</v>
      </c>
      <c r="T621" s="1850" t="s">
        <v>7950</v>
      </c>
    </row>
    <row r="622" spans="6:20">
      <c r="F622" s="512" t="s">
        <v>3096</v>
      </c>
      <c r="G622" s="511" t="s">
        <v>3097</v>
      </c>
      <c r="S622" s="1850" t="s">
        <v>7951</v>
      </c>
      <c r="T622" s="1850" t="s">
        <v>7952</v>
      </c>
    </row>
    <row r="623" spans="6:20">
      <c r="F623" s="512" t="s">
        <v>3098</v>
      </c>
      <c r="G623" s="511" t="s">
        <v>3099</v>
      </c>
      <c r="S623" s="1850" t="s">
        <v>7953</v>
      </c>
      <c r="T623" s="1850" t="s">
        <v>7954</v>
      </c>
    </row>
    <row r="624" spans="6:20">
      <c r="F624" s="512" t="s">
        <v>3100</v>
      </c>
      <c r="G624" s="511" t="s">
        <v>3101</v>
      </c>
      <c r="S624" s="1850" t="s">
        <v>7955</v>
      </c>
      <c r="T624" s="1850" t="s">
        <v>7956</v>
      </c>
    </row>
    <row r="625" spans="6:20">
      <c r="F625" s="512" t="s">
        <v>3102</v>
      </c>
      <c r="G625" s="511" t="s">
        <v>3103</v>
      </c>
      <c r="S625" s="1850" t="s">
        <v>7957</v>
      </c>
      <c r="T625" s="1850" t="s">
        <v>7958</v>
      </c>
    </row>
    <row r="626" spans="6:20">
      <c r="F626" s="512" t="s">
        <v>3104</v>
      </c>
      <c r="G626" s="511" t="s">
        <v>3105</v>
      </c>
      <c r="S626" s="1850" t="s">
        <v>7959</v>
      </c>
      <c r="T626" s="1850" t="s">
        <v>7960</v>
      </c>
    </row>
    <row r="627" spans="6:20">
      <c r="F627" s="512" t="s">
        <v>3106</v>
      </c>
      <c r="G627" s="511" t="s">
        <v>3107</v>
      </c>
      <c r="S627" s="1850" t="s">
        <v>7961</v>
      </c>
      <c r="T627" s="1850" t="s">
        <v>7962</v>
      </c>
    </row>
    <row r="628" spans="6:20">
      <c r="F628" s="512" t="s">
        <v>3108</v>
      </c>
      <c r="G628" s="511" t="s">
        <v>3109</v>
      </c>
      <c r="S628" s="1850" t="s">
        <v>7963</v>
      </c>
      <c r="T628" s="1850" t="s">
        <v>7964</v>
      </c>
    </row>
    <row r="629" spans="6:20">
      <c r="F629" s="512" t="s">
        <v>3110</v>
      </c>
      <c r="G629" s="511" t="s">
        <v>3111</v>
      </c>
      <c r="S629" s="1850" t="s">
        <v>7965</v>
      </c>
      <c r="T629" s="1850" t="s">
        <v>7966</v>
      </c>
    </row>
    <row r="630" spans="6:20">
      <c r="F630" s="512" t="s">
        <v>3112</v>
      </c>
      <c r="G630" s="511" t="s">
        <v>3113</v>
      </c>
      <c r="S630" s="1850" t="s">
        <v>7967</v>
      </c>
      <c r="T630" s="1850" t="s">
        <v>7968</v>
      </c>
    </row>
    <row r="631" spans="6:20">
      <c r="F631" s="512" t="s">
        <v>3114</v>
      </c>
      <c r="G631" s="511" t="s">
        <v>3115</v>
      </c>
      <c r="S631" s="1850" t="s">
        <v>7969</v>
      </c>
      <c r="T631" s="1850" t="s">
        <v>7970</v>
      </c>
    </row>
    <row r="632" spans="6:20">
      <c r="F632" s="512" t="s">
        <v>3116</v>
      </c>
      <c r="G632" s="511" t="s">
        <v>3117</v>
      </c>
      <c r="S632" s="1850" t="s">
        <v>7971</v>
      </c>
      <c r="T632" s="1850" t="s">
        <v>7972</v>
      </c>
    </row>
    <row r="633" spans="6:20">
      <c r="F633" s="512" t="s">
        <v>3118</v>
      </c>
      <c r="G633" s="511" t="s">
        <v>3119</v>
      </c>
      <c r="S633" s="1850" t="s">
        <v>7973</v>
      </c>
      <c r="T633" s="1850" t="s">
        <v>7153</v>
      </c>
    </row>
    <row r="634" spans="6:20">
      <c r="F634" s="512" t="s">
        <v>3120</v>
      </c>
      <c r="G634" s="511" t="s">
        <v>3121</v>
      </c>
      <c r="S634" s="1850" t="s">
        <v>7974</v>
      </c>
      <c r="T634" s="1850" t="s">
        <v>7155</v>
      </c>
    </row>
    <row r="635" spans="6:20">
      <c r="F635" s="512" t="s">
        <v>3122</v>
      </c>
      <c r="G635" s="511" t="s">
        <v>3123</v>
      </c>
      <c r="S635" s="1850" t="s">
        <v>7975</v>
      </c>
      <c r="T635" s="1850" t="s">
        <v>6772</v>
      </c>
    </row>
    <row r="636" spans="6:20">
      <c r="F636" s="512" t="s">
        <v>3124</v>
      </c>
      <c r="G636" s="511" t="s">
        <v>3125</v>
      </c>
      <c r="S636" s="1850" t="s">
        <v>7976</v>
      </c>
      <c r="T636" s="1850" t="s">
        <v>7977</v>
      </c>
    </row>
    <row r="637" spans="6:20">
      <c r="F637" s="512" t="s">
        <v>3126</v>
      </c>
      <c r="G637" s="511" t="s">
        <v>3127</v>
      </c>
      <c r="S637" s="1850" t="s">
        <v>7978</v>
      </c>
      <c r="T637" s="1850" t="s">
        <v>7979</v>
      </c>
    </row>
    <row r="638" spans="6:20">
      <c r="F638" s="512" t="s">
        <v>3128</v>
      </c>
      <c r="G638" s="511" t="s">
        <v>3129</v>
      </c>
      <c r="S638" s="1850" t="s">
        <v>7980</v>
      </c>
      <c r="T638" s="1850" t="s">
        <v>7981</v>
      </c>
    </row>
    <row r="639" spans="6:20">
      <c r="F639" s="512" t="s">
        <v>3130</v>
      </c>
      <c r="G639" s="511" t="s">
        <v>3131</v>
      </c>
      <c r="S639" s="1850" t="s">
        <v>7982</v>
      </c>
      <c r="T639" s="1850" t="s">
        <v>7983</v>
      </c>
    </row>
    <row r="640" spans="6:20">
      <c r="F640" s="512" t="s">
        <v>3132</v>
      </c>
      <c r="G640" s="511" t="s">
        <v>3133</v>
      </c>
      <c r="S640" s="1850" t="s">
        <v>7984</v>
      </c>
      <c r="T640" s="1850" t="s">
        <v>7985</v>
      </c>
    </row>
    <row r="641" spans="6:20">
      <c r="F641" s="512" t="s">
        <v>3134</v>
      </c>
      <c r="G641" s="511" t="s">
        <v>3135</v>
      </c>
      <c r="S641" s="1850" t="s">
        <v>7986</v>
      </c>
      <c r="T641" s="1850" t="s">
        <v>7987</v>
      </c>
    </row>
    <row r="642" spans="6:20">
      <c r="F642" s="512" t="s">
        <v>3136</v>
      </c>
      <c r="G642" s="511" t="s">
        <v>3137</v>
      </c>
      <c r="S642" s="1850" t="s">
        <v>7988</v>
      </c>
      <c r="T642" s="1850" t="s">
        <v>7989</v>
      </c>
    </row>
    <row r="643" spans="6:20">
      <c r="F643" s="512" t="s">
        <v>3138</v>
      </c>
      <c r="G643" s="511" t="s">
        <v>3139</v>
      </c>
      <c r="S643" s="1850" t="s">
        <v>7990</v>
      </c>
      <c r="T643" s="1850" t="s">
        <v>7991</v>
      </c>
    </row>
    <row r="644" spans="6:20">
      <c r="F644" s="512" t="s">
        <v>3140</v>
      </c>
      <c r="G644" s="511" t="s">
        <v>3141</v>
      </c>
      <c r="S644" s="1850" t="s">
        <v>7992</v>
      </c>
      <c r="T644" s="1850" t="s">
        <v>7993</v>
      </c>
    </row>
    <row r="645" spans="6:20">
      <c r="F645" s="512" t="s">
        <v>3142</v>
      </c>
      <c r="G645" s="511" t="s">
        <v>3143</v>
      </c>
      <c r="S645" s="1850" t="s">
        <v>7994</v>
      </c>
      <c r="T645" s="1850" t="s">
        <v>7995</v>
      </c>
    </row>
    <row r="646" spans="6:20">
      <c r="F646" s="512" t="s">
        <v>3144</v>
      </c>
      <c r="G646" s="511" t="s">
        <v>3145</v>
      </c>
      <c r="S646" s="1850" t="s">
        <v>7996</v>
      </c>
      <c r="T646" s="1850" t="s">
        <v>7997</v>
      </c>
    </row>
    <row r="647" spans="6:20">
      <c r="F647" s="512" t="s">
        <v>3146</v>
      </c>
      <c r="G647" s="511" t="s">
        <v>3147</v>
      </c>
      <c r="S647" s="1850" t="s">
        <v>7998</v>
      </c>
      <c r="T647" s="1850" t="s">
        <v>7999</v>
      </c>
    </row>
    <row r="648" spans="6:20">
      <c r="F648" s="512" t="s">
        <v>3148</v>
      </c>
      <c r="G648" s="511" t="s">
        <v>3149</v>
      </c>
      <c r="S648" s="1850" t="s">
        <v>8000</v>
      </c>
      <c r="T648" s="1850" t="s">
        <v>8001</v>
      </c>
    </row>
    <row r="649" spans="6:20">
      <c r="F649" s="512" t="s">
        <v>3150</v>
      </c>
      <c r="G649" s="511" t="s">
        <v>3151</v>
      </c>
      <c r="S649" s="1850" t="s">
        <v>8002</v>
      </c>
      <c r="T649" s="1850" t="s">
        <v>8003</v>
      </c>
    </row>
    <row r="650" spans="6:20">
      <c r="F650" s="512" t="s">
        <v>3152</v>
      </c>
      <c r="G650" s="511" t="s">
        <v>3153</v>
      </c>
      <c r="S650" s="1850" t="s">
        <v>8004</v>
      </c>
      <c r="T650" s="1850" t="s">
        <v>8005</v>
      </c>
    </row>
    <row r="651" spans="6:20">
      <c r="F651" s="512" t="s">
        <v>3154</v>
      </c>
      <c r="G651" s="511" t="s">
        <v>3155</v>
      </c>
      <c r="S651" s="1850" t="s">
        <v>8006</v>
      </c>
      <c r="T651" s="1850" t="s">
        <v>8007</v>
      </c>
    </row>
    <row r="652" spans="6:20">
      <c r="F652" s="512" t="s">
        <v>3156</v>
      </c>
      <c r="G652" s="511" t="s">
        <v>3157</v>
      </c>
      <c r="S652" s="1850" t="s">
        <v>8008</v>
      </c>
      <c r="T652" s="1850" t="s">
        <v>8009</v>
      </c>
    </row>
    <row r="653" spans="6:20">
      <c r="F653" s="512" t="s">
        <v>3158</v>
      </c>
      <c r="G653" s="511" t="s">
        <v>3159</v>
      </c>
      <c r="S653" s="1850" t="s">
        <v>8010</v>
      </c>
      <c r="T653" s="1850" t="s">
        <v>8011</v>
      </c>
    </row>
    <row r="654" spans="6:20">
      <c r="F654" s="512" t="s">
        <v>3160</v>
      </c>
      <c r="G654" s="511" t="s">
        <v>3161</v>
      </c>
      <c r="S654" s="1850" t="s">
        <v>8012</v>
      </c>
      <c r="T654" s="1850" t="s">
        <v>8013</v>
      </c>
    </row>
    <row r="655" spans="6:20">
      <c r="F655" s="512" t="s">
        <v>3162</v>
      </c>
      <c r="G655" s="511" t="s">
        <v>3163</v>
      </c>
      <c r="S655" s="1850" t="s">
        <v>8014</v>
      </c>
      <c r="T655" s="1850" t="s">
        <v>8015</v>
      </c>
    </row>
    <row r="656" spans="6:20">
      <c r="F656" s="512" t="s">
        <v>3164</v>
      </c>
      <c r="G656" s="511" t="s">
        <v>3165</v>
      </c>
      <c r="S656" s="1850" t="s">
        <v>8016</v>
      </c>
      <c r="T656" s="1850" t="s">
        <v>8017</v>
      </c>
    </row>
    <row r="657" spans="6:20">
      <c r="F657" s="512" t="s">
        <v>3166</v>
      </c>
      <c r="G657" s="511" t="s">
        <v>3167</v>
      </c>
      <c r="S657" s="1850" t="s">
        <v>8018</v>
      </c>
      <c r="T657" s="1850" t="s">
        <v>8019</v>
      </c>
    </row>
    <row r="658" spans="6:20">
      <c r="F658" s="512" t="s">
        <v>3168</v>
      </c>
      <c r="G658" s="511" t="s">
        <v>3169</v>
      </c>
      <c r="S658" s="1850" t="s">
        <v>8020</v>
      </c>
      <c r="T658" s="1850" t="s">
        <v>8021</v>
      </c>
    </row>
    <row r="659" spans="6:20">
      <c r="F659" s="512" t="s">
        <v>3170</v>
      </c>
      <c r="G659" s="511" t="s">
        <v>3171</v>
      </c>
      <c r="S659" s="1850" t="s">
        <v>8022</v>
      </c>
      <c r="T659" s="1850" t="s">
        <v>8023</v>
      </c>
    </row>
    <row r="660" spans="6:20">
      <c r="F660" s="512" t="s">
        <v>3172</v>
      </c>
      <c r="G660" s="511" t="s">
        <v>3173</v>
      </c>
      <c r="S660" s="1850" t="s">
        <v>8024</v>
      </c>
      <c r="T660" s="1850" t="s">
        <v>8025</v>
      </c>
    </row>
    <row r="661" spans="6:20">
      <c r="F661" s="512" t="s">
        <v>3174</v>
      </c>
      <c r="G661" s="511" t="s">
        <v>3175</v>
      </c>
      <c r="S661" s="1850" t="s">
        <v>8026</v>
      </c>
      <c r="T661" s="1850" t="s">
        <v>8027</v>
      </c>
    </row>
    <row r="662" spans="6:20">
      <c r="F662" s="512" t="s">
        <v>3176</v>
      </c>
      <c r="G662" s="511" t="s">
        <v>3177</v>
      </c>
      <c r="S662" s="1850" t="s">
        <v>8028</v>
      </c>
      <c r="T662" s="1850" t="s">
        <v>8029</v>
      </c>
    </row>
    <row r="663" spans="6:20">
      <c r="F663" s="512" t="s">
        <v>3178</v>
      </c>
      <c r="G663" s="511" t="s">
        <v>3179</v>
      </c>
      <c r="S663" s="1850" t="s">
        <v>8030</v>
      </c>
      <c r="T663" s="1850" t="s">
        <v>8031</v>
      </c>
    </row>
    <row r="664" spans="6:20">
      <c r="F664" s="512" t="s">
        <v>3180</v>
      </c>
      <c r="G664" s="511" t="s">
        <v>3181</v>
      </c>
      <c r="S664" s="1850" t="s">
        <v>8032</v>
      </c>
      <c r="T664" s="1850" t="s">
        <v>8033</v>
      </c>
    </row>
    <row r="665" spans="6:20">
      <c r="F665" s="512" t="s">
        <v>3182</v>
      </c>
      <c r="G665" s="511" t="s">
        <v>3183</v>
      </c>
      <c r="S665" s="1850" t="s">
        <v>8034</v>
      </c>
      <c r="T665" s="1850" t="s">
        <v>8035</v>
      </c>
    </row>
    <row r="666" spans="6:20">
      <c r="F666" s="512" t="s">
        <v>3184</v>
      </c>
      <c r="G666" s="511" t="s">
        <v>3185</v>
      </c>
      <c r="S666" s="1850" t="s">
        <v>8036</v>
      </c>
      <c r="T666" s="1850" t="s">
        <v>8037</v>
      </c>
    </row>
    <row r="667" spans="6:20">
      <c r="F667" s="512" t="s">
        <v>3186</v>
      </c>
      <c r="G667" s="511" t="s">
        <v>3187</v>
      </c>
      <c r="S667" s="1850" t="s">
        <v>8038</v>
      </c>
      <c r="T667" s="1850" t="s">
        <v>8039</v>
      </c>
    </row>
    <row r="668" spans="6:20">
      <c r="F668" s="512" t="s">
        <v>3188</v>
      </c>
      <c r="G668" s="511" t="s">
        <v>3189</v>
      </c>
      <c r="S668" s="1850" t="s">
        <v>8040</v>
      </c>
      <c r="T668" s="1850" t="s">
        <v>8041</v>
      </c>
    </row>
    <row r="669" spans="6:20">
      <c r="F669" s="512" t="s">
        <v>3190</v>
      </c>
      <c r="G669" s="511" t="s">
        <v>3191</v>
      </c>
      <c r="S669" s="1850" t="s">
        <v>8042</v>
      </c>
      <c r="T669" s="1850" t="s">
        <v>8043</v>
      </c>
    </row>
    <row r="670" spans="6:20">
      <c r="F670" s="512" t="s">
        <v>3192</v>
      </c>
      <c r="G670" s="511" t="s">
        <v>3193</v>
      </c>
      <c r="S670" s="1850" t="s">
        <v>8044</v>
      </c>
      <c r="T670" s="1850" t="s">
        <v>8045</v>
      </c>
    </row>
    <row r="671" spans="6:20">
      <c r="F671" s="512" t="s">
        <v>3194</v>
      </c>
      <c r="G671" s="511" t="s">
        <v>3195</v>
      </c>
      <c r="S671" s="1850" t="s">
        <v>8046</v>
      </c>
      <c r="T671" s="1850" t="s">
        <v>8047</v>
      </c>
    </row>
    <row r="672" spans="6:20">
      <c r="F672" s="512" t="s">
        <v>3196</v>
      </c>
      <c r="G672" s="511" t="s">
        <v>3197</v>
      </c>
      <c r="S672" s="1850" t="s">
        <v>8048</v>
      </c>
      <c r="T672" s="1850" t="s">
        <v>8049</v>
      </c>
    </row>
    <row r="673" spans="6:20">
      <c r="F673" s="512" t="s">
        <v>3198</v>
      </c>
      <c r="G673" s="511" t="s">
        <v>3199</v>
      </c>
      <c r="S673" s="1850" t="s">
        <v>8050</v>
      </c>
      <c r="T673" s="1850" t="s">
        <v>8051</v>
      </c>
    </row>
    <row r="674" spans="6:20">
      <c r="F674" s="512" t="s">
        <v>3200</v>
      </c>
      <c r="G674" s="511" t="s">
        <v>3201</v>
      </c>
      <c r="S674" s="1850" t="s">
        <v>8052</v>
      </c>
      <c r="T674" s="1850" t="s">
        <v>8053</v>
      </c>
    </row>
    <row r="675" spans="6:20">
      <c r="F675" s="512" t="s">
        <v>3202</v>
      </c>
      <c r="G675" s="511" t="s">
        <v>3203</v>
      </c>
      <c r="S675" s="1850" t="s">
        <v>8054</v>
      </c>
      <c r="T675" s="1850" t="s">
        <v>8055</v>
      </c>
    </row>
    <row r="676" spans="6:20">
      <c r="F676" s="512" t="s">
        <v>3204</v>
      </c>
      <c r="G676" s="511" t="s">
        <v>3205</v>
      </c>
      <c r="S676" s="1850" t="s">
        <v>8056</v>
      </c>
      <c r="T676" s="1850" t="s">
        <v>8057</v>
      </c>
    </row>
    <row r="677" spans="6:20">
      <c r="F677" s="512" t="s">
        <v>3206</v>
      </c>
      <c r="G677" s="511" t="s">
        <v>3207</v>
      </c>
      <c r="S677" s="1850" t="s">
        <v>8058</v>
      </c>
      <c r="T677" s="1850" t="s">
        <v>8059</v>
      </c>
    </row>
    <row r="678" spans="6:20">
      <c r="F678" s="512" t="s">
        <v>3208</v>
      </c>
      <c r="G678" s="511" t="s">
        <v>3209</v>
      </c>
      <c r="S678" s="1850" t="s">
        <v>8060</v>
      </c>
      <c r="T678" s="1850" t="s">
        <v>8061</v>
      </c>
    </row>
    <row r="679" spans="6:20">
      <c r="F679" s="512" t="s">
        <v>3210</v>
      </c>
      <c r="G679" s="511" t="s">
        <v>3211</v>
      </c>
      <c r="S679" s="1850" t="s">
        <v>8062</v>
      </c>
      <c r="T679" s="1850" t="s">
        <v>8063</v>
      </c>
    </row>
    <row r="680" spans="6:20">
      <c r="F680" s="512" t="s">
        <v>3212</v>
      </c>
      <c r="G680" s="511" t="s">
        <v>3213</v>
      </c>
      <c r="S680" s="1850" t="s">
        <v>8064</v>
      </c>
      <c r="T680" s="1850" t="s">
        <v>8065</v>
      </c>
    </row>
    <row r="681" spans="6:20">
      <c r="F681" s="512" t="s">
        <v>3214</v>
      </c>
      <c r="G681" s="511" t="s">
        <v>3215</v>
      </c>
      <c r="S681" s="1850" t="s">
        <v>8066</v>
      </c>
      <c r="T681" s="1850" t="s">
        <v>8067</v>
      </c>
    </row>
    <row r="682" spans="6:20">
      <c r="F682" s="512" t="s">
        <v>3216</v>
      </c>
      <c r="G682" s="511" t="s">
        <v>3217</v>
      </c>
      <c r="S682" s="1850" t="s">
        <v>8068</v>
      </c>
      <c r="T682" s="1850" t="s">
        <v>8069</v>
      </c>
    </row>
    <row r="683" spans="6:20">
      <c r="F683" s="512" t="s">
        <v>3218</v>
      </c>
      <c r="G683" s="511" t="s">
        <v>3219</v>
      </c>
      <c r="S683" s="1850" t="s">
        <v>8070</v>
      </c>
      <c r="T683" s="1850" t="s">
        <v>8071</v>
      </c>
    </row>
    <row r="684" spans="6:20">
      <c r="F684" s="512" t="s">
        <v>3220</v>
      </c>
      <c r="G684" s="511" t="s">
        <v>3221</v>
      </c>
      <c r="S684" s="1850" t="s">
        <v>8072</v>
      </c>
      <c r="T684" s="1850" t="s">
        <v>8073</v>
      </c>
    </row>
    <row r="685" spans="6:20">
      <c r="F685" s="512" t="s">
        <v>3222</v>
      </c>
      <c r="G685" s="511" t="s">
        <v>3223</v>
      </c>
      <c r="S685" s="1850" t="s">
        <v>8074</v>
      </c>
      <c r="T685" s="1850" t="s">
        <v>8075</v>
      </c>
    </row>
    <row r="686" spans="6:20">
      <c r="F686" s="512" t="s">
        <v>3224</v>
      </c>
      <c r="G686" s="511" t="s">
        <v>3225</v>
      </c>
      <c r="S686" s="1850" t="s">
        <v>8076</v>
      </c>
      <c r="T686" s="1850" t="s">
        <v>8077</v>
      </c>
    </row>
    <row r="687" spans="6:20">
      <c r="F687" s="512" t="s">
        <v>3226</v>
      </c>
      <c r="G687" s="511" t="s">
        <v>3227</v>
      </c>
      <c r="S687" s="1850" t="s">
        <v>8078</v>
      </c>
      <c r="T687" s="1850" t="s">
        <v>8079</v>
      </c>
    </row>
    <row r="688" spans="6:20">
      <c r="F688" s="512" t="s">
        <v>3228</v>
      </c>
      <c r="G688" s="511" t="s">
        <v>3229</v>
      </c>
      <c r="S688" s="1850" t="s">
        <v>8080</v>
      </c>
      <c r="T688" s="1850" t="s">
        <v>8081</v>
      </c>
    </row>
    <row r="689" spans="6:20">
      <c r="F689" s="512" t="s">
        <v>3230</v>
      </c>
      <c r="G689" s="511" t="s">
        <v>3231</v>
      </c>
      <c r="S689" s="1850" t="s">
        <v>8082</v>
      </c>
      <c r="T689" s="1850" t="s">
        <v>8083</v>
      </c>
    </row>
    <row r="690" spans="6:20">
      <c r="F690" s="512" t="s">
        <v>3232</v>
      </c>
      <c r="G690" s="511" t="s">
        <v>3233</v>
      </c>
      <c r="S690" s="1850" t="s">
        <v>8084</v>
      </c>
      <c r="T690" s="1850" t="s">
        <v>8085</v>
      </c>
    </row>
    <row r="691" spans="6:20">
      <c r="F691" s="512" t="s">
        <v>3234</v>
      </c>
      <c r="G691" s="511" t="s">
        <v>3235</v>
      </c>
      <c r="S691" s="1850" t="s">
        <v>8086</v>
      </c>
      <c r="T691" s="1850" t="s">
        <v>8087</v>
      </c>
    </row>
    <row r="692" spans="6:20">
      <c r="F692" s="512" t="s">
        <v>3236</v>
      </c>
      <c r="G692" s="511" t="s">
        <v>3237</v>
      </c>
      <c r="S692" s="1850" t="s">
        <v>8088</v>
      </c>
      <c r="T692" s="1850" t="s">
        <v>8089</v>
      </c>
    </row>
    <row r="693" spans="6:20">
      <c r="F693" s="512" t="s">
        <v>3238</v>
      </c>
      <c r="G693" s="511" t="s">
        <v>3239</v>
      </c>
      <c r="S693" s="1850" t="s">
        <v>8090</v>
      </c>
      <c r="T693" s="1850" t="s">
        <v>8091</v>
      </c>
    </row>
    <row r="694" spans="6:20">
      <c r="F694" s="512" t="s">
        <v>3240</v>
      </c>
      <c r="G694" s="511" t="s">
        <v>3241</v>
      </c>
      <c r="S694" s="1850" t="s">
        <v>8092</v>
      </c>
      <c r="T694" s="1850" t="s">
        <v>8093</v>
      </c>
    </row>
    <row r="695" spans="6:20">
      <c r="F695" s="512" t="s">
        <v>3242</v>
      </c>
      <c r="G695" s="511" t="s">
        <v>3243</v>
      </c>
      <c r="S695" s="1850" t="s">
        <v>8094</v>
      </c>
      <c r="T695" s="1850" t="s">
        <v>8095</v>
      </c>
    </row>
    <row r="696" spans="6:20">
      <c r="F696" s="512" t="s">
        <v>3244</v>
      </c>
      <c r="G696" s="511" t="s">
        <v>3245</v>
      </c>
      <c r="S696" s="1850" t="s">
        <v>8096</v>
      </c>
      <c r="T696" s="1850" t="s">
        <v>8097</v>
      </c>
    </row>
    <row r="697" spans="6:20">
      <c r="F697" s="512" t="s">
        <v>3246</v>
      </c>
      <c r="G697" s="511" t="s">
        <v>3247</v>
      </c>
      <c r="S697" s="1850" t="s">
        <v>8098</v>
      </c>
      <c r="T697" s="1850" t="s">
        <v>8099</v>
      </c>
    </row>
    <row r="698" spans="6:20">
      <c r="F698" s="512" t="s">
        <v>3248</v>
      </c>
      <c r="G698" s="511" t="s">
        <v>3249</v>
      </c>
      <c r="S698" s="1850" t="s">
        <v>8100</v>
      </c>
      <c r="T698" s="1850" t="s">
        <v>8101</v>
      </c>
    </row>
    <row r="699" spans="6:20">
      <c r="F699" s="512" t="s">
        <v>3250</v>
      </c>
      <c r="G699" s="511" t="s">
        <v>3251</v>
      </c>
      <c r="S699" s="1850" t="s">
        <v>8102</v>
      </c>
      <c r="T699" s="1850" t="s">
        <v>8103</v>
      </c>
    </row>
    <row r="700" spans="6:20">
      <c r="F700" s="512" t="s">
        <v>3252</v>
      </c>
      <c r="G700" s="511" t="s">
        <v>3253</v>
      </c>
      <c r="S700" s="1850" t="s">
        <v>8104</v>
      </c>
      <c r="T700" s="1850" t="s">
        <v>7153</v>
      </c>
    </row>
    <row r="701" spans="6:20">
      <c r="F701" s="512" t="s">
        <v>3254</v>
      </c>
      <c r="G701" s="511" t="s">
        <v>3255</v>
      </c>
      <c r="S701" s="1850" t="s">
        <v>8105</v>
      </c>
      <c r="T701" s="1850" t="s">
        <v>7155</v>
      </c>
    </row>
    <row r="702" spans="6:20">
      <c r="F702" s="512" t="s">
        <v>3256</v>
      </c>
      <c r="G702" s="511" t="s">
        <v>3257</v>
      </c>
      <c r="S702" s="1850" t="s">
        <v>8106</v>
      </c>
      <c r="T702" s="1850" t="s">
        <v>8107</v>
      </c>
    </row>
    <row r="703" spans="6:20">
      <c r="F703" s="512" t="s">
        <v>3258</v>
      </c>
      <c r="G703" s="511" t="s">
        <v>3259</v>
      </c>
      <c r="S703" s="1850" t="s">
        <v>8108</v>
      </c>
      <c r="T703" s="1850" t="s">
        <v>8109</v>
      </c>
    </row>
    <row r="704" spans="6:20">
      <c r="F704" s="512" t="s">
        <v>3260</v>
      </c>
      <c r="G704" s="511" t="s">
        <v>3261</v>
      </c>
      <c r="S704" s="1850" t="s">
        <v>8110</v>
      </c>
      <c r="T704" s="1850" t="s">
        <v>8111</v>
      </c>
    </row>
    <row r="705" spans="6:20">
      <c r="F705" s="512" t="s">
        <v>3262</v>
      </c>
      <c r="G705" s="511" t="s">
        <v>3263</v>
      </c>
      <c r="S705" s="1850" t="s">
        <v>8112</v>
      </c>
      <c r="T705" s="1850" t="s">
        <v>8113</v>
      </c>
    </row>
    <row r="706" spans="6:20">
      <c r="F706" s="512" t="s">
        <v>3264</v>
      </c>
      <c r="G706" s="511" t="s">
        <v>3265</v>
      </c>
      <c r="S706" s="1850" t="s">
        <v>8114</v>
      </c>
      <c r="T706" s="1850" t="s">
        <v>8115</v>
      </c>
    </row>
    <row r="707" spans="6:20">
      <c r="F707" s="512" t="s">
        <v>3266</v>
      </c>
      <c r="G707" s="511" t="s">
        <v>3267</v>
      </c>
      <c r="S707" s="1850" t="s">
        <v>8116</v>
      </c>
      <c r="T707" s="1850" t="s">
        <v>8117</v>
      </c>
    </row>
    <row r="708" spans="6:20">
      <c r="F708" s="512" t="s">
        <v>3268</v>
      </c>
      <c r="G708" s="511" t="s">
        <v>3269</v>
      </c>
      <c r="S708" s="1850" t="s">
        <v>8118</v>
      </c>
      <c r="T708" s="1850" t="s">
        <v>8119</v>
      </c>
    </row>
    <row r="709" spans="6:20">
      <c r="F709" s="512" t="s">
        <v>3270</v>
      </c>
      <c r="G709" s="511" t="s">
        <v>3271</v>
      </c>
      <c r="S709" s="1850" t="s">
        <v>8120</v>
      </c>
      <c r="T709" s="1850" t="s">
        <v>8121</v>
      </c>
    </row>
    <row r="710" spans="6:20">
      <c r="F710" s="512" t="s">
        <v>3272</v>
      </c>
      <c r="G710" s="511" t="s">
        <v>3273</v>
      </c>
      <c r="S710" s="1850" t="s">
        <v>8122</v>
      </c>
      <c r="T710" s="1850" t="s">
        <v>8123</v>
      </c>
    </row>
    <row r="711" spans="6:20">
      <c r="F711" s="512" t="s">
        <v>3274</v>
      </c>
      <c r="G711" s="511" t="s">
        <v>3275</v>
      </c>
      <c r="S711" s="1850" t="s">
        <v>8124</v>
      </c>
      <c r="T711" s="1850" t="s">
        <v>8125</v>
      </c>
    </row>
    <row r="712" spans="6:20">
      <c r="F712" s="512" t="s">
        <v>3276</v>
      </c>
      <c r="G712" s="511" t="s">
        <v>3277</v>
      </c>
      <c r="S712" s="1850" t="s">
        <v>8126</v>
      </c>
      <c r="T712" s="1850" t="s">
        <v>8127</v>
      </c>
    </row>
    <row r="713" spans="6:20">
      <c r="F713" s="512" t="s">
        <v>3278</v>
      </c>
      <c r="G713" s="511" t="s">
        <v>3279</v>
      </c>
      <c r="S713" s="1850" t="s">
        <v>8128</v>
      </c>
      <c r="T713" s="1850" t="s">
        <v>8129</v>
      </c>
    </row>
    <row r="714" spans="6:20">
      <c r="F714" s="512" t="s">
        <v>3280</v>
      </c>
      <c r="G714" s="511" t="s">
        <v>3281</v>
      </c>
      <c r="S714" s="1850" t="s">
        <v>8130</v>
      </c>
      <c r="T714" s="1850" t="s">
        <v>8131</v>
      </c>
    </row>
    <row r="715" spans="6:20">
      <c r="F715" s="512" t="s">
        <v>3282</v>
      </c>
      <c r="G715" s="511" t="s">
        <v>3283</v>
      </c>
      <c r="S715" s="1850" t="s">
        <v>8132</v>
      </c>
      <c r="T715" s="1850" t="s">
        <v>8133</v>
      </c>
    </row>
    <row r="716" spans="6:20">
      <c r="F716" s="512" t="s">
        <v>3284</v>
      </c>
      <c r="G716" s="511" t="s">
        <v>3285</v>
      </c>
      <c r="S716" s="1850" t="s">
        <v>8134</v>
      </c>
      <c r="T716" s="1850" t="s">
        <v>8135</v>
      </c>
    </row>
    <row r="717" spans="6:20">
      <c r="F717" s="512" t="s">
        <v>3286</v>
      </c>
      <c r="G717" s="511" t="s">
        <v>3287</v>
      </c>
      <c r="S717" s="1850" t="s">
        <v>8136</v>
      </c>
      <c r="T717" s="1850" t="s">
        <v>8137</v>
      </c>
    </row>
    <row r="718" spans="6:20">
      <c r="F718" s="512" t="s">
        <v>3288</v>
      </c>
      <c r="G718" s="511" t="s">
        <v>3289</v>
      </c>
      <c r="S718" s="1850" t="s">
        <v>8138</v>
      </c>
      <c r="T718" s="1850" t="s">
        <v>8139</v>
      </c>
    </row>
    <row r="719" spans="6:20">
      <c r="F719" s="512" t="s">
        <v>3290</v>
      </c>
      <c r="G719" s="511" t="s">
        <v>3291</v>
      </c>
      <c r="S719" s="1850" t="s">
        <v>8140</v>
      </c>
      <c r="T719" s="1850" t="s">
        <v>7153</v>
      </c>
    </row>
    <row r="720" spans="6:20">
      <c r="F720" s="512" t="s">
        <v>3292</v>
      </c>
      <c r="G720" s="511" t="s">
        <v>3293</v>
      </c>
      <c r="S720" s="1850" t="s">
        <v>8141</v>
      </c>
      <c r="T720" s="1850" t="s">
        <v>7155</v>
      </c>
    </row>
    <row r="721" spans="6:20">
      <c r="F721" s="512" t="s">
        <v>3294</v>
      </c>
      <c r="G721" s="511" t="s">
        <v>3295</v>
      </c>
      <c r="S721" s="1850" t="s">
        <v>8142</v>
      </c>
      <c r="T721" s="1850" t="s">
        <v>7210</v>
      </c>
    </row>
    <row r="722" spans="6:20">
      <c r="F722" s="512" t="s">
        <v>3296</v>
      </c>
      <c r="G722" s="511" t="s">
        <v>3297</v>
      </c>
      <c r="S722" s="1850" t="s">
        <v>8143</v>
      </c>
      <c r="T722" s="1850" t="s">
        <v>8144</v>
      </c>
    </row>
    <row r="723" spans="6:20">
      <c r="F723" s="512" t="s">
        <v>3298</v>
      </c>
      <c r="G723" s="511" t="s">
        <v>3299</v>
      </c>
      <c r="S723" s="1850" t="s">
        <v>8145</v>
      </c>
      <c r="T723" s="1850" t="s">
        <v>8146</v>
      </c>
    </row>
    <row r="724" spans="6:20">
      <c r="F724" s="512" t="s">
        <v>3300</v>
      </c>
      <c r="G724" s="511" t="s">
        <v>3301</v>
      </c>
      <c r="S724" s="1850" t="s">
        <v>8147</v>
      </c>
      <c r="T724" s="1850" t="s">
        <v>7216</v>
      </c>
    </row>
    <row r="725" spans="6:20">
      <c r="F725" s="512" t="s">
        <v>3302</v>
      </c>
      <c r="G725" s="511" t="s">
        <v>3303</v>
      </c>
      <c r="S725" s="1850" t="s">
        <v>8148</v>
      </c>
      <c r="T725" s="1850" t="s">
        <v>7218</v>
      </c>
    </row>
    <row r="726" spans="6:20">
      <c r="F726" s="512" t="s">
        <v>3304</v>
      </c>
      <c r="G726" s="511" t="s">
        <v>3305</v>
      </c>
      <c r="S726" s="1850" t="s">
        <v>8149</v>
      </c>
      <c r="T726" s="1850" t="s">
        <v>7220</v>
      </c>
    </row>
    <row r="727" spans="6:20">
      <c r="F727" s="512" t="s">
        <v>3306</v>
      </c>
      <c r="G727" s="511" t="s">
        <v>3307</v>
      </c>
      <c r="S727" s="1850" t="s">
        <v>8150</v>
      </c>
      <c r="T727" s="1850" t="s">
        <v>7222</v>
      </c>
    </row>
    <row r="728" spans="6:20">
      <c r="F728" s="512" t="s">
        <v>3308</v>
      </c>
      <c r="G728" s="511" t="s">
        <v>3309</v>
      </c>
      <c r="S728" s="1850" t="s">
        <v>8151</v>
      </c>
      <c r="T728" s="1850" t="s">
        <v>8152</v>
      </c>
    </row>
    <row r="729" spans="6:20">
      <c r="F729" s="512" t="s">
        <v>3310</v>
      </c>
      <c r="G729" s="511" t="s">
        <v>3311</v>
      </c>
      <c r="S729" s="1850" t="s">
        <v>8153</v>
      </c>
      <c r="T729" s="1850" t="s">
        <v>8154</v>
      </c>
    </row>
    <row r="730" spans="6:20">
      <c r="F730" s="512" t="s">
        <v>3312</v>
      </c>
      <c r="G730" s="511" t="s">
        <v>3313</v>
      </c>
      <c r="S730" s="1850" t="s">
        <v>8155</v>
      </c>
      <c r="T730" s="1850" t="s">
        <v>8156</v>
      </c>
    </row>
    <row r="731" spans="6:20">
      <c r="F731" s="512" t="s">
        <v>3314</v>
      </c>
      <c r="G731" s="511" t="s">
        <v>3315</v>
      </c>
      <c r="S731" s="1850" t="s">
        <v>8157</v>
      </c>
      <c r="T731" s="1850" t="s">
        <v>8158</v>
      </c>
    </row>
    <row r="732" spans="6:20">
      <c r="F732" s="512" t="s">
        <v>3316</v>
      </c>
      <c r="G732" s="511" t="s">
        <v>3317</v>
      </c>
      <c r="S732" s="1850" t="s">
        <v>8159</v>
      </c>
      <c r="T732" s="1850" t="s">
        <v>6885</v>
      </c>
    </row>
    <row r="733" spans="6:20">
      <c r="F733" s="512" t="s">
        <v>3318</v>
      </c>
      <c r="G733" s="511" t="s">
        <v>3319</v>
      </c>
      <c r="S733" s="1850" t="s">
        <v>8160</v>
      </c>
      <c r="T733" s="1850" t="s">
        <v>8161</v>
      </c>
    </row>
    <row r="734" spans="6:20">
      <c r="F734" s="512" t="s">
        <v>3320</v>
      </c>
      <c r="G734" s="511" t="s">
        <v>3321</v>
      </c>
      <c r="S734" s="1850" t="s">
        <v>8162</v>
      </c>
      <c r="T734" s="1850" t="s">
        <v>8163</v>
      </c>
    </row>
    <row r="735" spans="6:20">
      <c r="F735" s="512" t="s">
        <v>3322</v>
      </c>
      <c r="G735" s="511" t="s">
        <v>3323</v>
      </c>
      <c r="S735" s="1850" t="s">
        <v>8164</v>
      </c>
      <c r="T735" s="1850" t="s">
        <v>6889</v>
      </c>
    </row>
    <row r="736" spans="6:20">
      <c r="F736" s="512" t="s">
        <v>3324</v>
      </c>
      <c r="G736" s="511" t="s">
        <v>3325</v>
      </c>
      <c r="S736" s="1850" t="s">
        <v>8165</v>
      </c>
      <c r="T736" s="1850" t="s">
        <v>8166</v>
      </c>
    </row>
    <row r="737" spans="6:20">
      <c r="F737" s="512" t="s">
        <v>3326</v>
      </c>
      <c r="G737" s="511" t="s">
        <v>3327</v>
      </c>
      <c r="S737" s="1850" t="s">
        <v>8167</v>
      </c>
      <c r="T737" s="1850" t="s">
        <v>8168</v>
      </c>
    </row>
    <row r="738" spans="6:20">
      <c r="F738" s="512" t="s">
        <v>3328</v>
      </c>
      <c r="G738" s="511" t="s">
        <v>3329</v>
      </c>
      <c r="S738" s="1850" t="s">
        <v>8169</v>
      </c>
      <c r="T738" s="1850" t="s">
        <v>8170</v>
      </c>
    </row>
    <row r="739" spans="6:20">
      <c r="F739" s="512" t="s">
        <v>3330</v>
      </c>
      <c r="G739" s="511" t="s">
        <v>3331</v>
      </c>
      <c r="S739" s="1850" t="s">
        <v>8171</v>
      </c>
      <c r="T739" s="1850" t="s">
        <v>8172</v>
      </c>
    </row>
    <row r="740" spans="6:20">
      <c r="F740" s="512" t="s">
        <v>3332</v>
      </c>
      <c r="G740" s="511" t="s">
        <v>3333</v>
      </c>
      <c r="S740" s="1850" t="s">
        <v>8173</v>
      </c>
      <c r="T740" s="1850" t="s">
        <v>8174</v>
      </c>
    </row>
    <row r="741" spans="6:20">
      <c r="F741" s="512" t="s">
        <v>3334</v>
      </c>
      <c r="G741" s="511" t="s">
        <v>3335</v>
      </c>
      <c r="S741" s="1850" t="s">
        <v>8175</v>
      </c>
      <c r="T741" s="1850" t="s">
        <v>8176</v>
      </c>
    </row>
    <row r="742" spans="6:20">
      <c r="F742" s="512" t="s">
        <v>3336</v>
      </c>
      <c r="G742" s="511" t="s">
        <v>3337</v>
      </c>
      <c r="S742" s="1850" t="s">
        <v>8177</v>
      </c>
      <c r="T742" s="1850" t="s">
        <v>8178</v>
      </c>
    </row>
    <row r="743" spans="6:20">
      <c r="F743" s="512" t="s">
        <v>3338</v>
      </c>
      <c r="G743" s="511" t="s">
        <v>3339</v>
      </c>
      <c r="S743" s="1850" t="s">
        <v>8179</v>
      </c>
      <c r="T743" s="1850" t="s">
        <v>8180</v>
      </c>
    </row>
    <row r="744" spans="6:20">
      <c r="F744" s="512" t="s">
        <v>3340</v>
      </c>
      <c r="G744" s="511" t="s">
        <v>3341</v>
      </c>
      <c r="S744" s="1850" t="s">
        <v>8181</v>
      </c>
      <c r="T744" s="1850" t="s">
        <v>8182</v>
      </c>
    </row>
    <row r="745" spans="6:20">
      <c r="F745" s="512" t="s">
        <v>3342</v>
      </c>
      <c r="G745" s="511" t="s">
        <v>3343</v>
      </c>
      <c r="S745" s="1850" t="s">
        <v>8183</v>
      </c>
      <c r="T745" s="1850" t="s">
        <v>7230</v>
      </c>
    </row>
    <row r="746" spans="6:20">
      <c r="F746" s="512" t="s">
        <v>3344</v>
      </c>
      <c r="G746" s="511" t="s">
        <v>3345</v>
      </c>
      <c r="S746" s="1850" t="s">
        <v>8184</v>
      </c>
      <c r="T746" s="1850" t="s">
        <v>8185</v>
      </c>
    </row>
    <row r="747" spans="6:20">
      <c r="F747" s="512" t="s">
        <v>3346</v>
      </c>
      <c r="G747" s="511" t="s">
        <v>3347</v>
      </c>
      <c r="S747" s="1850" t="s">
        <v>8186</v>
      </c>
      <c r="T747" s="1850" t="s">
        <v>8187</v>
      </c>
    </row>
    <row r="748" spans="6:20">
      <c r="F748" s="512" t="s">
        <v>3348</v>
      </c>
      <c r="G748" s="511" t="s">
        <v>3349</v>
      </c>
      <c r="S748" s="1850" t="s">
        <v>8188</v>
      </c>
      <c r="T748" s="1850" t="s">
        <v>8189</v>
      </c>
    </row>
    <row r="749" spans="6:20">
      <c r="F749" s="512" t="s">
        <v>3350</v>
      </c>
      <c r="G749" s="511" t="s">
        <v>3351</v>
      </c>
      <c r="S749" s="1850" t="s">
        <v>8190</v>
      </c>
      <c r="T749" s="1850" t="s">
        <v>8191</v>
      </c>
    </row>
    <row r="750" spans="6:20">
      <c r="F750" s="512" t="s">
        <v>3352</v>
      </c>
      <c r="G750" s="511" t="s">
        <v>3353</v>
      </c>
      <c r="S750" s="1850" t="s">
        <v>8192</v>
      </c>
      <c r="T750" s="1850" t="s">
        <v>8193</v>
      </c>
    </row>
    <row r="751" spans="6:20">
      <c r="F751" s="512" t="s">
        <v>3354</v>
      </c>
      <c r="G751" s="511" t="s">
        <v>3355</v>
      </c>
      <c r="S751" s="1850" t="s">
        <v>8194</v>
      </c>
      <c r="T751" s="1850" t="s">
        <v>7889</v>
      </c>
    </row>
    <row r="752" spans="6:20">
      <c r="F752" s="512" t="s">
        <v>3356</v>
      </c>
      <c r="G752" s="511" t="s">
        <v>3357</v>
      </c>
      <c r="S752" s="1850" t="s">
        <v>8195</v>
      </c>
      <c r="T752" s="1850" t="s">
        <v>7153</v>
      </c>
    </row>
    <row r="753" spans="6:20">
      <c r="F753" s="512" t="s">
        <v>3358</v>
      </c>
      <c r="G753" s="511" t="s">
        <v>3359</v>
      </c>
      <c r="S753" s="1850" t="s">
        <v>8196</v>
      </c>
      <c r="T753" s="1850" t="s">
        <v>7155</v>
      </c>
    </row>
    <row r="754" spans="6:20">
      <c r="F754" s="512" t="s">
        <v>3360</v>
      </c>
      <c r="G754" s="511" t="s">
        <v>3361</v>
      </c>
      <c r="S754" s="1850" t="s">
        <v>8197</v>
      </c>
      <c r="T754" s="1850" t="s">
        <v>7153</v>
      </c>
    </row>
    <row r="755" spans="6:20">
      <c r="F755" s="512" t="s">
        <v>3362</v>
      </c>
      <c r="G755" s="511" t="s">
        <v>3363</v>
      </c>
      <c r="S755" s="1850" t="s">
        <v>8198</v>
      </c>
      <c r="T755" s="1850" t="s">
        <v>7155</v>
      </c>
    </row>
    <row r="756" spans="6:20">
      <c r="F756" s="512" t="s">
        <v>3364</v>
      </c>
      <c r="G756" s="511" t="s">
        <v>3365</v>
      </c>
      <c r="S756" s="1850" t="s">
        <v>8199</v>
      </c>
      <c r="T756" s="1850" t="s">
        <v>6694</v>
      </c>
    </row>
    <row r="757" spans="6:20">
      <c r="F757" s="512" t="s">
        <v>3366</v>
      </c>
      <c r="G757" s="511" t="s">
        <v>3367</v>
      </c>
      <c r="S757" s="1850" t="s">
        <v>8200</v>
      </c>
      <c r="T757" s="1850" t="s">
        <v>7153</v>
      </c>
    </row>
    <row r="758" spans="6:20">
      <c r="F758" s="512" t="s">
        <v>3368</v>
      </c>
      <c r="G758" s="511" t="s">
        <v>3369</v>
      </c>
      <c r="S758" s="1850" t="s">
        <v>8201</v>
      </c>
      <c r="T758" s="1850" t="s">
        <v>7155</v>
      </c>
    </row>
    <row r="759" spans="6:20">
      <c r="F759" s="512" t="s">
        <v>3370</v>
      </c>
      <c r="G759" s="511" t="s">
        <v>3371</v>
      </c>
      <c r="S759" s="1850" t="s">
        <v>8202</v>
      </c>
      <c r="T759" s="1850" t="s">
        <v>8203</v>
      </c>
    </row>
    <row r="760" spans="6:20">
      <c r="F760" s="512" t="s">
        <v>3372</v>
      </c>
      <c r="G760" s="511" t="s">
        <v>3373</v>
      </c>
      <c r="S760" s="1850" t="s">
        <v>8204</v>
      </c>
      <c r="T760" s="1850" t="s">
        <v>8205</v>
      </c>
    </row>
    <row r="761" spans="6:20">
      <c r="F761" s="512" t="s">
        <v>3374</v>
      </c>
      <c r="G761" s="511" t="s">
        <v>3375</v>
      </c>
      <c r="S761" s="1850" t="s">
        <v>8206</v>
      </c>
      <c r="T761" s="1850" t="s">
        <v>8207</v>
      </c>
    </row>
    <row r="762" spans="6:20">
      <c r="F762" s="512" t="s">
        <v>3376</v>
      </c>
      <c r="G762" s="511" t="s">
        <v>3377</v>
      </c>
      <c r="S762" s="1850" t="s">
        <v>8208</v>
      </c>
      <c r="T762" s="1850" t="s">
        <v>8209</v>
      </c>
    </row>
    <row r="763" spans="6:20">
      <c r="F763" s="512" t="s">
        <v>3378</v>
      </c>
      <c r="G763" s="511" t="s">
        <v>3379</v>
      </c>
      <c r="S763" s="1850" t="s">
        <v>8210</v>
      </c>
      <c r="T763" s="1850" t="s">
        <v>8211</v>
      </c>
    </row>
    <row r="764" spans="6:20">
      <c r="F764" s="512" t="s">
        <v>3380</v>
      </c>
      <c r="G764" s="511" t="s">
        <v>3381</v>
      </c>
      <c r="S764" s="1850" t="s">
        <v>8212</v>
      </c>
      <c r="T764" s="1850" t="s">
        <v>8213</v>
      </c>
    </row>
    <row r="765" spans="6:20">
      <c r="F765" s="512" t="s">
        <v>3382</v>
      </c>
      <c r="G765" s="511" t="s">
        <v>3383</v>
      </c>
      <c r="S765" s="1850" t="s">
        <v>8214</v>
      </c>
      <c r="T765" s="1850" t="s">
        <v>8215</v>
      </c>
    </row>
    <row r="766" spans="6:20">
      <c r="F766" s="512" t="s">
        <v>3384</v>
      </c>
      <c r="G766" s="511" t="s">
        <v>3385</v>
      </c>
      <c r="S766" s="1850" t="s">
        <v>8216</v>
      </c>
      <c r="T766" s="1850" t="s">
        <v>8217</v>
      </c>
    </row>
    <row r="767" spans="6:20">
      <c r="F767" s="512" t="s">
        <v>3386</v>
      </c>
      <c r="G767" s="511" t="s">
        <v>3387</v>
      </c>
      <c r="S767" s="1850" t="s">
        <v>8218</v>
      </c>
      <c r="T767" s="1850" t="s">
        <v>8219</v>
      </c>
    </row>
    <row r="768" spans="6:20">
      <c r="F768" s="512" t="s">
        <v>3388</v>
      </c>
      <c r="G768" s="511" t="s">
        <v>3389</v>
      </c>
      <c r="S768" s="1850" t="s">
        <v>8220</v>
      </c>
      <c r="T768" s="1850" t="s">
        <v>8221</v>
      </c>
    </row>
    <row r="769" spans="6:20">
      <c r="F769" s="512" t="s">
        <v>3390</v>
      </c>
      <c r="G769" s="511" t="s">
        <v>3391</v>
      </c>
      <c r="S769" s="1850" t="s">
        <v>8222</v>
      </c>
      <c r="T769" s="1850" t="s">
        <v>8223</v>
      </c>
    </row>
    <row r="770" spans="6:20">
      <c r="F770" s="512" t="s">
        <v>3392</v>
      </c>
      <c r="G770" s="511" t="s">
        <v>3393</v>
      </c>
      <c r="S770" s="1850" t="s">
        <v>8224</v>
      </c>
      <c r="T770" s="1850" t="s">
        <v>7153</v>
      </c>
    </row>
    <row r="771" spans="6:20">
      <c r="F771" s="512" t="s">
        <v>3394</v>
      </c>
      <c r="G771" s="511" t="s">
        <v>3395</v>
      </c>
      <c r="S771" s="1850" t="s">
        <v>8225</v>
      </c>
      <c r="T771" s="1850" t="s">
        <v>7155</v>
      </c>
    </row>
    <row r="772" spans="6:20">
      <c r="F772" s="512" t="s">
        <v>3396</v>
      </c>
      <c r="G772" s="511" t="s">
        <v>3397</v>
      </c>
      <c r="S772" s="1850" t="s">
        <v>8226</v>
      </c>
      <c r="T772" s="1850" t="s">
        <v>8227</v>
      </c>
    </row>
    <row r="773" spans="6:20">
      <c r="F773" s="512" t="s">
        <v>3398</v>
      </c>
      <c r="G773" s="511" t="s">
        <v>3399</v>
      </c>
      <c r="S773" s="1850" t="s">
        <v>8228</v>
      </c>
      <c r="T773" s="1850" t="s">
        <v>8229</v>
      </c>
    </row>
    <row r="774" spans="6:20">
      <c r="F774" s="512" t="s">
        <v>3400</v>
      </c>
      <c r="G774" s="511" t="s">
        <v>3401</v>
      </c>
      <c r="S774" s="1850" t="s">
        <v>8230</v>
      </c>
      <c r="T774" s="1850" t="s">
        <v>8231</v>
      </c>
    </row>
    <row r="775" spans="6:20">
      <c r="F775" s="512" t="s">
        <v>3402</v>
      </c>
      <c r="G775" s="511" t="s">
        <v>3403</v>
      </c>
      <c r="S775" s="1850" t="s">
        <v>8232</v>
      </c>
      <c r="T775" s="1850" t="s">
        <v>8233</v>
      </c>
    </row>
    <row r="776" spans="6:20">
      <c r="F776" s="512" t="s">
        <v>3404</v>
      </c>
      <c r="G776" s="511" t="s">
        <v>3405</v>
      </c>
      <c r="S776" s="1850" t="s">
        <v>8234</v>
      </c>
      <c r="T776" s="1850" t="s">
        <v>8235</v>
      </c>
    </row>
    <row r="777" spans="6:20">
      <c r="F777" s="512" t="s">
        <v>3406</v>
      </c>
      <c r="G777" s="511" t="s">
        <v>3407</v>
      </c>
      <c r="S777" s="1850" t="s">
        <v>8236</v>
      </c>
      <c r="T777" s="1850" t="s">
        <v>8237</v>
      </c>
    </row>
    <row r="778" spans="6:20">
      <c r="F778" s="512" t="s">
        <v>3408</v>
      </c>
      <c r="G778" s="511" t="s">
        <v>3409</v>
      </c>
      <c r="S778" s="1850" t="s">
        <v>8238</v>
      </c>
      <c r="T778" s="1850" t="s">
        <v>8239</v>
      </c>
    </row>
    <row r="779" spans="6:20">
      <c r="F779" s="512" t="s">
        <v>3410</v>
      </c>
      <c r="G779" s="511" t="s">
        <v>3411</v>
      </c>
      <c r="S779" s="1850" t="s">
        <v>8240</v>
      </c>
      <c r="T779" s="1850" t="s">
        <v>8241</v>
      </c>
    </row>
    <row r="780" spans="6:20">
      <c r="F780" s="512" t="s">
        <v>3412</v>
      </c>
      <c r="G780" s="511" t="s">
        <v>3413</v>
      </c>
      <c r="S780" s="1850" t="s">
        <v>8242</v>
      </c>
      <c r="T780" s="1850" t="s">
        <v>8243</v>
      </c>
    </row>
    <row r="781" spans="6:20">
      <c r="F781" s="512" t="s">
        <v>3414</v>
      </c>
      <c r="G781" s="511" t="s">
        <v>3415</v>
      </c>
      <c r="S781" s="1850" t="s">
        <v>8244</v>
      </c>
      <c r="T781" s="1850" t="s">
        <v>8245</v>
      </c>
    </row>
    <row r="782" spans="6:20">
      <c r="F782" s="512" t="s">
        <v>3416</v>
      </c>
      <c r="G782" s="511" t="s">
        <v>3417</v>
      </c>
      <c r="S782" s="1850" t="s">
        <v>8246</v>
      </c>
      <c r="T782" s="1850" t="s">
        <v>8247</v>
      </c>
    </row>
    <row r="783" spans="6:20">
      <c r="F783" s="512" t="s">
        <v>3418</v>
      </c>
      <c r="G783" s="511" t="s">
        <v>3419</v>
      </c>
      <c r="S783" s="1850" t="s">
        <v>8248</v>
      </c>
      <c r="T783" s="1850" t="s">
        <v>8249</v>
      </c>
    </row>
    <row r="784" spans="6:20">
      <c r="F784" s="512" t="s">
        <v>3420</v>
      </c>
      <c r="G784" s="511" t="s">
        <v>3421</v>
      </c>
      <c r="S784" s="1850" t="s">
        <v>8250</v>
      </c>
      <c r="T784" s="1850" t="s">
        <v>8251</v>
      </c>
    </row>
    <row r="785" spans="6:20">
      <c r="F785" s="512" t="s">
        <v>3422</v>
      </c>
      <c r="G785" s="511" t="s">
        <v>3423</v>
      </c>
      <c r="S785" s="1850" t="s">
        <v>8252</v>
      </c>
      <c r="T785" s="1850" t="s">
        <v>8253</v>
      </c>
    </row>
    <row r="786" spans="6:20">
      <c r="F786" s="512" t="s">
        <v>3424</v>
      </c>
      <c r="G786" s="511" t="s">
        <v>3425</v>
      </c>
      <c r="S786" s="1850" t="s">
        <v>8254</v>
      </c>
      <c r="T786" s="1850" t="s">
        <v>8255</v>
      </c>
    </row>
    <row r="787" spans="6:20">
      <c r="F787" s="512" t="s">
        <v>3426</v>
      </c>
      <c r="G787" s="511" t="s">
        <v>3427</v>
      </c>
      <c r="S787" s="1850" t="s">
        <v>8256</v>
      </c>
      <c r="T787" s="1850" t="s">
        <v>8257</v>
      </c>
    </row>
    <row r="788" spans="6:20">
      <c r="F788" s="512" t="s">
        <v>3428</v>
      </c>
      <c r="G788" s="511" t="s">
        <v>3429</v>
      </c>
      <c r="S788" s="1850" t="s">
        <v>8258</v>
      </c>
      <c r="T788" s="1850" t="s">
        <v>8259</v>
      </c>
    </row>
    <row r="789" spans="6:20">
      <c r="F789" s="512" t="s">
        <v>3430</v>
      </c>
      <c r="G789" s="511" t="s">
        <v>3431</v>
      </c>
      <c r="S789" s="1850" t="s">
        <v>8260</v>
      </c>
      <c r="T789" s="1850" t="s">
        <v>8261</v>
      </c>
    </row>
    <row r="790" spans="6:20">
      <c r="F790" s="512" t="s">
        <v>3432</v>
      </c>
      <c r="G790" s="511" t="s">
        <v>3433</v>
      </c>
      <c r="S790" s="1850" t="s">
        <v>8262</v>
      </c>
      <c r="T790" s="1850" t="s">
        <v>8263</v>
      </c>
    </row>
    <row r="791" spans="6:20">
      <c r="F791" s="512" t="s">
        <v>3434</v>
      </c>
      <c r="G791" s="511" t="s">
        <v>3435</v>
      </c>
      <c r="S791" s="1850" t="s">
        <v>8264</v>
      </c>
      <c r="T791" s="1850" t="s">
        <v>8265</v>
      </c>
    </row>
    <row r="792" spans="6:20">
      <c r="F792" s="512" t="s">
        <v>3436</v>
      </c>
      <c r="G792" s="511" t="s">
        <v>3437</v>
      </c>
      <c r="S792" s="1850" t="s">
        <v>8266</v>
      </c>
      <c r="T792" s="1850" t="s">
        <v>8267</v>
      </c>
    </row>
    <row r="793" spans="6:20">
      <c r="F793" s="512" t="s">
        <v>3438</v>
      </c>
      <c r="G793" s="511" t="s">
        <v>3439</v>
      </c>
      <c r="S793" s="1850" t="s">
        <v>8268</v>
      </c>
      <c r="T793" s="1850" t="s">
        <v>8269</v>
      </c>
    </row>
    <row r="794" spans="6:20">
      <c r="F794" s="512" t="s">
        <v>3440</v>
      </c>
      <c r="G794" s="511" t="s">
        <v>3441</v>
      </c>
      <c r="S794" s="1850" t="s">
        <v>8270</v>
      </c>
      <c r="T794" s="1850" t="s">
        <v>8271</v>
      </c>
    </row>
    <row r="795" spans="6:20">
      <c r="F795" s="512" t="s">
        <v>3442</v>
      </c>
      <c r="G795" s="511" t="s">
        <v>3443</v>
      </c>
      <c r="S795" s="1850" t="s">
        <v>8272</v>
      </c>
      <c r="T795" s="1850" t="s">
        <v>8273</v>
      </c>
    </row>
    <row r="796" spans="6:20">
      <c r="F796" s="512" t="s">
        <v>3444</v>
      </c>
      <c r="G796" s="511" t="s">
        <v>3445</v>
      </c>
      <c r="S796" s="1850" t="s">
        <v>8274</v>
      </c>
      <c r="T796" s="1850" t="s">
        <v>8275</v>
      </c>
    </row>
    <row r="797" spans="6:20">
      <c r="F797" s="512" t="s">
        <v>3446</v>
      </c>
      <c r="G797" s="511" t="s">
        <v>3447</v>
      </c>
      <c r="S797" s="1850" t="s">
        <v>8276</v>
      </c>
      <c r="T797" s="1850" t="s">
        <v>8277</v>
      </c>
    </row>
    <row r="798" spans="6:20">
      <c r="F798" s="512" t="s">
        <v>3448</v>
      </c>
      <c r="G798" s="511" t="s">
        <v>3449</v>
      </c>
      <c r="S798" s="1850" t="s">
        <v>8278</v>
      </c>
      <c r="T798" s="1850" t="s">
        <v>8279</v>
      </c>
    </row>
    <row r="799" spans="6:20">
      <c r="F799" s="512" t="s">
        <v>3450</v>
      </c>
      <c r="G799" s="511" t="s">
        <v>3451</v>
      </c>
      <c r="S799" s="1850" t="s">
        <v>8280</v>
      </c>
      <c r="T799" s="1850" t="s">
        <v>8281</v>
      </c>
    </row>
    <row r="800" spans="6:20">
      <c r="F800" s="512" t="s">
        <v>3452</v>
      </c>
      <c r="G800" s="511" t="s">
        <v>3453</v>
      </c>
      <c r="S800" s="1850" t="s">
        <v>8282</v>
      </c>
      <c r="T800" s="1850" t="s">
        <v>8283</v>
      </c>
    </row>
    <row r="801" spans="6:20">
      <c r="F801" s="512" t="s">
        <v>3454</v>
      </c>
      <c r="G801" s="511" t="s">
        <v>3455</v>
      </c>
      <c r="S801" s="1850" t="s">
        <v>8284</v>
      </c>
      <c r="T801" s="1850" t="s">
        <v>8285</v>
      </c>
    </row>
    <row r="802" spans="6:20">
      <c r="F802" s="512" t="s">
        <v>3456</v>
      </c>
      <c r="G802" s="511" t="s">
        <v>3457</v>
      </c>
      <c r="S802" s="1850" t="s">
        <v>8286</v>
      </c>
      <c r="T802" s="1850" t="s">
        <v>8287</v>
      </c>
    </row>
    <row r="803" spans="6:20">
      <c r="F803" s="512" t="s">
        <v>3458</v>
      </c>
      <c r="G803" s="511" t="s">
        <v>3459</v>
      </c>
      <c r="S803" s="1850" t="s">
        <v>8288</v>
      </c>
      <c r="T803" s="1850" t="s">
        <v>8289</v>
      </c>
    </row>
    <row r="804" spans="6:20">
      <c r="F804" s="512" t="s">
        <v>3460</v>
      </c>
      <c r="G804" s="511" t="s">
        <v>3461</v>
      </c>
      <c r="S804" s="1850" t="s">
        <v>8290</v>
      </c>
      <c r="T804" s="1850" t="s">
        <v>8291</v>
      </c>
    </row>
    <row r="805" spans="6:20">
      <c r="F805" s="512" t="s">
        <v>3462</v>
      </c>
      <c r="G805" s="511" t="s">
        <v>3463</v>
      </c>
      <c r="S805" s="1850" t="s">
        <v>8292</v>
      </c>
      <c r="T805" s="1850" t="s">
        <v>8293</v>
      </c>
    </row>
    <row r="806" spans="6:20">
      <c r="F806" s="512" t="s">
        <v>3464</v>
      </c>
      <c r="G806" s="511" t="s">
        <v>3465</v>
      </c>
      <c r="S806" s="1850" t="s">
        <v>8294</v>
      </c>
      <c r="T806" s="1850" t="s">
        <v>8295</v>
      </c>
    </row>
    <row r="807" spans="6:20">
      <c r="F807" s="512" t="s">
        <v>3466</v>
      </c>
      <c r="G807" s="511" t="s">
        <v>3467</v>
      </c>
      <c r="S807" s="1850" t="s">
        <v>8296</v>
      </c>
      <c r="T807" s="1850" t="s">
        <v>8297</v>
      </c>
    </row>
    <row r="808" spans="6:20">
      <c r="F808" s="512" t="s">
        <v>3468</v>
      </c>
      <c r="G808" s="511" t="s">
        <v>3469</v>
      </c>
      <c r="S808" s="1850" t="s">
        <v>8298</v>
      </c>
      <c r="T808" s="1850" t="s">
        <v>8299</v>
      </c>
    </row>
    <row r="809" spans="6:20">
      <c r="F809" s="512" t="s">
        <v>3470</v>
      </c>
      <c r="G809" s="511" t="s">
        <v>3471</v>
      </c>
      <c r="S809" s="1850" t="s">
        <v>8300</v>
      </c>
      <c r="T809" s="1850" t="s">
        <v>8301</v>
      </c>
    </row>
    <row r="810" spans="6:20">
      <c r="F810" s="512" t="s">
        <v>3472</v>
      </c>
      <c r="G810" s="511" t="s">
        <v>3473</v>
      </c>
      <c r="S810" s="1850" t="s">
        <v>8302</v>
      </c>
      <c r="T810" s="1850" t="s">
        <v>8303</v>
      </c>
    </row>
    <row r="811" spans="6:20">
      <c r="F811" s="512" t="s">
        <v>3474</v>
      </c>
      <c r="G811" s="511" t="s">
        <v>3475</v>
      </c>
      <c r="S811" s="1850" t="s">
        <v>8304</v>
      </c>
      <c r="T811" s="1850" t="s">
        <v>8305</v>
      </c>
    </row>
    <row r="812" spans="6:20">
      <c r="F812" s="512" t="s">
        <v>3476</v>
      </c>
      <c r="G812" s="511" t="s">
        <v>3477</v>
      </c>
      <c r="S812" s="1850" t="s">
        <v>8306</v>
      </c>
      <c r="T812" s="1850" t="s">
        <v>8307</v>
      </c>
    </row>
    <row r="813" spans="6:20">
      <c r="F813" s="512" t="s">
        <v>3478</v>
      </c>
      <c r="G813" s="511" t="s">
        <v>3479</v>
      </c>
      <c r="S813" s="1850" t="s">
        <v>8308</v>
      </c>
      <c r="T813" s="1850" t="s">
        <v>8309</v>
      </c>
    </row>
    <row r="814" spans="6:20">
      <c r="F814" s="512" t="s">
        <v>3480</v>
      </c>
      <c r="G814" s="511" t="s">
        <v>3481</v>
      </c>
      <c r="S814" s="1850" t="s">
        <v>8310</v>
      </c>
      <c r="T814" s="1850" t="s">
        <v>8311</v>
      </c>
    </row>
    <row r="815" spans="6:20">
      <c r="F815" s="512" t="s">
        <v>3482</v>
      </c>
      <c r="G815" s="511" t="s">
        <v>3483</v>
      </c>
      <c r="S815" s="1850" t="s">
        <v>8312</v>
      </c>
      <c r="T815" s="1850" t="s">
        <v>8313</v>
      </c>
    </row>
    <row r="816" spans="6:20">
      <c r="F816" s="512" t="s">
        <v>3484</v>
      </c>
      <c r="G816" s="511" t="s">
        <v>3485</v>
      </c>
      <c r="S816" s="1850" t="s">
        <v>8314</v>
      </c>
      <c r="T816" s="1850" t="s">
        <v>8315</v>
      </c>
    </row>
    <row r="817" spans="6:20">
      <c r="F817" s="512" t="s">
        <v>3486</v>
      </c>
      <c r="G817" s="511" t="s">
        <v>3487</v>
      </c>
      <c r="S817" s="1850" t="s">
        <v>8316</v>
      </c>
      <c r="T817" s="1850" t="s">
        <v>8317</v>
      </c>
    </row>
    <row r="818" spans="6:20">
      <c r="F818" s="512" t="s">
        <v>3488</v>
      </c>
      <c r="G818" s="511" t="s">
        <v>3489</v>
      </c>
      <c r="S818" s="1850" t="s">
        <v>8318</v>
      </c>
      <c r="T818" s="1850" t="s">
        <v>8319</v>
      </c>
    </row>
    <row r="819" spans="6:20">
      <c r="F819" s="512" t="s">
        <v>3490</v>
      </c>
      <c r="G819" s="511" t="s">
        <v>3491</v>
      </c>
      <c r="S819" s="1850" t="s">
        <v>8320</v>
      </c>
      <c r="T819" s="1850" t="s">
        <v>8321</v>
      </c>
    </row>
    <row r="820" spans="6:20">
      <c r="F820" s="512" t="s">
        <v>3492</v>
      </c>
      <c r="G820" s="511" t="s">
        <v>3493</v>
      </c>
      <c r="S820" s="1850" t="s">
        <v>8322</v>
      </c>
      <c r="T820" s="1850" t="s">
        <v>8323</v>
      </c>
    </row>
    <row r="821" spans="6:20">
      <c r="F821" s="512" t="s">
        <v>3494</v>
      </c>
      <c r="G821" s="511" t="s">
        <v>3495</v>
      </c>
      <c r="S821" s="1850" t="s">
        <v>8324</v>
      </c>
      <c r="T821" s="1850" t="s">
        <v>8325</v>
      </c>
    </row>
    <row r="822" spans="6:20">
      <c r="F822" s="512" t="s">
        <v>3496</v>
      </c>
      <c r="G822" s="511" t="s">
        <v>3497</v>
      </c>
      <c r="S822" s="1850" t="s">
        <v>8326</v>
      </c>
      <c r="T822" s="1850" t="s">
        <v>8327</v>
      </c>
    </row>
    <row r="823" spans="6:20">
      <c r="F823" s="512" t="s">
        <v>3498</v>
      </c>
      <c r="G823" s="511" t="s">
        <v>3499</v>
      </c>
      <c r="S823" s="1850" t="s">
        <v>8328</v>
      </c>
      <c r="T823" s="1850" t="s">
        <v>8329</v>
      </c>
    </row>
    <row r="824" spans="6:20">
      <c r="F824" s="512" t="s">
        <v>3500</v>
      </c>
      <c r="G824" s="511" t="s">
        <v>3501</v>
      </c>
      <c r="S824" s="1850" t="s">
        <v>8330</v>
      </c>
      <c r="T824" s="1850" t="s">
        <v>8331</v>
      </c>
    </row>
    <row r="825" spans="6:20">
      <c r="F825" s="512" t="s">
        <v>3502</v>
      </c>
      <c r="G825" s="511" t="s">
        <v>3503</v>
      </c>
      <c r="S825" s="1850" t="s">
        <v>8332</v>
      </c>
      <c r="T825" s="1850" t="s">
        <v>8333</v>
      </c>
    </row>
    <row r="826" spans="6:20">
      <c r="F826" s="512" t="s">
        <v>3504</v>
      </c>
      <c r="G826" s="511" t="s">
        <v>3505</v>
      </c>
      <c r="S826" s="1850" t="s">
        <v>8334</v>
      </c>
      <c r="T826" s="1850" t="s">
        <v>8335</v>
      </c>
    </row>
    <row r="827" spans="6:20">
      <c r="F827" s="512" t="s">
        <v>3506</v>
      </c>
      <c r="G827" s="511" t="s">
        <v>3507</v>
      </c>
      <c r="S827" s="1850" t="s">
        <v>8336</v>
      </c>
      <c r="T827" s="1850" t="s">
        <v>8337</v>
      </c>
    </row>
    <row r="828" spans="6:20">
      <c r="F828" s="512" t="s">
        <v>3508</v>
      </c>
      <c r="G828" s="511" t="s">
        <v>3509</v>
      </c>
      <c r="S828" s="1850" t="s">
        <v>8338</v>
      </c>
      <c r="T828" s="1850" t="s">
        <v>8339</v>
      </c>
    </row>
    <row r="829" spans="6:20">
      <c r="F829" s="512" t="s">
        <v>3510</v>
      </c>
      <c r="G829" s="511" t="s">
        <v>3511</v>
      </c>
      <c r="S829" s="1850" t="s">
        <v>8340</v>
      </c>
      <c r="T829" s="1850" t="s">
        <v>8341</v>
      </c>
    </row>
    <row r="830" spans="6:20">
      <c r="F830" s="512" t="s">
        <v>3512</v>
      </c>
      <c r="G830" s="511" t="s">
        <v>3513</v>
      </c>
      <c r="S830" s="1850" t="s">
        <v>8342</v>
      </c>
      <c r="T830" s="1850" t="s">
        <v>8343</v>
      </c>
    </row>
    <row r="831" spans="6:20">
      <c r="F831" s="512" t="s">
        <v>3514</v>
      </c>
      <c r="G831" s="511" t="s">
        <v>3515</v>
      </c>
      <c r="S831" s="1850" t="s">
        <v>8344</v>
      </c>
      <c r="T831" s="1850" t="s">
        <v>8345</v>
      </c>
    </row>
    <row r="832" spans="6:20">
      <c r="F832" s="512" t="s">
        <v>3516</v>
      </c>
      <c r="G832" s="511" t="s">
        <v>3517</v>
      </c>
      <c r="S832" s="1850" t="s">
        <v>8346</v>
      </c>
      <c r="T832" s="1850" t="s">
        <v>8347</v>
      </c>
    </row>
    <row r="833" spans="6:20">
      <c r="F833" s="512" t="s">
        <v>3518</v>
      </c>
      <c r="G833" s="511" t="s">
        <v>3519</v>
      </c>
      <c r="S833" s="1850" t="s">
        <v>8348</v>
      </c>
      <c r="T833" s="1850" t="s">
        <v>8349</v>
      </c>
    </row>
    <row r="834" spans="6:20">
      <c r="F834" s="512" t="s">
        <v>3520</v>
      </c>
      <c r="G834" s="511" t="s">
        <v>3521</v>
      </c>
      <c r="S834" s="1850" t="s">
        <v>8350</v>
      </c>
      <c r="T834" s="1850" t="s">
        <v>8351</v>
      </c>
    </row>
    <row r="835" spans="6:20">
      <c r="F835" s="512" t="s">
        <v>3522</v>
      </c>
      <c r="G835" s="511" t="s">
        <v>3523</v>
      </c>
      <c r="S835" s="1850" t="s">
        <v>8352</v>
      </c>
      <c r="T835" s="1850" t="s">
        <v>8353</v>
      </c>
    </row>
    <row r="836" spans="6:20">
      <c r="F836" s="512" t="s">
        <v>3524</v>
      </c>
      <c r="G836" s="511" t="s">
        <v>3525</v>
      </c>
      <c r="S836" s="1850" t="s">
        <v>8354</v>
      </c>
      <c r="T836" s="1850" t="s">
        <v>8355</v>
      </c>
    </row>
    <row r="837" spans="6:20">
      <c r="F837" s="512" t="s">
        <v>3526</v>
      </c>
      <c r="G837" s="511" t="s">
        <v>3527</v>
      </c>
      <c r="S837" s="1850" t="s">
        <v>8356</v>
      </c>
      <c r="T837" s="1850" t="s">
        <v>8357</v>
      </c>
    </row>
    <row r="838" spans="6:20">
      <c r="F838" s="512" t="s">
        <v>3528</v>
      </c>
      <c r="G838" s="511" t="s">
        <v>3529</v>
      </c>
      <c r="S838" s="1850" t="s">
        <v>8358</v>
      </c>
      <c r="T838" s="1850" t="s">
        <v>8359</v>
      </c>
    </row>
    <row r="839" spans="6:20">
      <c r="F839" s="512" t="s">
        <v>3530</v>
      </c>
      <c r="G839" s="511" t="s">
        <v>3531</v>
      </c>
      <c r="S839" s="1850" t="s">
        <v>8360</v>
      </c>
      <c r="T839" s="1850" t="s">
        <v>8361</v>
      </c>
    </row>
    <row r="840" spans="6:20">
      <c r="F840" s="512" t="s">
        <v>3532</v>
      </c>
      <c r="G840" s="511" t="s">
        <v>3533</v>
      </c>
      <c r="S840" s="1850" t="s">
        <v>8362</v>
      </c>
      <c r="T840" s="1850" t="s">
        <v>8363</v>
      </c>
    </row>
    <row r="841" spans="6:20">
      <c r="F841" s="512" t="s">
        <v>3534</v>
      </c>
      <c r="G841" s="511" t="s">
        <v>3535</v>
      </c>
      <c r="S841" s="1850" t="s">
        <v>8364</v>
      </c>
      <c r="T841" s="1850" t="s">
        <v>8365</v>
      </c>
    </row>
    <row r="842" spans="6:20">
      <c r="F842" s="512" t="s">
        <v>3536</v>
      </c>
      <c r="G842" s="511" t="s">
        <v>3537</v>
      </c>
      <c r="S842" s="1850" t="s">
        <v>8366</v>
      </c>
      <c r="T842" s="1850" t="s">
        <v>8367</v>
      </c>
    </row>
    <row r="843" spans="6:20">
      <c r="F843" s="512" t="s">
        <v>3538</v>
      </c>
      <c r="G843" s="511" t="s">
        <v>3539</v>
      </c>
      <c r="S843" s="1850" t="s">
        <v>8368</v>
      </c>
      <c r="T843" s="1850" t="s">
        <v>8369</v>
      </c>
    </row>
    <row r="844" spans="6:20">
      <c r="F844" s="512" t="s">
        <v>3540</v>
      </c>
      <c r="G844" s="511" t="s">
        <v>3541</v>
      </c>
      <c r="S844" s="1850" t="s">
        <v>8370</v>
      </c>
      <c r="T844" s="1850" t="s">
        <v>8371</v>
      </c>
    </row>
    <row r="845" spans="6:20">
      <c r="F845" s="512" t="s">
        <v>3542</v>
      </c>
      <c r="G845" s="511" t="s">
        <v>3543</v>
      </c>
      <c r="S845" s="1850" t="s">
        <v>8372</v>
      </c>
      <c r="T845" s="1850" t="s">
        <v>8373</v>
      </c>
    </row>
    <row r="846" spans="6:20">
      <c r="F846" s="512" t="s">
        <v>3544</v>
      </c>
      <c r="G846" s="511" t="s">
        <v>3545</v>
      </c>
      <c r="S846" s="1850" t="s">
        <v>8374</v>
      </c>
      <c r="T846" s="1850" t="s">
        <v>8375</v>
      </c>
    </row>
    <row r="847" spans="6:20">
      <c r="F847" s="512" t="s">
        <v>3546</v>
      </c>
      <c r="G847" s="511" t="s">
        <v>3547</v>
      </c>
      <c r="S847" s="1850" t="s">
        <v>8376</v>
      </c>
      <c r="T847" s="1850" t="s">
        <v>8377</v>
      </c>
    </row>
    <row r="848" spans="6:20">
      <c r="F848" s="512" t="s">
        <v>3548</v>
      </c>
      <c r="G848" s="511" t="s">
        <v>3549</v>
      </c>
      <c r="S848" s="1850" t="s">
        <v>8378</v>
      </c>
      <c r="T848" s="1850" t="s">
        <v>8379</v>
      </c>
    </row>
    <row r="849" spans="6:20">
      <c r="F849" s="512" t="s">
        <v>3550</v>
      </c>
      <c r="G849" s="511" t="s">
        <v>3551</v>
      </c>
      <c r="S849" s="1850" t="s">
        <v>8380</v>
      </c>
      <c r="T849" s="1850" t="s">
        <v>8381</v>
      </c>
    </row>
    <row r="850" spans="6:20">
      <c r="F850" s="512" t="s">
        <v>3552</v>
      </c>
      <c r="G850" s="511" t="s">
        <v>3553</v>
      </c>
      <c r="S850" s="1850" t="s">
        <v>8382</v>
      </c>
      <c r="T850" s="1850" t="s">
        <v>8383</v>
      </c>
    </row>
    <row r="851" spans="6:20">
      <c r="F851" s="512" t="s">
        <v>3554</v>
      </c>
      <c r="G851" s="511" t="s">
        <v>3555</v>
      </c>
      <c r="S851" s="1850" t="s">
        <v>8384</v>
      </c>
      <c r="T851" s="1850" t="s">
        <v>8385</v>
      </c>
    </row>
    <row r="852" spans="6:20">
      <c r="F852" s="512" t="s">
        <v>3556</v>
      </c>
      <c r="G852" s="511" t="s">
        <v>3557</v>
      </c>
      <c r="S852" s="1850" t="s">
        <v>8386</v>
      </c>
      <c r="T852" s="1850" t="s">
        <v>8387</v>
      </c>
    </row>
    <row r="853" spans="6:20">
      <c r="F853" s="512" t="s">
        <v>3558</v>
      </c>
      <c r="G853" s="511" t="s">
        <v>3559</v>
      </c>
      <c r="S853" s="1850" t="s">
        <v>8388</v>
      </c>
      <c r="T853" s="1850" t="s">
        <v>7153</v>
      </c>
    </row>
    <row r="854" spans="6:20">
      <c r="F854" s="512" t="s">
        <v>3560</v>
      </c>
      <c r="G854" s="511" t="s">
        <v>3561</v>
      </c>
      <c r="S854" s="1850" t="s">
        <v>8389</v>
      </c>
      <c r="T854" s="1850" t="s">
        <v>7155</v>
      </c>
    </row>
    <row r="855" spans="6:20">
      <c r="F855" s="512" t="s">
        <v>3562</v>
      </c>
      <c r="G855" s="511" t="s">
        <v>3563</v>
      </c>
      <c r="S855" s="1850" t="s">
        <v>8390</v>
      </c>
      <c r="T855" s="1850" t="s">
        <v>8391</v>
      </c>
    </row>
    <row r="856" spans="6:20">
      <c r="F856" s="512" t="s">
        <v>3564</v>
      </c>
      <c r="G856" s="511" t="s">
        <v>3565</v>
      </c>
      <c r="S856" s="1850" t="s">
        <v>8392</v>
      </c>
      <c r="T856" s="1850" t="s">
        <v>8393</v>
      </c>
    </row>
    <row r="857" spans="6:20">
      <c r="F857" s="512" t="s">
        <v>3566</v>
      </c>
      <c r="G857" s="511" t="s">
        <v>3567</v>
      </c>
      <c r="S857" s="1850" t="s">
        <v>8394</v>
      </c>
      <c r="T857" s="1850" t="s">
        <v>7153</v>
      </c>
    </row>
    <row r="858" spans="6:20">
      <c r="F858" s="512" t="s">
        <v>3568</v>
      </c>
      <c r="G858" s="511" t="s">
        <v>3569</v>
      </c>
      <c r="S858" s="1850" t="s">
        <v>8395</v>
      </c>
      <c r="T858" s="1850" t="s">
        <v>7155</v>
      </c>
    </row>
    <row r="859" spans="6:20">
      <c r="F859" s="512" t="s">
        <v>3570</v>
      </c>
      <c r="G859" s="511" t="s">
        <v>3571</v>
      </c>
      <c r="S859" s="1850" t="s">
        <v>8396</v>
      </c>
      <c r="T859" s="1850" t="s">
        <v>8397</v>
      </c>
    </row>
    <row r="860" spans="6:20">
      <c r="F860" s="512" t="s">
        <v>3572</v>
      </c>
      <c r="G860" s="511" t="s">
        <v>3573</v>
      </c>
      <c r="S860" s="1850" t="s">
        <v>8398</v>
      </c>
      <c r="T860" s="1850" t="s">
        <v>7153</v>
      </c>
    </row>
    <row r="861" spans="6:20">
      <c r="F861" s="512" t="s">
        <v>3574</v>
      </c>
      <c r="G861" s="511" t="s">
        <v>3575</v>
      </c>
      <c r="S861" s="1850" t="s">
        <v>8399</v>
      </c>
      <c r="T861" s="1850" t="s">
        <v>7155</v>
      </c>
    </row>
    <row r="862" spans="6:20">
      <c r="F862" s="512" t="s">
        <v>3576</v>
      </c>
      <c r="G862" s="511" t="s">
        <v>3577</v>
      </c>
      <c r="S862" s="1850" t="s">
        <v>8400</v>
      </c>
      <c r="T862" s="1850" t="s">
        <v>8401</v>
      </c>
    </row>
    <row r="863" spans="6:20">
      <c r="F863" s="512" t="s">
        <v>3578</v>
      </c>
      <c r="G863" s="511" t="s">
        <v>3579</v>
      </c>
      <c r="S863" s="1850" t="s">
        <v>8402</v>
      </c>
      <c r="T863" s="1850" t="s">
        <v>8403</v>
      </c>
    </row>
    <row r="864" spans="6:20">
      <c r="F864" s="512" t="s">
        <v>3580</v>
      </c>
      <c r="G864" s="511" t="s">
        <v>3581</v>
      </c>
      <c r="S864" s="1850" t="s">
        <v>8404</v>
      </c>
      <c r="T864" s="1850" t="s">
        <v>8405</v>
      </c>
    </row>
    <row r="865" spans="6:20">
      <c r="F865" s="512" t="s">
        <v>3582</v>
      </c>
      <c r="G865" s="511" t="s">
        <v>3583</v>
      </c>
      <c r="S865" s="1850" t="s">
        <v>8406</v>
      </c>
      <c r="T865" s="1850" t="s">
        <v>8407</v>
      </c>
    </row>
    <row r="866" spans="6:20">
      <c r="F866" s="512" t="s">
        <v>3584</v>
      </c>
      <c r="G866" s="511" t="s">
        <v>3585</v>
      </c>
      <c r="S866" s="1850" t="s">
        <v>8408</v>
      </c>
      <c r="T866" s="1850" t="s">
        <v>8409</v>
      </c>
    </row>
    <row r="867" spans="6:20">
      <c r="F867" s="512" t="s">
        <v>3586</v>
      </c>
      <c r="G867" s="511" t="s">
        <v>3587</v>
      </c>
      <c r="S867" s="1850" t="s">
        <v>8410</v>
      </c>
      <c r="T867" s="1850" t="s">
        <v>8411</v>
      </c>
    </row>
    <row r="868" spans="6:20">
      <c r="F868" s="512" t="s">
        <v>3588</v>
      </c>
      <c r="G868" s="511" t="s">
        <v>3589</v>
      </c>
      <c r="S868" s="1850" t="s">
        <v>8412</v>
      </c>
      <c r="T868" s="1850" t="s">
        <v>8413</v>
      </c>
    </row>
    <row r="869" spans="6:20">
      <c r="F869" s="512" t="s">
        <v>3590</v>
      </c>
      <c r="G869" s="511" t="s">
        <v>3591</v>
      </c>
      <c r="S869" s="1850" t="s">
        <v>8414</v>
      </c>
      <c r="T869" s="1850" t="s">
        <v>8415</v>
      </c>
    </row>
    <row r="870" spans="6:20">
      <c r="F870" s="512" t="s">
        <v>3592</v>
      </c>
      <c r="G870" s="511" t="s">
        <v>3593</v>
      </c>
      <c r="S870" s="1850" t="s">
        <v>8416</v>
      </c>
      <c r="T870" s="1850" t="s">
        <v>8417</v>
      </c>
    </row>
    <row r="871" spans="6:20">
      <c r="F871" s="512" t="s">
        <v>3594</v>
      </c>
      <c r="G871" s="511" t="s">
        <v>3595</v>
      </c>
      <c r="S871" s="1850" t="s">
        <v>8418</v>
      </c>
      <c r="T871" s="1850" t="s">
        <v>8419</v>
      </c>
    </row>
    <row r="872" spans="6:20">
      <c r="F872" s="512" t="s">
        <v>3596</v>
      </c>
      <c r="G872" s="511" t="s">
        <v>3597</v>
      </c>
      <c r="S872" s="1850" t="s">
        <v>8420</v>
      </c>
      <c r="T872" s="1850" t="s">
        <v>8421</v>
      </c>
    </row>
    <row r="873" spans="6:20">
      <c r="F873" s="512" t="s">
        <v>3598</v>
      </c>
      <c r="G873" s="511" t="s">
        <v>3599</v>
      </c>
      <c r="S873" s="1850" t="s">
        <v>8422</v>
      </c>
      <c r="T873" s="1850" t="s">
        <v>8423</v>
      </c>
    </row>
    <row r="874" spans="6:20">
      <c r="F874" s="512" t="s">
        <v>3600</v>
      </c>
      <c r="G874" s="511" t="s">
        <v>3601</v>
      </c>
      <c r="S874" s="1850" t="s">
        <v>8424</v>
      </c>
      <c r="T874" s="1850" t="s">
        <v>8425</v>
      </c>
    </row>
    <row r="875" spans="6:20">
      <c r="F875" s="512" t="s">
        <v>3602</v>
      </c>
      <c r="G875" s="511" t="s">
        <v>3603</v>
      </c>
      <c r="S875" s="1850" t="s">
        <v>8426</v>
      </c>
      <c r="T875" s="1850" t="s">
        <v>8427</v>
      </c>
    </row>
    <row r="876" spans="6:20">
      <c r="F876" s="512" t="s">
        <v>3604</v>
      </c>
      <c r="G876" s="511" t="s">
        <v>3605</v>
      </c>
      <c r="S876" s="1850" t="s">
        <v>8428</v>
      </c>
      <c r="T876" s="1850" t="s">
        <v>8429</v>
      </c>
    </row>
    <row r="877" spans="6:20">
      <c r="F877" s="512" t="s">
        <v>3606</v>
      </c>
      <c r="G877" s="511" t="s">
        <v>3607</v>
      </c>
      <c r="S877" s="1850" t="s">
        <v>8430</v>
      </c>
      <c r="T877" s="1850" t="s">
        <v>8431</v>
      </c>
    </row>
    <row r="878" spans="6:20">
      <c r="F878" s="512" t="s">
        <v>3608</v>
      </c>
      <c r="G878" s="511" t="s">
        <v>3609</v>
      </c>
      <c r="S878" s="1850" t="s">
        <v>8432</v>
      </c>
      <c r="T878" s="1850" t="s">
        <v>8433</v>
      </c>
    </row>
    <row r="879" spans="6:20">
      <c r="F879" s="512" t="s">
        <v>3610</v>
      </c>
      <c r="G879" s="511" t="s">
        <v>3611</v>
      </c>
      <c r="S879" s="1850" t="s">
        <v>8434</v>
      </c>
      <c r="T879" s="1850" t="s">
        <v>8435</v>
      </c>
    </row>
    <row r="880" spans="6:20">
      <c r="F880" s="512" t="s">
        <v>3612</v>
      </c>
      <c r="G880" s="511" t="s">
        <v>3613</v>
      </c>
      <c r="S880" s="1850" t="s">
        <v>8436</v>
      </c>
      <c r="T880" s="1850" t="s">
        <v>8437</v>
      </c>
    </row>
    <row r="881" spans="6:20">
      <c r="F881" s="512" t="s">
        <v>3614</v>
      </c>
      <c r="G881" s="511" t="s">
        <v>3615</v>
      </c>
      <c r="S881" s="1850" t="s">
        <v>8438</v>
      </c>
      <c r="T881" s="1850" t="s">
        <v>8439</v>
      </c>
    </row>
    <row r="882" spans="6:20">
      <c r="F882" s="512" t="s">
        <v>3616</v>
      </c>
      <c r="G882" s="511" t="s">
        <v>3617</v>
      </c>
      <c r="S882" s="1850" t="s">
        <v>8440</v>
      </c>
      <c r="T882" s="1850" t="s">
        <v>8441</v>
      </c>
    </row>
    <row r="883" spans="6:20">
      <c r="F883" s="512" t="s">
        <v>3618</v>
      </c>
      <c r="G883" s="511" t="s">
        <v>3619</v>
      </c>
      <c r="S883" s="1850" t="s">
        <v>8442</v>
      </c>
      <c r="T883" s="1850" t="s">
        <v>8443</v>
      </c>
    </row>
    <row r="884" spans="6:20">
      <c r="F884" s="512" t="s">
        <v>3620</v>
      </c>
      <c r="G884" s="511" t="s">
        <v>3621</v>
      </c>
      <c r="S884" s="1850" t="s">
        <v>8444</v>
      </c>
      <c r="T884" s="1850" t="s">
        <v>8445</v>
      </c>
    </row>
    <row r="885" spans="6:20">
      <c r="F885" s="512" t="s">
        <v>3622</v>
      </c>
      <c r="G885" s="511" t="s">
        <v>3623</v>
      </c>
      <c r="S885" s="1850" t="s">
        <v>8446</v>
      </c>
      <c r="T885" s="1850" t="s">
        <v>8447</v>
      </c>
    </row>
    <row r="886" spans="6:20">
      <c r="F886" s="512" t="s">
        <v>3624</v>
      </c>
      <c r="G886" s="511" t="s">
        <v>3625</v>
      </c>
      <c r="S886" s="1850" t="s">
        <v>8448</v>
      </c>
      <c r="T886" s="1850" t="s">
        <v>8449</v>
      </c>
    </row>
    <row r="887" spans="6:20">
      <c r="F887" s="512" t="s">
        <v>3626</v>
      </c>
      <c r="G887" s="511" t="s">
        <v>3627</v>
      </c>
      <c r="S887" s="1850" t="s">
        <v>8450</v>
      </c>
      <c r="T887" s="1850" t="s">
        <v>8451</v>
      </c>
    </row>
    <row r="888" spans="6:20">
      <c r="F888" s="512" t="s">
        <v>3628</v>
      </c>
      <c r="G888" s="511" t="s">
        <v>3629</v>
      </c>
      <c r="S888" s="1850" t="s">
        <v>8452</v>
      </c>
      <c r="T888" s="1850" t="s">
        <v>8453</v>
      </c>
    </row>
    <row r="889" spans="6:20">
      <c r="F889" s="512" t="s">
        <v>3630</v>
      </c>
      <c r="G889" s="511" t="s">
        <v>3631</v>
      </c>
      <c r="S889" s="1850" t="s">
        <v>8454</v>
      </c>
      <c r="T889" s="1850" t="s">
        <v>8455</v>
      </c>
    </row>
    <row r="890" spans="6:20">
      <c r="F890" s="512" t="s">
        <v>3632</v>
      </c>
      <c r="G890" s="511" t="s">
        <v>3633</v>
      </c>
      <c r="S890" s="1850" t="s">
        <v>8456</v>
      </c>
      <c r="T890" s="1850" t="s">
        <v>8457</v>
      </c>
    </row>
    <row r="891" spans="6:20">
      <c r="F891" s="512" t="s">
        <v>3634</v>
      </c>
      <c r="G891" s="511" t="s">
        <v>3635</v>
      </c>
      <c r="S891" s="1850" t="s">
        <v>8458</v>
      </c>
      <c r="T891" s="1850" t="s">
        <v>8459</v>
      </c>
    </row>
    <row r="892" spans="6:20">
      <c r="F892" s="512" t="s">
        <v>3636</v>
      </c>
      <c r="G892" s="511" t="s">
        <v>3637</v>
      </c>
      <c r="S892" s="1850" t="s">
        <v>8460</v>
      </c>
      <c r="T892" s="1850" t="s">
        <v>8461</v>
      </c>
    </row>
    <row r="893" spans="6:20">
      <c r="F893" s="512" t="s">
        <v>3638</v>
      </c>
      <c r="G893" s="511" t="s">
        <v>3639</v>
      </c>
      <c r="S893" s="1850" t="s">
        <v>8462</v>
      </c>
      <c r="T893" s="1850" t="s">
        <v>8463</v>
      </c>
    </row>
    <row r="894" spans="6:20">
      <c r="F894" s="512" t="s">
        <v>3640</v>
      </c>
      <c r="G894" s="511" t="s">
        <v>3641</v>
      </c>
      <c r="S894" s="1850" t="s">
        <v>8464</v>
      </c>
      <c r="T894" s="1850" t="s">
        <v>8465</v>
      </c>
    </row>
    <row r="895" spans="6:20">
      <c r="F895" s="512" t="s">
        <v>3642</v>
      </c>
      <c r="G895" s="511" t="s">
        <v>3643</v>
      </c>
      <c r="S895" s="1850" t="s">
        <v>8466</v>
      </c>
      <c r="T895" s="1850" t="s">
        <v>8467</v>
      </c>
    </row>
    <row r="896" spans="6:20">
      <c r="F896" s="512" t="s">
        <v>3644</v>
      </c>
      <c r="G896" s="511" t="s">
        <v>3645</v>
      </c>
      <c r="S896" s="1850" t="s">
        <v>8468</v>
      </c>
      <c r="T896" s="1850" t="s">
        <v>8469</v>
      </c>
    </row>
    <row r="897" spans="6:20">
      <c r="F897" s="512" t="s">
        <v>3646</v>
      </c>
      <c r="G897" s="511" t="s">
        <v>3647</v>
      </c>
      <c r="S897" s="1850" t="s">
        <v>8470</v>
      </c>
      <c r="T897" s="1850" t="s">
        <v>8471</v>
      </c>
    </row>
    <row r="898" spans="6:20">
      <c r="F898" s="512" t="s">
        <v>3648</v>
      </c>
      <c r="G898" s="511" t="s">
        <v>3649</v>
      </c>
      <c r="S898" s="1850" t="s">
        <v>8472</v>
      </c>
      <c r="T898" s="1850" t="s">
        <v>8473</v>
      </c>
    </row>
    <row r="899" spans="6:20">
      <c r="F899" s="512" t="s">
        <v>3650</v>
      </c>
      <c r="G899" s="511" t="s">
        <v>3651</v>
      </c>
      <c r="S899" s="1850" t="s">
        <v>8474</v>
      </c>
      <c r="T899" s="1850" t="s">
        <v>8475</v>
      </c>
    </row>
    <row r="900" spans="6:20">
      <c r="F900" s="512" t="s">
        <v>3652</v>
      </c>
      <c r="G900" s="511" t="s">
        <v>3653</v>
      </c>
      <c r="S900" s="1850" t="s">
        <v>8476</v>
      </c>
      <c r="T900" s="1850" t="s">
        <v>8477</v>
      </c>
    </row>
    <row r="901" spans="6:20">
      <c r="F901" s="512" t="s">
        <v>3654</v>
      </c>
      <c r="G901" s="511" t="s">
        <v>3655</v>
      </c>
      <c r="S901" s="1850" t="s">
        <v>8478</v>
      </c>
      <c r="T901" s="1850" t="s">
        <v>8479</v>
      </c>
    </row>
    <row r="902" spans="6:20">
      <c r="F902" s="512" t="s">
        <v>3656</v>
      </c>
      <c r="G902" s="511" t="s">
        <v>3657</v>
      </c>
      <c r="S902" s="1850" t="s">
        <v>8480</v>
      </c>
      <c r="T902" s="1850" t="s">
        <v>8481</v>
      </c>
    </row>
    <row r="903" spans="6:20">
      <c r="F903" s="512" t="s">
        <v>3658</v>
      </c>
      <c r="G903" s="511" t="s">
        <v>3659</v>
      </c>
      <c r="S903" s="1850" t="s">
        <v>8482</v>
      </c>
      <c r="T903" s="1850" t="s">
        <v>8483</v>
      </c>
    </row>
    <row r="904" spans="6:20">
      <c r="F904" s="512" t="s">
        <v>3660</v>
      </c>
      <c r="G904" s="511" t="s">
        <v>3661</v>
      </c>
      <c r="S904" s="1850" t="s">
        <v>8484</v>
      </c>
      <c r="T904" s="1850" t="s">
        <v>8485</v>
      </c>
    </row>
    <row r="905" spans="6:20">
      <c r="F905" s="512" t="s">
        <v>3662</v>
      </c>
      <c r="G905" s="511" t="s">
        <v>3663</v>
      </c>
      <c r="S905" s="1850" t="s">
        <v>8486</v>
      </c>
      <c r="T905" s="1850" t="s">
        <v>8487</v>
      </c>
    </row>
    <row r="906" spans="6:20">
      <c r="F906" s="512" t="s">
        <v>3664</v>
      </c>
      <c r="G906" s="511" t="s">
        <v>3665</v>
      </c>
      <c r="S906" s="1850" t="s">
        <v>8488</v>
      </c>
      <c r="T906" s="1850" t="s">
        <v>8489</v>
      </c>
    </row>
    <row r="907" spans="6:20">
      <c r="F907" s="512" t="s">
        <v>3666</v>
      </c>
      <c r="G907" s="511" t="s">
        <v>3667</v>
      </c>
      <c r="S907" s="1850" t="s">
        <v>8490</v>
      </c>
      <c r="T907" s="1850" t="s">
        <v>8491</v>
      </c>
    </row>
    <row r="908" spans="6:20">
      <c r="F908" s="512" t="s">
        <v>3668</v>
      </c>
      <c r="G908" s="511" t="s">
        <v>3669</v>
      </c>
      <c r="S908" s="1850" t="s">
        <v>8492</v>
      </c>
      <c r="T908" s="1850" t="s">
        <v>8493</v>
      </c>
    </row>
    <row r="909" spans="6:20">
      <c r="F909" s="512" t="s">
        <v>3670</v>
      </c>
      <c r="G909" s="511" t="s">
        <v>3671</v>
      </c>
      <c r="S909" s="1850" t="s">
        <v>8494</v>
      </c>
      <c r="T909" s="1850" t="s">
        <v>8495</v>
      </c>
    </row>
    <row r="910" spans="6:20">
      <c r="F910" s="512" t="s">
        <v>3672</v>
      </c>
      <c r="G910" s="511" t="s">
        <v>3673</v>
      </c>
      <c r="S910" s="1850" t="s">
        <v>8496</v>
      </c>
      <c r="T910" s="1850" t="s">
        <v>8497</v>
      </c>
    </row>
    <row r="911" spans="6:20">
      <c r="F911" s="512" t="s">
        <v>3674</v>
      </c>
      <c r="G911" s="511" t="s">
        <v>3675</v>
      </c>
      <c r="S911" s="1850" t="s">
        <v>8498</v>
      </c>
      <c r="T911" s="1850" t="s">
        <v>8499</v>
      </c>
    </row>
    <row r="912" spans="6:20">
      <c r="F912" s="512" t="s">
        <v>3676</v>
      </c>
      <c r="G912" s="511" t="s">
        <v>3677</v>
      </c>
      <c r="S912" s="1850" t="s">
        <v>8500</v>
      </c>
      <c r="T912" s="1850" t="s">
        <v>8501</v>
      </c>
    </row>
    <row r="913" spans="6:20">
      <c r="F913" s="512" t="s">
        <v>3678</v>
      </c>
      <c r="G913" s="511" t="s">
        <v>3679</v>
      </c>
      <c r="S913" s="1850" t="s">
        <v>8502</v>
      </c>
      <c r="T913" s="1850" t="s">
        <v>8503</v>
      </c>
    </row>
    <row r="914" spans="6:20">
      <c r="F914" s="512" t="s">
        <v>3680</v>
      </c>
      <c r="G914" s="511" t="s">
        <v>3681</v>
      </c>
      <c r="S914" s="1850" t="s">
        <v>8504</v>
      </c>
      <c r="T914" s="1850" t="s">
        <v>8505</v>
      </c>
    </row>
    <row r="915" spans="6:20">
      <c r="F915" s="512" t="s">
        <v>3682</v>
      </c>
      <c r="G915" s="511" t="s">
        <v>3683</v>
      </c>
      <c r="S915" s="1850" t="s">
        <v>8506</v>
      </c>
      <c r="T915" s="1850" t="s">
        <v>8507</v>
      </c>
    </row>
    <row r="916" spans="6:20">
      <c r="F916" s="512" t="s">
        <v>3684</v>
      </c>
      <c r="G916" s="511" t="s">
        <v>3685</v>
      </c>
      <c r="S916" s="1850" t="s">
        <v>8508</v>
      </c>
      <c r="T916" s="1850" t="s">
        <v>8509</v>
      </c>
    </row>
    <row r="917" spans="6:20">
      <c r="F917" s="512" t="s">
        <v>3686</v>
      </c>
      <c r="G917" s="511" t="s">
        <v>3687</v>
      </c>
      <c r="S917" s="1850" t="s">
        <v>8510</v>
      </c>
      <c r="T917" s="1850" t="s">
        <v>8511</v>
      </c>
    </row>
    <row r="918" spans="6:20">
      <c r="F918" s="512" t="s">
        <v>3688</v>
      </c>
      <c r="G918" s="511" t="s">
        <v>3689</v>
      </c>
      <c r="S918" s="1850" t="s">
        <v>8512</v>
      </c>
      <c r="T918" s="1850" t="s">
        <v>8513</v>
      </c>
    </row>
    <row r="919" spans="6:20">
      <c r="F919" s="512" t="s">
        <v>3690</v>
      </c>
      <c r="G919" s="511" t="s">
        <v>3691</v>
      </c>
      <c r="S919" s="1850" t="s">
        <v>8514</v>
      </c>
      <c r="T919" s="1850" t="s">
        <v>8515</v>
      </c>
    </row>
    <row r="920" spans="6:20">
      <c r="F920" s="512" t="s">
        <v>3692</v>
      </c>
      <c r="G920" s="511" t="s">
        <v>3693</v>
      </c>
      <c r="S920" s="1850" t="s">
        <v>8516</v>
      </c>
      <c r="T920" s="1850" t="s">
        <v>8517</v>
      </c>
    </row>
    <row r="921" spans="6:20">
      <c r="F921" s="512" t="s">
        <v>3694</v>
      </c>
      <c r="G921" s="511" t="s">
        <v>3695</v>
      </c>
      <c r="S921" s="1850" t="s">
        <v>8518</v>
      </c>
      <c r="T921" s="1850" t="s">
        <v>8519</v>
      </c>
    </row>
    <row r="922" spans="6:20">
      <c r="F922" s="512" t="s">
        <v>3696</v>
      </c>
      <c r="G922" s="511" t="s">
        <v>3697</v>
      </c>
      <c r="S922" s="1850" t="s">
        <v>8520</v>
      </c>
      <c r="T922" s="1850" t="s">
        <v>8521</v>
      </c>
    </row>
    <row r="923" spans="6:20">
      <c r="F923" s="512" t="s">
        <v>3698</v>
      </c>
      <c r="G923" s="511" t="s">
        <v>3699</v>
      </c>
      <c r="S923" s="1850" t="s">
        <v>8522</v>
      </c>
      <c r="T923" s="1850" t="s">
        <v>8523</v>
      </c>
    </row>
    <row r="924" spans="6:20">
      <c r="F924" s="512" t="s">
        <v>3700</v>
      </c>
      <c r="G924" s="511" t="s">
        <v>3701</v>
      </c>
      <c r="S924" s="1850" t="s">
        <v>8524</v>
      </c>
      <c r="T924" s="1850" t="s">
        <v>8525</v>
      </c>
    </row>
    <row r="925" spans="6:20">
      <c r="F925" s="512" t="s">
        <v>3702</v>
      </c>
      <c r="G925" s="511" t="s">
        <v>3703</v>
      </c>
      <c r="S925" s="1850" t="s">
        <v>8526</v>
      </c>
      <c r="T925" s="1850" t="s">
        <v>8527</v>
      </c>
    </row>
    <row r="926" spans="6:20">
      <c r="F926" s="512" t="s">
        <v>3704</v>
      </c>
      <c r="G926" s="511" t="s">
        <v>3705</v>
      </c>
      <c r="S926" s="1850" t="s">
        <v>8528</v>
      </c>
      <c r="T926" s="1850" t="s">
        <v>8529</v>
      </c>
    </row>
    <row r="927" spans="6:20">
      <c r="F927" s="512" t="s">
        <v>3706</v>
      </c>
      <c r="G927" s="511" t="s">
        <v>3707</v>
      </c>
      <c r="S927" s="1850" t="s">
        <v>8530</v>
      </c>
      <c r="T927" s="1850" t="s">
        <v>8531</v>
      </c>
    </row>
    <row r="928" spans="6:20">
      <c r="F928" s="512" t="s">
        <v>3708</v>
      </c>
      <c r="G928" s="511" t="s">
        <v>3709</v>
      </c>
      <c r="S928" s="1850" t="s">
        <v>8532</v>
      </c>
      <c r="T928" s="1850" t="s">
        <v>8533</v>
      </c>
    </row>
    <row r="929" spans="6:20">
      <c r="F929" s="512" t="s">
        <v>3710</v>
      </c>
      <c r="G929" s="511" t="s">
        <v>3711</v>
      </c>
      <c r="S929" s="1850" t="s">
        <v>8534</v>
      </c>
      <c r="T929" s="1850" t="s">
        <v>8535</v>
      </c>
    </row>
    <row r="930" spans="6:20">
      <c r="F930" s="512" t="s">
        <v>3712</v>
      </c>
      <c r="G930" s="511" t="s">
        <v>3713</v>
      </c>
      <c r="S930" s="1850" t="s">
        <v>8536</v>
      </c>
      <c r="T930" s="1850" t="s">
        <v>8537</v>
      </c>
    </row>
    <row r="931" spans="6:20">
      <c r="F931" s="512" t="s">
        <v>3714</v>
      </c>
      <c r="G931" s="511" t="s">
        <v>3715</v>
      </c>
      <c r="S931" s="1850" t="s">
        <v>8538</v>
      </c>
      <c r="T931" s="1850" t="s">
        <v>8539</v>
      </c>
    </row>
    <row r="932" spans="6:20">
      <c r="F932" s="512" t="s">
        <v>3716</v>
      </c>
      <c r="G932" s="511" t="s">
        <v>3717</v>
      </c>
      <c r="S932" s="1850" t="s">
        <v>8540</v>
      </c>
      <c r="T932" s="1850" t="s">
        <v>8541</v>
      </c>
    </row>
    <row r="933" spans="6:20">
      <c r="F933" s="512" t="s">
        <v>3718</v>
      </c>
      <c r="G933" s="511" t="s">
        <v>3719</v>
      </c>
      <c r="S933" s="1850" t="s">
        <v>8542</v>
      </c>
      <c r="T933" s="1850" t="s">
        <v>8543</v>
      </c>
    </row>
    <row r="934" spans="6:20">
      <c r="F934" s="512" t="s">
        <v>3720</v>
      </c>
      <c r="G934" s="511" t="s">
        <v>3721</v>
      </c>
      <c r="S934" s="1850" t="s">
        <v>8544</v>
      </c>
      <c r="T934" s="1850" t="s">
        <v>8545</v>
      </c>
    </row>
    <row r="935" spans="6:20">
      <c r="F935" s="512" t="s">
        <v>3722</v>
      </c>
      <c r="G935" s="511" t="s">
        <v>3723</v>
      </c>
      <c r="S935" s="1850" t="s">
        <v>8546</v>
      </c>
      <c r="T935" s="1850" t="s">
        <v>8547</v>
      </c>
    </row>
    <row r="936" spans="6:20">
      <c r="F936" s="512" t="s">
        <v>3724</v>
      </c>
      <c r="G936" s="511" t="s">
        <v>3725</v>
      </c>
      <c r="S936" s="1850" t="s">
        <v>8548</v>
      </c>
      <c r="T936" s="1850" t="s">
        <v>8549</v>
      </c>
    </row>
    <row r="937" spans="6:20">
      <c r="F937" s="512" t="s">
        <v>3726</v>
      </c>
      <c r="G937" s="511" t="s">
        <v>3727</v>
      </c>
      <c r="S937" s="1850" t="s">
        <v>8550</v>
      </c>
      <c r="T937" s="1850" t="s">
        <v>8551</v>
      </c>
    </row>
    <row r="938" spans="6:20">
      <c r="F938" s="512" t="s">
        <v>3728</v>
      </c>
      <c r="G938" s="511" t="s">
        <v>3729</v>
      </c>
      <c r="S938" s="1850" t="s">
        <v>8552</v>
      </c>
      <c r="T938" s="1850" t="s">
        <v>8553</v>
      </c>
    </row>
    <row r="939" spans="6:20">
      <c r="F939" s="512" t="s">
        <v>3730</v>
      </c>
      <c r="G939" s="511" t="s">
        <v>3731</v>
      </c>
      <c r="S939" s="1850" t="s">
        <v>8554</v>
      </c>
      <c r="T939" s="1850" t="s">
        <v>8555</v>
      </c>
    </row>
    <row r="940" spans="6:20">
      <c r="F940" s="512" t="s">
        <v>3732</v>
      </c>
      <c r="G940" s="511" t="s">
        <v>3733</v>
      </c>
      <c r="S940" s="1850" t="s">
        <v>8556</v>
      </c>
      <c r="T940" s="1850" t="s">
        <v>8557</v>
      </c>
    </row>
    <row r="941" spans="6:20">
      <c r="F941" s="512" t="s">
        <v>3734</v>
      </c>
      <c r="G941" s="511" t="s">
        <v>3735</v>
      </c>
      <c r="S941" s="1850" t="s">
        <v>8558</v>
      </c>
      <c r="T941" s="1850" t="s">
        <v>8559</v>
      </c>
    </row>
    <row r="942" spans="6:20">
      <c r="F942" s="512" t="s">
        <v>3736</v>
      </c>
      <c r="G942" s="511" t="s">
        <v>3737</v>
      </c>
      <c r="S942" s="1850" t="s">
        <v>8560</v>
      </c>
      <c r="T942" s="1850" t="s">
        <v>8561</v>
      </c>
    </row>
    <row r="943" spans="6:20">
      <c r="F943" s="512" t="s">
        <v>3738</v>
      </c>
      <c r="G943" s="511" t="s">
        <v>3739</v>
      </c>
      <c r="S943" s="1850" t="s">
        <v>8562</v>
      </c>
      <c r="T943" s="1850" t="s">
        <v>8563</v>
      </c>
    </row>
    <row r="944" spans="6:20">
      <c r="F944" s="512" t="s">
        <v>3740</v>
      </c>
      <c r="G944" s="511" t="s">
        <v>3741</v>
      </c>
      <c r="S944" s="1850" t="s">
        <v>8564</v>
      </c>
      <c r="T944" s="1850" t="s">
        <v>8565</v>
      </c>
    </row>
    <row r="945" spans="6:20">
      <c r="F945" s="512" t="s">
        <v>3742</v>
      </c>
      <c r="G945" s="511" t="s">
        <v>3743</v>
      </c>
      <c r="S945" s="1850" t="s">
        <v>8566</v>
      </c>
      <c r="T945" s="1850" t="s">
        <v>8567</v>
      </c>
    </row>
    <row r="946" spans="6:20">
      <c r="F946" s="512" t="s">
        <v>3744</v>
      </c>
      <c r="G946" s="511" t="s">
        <v>3745</v>
      </c>
      <c r="S946" s="1850" t="s">
        <v>8568</v>
      </c>
      <c r="T946" s="1850" t="s">
        <v>8569</v>
      </c>
    </row>
    <row r="947" spans="6:20">
      <c r="F947" s="512" t="s">
        <v>3746</v>
      </c>
      <c r="G947" s="511" t="s">
        <v>3747</v>
      </c>
      <c r="S947" s="1850" t="s">
        <v>8570</v>
      </c>
      <c r="T947" s="1850" t="s">
        <v>8571</v>
      </c>
    </row>
    <row r="948" spans="6:20">
      <c r="F948" s="512" t="s">
        <v>3748</v>
      </c>
      <c r="G948" s="511" t="s">
        <v>3749</v>
      </c>
      <c r="S948" s="1850" t="s">
        <v>8572</v>
      </c>
      <c r="T948" s="1850" t="s">
        <v>8573</v>
      </c>
    </row>
    <row r="949" spans="6:20">
      <c r="F949" s="512" t="s">
        <v>3750</v>
      </c>
      <c r="G949" s="511" t="s">
        <v>3751</v>
      </c>
      <c r="S949" s="1850" t="s">
        <v>8574</v>
      </c>
      <c r="T949" s="1850" t="s">
        <v>8575</v>
      </c>
    </row>
    <row r="950" spans="6:20">
      <c r="F950" s="512" t="s">
        <v>3752</v>
      </c>
      <c r="G950" s="511" t="s">
        <v>3753</v>
      </c>
      <c r="S950" s="1850" t="s">
        <v>8576</v>
      </c>
      <c r="T950" s="1850" t="s">
        <v>8577</v>
      </c>
    </row>
    <row r="951" spans="6:20">
      <c r="F951" s="512" t="s">
        <v>3754</v>
      </c>
      <c r="G951" s="511" t="s">
        <v>3755</v>
      </c>
      <c r="S951" s="1850" t="s">
        <v>8578</v>
      </c>
      <c r="T951" s="1850" t="s">
        <v>8579</v>
      </c>
    </row>
    <row r="952" spans="6:20">
      <c r="F952" s="512" t="s">
        <v>3756</v>
      </c>
      <c r="G952" s="511" t="s">
        <v>3757</v>
      </c>
      <c r="S952" s="1850" t="s">
        <v>8580</v>
      </c>
      <c r="T952" s="1850" t="s">
        <v>8581</v>
      </c>
    </row>
    <row r="953" spans="6:20">
      <c r="F953" s="512" t="s">
        <v>3758</v>
      </c>
      <c r="G953" s="511" t="s">
        <v>3759</v>
      </c>
      <c r="S953" s="1850" t="s">
        <v>8582</v>
      </c>
      <c r="T953" s="1850" t="s">
        <v>8583</v>
      </c>
    </row>
    <row r="954" spans="6:20">
      <c r="F954" s="512" t="s">
        <v>3760</v>
      </c>
      <c r="G954" s="511" t="s">
        <v>3761</v>
      </c>
      <c r="S954" s="1850" t="s">
        <v>8584</v>
      </c>
      <c r="T954" s="1850" t="s">
        <v>8585</v>
      </c>
    </row>
    <row r="955" spans="6:20">
      <c r="F955" s="512" t="s">
        <v>3762</v>
      </c>
      <c r="G955" s="511" t="s">
        <v>3763</v>
      </c>
      <c r="S955" s="1850" t="s">
        <v>8586</v>
      </c>
      <c r="T955" s="1850" t="s">
        <v>8587</v>
      </c>
    </row>
    <row r="956" spans="6:20">
      <c r="F956" s="512" t="s">
        <v>3764</v>
      </c>
      <c r="G956" s="511" t="s">
        <v>3765</v>
      </c>
      <c r="S956" s="1850" t="s">
        <v>8588</v>
      </c>
      <c r="T956" s="1850" t="s">
        <v>8589</v>
      </c>
    </row>
    <row r="957" spans="6:20">
      <c r="F957" s="512" t="s">
        <v>3766</v>
      </c>
      <c r="G957" s="511" t="s">
        <v>3767</v>
      </c>
      <c r="S957" s="1850" t="s">
        <v>8590</v>
      </c>
      <c r="T957" s="1850" t="s">
        <v>8591</v>
      </c>
    </row>
    <row r="958" spans="6:20">
      <c r="F958" s="512" t="s">
        <v>3768</v>
      </c>
      <c r="G958" s="511" t="s">
        <v>3769</v>
      </c>
      <c r="S958" s="1850" t="s">
        <v>8592</v>
      </c>
      <c r="T958" s="1850" t="s">
        <v>8593</v>
      </c>
    </row>
    <row r="959" spans="6:20">
      <c r="F959" s="512" t="s">
        <v>3770</v>
      </c>
      <c r="G959" s="511" t="s">
        <v>3771</v>
      </c>
      <c r="S959" s="1850" t="s">
        <v>8594</v>
      </c>
      <c r="T959" s="1850" t="s">
        <v>8595</v>
      </c>
    </row>
    <row r="960" spans="6:20">
      <c r="F960" s="512" t="s">
        <v>3772</v>
      </c>
      <c r="G960" s="511" t="s">
        <v>3773</v>
      </c>
      <c r="S960" s="1850" t="s">
        <v>8596</v>
      </c>
      <c r="T960" s="1850" t="s">
        <v>8597</v>
      </c>
    </row>
    <row r="961" spans="6:20">
      <c r="F961" s="512" t="s">
        <v>3774</v>
      </c>
      <c r="G961" s="511" t="s">
        <v>3775</v>
      </c>
      <c r="S961" s="1850" t="s">
        <v>8598</v>
      </c>
      <c r="T961" s="1850" t="s">
        <v>8599</v>
      </c>
    </row>
    <row r="962" spans="6:20">
      <c r="F962" s="512" t="s">
        <v>3776</v>
      </c>
      <c r="G962" s="511" t="s">
        <v>3777</v>
      </c>
      <c r="S962" s="1850" t="s">
        <v>8600</v>
      </c>
      <c r="T962" s="1850" t="s">
        <v>8601</v>
      </c>
    </row>
    <row r="963" spans="6:20">
      <c r="F963" s="512" t="s">
        <v>3778</v>
      </c>
      <c r="G963" s="511" t="s">
        <v>3779</v>
      </c>
      <c r="S963" s="1850" t="s">
        <v>8602</v>
      </c>
      <c r="T963" s="1850" t="s">
        <v>8603</v>
      </c>
    </row>
    <row r="964" spans="6:20">
      <c r="F964" s="512" t="s">
        <v>3780</v>
      </c>
      <c r="G964" s="511" t="s">
        <v>3781</v>
      </c>
      <c r="S964" s="1850" t="s">
        <v>8604</v>
      </c>
      <c r="T964" s="1850" t="s">
        <v>8605</v>
      </c>
    </row>
    <row r="965" spans="6:20">
      <c r="F965" s="512" t="s">
        <v>3782</v>
      </c>
      <c r="G965" s="511" t="s">
        <v>3783</v>
      </c>
      <c r="S965" s="1850" t="s">
        <v>8606</v>
      </c>
      <c r="T965" s="1850" t="s">
        <v>8607</v>
      </c>
    </row>
    <row r="966" spans="6:20">
      <c r="F966" s="512" t="s">
        <v>3784</v>
      </c>
      <c r="G966" s="511" t="s">
        <v>3785</v>
      </c>
      <c r="S966" s="1850" t="s">
        <v>8608</v>
      </c>
      <c r="T966" s="1850" t="s">
        <v>8609</v>
      </c>
    </row>
    <row r="967" spans="6:20">
      <c r="F967" s="512" t="s">
        <v>3786</v>
      </c>
      <c r="G967" s="511" t="s">
        <v>3787</v>
      </c>
      <c r="S967" s="1850" t="s">
        <v>8610</v>
      </c>
      <c r="T967" s="1850" t="s">
        <v>8611</v>
      </c>
    </row>
    <row r="968" spans="6:20">
      <c r="F968" s="512" t="s">
        <v>3788</v>
      </c>
      <c r="G968" s="511" t="s">
        <v>3789</v>
      </c>
      <c r="S968" s="1850" t="s">
        <v>8612</v>
      </c>
      <c r="T968" s="1850" t="s">
        <v>8613</v>
      </c>
    </row>
    <row r="969" spans="6:20">
      <c r="F969" s="512" t="s">
        <v>3790</v>
      </c>
      <c r="G969" s="511" t="s">
        <v>3791</v>
      </c>
      <c r="S969" s="1850" t="s">
        <v>8614</v>
      </c>
      <c r="T969" s="1850" t="s">
        <v>6721</v>
      </c>
    </row>
    <row r="970" spans="6:20">
      <c r="F970" s="512" t="s">
        <v>3792</v>
      </c>
      <c r="G970" s="511" t="s">
        <v>3793</v>
      </c>
      <c r="S970" s="1850" t="s">
        <v>8615</v>
      </c>
      <c r="T970" s="1850" t="s">
        <v>8616</v>
      </c>
    </row>
    <row r="971" spans="6:20">
      <c r="F971" s="512" t="s">
        <v>3794</v>
      </c>
      <c r="G971" s="511" t="s">
        <v>3795</v>
      </c>
      <c r="S971" s="1850" t="s">
        <v>8617</v>
      </c>
      <c r="T971" s="1850" t="s">
        <v>8618</v>
      </c>
    </row>
    <row r="972" spans="6:20">
      <c r="F972" s="512" t="s">
        <v>3796</v>
      </c>
      <c r="G972" s="511" t="s">
        <v>3797</v>
      </c>
      <c r="S972" s="1850" t="s">
        <v>8619</v>
      </c>
      <c r="T972" s="1850" t="s">
        <v>8620</v>
      </c>
    </row>
    <row r="973" spans="6:20">
      <c r="F973" s="512" t="s">
        <v>3798</v>
      </c>
      <c r="G973" s="511" t="s">
        <v>3799</v>
      </c>
      <c r="S973" s="1850" t="s">
        <v>8621</v>
      </c>
      <c r="T973" s="1850" t="s">
        <v>8622</v>
      </c>
    </row>
    <row r="974" spans="6:20">
      <c r="F974" s="512" t="s">
        <v>3800</v>
      </c>
      <c r="G974" s="511" t="s">
        <v>3801</v>
      </c>
      <c r="S974" s="1850" t="s">
        <v>8623</v>
      </c>
      <c r="T974" s="1850" t="s">
        <v>8624</v>
      </c>
    </row>
    <row r="975" spans="6:20">
      <c r="F975" s="512" t="s">
        <v>3802</v>
      </c>
      <c r="G975" s="511" t="s">
        <v>3803</v>
      </c>
      <c r="S975" s="1850" t="s">
        <v>8625</v>
      </c>
      <c r="T975" s="1850" t="s">
        <v>8626</v>
      </c>
    </row>
    <row r="976" spans="6:20">
      <c r="F976" s="512" t="s">
        <v>3804</v>
      </c>
      <c r="G976" s="511" t="s">
        <v>3805</v>
      </c>
      <c r="S976" s="1850" t="s">
        <v>8627</v>
      </c>
      <c r="T976" s="1850" t="s">
        <v>8628</v>
      </c>
    </row>
    <row r="977" spans="6:20">
      <c r="F977" s="512" t="s">
        <v>3806</v>
      </c>
      <c r="G977" s="511" t="s">
        <v>3807</v>
      </c>
      <c r="S977" s="1850" t="s">
        <v>8629</v>
      </c>
      <c r="T977" s="1850" t="s">
        <v>8475</v>
      </c>
    </row>
    <row r="978" spans="6:20">
      <c r="F978" s="512" t="s">
        <v>3808</v>
      </c>
      <c r="G978" s="511" t="s">
        <v>3809</v>
      </c>
      <c r="S978" s="1850" t="s">
        <v>8630</v>
      </c>
      <c r="T978" s="1850" t="s">
        <v>8477</v>
      </c>
    </row>
    <row r="979" spans="6:20">
      <c r="F979" s="512" t="s">
        <v>3810</v>
      </c>
      <c r="G979" s="511" t="s">
        <v>3811</v>
      </c>
      <c r="S979" s="1850" t="s">
        <v>8631</v>
      </c>
      <c r="T979" s="1850" t="s">
        <v>8479</v>
      </c>
    </row>
    <row r="980" spans="6:20">
      <c r="F980" s="512" t="s">
        <v>3812</v>
      </c>
      <c r="G980" s="511" t="s">
        <v>3813</v>
      </c>
      <c r="S980" s="1850" t="s">
        <v>8632</v>
      </c>
      <c r="T980" s="1850" t="s">
        <v>8481</v>
      </c>
    </row>
    <row r="981" spans="6:20">
      <c r="F981" s="512" t="s">
        <v>3814</v>
      </c>
      <c r="G981" s="511" t="s">
        <v>3815</v>
      </c>
      <c r="S981" s="1850" t="s">
        <v>8633</v>
      </c>
      <c r="T981" s="1850" t="s">
        <v>8483</v>
      </c>
    </row>
    <row r="982" spans="6:20">
      <c r="F982" s="512" t="s">
        <v>3816</v>
      </c>
      <c r="G982" s="511" t="s">
        <v>3817</v>
      </c>
      <c r="S982" s="1850" t="s">
        <v>8634</v>
      </c>
      <c r="T982" s="1850" t="s">
        <v>8485</v>
      </c>
    </row>
    <row r="983" spans="6:20">
      <c r="F983" s="512" t="s">
        <v>3818</v>
      </c>
      <c r="G983" s="511" t="s">
        <v>3819</v>
      </c>
      <c r="S983" s="1850" t="s">
        <v>8635</v>
      </c>
      <c r="T983" s="1850" t="s">
        <v>8636</v>
      </c>
    </row>
    <row r="984" spans="6:20">
      <c r="F984" s="512" t="s">
        <v>3820</v>
      </c>
      <c r="G984" s="511" t="s">
        <v>3821</v>
      </c>
      <c r="S984" s="1850" t="s">
        <v>8637</v>
      </c>
      <c r="T984" s="1850" t="s">
        <v>8475</v>
      </c>
    </row>
    <row r="985" spans="6:20">
      <c r="F985" s="512" t="s">
        <v>3822</v>
      </c>
      <c r="G985" s="511" t="s">
        <v>3823</v>
      </c>
      <c r="S985" s="1850" t="s">
        <v>8638</v>
      </c>
      <c r="T985" s="1850" t="s">
        <v>8477</v>
      </c>
    </row>
    <row r="986" spans="6:20">
      <c r="F986" s="512" t="s">
        <v>3824</v>
      </c>
      <c r="G986" s="511" t="s">
        <v>3825</v>
      </c>
      <c r="S986" s="1850" t="s">
        <v>8639</v>
      </c>
      <c r="T986" s="1850" t="s">
        <v>8479</v>
      </c>
    </row>
    <row r="987" spans="6:20">
      <c r="F987" s="512" t="s">
        <v>3826</v>
      </c>
      <c r="G987" s="511" t="s">
        <v>3827</v>
      </c>
      <c r="S987" s="1850" t="s">
        <v>8640</v>
      </c>
      <c r="T987" s="1850" t="s">
        <v>8481</v>
      </c>
    </row>
    <row r="988" spans="6:20">
      <c r="F988" s="512" t="s">
        <v>3828</v>
      </c>
      <c r="G988" s="511" t="s">
        <v>3829</v>
      </c>
      <c r="S988" s="1850" t="s">
        <v>8641</v>
      </c>
      <c r="T988" s="1850" t="s">
        <v>8483</v>
      </c>
    </row>
    <row r="989" spans="6:20">
      <c r="F989" s="512" t="s">
        <v>3830</v>
      </c>
      <c r="G989" s="511" t="s">
        <v>3831</v>
      </c>
      <c r="S989" s="1850" t="s">
        <v>8642</v>
      </c>
      <c r="T989" s="1850" t="s">
        <v>8485</v>
      </c>
    </row>
    <row r="990" spans="6:20">
      <c r="F990" s="512" t="s">
        <v>3832</v>
      </c>
      <c r="G990" s="511" t="s">
        <v>3833</v>
      </c>
      <c r="S990" s="1850" t="s">
        <v>8643</v>
      </c>
      <c r="T990" s="1850" t="s">
        <v>8644</v>
      </c>
    </row>
    <row r="991" spans="6:20">
      <c r="F991" s="512" t="s">
        <v>3834</v>
      </c>
      <c r="G991" s="511" t="s">
        <v>3835</v>
      </c>
      <c r="S991" s="1850" t="s">
        <v>8645</v>
      </c>
      <c r="T991" s="1850" t="s">
        <v>8646</v>
      </c>
    </row>
    <row r="992" spans="6:20">
      <c r="F992" s="512" t="s">
        <v>3836</v>
      </c>
      <c r="G992" s="511" t="s">
        <v>3837</v>
      </c>
      <c r="S992" s="1850" t="s">
        <v>8647</v>
      </c>
      <c r="T992" s="1850" t="s">
        <v>8648</v>
      </c>
    </row>
    <row r="993" spans="6:20">
      <c r="F993" s="512" t="s">
        <v>3838</v>
      </c>
      <c r="G993" s="511" t="s">
        <v>3839</v>
      </c>
      <c r="S993" s="1850" t="s">
        <v>8649</v>
      </c>
      <c r="T993" s="1850" t="s">
        <v>8650</v>
      </c>
    </row>
    <row r="994" spans="6:20">
      <c r="F994" s="512" t="s">
        <v>3840</v>
      </c>
      <c r="G994" s="511" t="s">
        <v>3841</v>
      </c>
      <c r="S994" s="1850" t="s">
        <v>8651</v>
      </c>
      <c r="T994" s="1850" t="s">
        <v>7153</v>
      </c>
    </row>
    <row r="995" spans="6:20">
      <c r="F995" s="512" t="s">
        <v>3842</v>
      </c>
      <c r="G995" s="511" t="s">
        <v>3843</v>
      </c>
      <c r="S995" s="1850" t="s">
        <v>8652</v>
      </c>
      <c r="T995" s="1850" t="s">
        <v>7155</v>
      </c>
    </row>
    <row r="996" spans="6:20">
      <c r="F996" s="512" t="s">
        <v>3844</v>
      </c>
      <c r="G996" s="511" t="s">
        <v>3845</v>
      </c>
      <c r="S996" s="1850" t="s">
        <v>8653</v>
      </c>
      <c r="T996" s="1850" t="s">
        <v>6729</v>
      </c>
    </row>
    <row r="997" spans="6:20">
      <c r="F997" s="512" t="s">
        <v>3846</v>
      </c>
      <c r="G997" s="511" t="s">
        <v>3847</v>
      </c>
      <c r="S997" s="1850" t="s">
        <v>8654</v>
      </c>
      <c r="T997" s="1850" t="s">
        <v>8655</v>
      </c>
    </row>
    <row r="998" spans="6:20">
      <c r="F998" s="512" t="s">
        <v>3848</v>
      </c>
      <c r="G998" s="511" t="s">
        <v>3849</v>
      </c>
      <c r="S998" s="1850" t="s">
        <v>8656</v>
      </c>
      <c r="T998" s="1850" t="s">
        <v>8657</v>
      </c>
    </row>
    <row r="999" spans="6:20">
      <c r="F999" s="512" t="s">
        <v>3850</v>
      </c>
      <c r="G999" s="511" t="s">
        <v>3851</v>
      </c>
      <c r="S999" s="1850" t="s">
        <v>8658</v>
      </c>
      <c r="T999" s="1850" t="s">
        <v>8659</v>
      </c>
    </row>
    <row r="1000" spans="6:20">
      <c r="F1000" s="512" t="s">
        <v>3852</v>
      </c>
      <c r="G1000" s="511" t="s">
        <v>3853</v>
      </c>
      <c r="S1000" s="1850" t="s">
        <v>8660</v>
      </c>
      <c r="T1000" s="1850" t="s">
        <v>8661</v>
      </c>
    </row>
    <row r="1001" spans="6:20">
      <c r="F1001" s="512" t="s">
        <v>3854</v>
      </c>
      <c r="G1001" s="511" t="s">
        <v>3855</v>
      </c>
      <c r="S1001" s="1850" t="s">
        <v>8662</v>
      </c>
      <c r="T1001" s="1850" t="s">
        <v>8663</v>
      </c>
    </row>
    <row r="1002" spans="6:20">
      <c r="F1002" s="512" t="s">
        <v>3856</v>
      </c>
      <c r="G1002" s="511" t="s">
        <v>3857</v>
      </c>
      <c r="S1002" s="1850" t="s">
        <v>8664</v>
      </c>
      <c r="T1002" s="1850" t="s">
        <v>8665</v>
      </c>
    </row>
    <row r="1003" spans="6:20">
      <c r="F1003" s="512" t="s">
        <v>3858</v>
      </c>
      <c r="G1003" s="511" t="s">
        <v>3859</v>
      </c>
      <c r="S1003" s="1850" t="s">
        <v>8666</v>
      </c>
      <c r="T1003" s="1850" t="s">
        <v>7153</v>
      </c>
    </row>
    <row r="1004" spans="6:20">
      <c r="F1004" s="512" t="s">
        <v>3860</v>
      </c>
      <c r="G1004" s="511" t="s">
        <v>3861</v>
      </c>
      <c r="S1004" s="1850" t="s">
        <v>8667</v>
      </c>
      <c r="T1004" s="1850" t="s">
        <v>7155</v>
      </c>
    </row>
    <row r="1005" spans="6:20">
      <c r="F1005" s="512" t="s">
        <v>3862</v>
      </c>
      <c r="G1005" s="511" t="s">
        <v>3863</v>
      </c>
      <c r="S1005" s="1850" t="s">
        <v>8668</v>
      </c>
      <c r="T1005" s="1850" t="s">
        <v>8669</v>
      </c>
    </row>
    <row r="1006" spans="6:20">
      <c r="F1006" s="512" t="s">
        <v>3864</v>
      </c>
      <c r="G1006" s="511" t="s">
        <v>3865</v>
      </c>
      <c r="S1006" s="1850" t="s">
        <v>8670</v>
      </c>
      <c r="T1006" s="1850" t="s">
        <v>8671</v>
      </c>
    </row>
    <row r="1007" spans="6:20">
      <c r="F1007" s="512" t="s">
        <v>3866</v>
      </c>
      <c r="G1007" s="511" t="s">
        <v>3867</v>
      </c>
      <c r="S1007" s="1850" t="s">
        <v>8672</v>
      </c>
      <c r="T1007" s="1850" t="s">
        <v>8673</v>
      </c>
    </row>
    <row r="1008" spans="6:20">
      <c r="F1008" s="512" t="s">
        <v>3868</v>
      </c>
      <c r="G1008" s="511" t="s">
        <v>3869</v>
      </c>
      <c r="S1008" s="1850" t="s">
        <v>8674</v>
      </c>
      <c r="T1008" s="1850" t="s">
        <v>8675</v>
      </c>
    </row>
    <row r="1009" spans="6:20">
      <c r="F1009" s="512" t="s">
        <v>3870</v>
      </c>
      <c r="G1009" s="511" t="s">
        <v>3871</v>
      </c>
      <c r="S1009" s="1850" t="s">
        <v>8676</v>
      </c>
      <c r="T1009" s="1850" t="s">
        <v>8677</v>
      </c>
    </row>
    <row r="1010" spans="6:20">
      <c r="F1010" s="512" t="s">
        <v>3872</v>
      </c>
      <c r="G1010" s="511" t="s">
        <v>3873</v>
      </c>
      <c r="S1010" s="1850" t="s">
        <v>8678</v>
      </c>
      <c r="T1010" s="1850" t="s">
        <v>8679</v>
      </c>
    </row>
    <row r="1011" spans="6:20">
      <c r="F1011" s="512" t="s">
        <v>3874</v>
      </c>
      <c r="G1011" s="511" t="s">
        <v>3875</v>
      </c>
      <c r="S1011" s="1850" t="s">
        <v>8680</v>
      </c>
      <c r="T1011" s="1850" t="s">
        <v>8681</v>
      </c>
    </row>
    <row r="1012" spans="6:20">
      <c r="F1012" s="512" t="s">
        <v>3876</v>
      </c>
      <c r="G1012" s="511" t="s">
        <v>3877</v>
      </c>
      <c r="S1012" s="1850" t="s">
        <v>8682</v>
      </c>
      <c r="T1012" s="1850" t="s">
        <v>6737</v>
      </c>
    </row>
    <row r="1013" spans="6:20">
      <c r="F1013" s="512" t="s">
        <v>3878</v>
      </c>
      <c r="G1013" s="511" t="s">
        <v>3879</v>
      </c>
      <c r="S1013" s="1850" t="s">
        <v>8683</v>
      </c>
      <c r="T1013" s="1850" t="s">
        <v>7153</v>
      </c>
    </row>
    <row r="1014" spans="6:20">
      <c r="F1014" s="512" t="s">
        <v>3880</v>
      </c>
      <c r="G1014" s="511" t="s">
        <v>3881</v>
      </c>
      <c r="S1014" s="1850" t="s">
        <v>8684</v>
      </c>
      <c r="T1014" s="1850" t="s">
        <v>7155</v>
      </c>
    </row>
    <row r="1015" spans="6:20">
      <c r="F1015" s="512" t="s">
        <v>3882</v>
      </c>
      <c r="G1015" s="511" t="s">
        <v>3883</v>
      </c>
      <c r="S1015" s="1850" t="s">
        <v>8685</v>
      </c>
      <c r="T1015" s="1850" t="s">
        <v>8686</v>
      </c>
    </row>
    <row r="1016" spans="6:20">
      <c r="F1016" s="512" t="s">
        <v>3884</v>
      </c>
      <c r="G1016" s="511" t="s">
        <v>3885</v>
      </c>
      <c r="S1016" s="1850" t="s">
        <v>8687</v>
      </c>
      <c r="T1016" s="1850" t="s">
        <v>8688</v>
      </c>
    </row>
    <row r="1017" spans="6:20">
      <c r="F1017" s="512" t="s">
        <v>3886</v>
      </c>
      <c r="G1017" s="511" t="s">
        <v>3887</v>
      </c>
      <c r="S1017" s="1850" t="s">
        <v>8689</v>
      </c>
      <c r="T1017" s="1850" t="s">
        <v>8690</v>
      </c>
    </row>
    <row r="1018" spans="6:20">
      <c r="F1018" s="512" t="s">
        <v>3888</v>
      </c>
      <c r="G1018" s="511" t="s">
        <v>3889</v>
      </c>
      <c r="S1018" s="1850" t="s">
        <v>8691</v>
      </c>
      <c r="T1018" s="1850" t="s">
        <v>8692</v>
      </c>
    </row>
    <row r="1019" spans="6:20">
      <c r="F1019" s="512" t="s">
        <v>3890</v>
      </c>
      <c r="G1019" s="511" t="s">
        <v>3891</v>
      </c>
      <c r="S1019" s="1850" t="s">
        <v>8693</v>
      </c>
      <c r="T1019" s="1850" t="s">
        <v>8694</v>
      </c>
    </row>
    <row r="1020" spans="6:20">
      <c r="F1020" s="512" t="s">
        <v>3892</v>
      </c>
      <c r="G1020" s="511" t="s">
        <v>3893</v>
      </c>
      <c r="S1020" s="1850" t="s">
        <v>8695</v>
      </c>
      <c r="T1020" s="1850" t="s">
        <v>8696</v>
      </c>
    </row>
    <row r="1021" spans="6:20">
      <c r="F1021" s="512" t="s">
        <v>3894</v>
      </c>
      <c r="G1021" s="511" t="s">
        <v>3895</v>
      </c>
      <c r="S1021" s="1850" t="s">
        <v>8697</v>
      </c>
      <c r="T1021" s="1850" t="s">
        <v>7153</v>
      </c>
    </row>
    <row r="1022" spans="6:20">
      <c r="F1022" s="512" t="s">
        <v>3896</v>
      </c>
      <c r="G1022" s="511" t="s">
        <v>3897</v>
      </c>
      <c r="S1022" s="1850" t="s">
        <v>8698</v>
      </c>
      <c r="T1022" s="1850" t="s">
        <v>8699</v>
      </c>
    </row>
    <row r="1023" spans="6:20">
      <c r="F1023" s="512" t="s">
        <v>3898</v>
      </c>
      <c r="G1023" s="511" t="s">
        <v>3899</v>
      </c>
      <c r="S1023" s="1850" t="s">
        <v>8700</v>
      </c>
      <c r="T1023" s="1850" t="s">
        <v>8701</v>
      </c>
    </row>
    <row r="1024" spans="6:20">
      <c r="F1024" s="512" t="s">
        <v>3900</v>
      </c>
      <c r="G1024" s="511" t="s">
        <v>3901</v>
      </c>
      <c r="S1024" s="1850" t="s">
        <v>8702</v>
      </c>
      <c r="T1024" s="1850" t="s">
        <v>8703</v>
      </c>
    </row>
    <row r="1025" spans="6:20">
      <c r="F1025" s="512" t="s">
        <v>3902</v>
      </c>
      <c r="G1025" s="511" t="s">
        <v>3903</v>
      </c>
      <c r="S1025" s="1850" t="s">
        <v>8704</v>
      </c>
      <c r="T1025" s="1850" t="s">
        <v>8705</v>
      </c>
    </row>
    <row r="1026" spans="6:20">
      <c r="F1026" s="512" t="s">
        <v>3904</v>
      </c>
      <c r="G1026" s="511" t="s">
        <v>3905</v>
      </c>
      <c r="S1026" s="1850" t="s">
        <v>8706</v>
      </c>
      <c r="T1026" s="1850" t="s">
        <v>8707</v>
      </c>
    </row>
    <row r="1027" spans="6:20">
      <c r="F1027" s="512" t="s">
        <v>3906</v>
      </c>
      <c r="G1027" s="511" t="s">
        <v>3907</v>
      </c>
      <c r="S1027" s="1850" t="s">
        <v>8708</v>
      </c>
      <c r="T1027" s="1850" t="s">
        <v>8709</v>
      </c>
    </row>
    <row r="1028" spans="6:20">
      <c r="F1028" s="512" t="s">
        <v>3908</v>
      </c>
      <c r="G1028" s="511" t="s">
        <v>3909</v>
      </c>
      <c r="S1028" s="1850" t="s">
        <v>8710</v>
      </c>
      <c r="T1028" s="1850" t="s">
        <v>7153</v>
      </c>
    </row>
    <row r="1029" spans="6:20">
      <c r="F1029" s="512" t="s">
        <v>3910</v>
      </c>
      <c r="G1029" s="511" t="s">
        <v>3911</v>
      </c>
      <c r="S1029" s="1850" t="s">
        <v>8711</v>
      </c>
      <c r="T1029" s="1850" t="s">
        <v>7155</v>
      </c>
    </row>
    <row r="1030" spans="6:20">
      <c r="F1030" s="512" t="s">
        <v>3912</v>
      </c>
      <c r="G1030" s="511" t="s">
        <v>3913</v>
      </c>
      <c r="S1030" s="1850" t="s">
        <v>8712</v>
      </c>
      <c r="T1030" s="1850" t="s">
        <v>6743</v>
      </c>
    </row>
    <row r="1031" spans="6:20">
      <c r="F1031" s="512" t="s">
        <v>3914</v>
      </c>
      <c r="G1031" s="511" t="s">
        <v>3915</v>
      </c>
      <c r="S1031" s="1850" t="s">
        <v>8713</v>
      </c>
      <c r="T1031" s="1850" t="s">
        <v>7153</v>
      </c>
    </row>
    <row r="1032" spans="6:20">
      <c r="F1032" s="512" t="s">
        <v>3916</v>
      </c>
      <c r="G1032" s="511" t="s">
        <v>3917</v>
      </c>
      <c r="S1032" s="1850" t="s">
        <v>8714</v>
      </c>
      <c r="T1032" s="1850" t="s">
        <v>8715</v>
      </c>
    </row>
    <row r="1033" spans="6:20">
      <c r="F1033" s="512" t="s">
        <v>3918</v>
      </c>
      <c r="G1033" s="511" t="s">
        <v>3919</v>
      </c>
      <c r="S1033" s="1850" t="s">
        <v>8716</v>
      </c>
      <c r="T1033" s="1850" t="s">
        <v>8717</v>
      </c>
    </row>
    <row r="1034" spans="6:20">
      <c r="F1034" s="512" t="s">
        <v>3920</v>
      </c>
      <c r="G1034" s="511" t="s">
        <v>3921</v>
      </c>
      <c r="S1034" s="1850" t="s">
        <v>8718</v>
      </c>
      <c r="T1034" s="1850" t="s">
        <v>8719</v>
      </c>
    </row>
    <row r="1035" spans="6:20">
      <c r="F1035" s="512" t="s">
        <v>3922</v>
      </c>
      <c r="G1035" s="511" t="s">
        <v>3923</v>
      </c>
      <c r="S1035" s="1850" t="s">
        <v>8720</v>
      </c>
      <c r="T1035" s="1850" t="s">
        <v>8721</v>
      </c>
    </row>
    <row r="1036" spans="6:20">
      <c r="F1036" s="512" t="s">
        <v>3924</v>
      </c>
      <c r="G1036" s="511" t="s">
        <v>3925</v>
      </c>
      <c r="S1036" s="1850" t="s">
        <v>8722</v>
      </c>
      <c r="T1036" s="1850" t="s">
        <v>7153</v>
      </c>
    </row>
    <row r="1037" spans="6:20">
      <c r="F1037" s="512" t="s">
        <v>3926</v>
      </c>
      <c r="G1037" s="511" t="s">
        <v>3927</v>
      </c>
      <c r="S1037" s="1850" t="s">
        <v>8723</v>
      </c>
      <c r="T1037" s="1850" t="s">
        <v>7155</v>
      </c>
    </row>
    <row r="1038" spans="6:20">
      <c r="F1038" s="512" t="s">
        <v>3928</v>
      </c>
      <c r="G1038" s="511" t="s">
        <v>3929</v>
      </c>
      <c r="S1038" s="1850" t="s">
        <v>8724</v>
      </c>
      <c r="T1038" s="1850" t="s">
        <v>8725</v>
      </c>
    </row>
    <row r="1039" spans="6:20">
      <c r="F1039" s="512" t="s">
        <v>3930</v>
      </c>
      <c r="G1039" s="511" t="s">
        <v>3931</v>
      </c>
      <c r="S1039" s="1850" t="s">
        <v>8726</v>
      </c>
      <c r="T1039" s="1850" t="s">
        <v>8727</v>
      </c>
    </row>
    <row r="1040" spans="6:20">
      <c r="F1040" s="512" t="s">
        <v>3932</v>
      </c>
      <c r="G1040" s="511" t="s">
        <v>3933</v>
      </c>
      <c r="S1040" s="1850" t="s">
        <v>8728</v>
      </c>
      <c r="T1040" s="1850" t="s">
        <v>8729</v>
      </c>
    </row>
    <row r="1041" spans="6:20">
      <c r="F1041" s="512" t="s">
        <v>3934</v>
      </c>
      <c r="G1041" s="511" t="s">
        <v>3935</v>
      </c>
      <c r="S1041" s="1850" t="s">
        <v>8730</v>
      </c>
      <c r="T1041" s="1850" t="s">
        <v>7153</v>
      </c>
    </row>
    <row r="1042" spans="6:20">
      <c r="F1042" s="512" t="s">
        <v>3936</v>
      </c>
      <c r="G1042" s="511" t="s">
        <v>3937</v>
      </c>
      <c r="S1042" s="1850" t="s">
        <v>8731</v>
      </c>
      <c r="T1042" s="1850" t="s">
        <v>7155</v>
      </c>
    </row>
    <row r="1043" spans="6:20">
      <c r="F1043" s="512" t="s">
        <v>3938</v>
      </c>
      <c r="G1043" s="511" t="s">
        <v>3939</v>
      </c>
      <c r="S1043" s="1850" t="s">
        <v>8732</v>
      </c>
      <c r="T1043" s="1850" t="s">
        <v>8733</v>
      </c>
    </row>
    <row r="1044" spans="6:20">
      <c r="F1044" s="512" t="s">
        <v>3940</v>
      </c>
      <c r="G1044" s="511" t="s">
        <v>3941</v>
      </c>
      <c r="S1044" s="1850" t="s">
        <v>8734</v>
      </c>
      <c r="T1044" s="1850" t="s">
        <v>8735</v>
      </c>
    </row>
    <row r="1045" spans="6:20">
      <c r="F1045" s="512" t="s">
        <v>3942</v>
      </c>
      <c r="G1045" s="511" t="s">
        <v>3943</v>
      </c>
      <c r="S1045" s="1850" t="s">
        <v>8736</v>
      </c>
      <c r="T1045" s="1850" t="s">
        <v>7153</v>
      </c>
    </row>
    <row r="1046" spans="6:20">
      <c r="F1046" s="512" t="s">
        <v>3944</v>
      </c>
      <c r="G1046" s="511" t="s">
        <v>3945</v>
      </c>
      <c r="S1046" s="1850" t="s">
        <v>8737</v>
      </c>
      <c r="T1046" s="1850" t="s">
        <v>7155</v>
      </c>
    </row>
    <row r="1047" spans="6:20">
      <c r="F1047" s="512" t="s">
        <v>3946</v>
      </c>
      <c r="G1047" s="511" t="s">
        <v>3947</v>
      </c>
      <c r="S1047" s="1850" t="s">
        <v>8738</v>
      </c>
      <c r="T1047" s="1850" t="s">
        <v>6748</v>
      </c>
    </row>
    <row r="1048" spans="6:20">
      <c r="F1048" s="512" t="s">
        <v>3948</v>
      </c>
      <c r="G1048" s="511" t="s">
        <v>3949</v>
      </c>
      <c r="S1048" s="1850" t="s">
        <v>8739</v>
      </c>
      <c r="T1048" s="1850" t="s">
        <v>8740</v>
      </c>
    </row>
    <row r="1049" spans="6:20">
      <c r="F1049" s="512" t="s">
        <v>3950</v>
      </c>
      <c r="G1049" s="511" t="s">
        <v>3951</v>
      </c>
      <c r="S1049" s="1850" t="s">
        <v>8741</v>
      </c>
      <c r="T1049" s="1850" t="s">
        <v>8742</v>
      </c>
    </row>
    <row r="1050" spans="6:20">
      <c r="F1050" s="512" t="s">
        <v>3952</v>
      </c>
      <c r="G1050" s="511" t="s">
        <v>3953</v>
      </c>
      <c r="S1050" s="1850" t="s">
        <v>8743</v>
      </c>
      <c r="T1050" s="1850" t="s">
        <v>8744</v>
      </c>
    </row>
    <row r="1051" spans="6:20">
      <c r="F1051" s="512" t="s">
        <v>3954</v>
      </c>
      <c r="G1051" s="511" t="s">
        <v>3955</v>
      </c>
      <c r="S1051" s="1850" t="s">
        <v>8745</v>
      </c>
      <c r="T1051" s="1850" t="s">
        <v>8746</v>
      </c>
    </row>
    <row r="1052" spans="6:20">
      <c r="F1052" s="512" t="s">
        <v>3956</v>
      </c>
      <c r="G1052" s="511" t="s">
        <v>3957</v>
      </c>
      <c r="S1052" s="1850" t="s">
        <v>8747</v>
      </c>
      <c r="T1052" s="1850" t="s">
        <v>8748</v>
      </c>
    </row>
    <row r="1053" spans="6:20">
      <c r="F1053" s="512" t="s">
        <v>3958</v>
      </c>
      <c r="G1053" s="511" t="s">
        <v>3959</v>
      </c>
      <c r="S1053" s="1850" t="s">
        <v>8749</v>
      </c>
      <c r="T1053" s="1850" t="s">
        <v>8750</v>
      </c>
    </row>
    <row r="1054" spans="6:20">
      <c r="F1054" s="512" t="s">
        <v>3960</v>
      </c>
      <c r="G1054" s="511" t="s">
        <v>3961</v>
      </c>
      <c r="S1054" s="1850" t="s">
        <v>8751</v>
      </c>
      <c r="T1054" s="1850" t="s">
        <v>8752</v>
      </c>
    </row>
    <row r="1055" spans="6:20">
      <c r="F1055" s="512" t="s">
        <v>3962</v>
      </c>
      <c r="G1055" s="511" t="s">
        <v>3963</v>
      </c>
      <c r="S1055" s="1850" t="s">
        <v>8753</v>
      </c>
      <c r="T1055" s="1850" t="s">
        <v>8754</v>
      </c>
    </row>
    <row r="1056" spans="6:20">
      <c r="F1056" s="512" t="s">
        <v>3964</v>
      </c>
      <c r="G1056" s="511" t="s">
        <v>3965</v>
      </c>
      <c r="S1056" s="1850" t="s">
        <v>8755</v>
      </c>
      <c r="T1056" s="1850" t="s">
        <v>8756</v>
      </c>
    </row>
    <row r="1057" spans="6:20">
      <c r="F1057" s="512" t="s">
        <v>3966</v>
      </c>
      <c r="G1057" s="511" t="s">
        <v>3967</v>
      </c>
      <c r="S1057" s="1850" t="s">
        <v>8757</v>
      </c>
      <c r="T1057" s="1850" t="s">
        <v>8758</v>
      </c>
    </row>
    <row r="1058" spans="6:20">
      <c r="F1058" s="512" t="s">
        <v>3968</v>
      </c>
      <c r="G1058" s="511" t="s">
        <v>3969</v>
      </c>
      <c r="S1058" s="1850" t="s">
        <v>8759</v>
      </c>
      <c r="T1058" s="1850" t="s">
        <v>8760</v>
      </c>
    </row>
    <row r="1059" spans="6:20">
      <c r="F1059" s="512" t="s">
        <v>3970</v>
      </c>
      <c r="G1059" s="511" t="s">
        <v>3971</v>
      </c>
      <c r="S1059" s="1850" t="s">
        <v>8761</v>
      </c>
      <c r="T1059" s="1850" t="s">
        <v>8762</v>
      </c>
    </row>
    <row r="1060" spans="6:20">
      <c r="F1060" s="512" t="s">
        <v>3972</v>
      </c>
      <c r="G1060" s="511" t="s">
        <v>3973</v>
      </c>
      <c r="S1060" s="1850" t="s">
        <v>8763</v>
      </c>
      <c r="T1060" s="1850" t="s">
        <v>8764</v>
      </c>
    </row>
    <row r="1061" spans="6:20">
      <c r="F1061" s="512" t="s">
        <v>3974</v>
      </c>
      <c r="G1061" s="511" t="s">
        <v>3975</v>
      </c>
      <c r="S1061" s="1850" t="s">
        <v>8765</v>
      </c>
      <c r="T1061" s="1850" t="s">
        <v>8766</v>
      </c>
    </row>
    <row r="1062" spans="6:20">
      <c r="F1062" s="512" t="s">
        <v>3976</v>
      </c>
      <c r="G1062" s="511" t="s">
        <v>3977</v>
      </c>
      <c r="S1062" s="1850" t="s">
        <v>8767</v>
      </c>
      <c r="T1062" s="1850" t="s">
        <v>8768</v>
      </c>
    </row>
    <row r="1063" spans="6:20">
      <c r="F1063" s="512" t="s">
        <v>3978</v>
      </c>
      <c r="G1063" s="511" t="s">
        <v>3979</v>
      </c>
      <c r="S1063" s="1850" t="s">
        <v>8769</v>
      </c>
      <c r="T1063" s="1850" t="s">
        <v>8770</v>
      </c>
    </row>
    <row r="1064" spans="6:20">
      <c r="F1064" s="512" t="s">
        <v>3980</v>
      </c>
      <c r="G1064" s="511" t="s">
        <v>3981</v>
      </c>
      <c r="S1064" s="1850" t="s">
        <v>8771</v>
      </c>
      <c r="T1064" s="1850" t="s">
        <v>8772</v>
      </c>
    </row>
    <row r="1065" spans="6:20">
      <c r="F1065" s="512" t="s">
        <v>3982</v>
      </c>
      <c r="G1065" s="511" t="s">
        <v>3983</v>
      </c>
      <c r="S1065" s="1850" t="s">
        <v>8773</v>
      </c>
      <c r="T1065" s="1850" t="s">
        <v>8774</v>
      </c>
    </row>
    <row r="1066" spans="6:20">
      <c r="F1066" s="512" t="s">
        <v>3984</v>
      </c>
      <c r="G1066" s="511" t="s">
        <v>3985</v>
      </c>
      <c r="S1066" s="1850" t="s">
        <v>8775</v>
      </c>
      <c r="T1066" s="1850" t="s">
        <v>8776</v>
      </c>
    </row>
    <row r="1067" spans="6:20">
      <c r="F1067" s="512" t="s">
        <v>3986</v>
      </c>
      <c r="G1067" s="511" t="s">
        <v>3987</v>
      </c>
      <c r="S1067" s="1850" t="s">
        <v>8777</v>
      </c>
      <c r="T1067" s="1850" t="s">
        <v>8778</v>
      </c>
    </row>
    <row r="1068" spans="6:20">
      <c r="F1068" s="512" t="s">
        <v>3988</v>
      </c>
      <c r="G1068" s="511" t="s">
        <v>3989</v>
      </c>
      <c r="S1068" s="1850" t="s">
        <v>8779</v>
      </c>
      <c r="T1068" s="1850" t="s">
        <v>8780</v>
      </c>
    </row>
    <row r="1069" spans="6:20">
      <c r="F1069" s="512" t="s">
        <v>3990</v>
      </c>
      <c r="G1069" s="511" t="s">
        <v>3991</v>
      </c>
      <c r="S1069" s="1850" t="s">
        <v>8781</v>
      </c>
      <c r="T1069" s="1850" t="s">
        <v>8782</v>
      </c>
    </row>
    <row r="1070" spans="6:20">
      <c r="F1070" s="512" t="s">
        <v>3992</v>
      </c>
      <c r="G1070" s="511" t="s">
        <v>3993</v>
      </c>
      <c r="S1070" s="1850" t="s">
        <v>8783</v>
      </c>
      <c r="T1070" s="1850" t="s">
        <v>8784</v>
      </c>
    </row>
    <row r="1071" spans="6:20">
      <c r="F1071" s="512" t="s">
        <v>3994</v>
      </c>
      <c r="G1071" s="511" t="s">
        <v>3995</v>
      </c>
      <c r="S1071" s="1850" t="s">
        <v>8785</v>
      </c>
      <c r="T1071" s="1850" t="s">
        <v>8786</v>
      </c>
    </row>
    <row r="1072" spans="6:20">
      <c r="F1072" s="512" t="s">
        <v>3996</v>
      </c>
      <c r="G1072" s="511" t="s">
        <v>3997</v>
      </c>
      <c r="S1072" s="1850" t="s">
        <v>8787</v>
      </c>
      <c r="T1072" s="1850" t="s">
        <v>8788</v>
      </c>
    </row>
    <row r="1073" spans="6:20">
      <c r="F1073" s="512" t="s">
        <v>3998</v>
      </c>
      <c r="G1073" s="511" t="s">
        <v>3999</v>
      </c>
      <c r="S1073" s="1850" t="s">
        <v>8789</v>
      </c>
      <c r="T1073" s="1850" t="s">
        <v>7153</v>
      </c>
    </row>
    <row r="1074" spans="6:20">
      <c r="F1074" s="512" t="s">
        <v>4000</v>
      </c>
      <c r="G1074" s="511" t="s">
        <v>4001</v>
      </c>
      <c r="S1074" s="1850" t="s">
        <v>8790</v>
      </c>
      <c r="T1074" s="1850" t="s">
        <v>7155</v>
      </c>
    </row>
    <row r="1075" spans="6:20">
      <c r="F1075" s="512" t="s">
        <v>4002</v>
      </c>
      <c r="G1075" s="511" t="s">
        <v>4003</v>
      </c>
      <c r="S1075" s="1850" t="s">
        <v>8791</v>
      </c>
      <c r="T1075" s="1850" t="s">
        <v>8792</v>
      </c>
    </row>
    <row r="1076" spans="6:20">
      <c r="F1076" s="512" t="s">
        <v>4004</v>
      </c>
      <c r="G1076" s="511" t="s">
        <v>4005</v>
      </c>
      <c r="S1076" s="1850" t="s">
        <v>8793</v>
      </c>
      <c r="T1076" s="1850" t="s">
        <v>8794</v>
      </c>
    </row>
    <row r="1077" spans="6:20">
      <c r="F1077" s="512" t="s">
        <v>4006</v>
      </c>
      <c r="G1077" s="511" t="s">
        <v>4007</v>
      </c>
      <c r="S1077" s="1850" t="s">
        <v>8795</v>
      </c>
      <c r="T1077" s="1850" t="s">
        <v>8796</v>
      </c>
    </row>
    <row r="1078" spans="6:20">
      <c r="F1078" s="512" t="s">
        <v>4008</v>
      </c>
      <c r="G1078" s="511" t="s">
        <v>4009</v>
      </c>
      <c r="S1078" s="1850" t="s">
        <v>8797</v>
      </c>
      <c r="T1078" s="1850" t="s">
        <v>7155</v>
      </c>
    </row>
    <row r="1079" spans="6:20">
      <c r="F1079" s="512" t="s">
        <v>4010</v>
      </c>
      <c r="G1079" s="511" t="s">
        <v>4011</v>
      </c>
      <c r="S1079" s="1850" t="s">
        <v>8798</v>
      </c>
      <c r="T1079" s="1850" t="s">
        <v>8799</v>
      </c>
    </row>
    <row r="1080" spans="6:20">
      <c r="F1080" s="512" t="s">
        <v>4012</v>
      </c>
      <c r="G1080" s="511" t="s">
        <v>4013</v>
      </c>
      <c r="S1080" s="1850" t="s">
        <v>8800</v>
      </c>
      <c r="T1080" s="1850" t="s">
        <v>8801</v>
      </c>
    </row>
    <row r="1081" spans="6:20">
      <c r="F1081" s="512" t="s">
        <v>4014</v>
      </c>
      <c r="G1081" s="511" t="s">
        <v>4015</v>
      </c>
      <c r="S1081" s="1850" t="s">
        <v>8802</v>
      </c>
      <c r="T1081" s="1850" t="s">
        <v>8803</v>
      </c>
    </row>
    <row r="1082" spans="6:20">
      <c r="F1082" s="512" t="s">
        <v>4016</v>
      </c>
      <c r="G1082" s="511" t="s">
        <v>4017</v>
      </c>
      <c r="S1082" s="1850" t="s">
        <v>8804</v>
      </c>
      <c r="T1082" s="1850" t="s">
        <v>8805</v>
      </c>
    </row>
    <row r="1083" spans="6:20">
      <c r="F1083" s="512" t="s">
        <v>4018</v>
      </c>
      <c r="G1083" s="511" t="s">
        <v>4019</v>
      </c>
      <c r="S1083" s="1850" t="s">
        <v>8806</v>
      </c>
      <c r="T1083" s="1850" t="s">
        <v>8807</v>
      </c>
    </row>
    <row r="1084" spans="6:20">
      <c r="F1084" s="512" t="s">
        <v>4020</v>
      </c>
      <c r="G1084" s="511" t="s">
        <v>4021</v>
      </c>
      <c r="S1084" s="1850" t="s">
        <v>8808</v>
      </c>
      <c r="T1084" s="1850" t="s">
        <v>8809</v>
      </c>
    </row>
    <row r="1085" spans="6:20">
      <c r="F1085" s="512" t="s">
        <v>4022</v>
      </c>
      <c r="G1085" s="511" t="s">
        <v>4023</v>
      </c>
      <c r="S1085" s="1850" t="s">
        <v>8810</v>
      </c>
      <c r="T1085" s="1850" t="s">
        <v>8811</v>
      </c>
    </row>
    <row r="1086" spans="6:20">
      <c r="F1086" s="512" t="s">
        <v>4024</v>
      </c>
      <c r="G1086" s="511" t="s">
        <v>4025</v>
      </c>
      <c r="S1086" s="1850" t="s">
        <v>8812</v>
      </c>
      <c r="T1086" s="1850" t="s">
        <v>8813</v>
      </c>
    </row>
    <row r="1087" spans="6:20">
      <c r="F1087" s="512" t="s">
        <v>4026</v>
      </c>
      <c r="G1087" s="511" t="s">
        <v>4027</v>
      </c>
      <c r="S1087" s="1850" t="s">
        <v>8814</v>
      </c>
      <c r="T1087" s="1850" t="s">
        <v>8815</v>
      </c>
    </row>
    <row r="1088" spans="6:20">
      <c r="F1088" s="512" t="s">
        <v>4028</v>
      </c>
      <c r="G1088" s="511" t="s">
        <v>4029</v>
      </c>
      <c r="S1088" s="1850" t="s">
        <v>8816</v>
      </c>
      <c r="T1088" s="1850" t="s">
        <v>8817</v>
      </c>
    </row>
    <row r="1089" spans="6:20">
      <c r="F1089" s="512" t="s">
        <v>4030</v>
      </c>
      <c r="G1089" s="511" t="s">
        <v>4031</v>
      </c>
      <c r="S1089" s="1850" t="s">
        <v>8818</v>
      </c>
      <c r="T1089" s="1850" t="s">
        <v>8819</v>
      </c>
    </row>
    <row r="1090" spans="6:20">
      <c r="F1090" s="512" t="s">
        <v>4032</v>
      </c>
      <c r="G1090" s="511" t="s">
        <v>4033</v>
      </c>
      <c r="S1090" s="1850" t="s">
        <v>8820</v>
      </c>
      <c r="T1090" s="1850" t="s">
        <v>8821</v>
      </c>
    </row>
    <row r="1091" spans="6:20">
      <c r="F1091" s="512" t="s">
        <v>4034</v>
      </c>
      <c r="G1091" s="511" t="s">
        <v>4035</v>
      </c>
      <c r="S1091" s="1850" t="s">
        <v>8822</v>
      </c>
      <c r="T1091" s="1850" t="s">
        <v>8823</v>
      </c>
    </row>
    <row r="1092" spans="6:20">
      <c r="F1092" s="512" t="s">
        <v>4036</v>
      </c>
      <c r="G1092" s="511" t="s">
        <v>4037</v>
      </c>
      <c r="S1092" s="1850" t="s">
        <v>8824</v>
      </c>
      <c r="T1092" s="1850" t="s">
        <v>7153</v>
      </c>
    </row>
    <row r="1093" spans="6:20">
      <c r="F1093" s="512" t="s">
        <v>4038</v>
      </c>
      <c r="G1093" s="511" t="s">
        <v>4039</v>
      </c>
      <c r="S1093" s="1850" t="s">
        <v>8825</v>
      </c>
      <c r="T1093" s="1850" t="s">
        <v>7155</v>
      </c>
    </row>
    <row r="1094" spans="6:20">
      <c r="F1094" s="512" t="s">
        <v>4040</v>
      </c>
      <c r="G1094" s="511" t="s">
        <v>4041</v>
      </c>
      <c r="S1094" s="1850" t="s">
        <v>8826</v>
      </c>
      <c r="T1094" s="1850" t="s">
        <v>8827</v>
      </c>
    </row>
    <row r="1095" spans="6:20">
      <c r="F1095" s="512" t="s">
        <v>4042</v>
      </c>
      <c r="G1095" s="511" t="s">
        <v>4043</v>
      </c>
      <c r="S1095" s="1850" t="s">
        <v>8828</v>
      </c>
      <c r="T1095" s="1850" t="s">
        <v>8829</v>
      </c>
    </row>
    <row r="1096" spans="6:20">
      <c r="F1096" s="512" t="s">
        <v>4044</v>
      </c>
      <c r="G1096" s="511" t="s">
        <v>4045</v>
      </c>
      <c r="S1096" s="1850" t="s">
        <v>8830</v>
      </c>
      <c r="T1096" s="1850" t="s">
        <v>8831</v>
      </c>
    </row>
    <row r="1097" spans="6:20">
      <c r="F1097" s="512" t="s">
        <v>4046</v>
      </c>
      <c r="G1097" s="511" t="s">
        <v>4047</v>
      </c>
      <c r="S1097" s="1850" t="s">
        <v>8832</v>
      </c>
      <c r="T1097" s="1850" t="s">
        <v>8833</v>
      </c>
    </row>
    <row r="1098" spans="6:20">
      <c r="F1098" s="512" t="s">
        <v>4048</v>
      </c>
      <c r="G1098" s="511" t="s">
        <v>4049</v>
      </c>
      <c r="S1098" s="1850" t="s">
        <v>8834</v>
      </c>
      <c r="T1098" s="1850" t="s">
        <v>8835</v>
      </c>
    </row>
    <row r="1099" spans="6:20">
      <c r="F1099" s="512" t="s">
        <v>4050</v>
      </c>
      <c r="G1099" s="511" t="s">
        <v>4051</v>
      </c>
      <c r="S1099" s="1850" t="s">
        <v>8836</v>
      </c>
      <c r="T1099" s="1850" t="s">
        <v>8837</v>
      </c>
    </row>
    <row r="1100" spans="6:20">
      <c r="F1100" s="512" t="s">
        <v>4052</v>
      </c>
      <c r="G1100" s="511" t="s">
        <v>4053</v>
      </c>
      <c r="S1100" s="1850" t="s">
        <v>8838</v>
      </c>
      <c r="T1100" s="1850" t="s">
        <v>8839</v>
      </c>
    </row>
    <row r="1101" spans="6:20">
      <c r="F1101" s="512" t="s">
        <v>4054</v>
      </c>
      <c r="G1101" s="511" t="s">
        <v>4055</v>
      </c>
      <c r="S1101" s="1850" t="s">
        <v>8840</v>
      </c>
      <c r="T1101" s="1850" t="s">
        <v>8841</v>
      </c>
    </row>
    <row r="1102" spans="6:20">
      <c r="F1102" s="512" t="s">
        <v>4056</v>
      </c>
      <c r="G1102" s="511" t="s">
        <v>4057</v>
      </c>
      <c r="S1102" s="1850" t="s">
        <v>8842</v>
      </c>
      <c r="T1102" s="1850" t="s">
        <v>8843</v>
      </c>
    </row>
    <row r="1103" spans="6:20">
      <c r="F1103" s="512" t="s">
        <v>4058</v>
      </c>
      <c r="G1103" s="511" t="s">
        <v>4059</v>
      </c>
      <c r="S1103" s="1850" t="s">
        <v>8844</v>
      </c>
      <c r="T1103" s="1850" t="s">
        <v>8845</v>
      </c>
    </row>
    <row r="1104" spans="6:20">
      <c r="F1104" s="512" t="s">
        <v>4060</v>
      </c>
      <c r="G1104" s="511" t="s">
        <v>4061</v>
      </c>
      <c r="S1104" s="1850" t="s">
        <v>8846</v>
      </c>
      <c r="T1104" s="1850" t="s">
        <v>8847</v>
      </c>
    </row>
    <row r="1105" spans="6:20">
      <c r="F1105" s="512" t="s">
        <v>4062</v>
      </c>
      <c r="G1105" s="511" t="s">
        <v>4063</v>
      </c>
      <c r="S1105" s="1850" t="s">
        <v>8848</v>
      </c>
      <c r="T1105" s="1850" t="s">
        <v>8849</v>
      </c>
    </row>
    <row r="1106" spans="6:20">
      <c r="F1106" s="512" t="s">
        <v>4064</v>
      </c>
      <c r="G1106" s="511" t="s">
        <v>4065</v>
      </c>
      <c r="S1106" s="1850" t="s">
        <v>8850</v>
      </c>
      <c r="T1106" s="1850" t="s">
        <v>8851</v>
      </c>
    </row>
    <row r="1107" spans="6:20">
      <c r="F1107" s="512" t="s">
        <v>4066</v>
      </c>
      <c r="G1107" s="511" t="s">
        <v>4067</v>
      </c>
      <c r="S1107" s="1850" t="s">
        <v>8852</v>
      </c>
      <c r="T1107" s="1850" t="s">
        <v>8853</v>
      </c>
    </row>
    <row r="1108" spans="6:20">
      <c r="F1108" s="512" t="s">
        <v>4068</v>
      </c>
      <c r="G1108" s="511" t="s">
        <v>4069</v>
      </c>
      <c r="S1108" s="1850" t="s">
        <v>8854</v>
      </c>
      <c r="T1108" s="1850" t="s">
        <v>8855</v>
      </c>
    </row>
    <row r="1109" spans="6:20">
      <c r="F1109" s="512" t="s">
        <v>4070</v>
      </c>
      <c r="G1109" s="511" t="s">
        <v>4071</v>
      </c>
      <c r="S1109" s="1850" t="s">
        <v>8856</v>
      </c>
      <c r="T1109" s="1850" t="s">
        <v>8857</v>
      </c>
    </row>
    <row r="1110" spans="6:20">
      <c r="F1110" s="512" t="s">
        <v>4072</v>
      </c>
      <c r="G1110" s="511" t="s">
        <v>4073</v>
      </c>
      <c r="S1110" s="1850" t="s">
        <v>8858</v>
      </c>
      <c r="T1110" s="1850" t="s">
        <v>8859</v>
      </c>
    </row>
    <row r="1111" spans="6:20">
      <c r="F1111" s="512" t="s">
        <v>4074</v>
      </c>
      <c r="G1111" s="511" t="s">
        <v>4075</v>
      </c>
      <c r="S1111" s="1850" t="s">
        <v>8860</v>
      </c>
      <c r="T1111" s="1850" t="s">
        <v>8861</v>
      </c>
    </row>
    <row r="1112" spans="6:20">
      <c r="F1112" s="512" t="s">
        <v>4076</v>
      </c>
      <c r="G1112" s="511" t="s">
        <v>4077</v>
      </c>
      <c r="S1112" s="1850" t="s">
        <v>8862</v>
      </c>
      <c r="T1112" s="1850" t="s">
        <v>7153</v>
      </c>
    </row>
    <row r="1113" spans="6:20">
      <c r="F1113" s="512" t="s">
        <v>4078</v>
      </c>
      <c r="G1113" s="511" t="s">
        <v>4079</v>
      </c>
      <c r="S1113" s="1850" t="s">
        <v>8863</v>
      </c>
      <c r="T1113" s="1850" t="s">
        <v>7155</v>
      </c>
    </row>
    <row r="1114" spans="6:20">
      <c r="F1114" s="512" t="s">
        <v>4080</v>
      </c>
      <c r="G1114" s="511" t="s">
        <v>4081</v>
      </c>
      <c r="S1114" s="1850" t="s">
        <v>8864</v>
      </c>
      <c r="T1114" s="1850" t="s">
        <v>8865</v>
      </c>
    </row>
    <row r="1115" spans="6:20">
      <c r="F1115" s="512" t="s">
        <v>4082</v>
      </c>
      <c r="G1115" s="511" t="s">
        <v>4083</v>
      </c>
      <c r="S1115" s="1850" t="s">
        <v>8866</v>
      </c>
      <c r="T1115" s="1850" t="s">
        <v>8867</v>
      </c>
    </row>
    <row r="1116" spans="6:20">
      <c r="F1116" s="512" t="s">
        <v>4084</v>
      </c>
      <c r="G1116" s="511" t="s">
        <v>4085</v>
      </c>
      <c r="S1116" s="1850" t="s">
        <v>8868</v>
      </c>
      <c r="T1116" s="1850" t="s">
        <v>8869</v>
      </c>
    </row>
    <row r="1117" spans="6:20">
      <c r="F1117" s="512" t="s">
        <v>4086</v>
      </c>
      <c r="G1117" s="511" t="s">
        <v>4087</v>
      </c>
      <c r="S1117" s="1850" t="s">
        <v>8870</v>
      </c>
      <c r="T1117" s="1850" t="s">
        <v>8871</v>
      </c>
    </row>
    <row r="1118" spans="6:20">
      <c r="F1118" s="512" t="s">
        <v>4088</v>
      </c>
      <c r="G1118" s="511" t="s">
        <v>4089</v>
      </c>
      <c r="S1118" s="1850" t="s">
        <v>8872</v>
      </c>
      <c r="T1118" s="1850" t="s">
        <v>7153</v>
      </c>
    </row>
    <row r="1119" spans="6:20">
      <c r="F1119" s="512" t="s">
        <v>4090</v>
      </c>
      <c r="G1119" s="511" t="s">
        <v>4091</v>
      </c>
      <c r="S1119" s="1850" t="s">
        <v>8873</v>
      </c>
      <c r="T1119" s="1850" t="s">
        <v>7155</v>
      </c>
    </row>
    <row r="1120" spans="6:20">
      <c r="F1120" s="512" t="s">
        <v>4092</v>
      </c>
      <c r="G1120" s="511" t="s">
        <v>4093</v>
      </c>
      <c r="S1120" s="1850" t="s">
        <v>8874</v>
      </c>
      <c r="T1120" s="1850" t="s">
        <v>8875</v>
      </c>
    </row>
    <row r="1121" spans="6:20">
      <c r="F1121" s="512" t="s">
        <v>4094</v>
      </c>
      <c r="G1121" s="511" t="s">
        <v>4095</v>
      </c>
      <c r="S1121" s="1850" t="s">
        <v>8876</v>
      </c>
      <c r="T1121" s="1850" t="s">
        <v>8877</v>
      </c>
    </row>
    <row r="1122" spans="6:20">
      <c r="F1122" s="512" t="s">
        <v>4096</v>
      </c>
      <c r="G1122" s="511" t="s">
        <v>4097</v>
      </c>
      <c r="S1122" s="1850" t="s">
        <v>8878</v>
      </c>
      <c r="T1122" s="1850" t="s">
        <v>5630</v>
      </c>
    </row>
    <row r="1123" spans="6:20">
      <c r="F1123" s="512" t="s">
        <v>4098</v>
      </c>
      <c r="G1123" s="511" t="s">
        <v>4099</v>
      </c>
      <c r="S1123" s="1850" t="s">
        <v>8879</v>
      </c>
      <c r="T1123" s="1850" t="s">
        <v>5069</v>
      </c>
    </row>
    <row r="1124" spans="6:20">
      <c r="F1124" s="512" t="s">
        <v>4100</v>
      </c>
      <c r="G1124" s="511" t="s">
        <v>4101</v>
      </c>
      <c r="S1124" s="1850" t="s">
        <v>8880</v>
      </c>
      <c r="T1124" s="1850" t="s">
        <v>8881</v>
      </c>
    </row>
    <row r="1125" spans="6:20">
      <c r="F1125" s="512" t="s">
        <v>4102</v>
      </c>
      <c r="G1125" s="511" t="s">
        <v>4103</v>
      </c>
      <c r="S1125" s="1850" t="s">
        <v>8882</v>
      </c>
      <c r="T1125" s="1850" t="s">
        <v>7153</v>
      </c>
    </row>
    <row r="1126" spans="6:20">
      <c r="F1126" s="512" t="s">
        <v>4104</v>
      </c>
      <c r="G1126" s="511" t="s">
        <v>4105</v>
      </c>
      <c r="S1126" s="1850" t="s">
        <v>8883</v>
      </c>
      <c r="T1126" s="1850" t="s">
        <v>7155</v>
      </c>
    </row>
    <row r="1127" spans="6:20">
      <c r="F1127" s="512" t="s">
        <v>4106</v>
      </c>
      <c r="G1127" s="511" t="s">
        <v>4107</v>
      </c>
      <c r="S1127" s="1850" t="s">
        <v>8884</v>
      </c>
      <c r="T1127" s="1850" t="s">
        <v>8885</v>
      </c>
    </row>
    <row r="1128" spans="6:20">
      <c r="F1128" s="512" t="s">
        <v>4108</v>
      </c>
      <c r="G1128" s="511" t="s">
        <v>4109</v>
      </c>
      <c r="S1128" s="1850" t="s">
        <v>8886</v>
      </c>
      <c r="T1128" s="1850" t="s">
        <v>5630</v>
      </c>
    </row>
    <row r="1129" spans="6:20">
      <c r="F1129" s="512" t="s">
        <v>4110</v>
      </c>
      <c r="G1129" s="511" t="s">
        <v>4111</v>
      </c>
    </row>
    <row r="1130" spans="6:20">
      <c r="F1130" s="512" t="s">
        <v>4112</v>
      </c>
      <c r="G1130" s="511" t="s">
        <v>4113</v>
      </c>
    </row>
    <row r="1131" spans="6:20">
      <c r="F1131" s="512" t="s">
        <v>4114</v>
      </c>
      <c r="G1131" s="511" t="s">
        <v>4115</v>
      </c>
    </row>
    <row r="1132" spans="6:20">
      <c r="F1132" s="512" t="s">
        <v>4116</v>
      </c>
      <c r="G1132" s="511" t="s">
        <v>4117</v>
      </c>
    </row>
    <row r="1133" spans="6:20">
      <c r="F1133" s="512" t="s">
        <v>4118</v>
      </c>
      <c r="G1133" s="511" t="s">
        <v>4119</v>
      </c>
    </row>
    <row r="1134" spans="6:20">
      <c r="F1134" s="512" t="s">
        <v>4120</v>
      </c>
      <c r="G1134" s="511" t="s">
        <v>4121</v>
      </c>
    </row>
    <row r="1135" spans="6:20">
      <c r="F1135" s="512" t="s">
        <v>4122</v>
      </c>
      <c r="G1135" s="511" t="s">
        <v>4123</v>
      </c>
    </row>
    <row r="1136" spans="6:20">
      <c r="F1136" s="512" t="s">
        <v>4124</v>
      </c>
      <c r="G1136" s="511" t="s">
        <v>4125</v>
      </c>
    </row>
    <row r="1137" spans="6:7">
      <c r="F1137" s="512" t="s">
        <v>4126</v>
      </c>
      <c r="G1137" s="511" t="s">
        <v>4127</v>
      </c>
    </row>
    <row r="1138" spans="6:7">
      <c r="F1138" s="512" t="s">
        <v>4128</v>
      </c>
      <c r="G1138" s="511" t="s">
        <v>4129</v>
      </c>
    </row>
    <row r="1139" spans="6:7">
      <c r="F1139" s="512" t="s">
        <v>4130</v>
      </c>
      <c r="G1139" s="511" t="s">
        <v>4131</v>
      </c>
    </row>
    <row r="1140" spans="6:7">
      <c r="F1140" s="512" t="s">
        <v>4132</v>
      </c>
      <c r="G1140" s="511" t="s">
        <v>4133</v>
      </c>
    </row>
    <row r="1141" spans="6:7">
      <c r="F1141" s="512" t="s">
        <v>4134</v>
      </c>
      <c r="G1141" s="511" t="s">
        <v>4135</v>
      </c>
    </row>
    <row r="1142" spans="6:7">
      <c r="F1142" s="512" t="s">
        <v>4136</v>
      </c>
      <c r="G1142" s="511" t="s">
        <v>4137</v>
      </c>
    </row>
    <row r="1143" spans="6:7">
      <c r="F1143" s="512" t="s">
        <v>4138</v>
      </c>
      <c r="G1143" s="511" t="s">
        <v>4139</v>
      </c>
    </row>
    <row r="1144" spans="6:7">
      <c r="F1144" s="512" t="s">
        <v>4140</v>
      </c>
      <c r="G1144" s="511" t="s">
        <v>4141</v>
      </c>
    </row>
    <row r="1145" spans="6:7">
      <c r="F1145" s="512" t="s">
        <v>4142</v>
      </c>
      <c r="G1145" s="511" t="s">
        <v>4143</v>
      </c>
    </row>
    <row r="1146" spans="6:7">
      <c r="F1146" s="512" t="s">
        <v>4144</v>
      </c>
      <c r="G1146" s="511" t="s">
        <v>4145</v>
      </c>
    </row>
    <row r="1147" spans="6:7">
      <c r="F1147" s="512" t="s">
        <v>4146</v>
      </c>
      <c r="G1147" s="511" t="s">
        <v>4147</v>
      </c>
    </row>
    <row r="1148" spans="6:7">
      <c r="F1148" s="512" t="s">
        <v>4148</v>
      </c>
      <c r="G1148" s="511" t="s">
        <v>4149</v>
      </c>
    </row>
    <row r="1149" spans="6:7">
      <c r="F1149" s="512" t="s">
        <v>4150</v>
      </c>
      <c r="G1149" s="511" t="s">
        <v>4151</v>
      </c>
    </row>
    <row r="1150" spans="6:7">
      <c r="F1150" s="512" t="s">
        <v>4152</v>
      </c>
      <c r="G1150" s="511" t="s">
        <v>4153</v>
      </c>
    </row>
    <row r="1151" spans="6:7">
      <c r="F1151" s="512" t="s">
        <v>4154</v>
      </c>
      <c r="G1151" s="511" t="s">
        <v>4155</v>
      </c>
    </row>
    <row r="1152" spans="6:7">
      <c r="F1152" s="512" t="s">
        <v>4156</v>
      </c>
      <c r="G1152" s="511" t="s">
        <v>4157</v>
      </c>
    </row>
    <row r="1153" spans="6:7">
      <c r="F1153" s="512" t="s">
        <v>4158</v>
      </c>
      <c r="G1153" s="511" t="s">
        <v>4159</v>
      </c>
    </row>
    <row r="1154" spans="6:7">
      <c r="F1154" s="512" t="s">
        <v>4160</v>
      </c>
      <c r="G1154" s="511" t="s">
        <v>4161</v>
      </c>
    </row>
    <row r="1155" spans="6:7">
      <c r="F1155" s="512" t="s">
        <v>4162</v>
      </c>
      <c r="G1155" s="511" t="s">
        <v>4163</v>
      </c>
    </row>
    <row r="1156" spans="6:7">
      <c r="F1156" s="512" t="s">
        <v>4164</v>
      </c>
      <c r="G1156" s="511" t="s">
        <v>4165</v>
      </c>
    </row>
    <row r="1157" spans="6:7">
      <c r="F1157" s="512" t="s">
        <v>4166</v>
      </c>
      <c r="G1157" s="511" t="s">
        <v>4167</v>
      </c>
    </row>
    <row r="1158" spans="6:7">
      <c r="F1158" s="512" t="s">
        <v>4168</v>
      </c>
      <c r="G1158" s="511" t="s">
        <v>4169</v>
      </c>
    </row>
    <row r="1159" spans="6:7">
      <c r="F1159" s="512" t="s">
        <v>4170</v>
      </c>
      <c r="G1159" s="511" t="s">
        <v>4171</v>
      </c>
    </row>
    <row r="1160" spans="6:7">
      <c r="F1160" s="512" t="s">
        <v>4172</v>
      </c>
      <c r="G1160" s="511" t="s">
        <v>4173</v>
      </c>
    </row>
    <row r="1161" spans="6:7">
      <c r="F1161" s="512" t="s">
        <v>4174</v>
      </c>
      <c r="G1161" s="511" t="s">
        <v>4175</v>
      </c>
    </row>
    <row r="1162" spans="6:7">
      <c r="F1162" s="512" t="s">
        <v>4176</v>
      </c>
      <c r="G1162" s="511" t="s">
        <v>4177</v>
      </c>
    </row>
    <row r="1164" spans="6:7">
      <c r="F1164" s="509" t="s">
        <v>1769</v>
      </c>
      <c r="G1164" s="509"/>
    </row>
    <row r="1165" spans="6:7">
      <c r="F1165" s="512" t="s">
        <v>1770</v>
      </c>
      <c r="G1165" s="511" t="s">
        <v>4179</v>
      </c>
    </row>
    <row r="1166" spans="6:7">
      <c r="F1166" s="512" t="s">
        <v>1771</v>
      </c>
      <c r="G1166" s="511" t="s">
        <v>4180</v>
      </c>
    </row>
    <row r="1167" spans="6:7">
      <c r="F1167" s="512" t="s">
        <v>1772</v>
      </c>
      <c r="G1167" s="511" t="s">
        <v>4181</v>
      </c>
    </row>
    <row r="1168" spans="6:7">
      <c r="F1168" s="512" t="s">
        <v>1773</v>
      </c>
      <c r="G1168" s="511" t="s">
        <v>4182</v>
      </c>
    </row>
    <row r="1169" spans="6:7">
      <c r="F1169" s="512" t="s">
        <v>1774</v>
      </c>
      <c r="G1169" s="511" t="s">
        <v>4183</v>
      </c>
    </row>
    <row r="1170" spans="6:7">
      <c r="F1170" s="512" t="s">
        <v>1775</v>
      </c>
      <c r="G1170" s="511" t="s">
        <v>4184</v>
      </c>
    </row>
    <row r="1171" spans="6:7">
      <c r="F1171" s="512" t="s">
        <v>1776</v>
      </c>
      <c r="G1171" s="511" t="s">
        <v>4185</v>
      </c>
    </row>
    <row r="1172" spans="6:7">
      <c r="F1172" s="512" t="s">
        <v>1777</v>
      </c>
      <c r="G1172" s="511" t="s">
        <v>4186</v>
      </c>
    </row>
    <row r="1173" spans="6:7">
      <c r="F1173" s="512" t="s">
        <v>1778</v>
      </c>
      <c r="G1173" s="511" t="s">
        <v>4187</v>
      </c>
    </row>
    <row r="1174" spans="6:7">
      <c r="F1174" s="512" t="s">
        <v>1779</v>
      </c>
      <c r="G1174" s="511" t="s">
        <v>4188</v>
      </c>
    </row>
    <row r="1175" spans="6:7">
      <c r="F1175" s="512" t="s">
        <v>1780</v>
      </c>
      <c r="G1175" s="511" t="s">
        <v>4189</v>
      </c>
    </row>
    <row r="1176" spans="6:7">
      <c r="F1176" s="512" t="s">
        <v>1781</v>
      </c>
      <c r="G1176" s="511" t="s">
        <v>4190</v>
      </c>
    </row>
    <row r="1177" spans="6:7">
      <c r="F1177" s="512" t="s">
        <v>1782</v>
      </c>
      <c r="G1177" s="511" t="s">
        <v>4191</v>
      </c>
    </row>
    <row r="1178" spans="6:7">
      <c r="F1178" s="512" t="s">
        <v>1783</v>
      </c>
      <c r="G1178" s="511" t="s">
        <v>4192</v>
      </c>
    </row>
    <row r="1179" spans="6:7">
      <c r="F1179" s="512" t="s">
        <v>1784</v>
      </c>
      <c r="G1179" s="511" t="s">
        <v>4193</v>
      </c>
    </row>
    <row r="1180" spans="6:7">
      <c r="F1180" s="512" t="s">
        <v>1785</v>
      </c>
      <c r="G1180" s="511" t="s">
        <v>4194</v>
      </c>
    </row>
    <row r="1181" spans="6:7">
      <c r="F1181" s="512" t="s">
        <v>1786</v>
      </c>
      <c r="G1181" s="511" t="s">
        <v>4195</v>
      </c>
    </row>
    <row r="1182" spans="6:7">
      <c r="F1182" s="512" t="s">
        <v>1787</v>
      </c>
      <c r="G1182" s="511" t="s">
        <v>4196</v>
      </c>
    </row>
    <row r="1183" spans="6:7">
      <c r="F1183" s="512" t="s">
        <v>1788</v>
      </c>
      <c r="G1183" s="511" t="s">
        <v>4197</v>
      </c>
    </row>
    <row r="1184" spans="6:7">
      <c r="F1184" s="512" t="s">
        <v>1789</v>
      </c>
      <c r="G1184" s="511" t="s">
        <v>4177</v>
      </c>
    </row>
  </sheetData>
  <sheetProtection sheet="1" objects="1" scenarios="1"/>
  <phoneticPr fontId="135"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pageSetUpPr fitToPage="1"/>
  </sheetPr>
  <dimension ref="B1:Q44"/>
  <sheetViews>
    <sheetView workbookViewId="0">
      <selection activeCell="H2" sqref="H2:I2"/>
    </sheetView>
  </sheetViews>
  <sheetFormatPr defaultColWidth="8.875" defaultRowHeight="13.5"/>
  <cols>
    <col min="1" max="1" width="2.25" style="489" customWidth="1"/>
    <col min="2" max="2" width="6.25" style="489" customWidth="1"/>
    <col min="3" max="3" width="13.875" style="489" customWidth="1"/>
    <col min="4" max="4" width="6.25" style="489" customWidth="1"/>
    <col min="5" max="5" width="13.875" style="489" customWidth="1"/>
    <col min="6" max="6" width="6.25" style="489" customWidth="1"/>
    <col min="7" max="7" width="13.875" style="489" customWidth="1"/>
    <col min="8" max="8" width="6.25" style="489" customWidth="1"/>
    <col min="9" max="9" width="13.875" style="489" customWidth="1"/>
    <col min="10" max="10" width="6.25" style="489" customWidth="1"/>
    <col min="11" max="11" width="13.875" style="489" customWidth="1"/>
    <col min="12" max="12" width="6.25" style="489" customWidth="1"/>
    <col min="13" max="13" width="13.875" style="489" customWidth="1"/>
    <col min="14" max="14" width="6.25" style="489" customWidth="1"/>
    <col min="15" max="15" width="13.875" style="489" customWidth="1"/>
    <col min="16" max="16" width="6.25" style="489" customWidth="1"/>
    <col min="17" max="17" width="13.875" style="489" customWidth="1"/>
    <col min="18" max="16384" width="8.875" style="489"/>
  </cols>
  <sheetData>
    <row r="1" spans="2:17" ht="61.5">
      <c r="B1" s="490" t="s">
        <v>1635</v>
      </c>
    </row>
    <row r="2" spans="2:17" ht="37.15" customHeight="1">
      <c r="B2" s="2459" t="s">
        <v>4323</v>
      </c>
      <c r="C2" s="2460"/>
      <c r="D2" s="2461" t="s">
        <v>4320</v>
      </c>
      <c r="E2" s="2462"/>
      <c r="F2" s="2463" t="s">
        <v>4321</v>
      </c>
      <c r="G2" s="2464"/>
      <c r="H2" s="2465" t="s">
        <v>6633</v>
      </c>
      <c r="I2" s="2466"/>
      <c r="J2" s="2467" t="s">
        <v>4322</v>
      </c>
      <c r="K2" s="2468"/>
      <c r="L2" s="2453" t="s">
        <v>4324</v>
      </c>
      <c r="M2" s="2454"/>
      <c r="N2" s="2455" t="s">
        <v>1644</v>
      </c>
      <c r="O2" s="2456"/>
      <c r="P2" s="2457" t="s">
        <v>4325</v>
      </c>
      <c r="Q2" s="2458"/>
    </row>
    <row r="3" spans="2:17" ht="14.25">
      <c r="B3" s="2424" t="s">
        <v>1636</v>
      </c>
      <c r="C3" s="2425" t="str">
        <f>HYPERLINK("#'档案封面'!A1","档案封面")</f>
        <v>档案封面</v>
      </c>
      <c r="D3" s="2424" t="s">
        <v>1645</v>
      </c>
      <c r="E3" s="2425" t="str">
        <f>HYPERLINK("#'基本情况'!A1","基本情况")</f>
        <v>基本情况</v>
      </c>
      <c r="F3" s="2424" t="s">
        <v>1646</v>
      </c>
      <c r="G3" s="2425" t="str">
        <f>HYPERLINK("#'货币资金'!A1","货币资金")</f>
        <v>货币资金</v>
      </c>
      <c r="H3" s="2424" t="s">
        <v>6634</v>
      </c>
      <c r="I3" s="2425" t="str">
        <f>HYPERLINK("#'应付'!A1","应付")</f>
        <v>应付</v>
      </c>
      <c r="J3" s="2424" t="s">
        <v>1654</v>
      </c>
      <c r="K3" s="2425" t="str">
        <f>HYPERLINK("#'主营收支'!A1","主营收支")</f>
        <v>主营收支</v>
      </c>
      <c r="L3" s="2424" t="s">
        <v>1655</v>
      </c>
      <c r="M3" s="2425" t="str">
        <f>HYPERLINK("#'调整事项'!A1","调整事项")</f>
        <v>调整事项</v>
      </c>
      <c r="N3" s="2424" t="s">
        <v>1656</v>
      </c>
      <c r="O3" s="2425" t="str">
        <f>HYPERLINK("#'报告正文'!A1","报告正文")</f>
        <v>报告正文</v>
      </c>
      <c r="P3" s="2424" t="s">
        <v>1664</v>
      </c>
      <c r="Q3" s="2424"/>
    </row>
    <row r="4" spans="2:17" ht="28.5">
      <c r="B4" s="2424" t="s">
        <v>1637</v>
      </c>
      <c r="C4" s="2425" t="str">
        <f>HYPERLINK("#'待办事项'!A1","待办事项")</f>
        <v>待办事项</v>
      </c>
      <c r="D4" s="2424" t="s">
        <v>4237</v>
      </c>
      <c r="E4" s="2425" t="str">
        <f>HYPERLINK("#'资产负债表'!A1","资产负债表")</f>
        <v>资产负债表</v>
      </c>
      <c r="F4" s="2424" t="s">
        <v>1647</v>
      </c>
      <c r="G4" s="2425" t="str">
        <f>HYPERLINK("#'现金证明'!A1","现金证明")</f>
        <v>现金证明</v>
      </c>
      <c r="H4" s="2424" t="s">
        <v>6635</v>
      </c>
      <c r="I4" s="2425" t="str">
        <f>HYPERLINK("#'预收'!A1","预收")</f>
        <v>预收</v>
      </c>
      <c r="J4" s="2424" t="s">
        <v>6084</v>
      </c>
      <c r="K4" s="2425" t="str">
        <f>HYPERLINK("#'其他业务'!A1","其他业务")</f>
        <v>其他业务</v>
      </c>
      <c r="L4" s="2424" t="s">
        <v>6098</v>
      </c>
      <c r="M4" s="2425" t="str">
        <f>HYPERLINK("#'无限期结转扣除项目审核表'!A1","无限期结转扣除项目审核表")</f>
        <v>无限期结转扣除项目审核表</v>
      </c>
      <c r="N4" s="2424" t="s">
        <v>1657</v>
      </c>
      <c r="O4" s="2425" t="str">
        <f>HYPERLINK("#'企业基本情况'!A1","企业基本情况")</f>
        <v>企业基本情况</v>
      </c>
      <c r="P4" s="2424"/>
      <c r="Q4" s="2424"/>
    </row>
    <row r="5" spans="2:17" ht="28.5">
      <c r="B5" s="2424" t="s">
        <v>1638</v>
      </c>
      <c r="C5" s="2425" t="str">
        <f>HYPERLINK("#'签发单'!A1","签发单")</f>
        <v>签发单</v>
      </c>
      <c r="D5" s="2424" t="s">
        <v>4238</v>
      </c>
      <c r="E5" s="2425" t="str">
        <f>HYPERLINK("#'利润表'!A1","利润表")</f>
        <v>利润表</v>
      </c>
      <c r="F5" s="2424" t="s">
        <v>1648</v>
      </c>
      <c r="G5" s="2425" t="str">
        <f>HYPERLINK("#'银行调节'!A1","银行调节")</f>
        <v>银行调节</v>
      </c>
      <c r="H5" s="2424" t="s">
        <v>6636</v>
      </c>
      <c r="I5" s="2425" t="str">
        <f>HYPERLINK("#'其他应付'!A1","其他应付")</f>
        <v>其他应付</v>
      </c>
      <c r="J5" s="2424" t="s">
        <v>6085</v>
      </c>
      <c r="K5" s="2425" t="str">
        <f>HYPERLINK("#'应交税费'!A1","应交税费")</f>
        <v>应交税费</v>
      </c>
      <c r="L5" s="2424" t="s">
        <v>6099</v>
      </c>
      <c r="M5" s="2425" t="str">
        <f>HYPERLINK("#'跨年度确认所得情况表'!A1","跨年度确认所得情况表")</f>
        <v>跨年度确认所得情况表</v>
      </c>
      <c r="N5" s="2424" t="s">
        <v>1658</v>
      </c>
      <c r="O5" s="2425" t="str">
        <f>HYPERLINK("#'封面'!A1","封面")</f>
        <v>封面</v>
      </c>
      <c r="P5" s="2424"/>
      <c r="Q5" s="2424"/>
    </row>
    <row r="6" spans="2:17" ht="28.5">
      <c r="B6" s="2424" t="s">
        <v>1639</v>
      </c>
      <c r="C6" s="2425" t="str">
        <f>HYPERLINK("#'三级复核'!A1","三级复核")</f>
        <v>三级复核</v>
      </c>
      <c r="D6" s="2424" t="s">
        <v>4239</v>
      </c>
      <c r="E6" s="2425" t="str">
        <f>HYPERLINK("#'余额表'!A1","余额表")</f>
        <v>余额表</v>
      </c>
      <c r="F6" s="2424" t="s">
        <v>1649</v>
      </c>
      <c r="G6" s="2425" t="str">
        <f>HYPERLINK("#'应收'!A1","应收")</f>
        <v>应收</v>
      </c>
      <c r="H6" s="2424" t="s">
        <v>6637</v>
      </c>
      <c r="I6" s="2425" t="str">
        <f>HYPERLINK("#'借款'!A1","借款")</f>
        <v>借款</v>
      </c>
      <c r="J6" s="2424" t="s">
        <v>6086</v>
      </c>
      <c r="K6" s="2425" t="str">
        <f>HYPERLINK("#'收入与申报核对表'!A1","收入与申报核对表")</f>
        <v>收入与申报核对表</v>
      </c>
      <c r="L6" s="2424" t="s">
        <v>6100</v>
      </c>
      <c r="M6" s="2425" t="str">
        <f>HYPERLINK("#'公允价值变动审定表'!A1","公允价值变动审定表")</f>
        <v>公允价值变动审定表</v>
      </c>
      <c r="N6" s="2424" t="s">
        <v>1659</v>
      </c>
      <c r="O6" s="2425" t="str">
        <f>HYPERLINK("#'企业所得税年度纳税申报表填报表单'!A1","企业所得税年度纳税申报表填报表单")</f>
        <v>企业所得税年度纳税申报表填报表单</v>
      </c>
      <c r="P6" s="2424"/>
      <c r="Q6" s="2424"/>
    </row>
    <row r="7" spans="2:17" ht="28.5">
      <c r="B7" s="2424" t="s">
        <v>1640</v>
      </c>
      <c r="C7" s="2425" t="str">
        <f>HYPERLINK("#'业务约定'!A1","业务约定")</f>
        <v>业务约定</v>
      </c>
      <c r="D7" s="2424" t="s">
        <v>4240</v>
      </c>
      <c r="E7" s="2425" t="str">
        <f>HYPERLINK("#'检查表'!A1","检查表")</f>
        <v>检查表</v>
      </c>
      <c r="F7" s="2424" t="s">
        <v>1650</v>
      </c>
      <c r="G7" s="2425" t="str">
        <f>HYPERLINK("#'预付'!A1","预付")</f>
        <v>预付</v>
      </c>
      <c r="H7" s="2424" t="s">
        <v>6638</v>
      </c>
      <c r="I7" s="2425" t="str">
        <f>HYPERLINK("#'实收公积'!A1","实收公积")</f>
        <v>实收公积</v>
      </c>
      <c r="J7" s="2424" t="s">
        <v>6087</v>
      </c>
      <c r="K7" s="2425" t="str">
        <f>HYPERLINK("#'毛利分析'!A1","毛利分析")</f>
        <v>毛利分析</v>
      </c>
      <c r="L7" s="2424" t="s">
        <v>6101</v>
      </c>
      <c r="M7" s="2425" t="str">
        <f>HYPERLINK("#'减值准备审核表'!A1","减值准备审核表")</f>
        <v>减值准备审核表</v>
      </c>
      <c r="N7" s="2424" t="s">
        <v>1660</v>
      </c>
      <c r="O7" s="2425" t="str">
        <f>HYPERLINK("#'A000000 企业基础信息表'!A1","A000000 企业基础信息表")</f>
        <v>A000000 企业基础信息表</v>
      </c>
      <c r="P7" s="2424"/>
      <c r="Q7" s="2424"/>
    </row>
    <row r="8" spans="2:17" ht="57">
      <c r="B8" s="2424" t="s">
        <v>1641</v>
      </c>
      <c r="C8" s="2425" t="str">
        <f>HYPERLINK("#'税审收费标准'!A1","税审收费标准")</f>
        <v>税审收费标准</v>
      </c>
      <c r="D8" s="2424" t="s">
        <v>6649</v>
      </c>
      <c r="E8" s="2425" t="str">
        <f>HYPERLINK("#'凭证检查'!A1","凭证检查")</f>
        <v>凭证检查</v>
      </c>
      <c r="F8" s="2424" t="s">
        <v>1651</v>
      </c>
      <c r="G8" s="2425" t="str">
        <f>HYPERLINK("#'其他应收'!A1","其他应收")</f>
        <v>其他应收</v>
      </c>
      <c r="H8" s="2424" t="s">
        <v>6639</v>
      </c>
      <c r="I8" s="2425" t="str">
        <f>HYPERLINK("#'未分利润'!A1","未分利润")</f>
        <v>未分利润</v>
      </c>
      <c r="J8" s="2424" t="s">
        <v>6088</v>
      </c>
      <c r="K8" s="2425" t="str">
        <f>HYPERLINK("#'制造费用、生产成本'!A1","制造费用、生产成本")</f>
        <v>制造费用、生产成本</v>
      </c>
      <c r="L8" s="2424" t="s">
        <v>6102</v>
      </c>
      <c r="M8" s="2425" t="str">
        <f>HYPERLINK("#'视同销售和房地产开发企业特定业务审核表'!A1","视同销售和房地产开发企业特定业务审核表")</f>
        <v>视同销售和房地产开发企业特定业务审核表</v>
      </c>
      <c r="N8" s="2424" t="s">
        <v>1661</v>
      </c>
      <c r="O8" s="2425" t="str">
        <f>HYPERLINK("#'A100000 中华人民共和国企业所得税年度纳税申报表（A类）'!A1","A100000 中华人民共和国企业所得税年度纳税申报表（A类）")</f>
        <v>A100000 中华人民共和国企业所得税年度纳税申报表（A类）</v>
      </c>
      <c r="P8" s="2424"/>
      <c r="Q8" s="2424"/>
    </row>
    <row r="9" spans="2:17" ht="28.5">
      <c r="B9" s="2424" t="s">
        <v>1642</v>
      </c>
      <c r="C9" s="2425" t="str">
        <f>HYPERLINK("#'当局声明'!A1","当局声明")</f>
        <v>当局声明</v>
      </c>
      <c r="D9" s="2424"/>
      <c r="E9" s="2424"/>
      <c r="F9" s="2424" t="s">
        <v>1652</v>
      </c>
      <c r="G9" s="2425" t="str">
        <f>HYPERLINK("#'存货'!A1","存货")</f>
        <v>存货</v>
      </c>
      <c r="H9" s="2424"/>
      <c r="I9" s="2424"/>
      <c r="J9" s="2424" t="s">
        <v>6089</v>
      </c>
      <c r="K9" s="2425" t="str">
        <f>HYPERLINK("#'成本倒轧'!A1","成本倒轧")</f>
        <v>成本倒轧</v>
      </c>
      <c r="L9" s="2424" t="s">
        <v>6103</v>
      </c>
      <c r="M9" s="2425" t="str">
        <f>HYPERLINK("#'未按权责发生制确认收入审核表'!A1","未按权责发生制确认收入审核表")</f>
        <v>未按权责发生制确认收入审核表</v>
      </c>
      <c r="N9" s="2424" t="s">
        <v>1662</v>
      </c>
      <c r="O9" s="2425" t="str">
        <f>HYPERLINK("#'A101010 一般企业收入明细表'!A1","A101010 一般企业收入明细表")</f>
        <v>A101010 一般企业收入明细表</v>
      </c>
      <c r="P9" s="2424"/>
      <c r="Q9" s="2424"/>
    </row>
    <row r="10" spans="2:17" ht="28.5">
      <c r="B10" s="2424" t="s">
        <v>1643</v>
      </c>
      <c r="C10" s="2425" t="str">
        <f>HYPERLINK("#'计划'!A1","计划")</f>
        <v>计划</v>
      </c>
      <c r="D10" s="2424"/>
      <c r="E10" s="2424"/>
      <c r="F10" s="2424" t="s">
        <v>1653</v>
      </c>
      <c r="G10" s="2425" t="str">
        <f>HYPERLINK("#'待摊预提'!A1","待摊预提")</f>
        <v>待摊预提</v>
      </c>
      <c r="H10" s="2424"/>
      <c r="I10" s="2424"/>
      <c r="J10" s="2424" t="s">
        <v>6090</v>
      </c>
      <c r="K10" s="2425" t="str">
        <f>HYPERLINK("#'存货计价测试'!A1","存货计价测试")</f>
        <v>存货计价测试</v>
      </c>
      <c r="L10" s="2424" t="s">
        <v>6104</v>
      </c>
      <c r="M10" s="2425" t="str">
        <f>HYPERLINK("#'投资收益审核表'!A1","投资收益审核表")</f>
        <v>投资收益审核表</v>
      </c>
      <c r="N10" s="2424" t="s">
        <v>1663</v>
      </c>
      <c r="O10" s="2425" t="str">
        <f>HYPERLINK("#'A101020 金融企业收入明细表'!A1","A101020 金融企业收入明细表")</f>
        <v>A101020 金融企业收入明细表</v>
      </c>
      <c r="P10" s="2424"/>
      <c r="Q10" s="2424"/>
    </row>
    <row r="11" spans="2:17" ht="28.5">
      <c r="B11" s="2424" t="s">
        <v>6640</v>
      </c>
      <c r="C11" s="2425" t="str">
        <f>HYPERLINK("#'内控'!A1","内控")</f>
        <v>内控</v>
      </c>
      <c r="D11" s="2424"/>
      <c r="E11" s="2424"/>
      <c r="F11" s="2424" t="s">
        <v>4618</v>
      </c>
      <c r="G11" s="2425" t="str">
        <f>HYPERLINK("#'在建工程'!A1","在建工程")</f>
        <v>在建工程</v>
      </c>
      <c r="H11" s="2424"/>
      <c r="I11" s="2424"/>
      <c r="J11" s="2424" t="s">
        <v>6091</v>
      </c>
      <c r="K11" s="2425" t="str">
        <f>HYPERLINK("#'税金附加'!A1","税金附加")</f>
        <v>税金附加</v>
      </c>
      <c r="L11" s="2424" t="s">
        <v>6105</v>
      </c>
      <c r="M11" s="2425" t="str">
        <f>HYPERLINK("#'专项用途财政性资金审核表'!A1","专项用途财政性资金审核表")</f>
        <v>专项用途财政性资金审核表</v>
      </c>
      <c r="N11" s="2424" t="s">
        <v>1675</v>
      </c>
      <c r="O11" s="2425" t="str">
        <f>HYPERLINK("#'A102010 一般企业成本支出明细表'!A1","A102010 一般企业成本支出明细表")</f>
        <v>A102010 一般企业成本支出明细表</v>
      </c>
      <c r="P11" s="2424"/>
      <c r="Q11" s="2424"/>
    </row>
    <row r="12" spans="2:17" ht="28.5">
      <c r="B12" s="2424" t="s">
        <v>6641</v>
      </c>
      <c r="C12" s="2425" t="str">
        <f>HYPERLINK("#'审核问卷'!A1","审核问卷")</f>
        <v>审核问卷</v>
      </c>
      <c r="D12" s="2424"/>
      <c r="E12" s="2424"/>
      <c r="F12" s="2424" t="s">
        <v>4619</v>
      </c>
      <c r="G12" s="2425" t="str">
        <f>HYPERLINK("#'对外投资'!A1","对外投资")</f>
        <v>对外投资</v>
      </c>
      <c r="H12" s="2424"/>
      <c r="I12" s="2424"/>
      <c r="J12" s="2424" t="s">
        <v>6092</v>
      </c>
      <c r="K12" s="2425" t="str">
        <f>HYPERLINK("#'税费缴纳测算'!A1","税费缴纳测算")</f>
        <v>税费缴纳测算</v>
      </c>
      <c r="L12" s="2424" t="s">
        <v>6106</v>
      </c>
      <c r="M12" s="2425" t="str">
        <f>HYPERLINK("#'捐赠'!A1","捐赠")</f>
        <v>捐赠</v>
      </c>
      <c r="N12" s="2424" t="s">
        <v>1676</v>
      </c>
      <c r="O12" s="2425" t="str">
        <f>HYPERLINK("#'A102020 金融企业支出明细表'!A1","A102020 金融企业支出明细表")</f>
        <v>A102020 金融企业支出明细表</v>
      </c>
      <c r="P12" s="2424"/>
      <c r="Q12" s="2424"/>
    </row>
    <row r="13" spans="2:17" ht="42.75">
      <c r="B13" s="2424" t="s">
        <v>6642</v>
      </c>
      <c r="C13" s="2425" t="str">
        <f>HYPERLINK("#'重大问题'!A1","重大问题")</f>
        <v>重大问题</v>
      </c>
      <c r="D13" s="2424"/>
      <c r="E13" s="2424"/>
      <c r="F13" s="2424" t="s">
        <v>4620</v>
      </c>
      <c r="G13" s="2425" t="str">
        <f>HYPERLINK("#'固资折旧'!A1","固资折旧")</f>
        <v>固资折旧</v>
      </c>
      <c r="H13" s="2424"/>
      <c r="I13" s="2424"/>
      <c r="J13" s="2424" t="s">
        <v>6093</v>
      </c>
      <c r="K13" s="2425" t="str">
        <f>HYPERLINK("#'销售费用'!A1","销售费用")</f>
        <v>销售费用</v>
      </c>
      <c r="L13" s="2424" t="s">
        <v>6107</v>
      </c>
      <c r="M13" s="2425" t="str">
        <f>HYPERLINK("#'固定资产加速折旧审核表'!A1","固定资产加速折旧审核表")</f>
        <v>固定资产加速折旧审核表</v>
      </c>
      <c r="N13" s="2424" t="s">
        <v>1677</v>
      </c>
      <c r="O13" s="2425" t="str">
        <f>HYPERLINK("#'A103000事业单位、民间非营利组织收入、支出明细表'!A1","A103000事业单位、民间非营利组织收入、支出明细表")</f>
        <v>A103000事业单位、民间非营利组织收入、支出明细表</v>
      </c>
      <c r="P13" s="2424"/>
      <c r="Q13" s="2424"/>
    </row>
    <row r="14" spans="2:17" ht="28.5">
      <c r="B14" s="2424" t="s">
        <v>6643</v>
      </c>
      <c r="C14" s="2425" t="str">
        <f>HYPERLINK("#'交换意见'!A1","交换意见")</f>
        <v>交换意见</v>
      </c>
      <c r="D14" s="2424"/>
      <c r="E14" s="2424"/>
      <c r="F14" s="2424" t="s">
        <v>4621</v>
      </c>
      <c r="G14" s="2425" t="str">
        <f>HYPERLINK("#'折旧测算'!A1","折旧测算")</f>
        <v>折旧测算</v>
      </c>
      <c r="H14" s="2424"/>
      <c r="I14" s="2424"/>
      <c r="J14" s="2424" t="s">
        <v>6094</v>
      </c>
      <c r="K14" s="2425" t="str">
        <f>HYPERLINK("#'管理费用'!A1","管理费用")</f>
        <v>管理费用</v>
      </c>
      <c r="L14" s="2424" t="s">
        <v>6108</v>
      </c>
      <c r="M14" s="2425" t="str">
        <f>HYPERLINK("#'资产损失税前扣除审核表'!A1","资产损失税前扣除审核表")</f>
        <v>资产损失税前扣除审核表</v>
      </c>
      <c r="N14" s="2424" t="s">
        <v>1678</v>
      </c>
      <c r="O14" s="2425" t="str">
        <f>HYPERLINK("#'A104000期间费用明细表'!A1","A104000期间费用明细表")</f>
        <v>A104000期间费用明细表</v>
      </c>
      <c r="P14" s="2424"/>
      <c r="Q14" s="2424"/>
    </row>
    <row r="15" spans="2:17" ht="28.5">
      <c r="B15" s="2424" t="s">
        <v>6644</v>
      </c>
      <c r="C15" s="2425" t="str">
        <f>HYPERLINK("#'资料清单'!A1","资料清单")</f>
        <v>资料清单</v>
      </c>
      <c r="D15" s="2424"/>
      <c r="E15" s="2424"/>
      <c r="F15" s="2424" t="s">
        <v>4622</v>
      </c>
      <c r="G15" s="2425" t="str">
        <f>HYPERLINK("#'无形长摊'!A1","无形长摊")</f>
        <v>无形长摊</v>
      </c>
      <c r="H15" s="2424"/>
      <c r="I15" s="2424"/>
      <c r="J15" s="2424" t="s">
        <v>6095</v>
      </c>
      <c r="K15" s="2425" t="str">
        <f>HYPERLINK("#'财务费用'!A1","财务费用")</f>
        <v>财务费用</v>
      </c>
      <c r="L15" s="2424" t="s">
        <v>6109</v>
      </c>
      <c r="M15" s="2425" t="str">
        <f>HYPERLINK("#'企业重组审核表'!A1","企业重组审核表")</f>
        <v>企业重组审核表</v>
      </c>
      <c r="N15" s="2424" t="s">
        <v>1679</v>
      </c>
      <c r="O15" s="2425" t="str">
        <f>HYPERLINK("#'A105000纳税调整项目明细表'!A1","A105000纳税调整项目明细表")</f>
        <v>A105000纳税调整项目明细表</v>
      </c>
      <c r="P15" s="2424"/>
      <c r="Q15" s="2424"/>
    </row>
    <row r="16" spans="2:17" ht="57">
      <c r="B16" s="2424" t="s">
        <v>6645</v>
      </c>
      <c r="C16" s="2425" t="str">
        <f>HYPERLINK("#'审核标识'!A1","审核标识")</f>
        <v>审核标识</v>
      </c>
      <c r="D16" s="2424"/>
      <c r="E16" s="2424"/>
      <c r="F16" s="2424"/>
      <c r="G16" s="2424"/>
      <c r="H16" s="2424"/>
      <c r="I16" s="2424"/>
      <c r="J16" s="2424" t="s">
        <v>6096</v>
      </c>
      <c r="K16" s="2425" t="str">
        <f>HYPERLINK("#'营外收支'!A1","营外收支")</f>
        <v>营外收支</v>
      </c>
      <c r="L16" s="2424" t="s">
        <v>6110</v>
      </c>
      <c r="M16" s="2425" t="str">
        <f>HYPERLINK("#'政策性搬迁审核表'!A1","政策性搬迁审核表")</f>
        <v>政策性搬迁审核表</v>
      </c>
      <c r="N16" s="2424" t="s">
        <v>1680</v>
      </c>
      <c r="O16" s="2425" t="str">
        <f>HYPERLINK("#'A105010视同销售和房地产开发企业特定业务纳税调整明细表'!A1","A105010视同销售和房地产开发企业特定业务纳税调整明细表")</f>
        <v>A105010视同销售和房地产开发企业特定业务纳税调整明细表</v>
      </c>
      <c r="P16" s="2424"/>
      <c r="Q16" s="2424"/>
    </row>
    <row r="17" spans="2:17" ht="42.75">
      <c r="B17" s="2424" t="s">
        <v>6646</v>
      </c>
      <c r="C17" s="2425" t="str">
        <f>HYPERLINK("#'盘点表'!A1","盘点表")</f>
        <v>盘点表</v>
      </c>
      <c r="D17" s="2424"/>
      <c r="E17" s="2424"/>
      <c r="F17" s="2424"/>
      <c r="G17" s="2424"/>
      <c r="H17" s="2424"/>
      <c r="I17" s="2424"/>
      <c r="J17" s="2424" t="s">
        <v>6097</v>
      </c>
      <c r="K17" s="2425" t="str">
        <f>HYPERLINK("#'招待'!A1","招待")</f>
        <v>招待</v>
      </c>
      <c r="L17" s="2424" t="s">
        <v>6111</v>
      </c>
      <c r="M17" s="2425" t="str">
        <f>HYPERLINK("#'特殊行业准备金审核表'!A1","特殊行业准备金审核表")</f>
        <v>特殊行业准备金审核表</v>
      </c>
      <c r="N17" s="2424" t="s">
        <v>1681</v>
      </c>
      <c r="O17" s="2425" t="str">
        <f>HYPERLINK("#'A105020未按权责发生制确认收入纳税调整明细表'!A1","A105020未按权责发生制确认收入纳税调整明细表")</f>
        <v>A105020未按权责发生制确认收入纳税调整明细表</v>
      </c>
      <c r="P17" s="2424"/>
      <c r="Q17" s="2424"/>
    </row>
    <row r="18" spans="2:17" ht="28.5">
      <c r="B18" s="2424" t="s">
        <v>6647</v>
      </c>
      <c r="C18" s="2425" t="str">
        <f>HYPERLINK("#'通用记录'!A1","通用记录")</f>
        <v>通用记录</v>
      </c>
      <c r="D18" s="2424"/>
      <c r="E18" s="2424"/>
      <c r="F18" s="2424"/>
      <c r="G18" s="2424"/>
      <c r="H18" s="2424"/>
      <c r="I18" s="2424"/>
      <c r="J18" s="2424" t="s">
        <v>6650</v>
      </c>
      <c r="K18" s="2425" t="str">
        <f>HYPERLINK("#'工资福利'!A1","工资福利")</f>
        <v>工资福利</v>
      </c>
      <c r="L18" s="2424" t="s">
        <v>6112</v>
      </c>
      <c r="M18" s="2425" t="str">
        <f>HYPERLINK("#'补亏'!A1","补亏")</f>
        <v>补亏</v>
      </c>
      <c r="N18" s="2424" t="s">
        <v>1682</v>
      </c>
      <c r="O18" s="2425" t="str">
        <f>HYPERLINK("#'A105030投资收益纳税调整明细表'!A1","A105030投资收益纳税调整明细表")</f>
        <v>A105030投资收益纳税调整明细表</v>
      </c>
      <c r="P18" s="2424"/>
      <c r="Q18" s="2424"/>
    </row>
    <row r="19" spans="2:17" ht="42.75">
      <c r="B19" s="2424" t="s">
        <v>6648</v>
      </c>
      <c r="C19" s="2425" t="str">
        <f>HYPERLINK("#'使用说明'!A1","使用说明")</f>
        <v>使用说明</v>
      </c>
      <c r="D19" s="2424"/>
      <c r="E19" s="2424"/>
      <c r="F19" s="2424"/>
      <c r="G19" s="2424"/>
      <c r="H19" s="2424"/>
      <c r="I19" s="2424"/>
      <c r="J19" s="2424" t="s">
        <v>6651</v>
      </c>
      <c r="K19" s="2425" t="str">
        <f>HYPERLINK("#'广宣'!A1","广宣")</f>
        <v>广宣</v>
      </c>
      <c r="L19" s="2424" t="s">
        <v>6113</v>
      </c>
      <c r="M19" s="2425" t="str">
        <f>HYPERLINK("#'免税、减计收入及加计扣除优惠审核表'!A1","免税、减计收入及加计扣除优惠审核表")</f>
        <v>免税、减计收入及加计扣除优惠审核表</v>
      </c>
      <c r="N19" s="2424" t="s">
        <v>1683</v>
      </c>
      <c r="O19" s="2425" t="str">
        <f>HYPERLINK("#'A105040专项用途财政性资金纳税调整表'!A1","A105040专项用途财政性资金纳税调整表")</f>
        <v>A105040专项用途财政性资金纳税调整表</v>
      </c>
      <c r="P19" s="2424"/>
      <c r="Q19" s="2424"/>
    </row>
    <row r="20" spans="2:17" ht="42.75">
      <c r="B20" s="2424"/>
      <c r="D20" s="2424"/>
      <c r="E20" s="2424"/>
      <c r="F20" s="2424"/>
      <c r="G20" s="2424"/>
      <c r="H20" s="2424"/>
      <c r="I20" s="2424"/>
      <c r="J20" s="2424" t="s">
        <v>6652</v>
      </c>
      <c r="K20" s="2425" t="str">
        <f>HYPERLINK("#'社保'!A1","社保")</f>
        <v>社保</v>
      </c>
      <c r="L20" s="2424" t="s">
        <v>6114</v>
      </c>
      <c r="M20" s="2425" t="str">
        <f>HYPERLINK("#'股息红利优惠审核表'!A1","股息红利优惠审核表")</f>
        <v>股息红利优惠审核表</v>
      </c>
      <c r="N20" s="2424" t="s">
        <v>1684</v>
      </c>
      <c r="O20" s="2425" t="str">
        <f>HYPERLINK("#'A105050职工薪酬支出及纳税调整明细表'!A1","A105050职工薪酬支出及纳税调整明细表")</f>
        <v>A105050职工薪酬支出及纳税调整明细表</v>
      </c>
      <c r="P20" s="2424"/>
      <c r="Q20" s="2424"/>
    </row>
    <row r="21" spans="2:17" ht="42.75">
      <c r="B21" s="2424"/>
      <c r="C21" s="2425"/>
      <c r="D21" s="2424"/>
      <c r="E21" s="2424"/>
      <c r="F21" s="2424"/>
      <c r="G21" s="2424"/>
      <c r="H21" s="2424"/>
      <c r="I21" s="2424"/>
      <c r="J21" s="2424" t="s">
        <v>6653</v>
      </c>
      <c r="K21" s="2425" t="str">
        <f>HYPERLINK("#'社保明细工资人数'!A1","社保明细工资人数")</f>
        <v>社保明细工资人数</v>
      </c>
      <c r="L21" s="2424" t="s">
        <v>6115</v>
      </c>
      <c r="M21" s="2425" t="str">
        <f>HYPERLINK("#'研发费用加计扣除优惠审核表'!A1","研发费用加计扣除优惠审核表")</f>
        <v>研发费用加计扣除优惠审核表</v>
      </c>
      <c r="N21" s="2424" t="s">
        <v>1685</v>
      </c>
      <c r="O21" s="2425" t="str">
        <f>HYPERLINK("#'A105060广告费和业务宣传费跨年度纳税调整明细表'!A1","A105060广告费和业务宣传费跨年度纳税调整明细表")</f>
        <v>A105060广告费和业务宣传费跨年度纳税调整明细表</v>
      </c>
      <c r="P21" s="2424"/>
      <c r="Q21" s="2424"/>
    </row>
    <row r="22" spans="2:17" ht="28.5">
      <c r="B22" s="2424"/>
      <c r="C22" s="2424"/>
      <c r="D22" s="2424"/>
      <c r="E22" s="2424"/>
      <c r="F22" s="2424"/>
      <c r="G22" s="2424"/>
      <c r="H22" s="2424"/>
      <c r="I22" s="2424"/>
      <c r="J22" s="2424" t="s">
        <v>6654</v>
      </c>
      <c r="K22" s="2425" t="str">
        <f>HYPERLINK("#'利息'!A1","利息")</f>
        <v>利息</v>
      </c>
      <c r="L22" s="2424" t="s">
        <v>6116</v>
      </c>
      <c r="M22" s="2425" t="str">
        <f>HYPERLINK("#'所得减免优惠审核表'!A1","所得减免优惠审核表")</f>
        <v>所得减免优惠审核表</v>
      </c>
      <c r="N22" s="2424" t="s">
        <v>1686</v>
      </c>
      <c r="O22" s="2425" t="str">
        <f>HYPERLINK("#'A105070捐赠支出及纳税调整明细表'!A1","A105070捐赠支出及纳税调整明细表")</f>
        <v>A105070捐赠支出及纳税调整明细表</v>
      </c>
      <c r="P22" s="2424"/>
      <c r="Q22" s="2424"/>
    </row>
    <row r="23" spans="2:17" ht="42.75">
      <c r="B23" s="2424"/>
      <c r="C23" s="2424"/>
      <c r="D23" s="2424"/>
      <c r="E23" s="2424"/>
      <c r="F23" s="2424"/>
      <c r="G23" s="2424"/>
      <c r="H23" s="2424"/>
      <c r="I23" s="2424"/>
      <c r="J23" s="2424" t="s">
        <v>6655</v>
      </c>
      <c r="K23" s="2425" t="str">
        <f>HYPERLINK("#'租金'!A1","租金")</f>
        <v>租金</v>
      </c>
      <c r="L23" s="2424" t="s">
        <v>6656</v>
      </c>
      <c r="M23" s="2425" t="str">
        <f>HYPERLINK("#'抵扣应纳税所得额审核表'!A1","抵扣应纳税所得额审核表")</f>
        <v>抵扣应纳税所得额审核表</v>
      </c>
      <c r="N23" s="2424" t="s">
        <v>1687</v>
      </c>
      <c r="O23" s="2425" t="str">
        <f>HYPERLINK("#'A105080 资产折旧、摊销及纳税调整明细表'!A1","A105080 资产折旧、摊销及纳税调整明细表")</f>
        <v>A105080 资产折旧、摊销及纳税调整明细表</v>
      </c>
      <c r="P23" s="2424"/>
      <c r="Q23" s="2424"/>
    </row>
    <row r="24" spans="2:17" ht="42.75">
      <c r="B24" s="2424"/>
      <c r="C24" s="2424"/>
      <c r="D24" s="2424"/>
      <c r="E24" s="2424"/>
      <c r="F24" s="2424"/>
      <c r="G24" s="2424"/>
      <c r="H24" s="2424"/>
      <c r="I24" s="2424"/>
      <c r="J24" s="2424"/>
      <c r="K24" s="2427"/>
      <c r="L24" s="2424" t="s">
        <v>6657</v>
      </c>
      <c r="M24" s="2425" t="str">
        <f>HYPERLINK("#'减免所得税优惠审核表'!A1","减免所得税优惠审核表")</f>
        <v>减免所得税优惠审核表</v>
      </c>
      <c r="N24" s="2424" t="s">
        <v>1688</v>
      </c>
      <c r="O24" s="2425" t="str">
        <f>HYPERLINK("#'A105090资产损失税前扣除及纳税调整明细表'!A1","A105090资产损失税前扣除及纳税调整明细表")</f>
        <v>A105090资产损失税前扣除及纳税调整明细表</v>
      </c>
      <c r="P24" s="2424"/>
      <c r="Q24" s="2424"/>
    </row>
    <row r="25" spans="2:17" ht="42.75">
      <c r="B25" s="2424"/>
      <c r="C25" s="2424"/>
      <c r="D25" s="2424"/>
      <c r="E25" s="2424"/>
      <c r="F25" s="2424"/>
      <c r="G25" s="2424"/>
      <c r="H25" s="2424"/>
      <c r="I25" s="2424"/>
      <c r="J25" s="2424"/>
      <c r="K25" s="2427"/>
      <c r="L25" s="2424" t="s">
        <v>6658</v>
      </c>
      <c r="M25" s="2425" t="str">
        <f>HYPERLINK("#'高新技术企业优惠情况审核表'!A1","高新技术企业优惠情况审核表")</f>
        <v>高新技术企业优惠情况审核表</v>
      </c>
      <c r="N25" s="2424" t="s">
        <v>1689</v>
      </c>
      <c r="O25" s="2425" t="str">
        <f>HYPERLINK("#'A105100企业重组及递延纳税事项调整明细表'!A1","A105100企业重组及递延纳税事项调整明细表")</f>
        <v>A105100企业重组及递延纳税事项调整明细表</v>
      </c>
      <c r="P25" s="2424"/>
      <c r="Q25" s="2424"/>
    </row>
    <row r="26" spans="2:17" ht="28.5">
      <c r="B26" s="2424"/>
      <c r="C26" s="2424"/>
      <c r="D26" s="2424"/>
      <c r="E26" s="2424"/>
      <c r="F26" s="2424"/>
      <c r="G26" s="2424"/>
      <c r="H26" s="2424"/>
      <c r="I26" s="2424"/>
      <c r="J26" s="2424"/>
      <c r="K26" s="2425"/>
      <c r="L26" s="2424" t="s">
        <v>6659</v>
      </c>
      <c r="M26" s="2425" t="str">
        <f>HYPERLINK("#'软件、集成电路企业优惠情况审核表'!A1","软件、集成电路企业优惠情况审核表")</f>
        <v>软件、集成电路企业优惠情况审核表</v>
      </c>
      <c r="N26" s="2424" t="s">
        <v>1690</v>
      </c>
      <c r="O26" s="2425" t="str">
        <f>HYPERLINK("#'A105110政策性搬迁纳税调整明细表'!A1","A105110政策性搬迁纳税调整明细表")</f>
        <v>A105110政策性搬迁纳税调整明细表</v>
      </c>
      <c r="P26" s="2424"/>
      <c r="Q26" s="2424"/>
    </row>
    <row r="27" spans="2:17" ht="42.75">
      <c r="B27" s="2424"/>
      <c r="C27" s="2424"/>
      <c r="D27" s="2424"/>
      <c r="E27" s="2424"/>
      <c r="F27" s="2424"/>
      <c r="G27" s="2424"/>
      <c r="H27" s="2424"/>
      <c r="I27" s="2424"/>
      <c r="J27" s="2424"/>
      <c r="K27" s="2424"/>
      <c r="L27" s="2424" t="s">
        <v>6660</v>
      </c>
      <c r="M27" s="2425" t="str">
        <f>HYPERLINK("#'税额抵免优惠审核表'!A1","税额抵免优惠审核表")</f>
        <v>税额抵免优惠审核表</v>
      </c>
      <c r="N27" s="2424" t="s">
        <v>1691</v>
      </c>
      <c r="O27" s="2425" t="str">
        <f>HYPERLINK("#'A105120 特殊行业准备金及纳税调整明细表'!A1","A105120 特殊行业准备金及纳税调整明细表")</f>
        <v>A105120 特殊行业准备金及纳税调整明细表</v>
      </c>
      <c r="P27" s="2424"/>
      <c r="Q27" s="2424"/>
    </row>
    <row r="28" spans="2:17" ht="28.5">
      <c r="B28" s="2424"/>
      <c r="C28" s="2424"/>
      <c r="D28" s="2424"/>
      <c r="E28" s="2424"/>
      <c r="F28" s="2424"/>
      <c r="G28" s="2424"/>
      <c r="H28" s="2424"/>
      <c r="I28" s="2424"/>
      <c r="J28" s="2424"/>
      <c r="K28" s="2424"/>
      <c r="L28" s="2424" t="s">
        <v>6661</v>
      </c>
      <c r="M28" s="2425" t="str">
        <f>HYPERLINK("#'境外所得税收抵免审核表'!A1","境外所得税收抵免审核表")</f>
        <v>境外所得税收抵免审核表</v>
      </c>
      <c r="N28" s="2424" t="s">
        <v>1692</v>
      </c>
      <c r="O28" s="2425" t="str">
        <f>HYPERLINK("#'A106000 企业所得税弥补亏损明细表'!A1","A106000 企业所得税弥补亏损明细表")</f>
        <v>A106000 企业所得税弥补亏损明细表</v>
      </c>
      <c r="P28" s="2424"/>
      <c r="Q28" s="2424"/>
    </row>
    <row r="29" spans="2:17" ht="42.75">
      <c r="B29" s="2424"/>
      <c r="C29" s="2424"/>
      <c r="D29" s="2424"/>
      <c r="E29" s="2424"/>
      <c r="F29" s="2424"/>
      <c r="G29" s="2424"/>
      <c r="H29" s="2424"/>
      <c r="I29" s="2424"/>
      <c r="J29" s="2424"/>
      <c r="K29" s="2424"/>
      <c r="L29" s="2424" t="s">
        <v>6662</v>
      </c>
      <c r="M29" s="2425" t="str">
        <f>HYPERLINK("#'境外所得纳税调整后所得审核表'!A1","境外所得纳税调整后所得审核表")</f>
        <v>境外所得纳税调整后所得审核表</v>
      </c>
      <c r="N29" s="2424" t="s">
        <v>1693</v>
      </c>
      <c r="O29" s="2425" t="str">
        <f>HYPERLINK("#'A107010免税、减计收入及加计扣除优惠明细表'!A1","A107010免税、减计收入及加计扣除优惠明细表")</f>
        <v>A107010免税、减计收入及加计扣除优惠明细表</v>
      </c>
      <c r="P29" s="2424"/>
      <c r="Q29" s="2424"/>
    </row>
    <row r="30" spans="2:17" ht="57">
      <c r="B30" s="2424"/>
      <c r="C30" s="2424"/>
      <c r="D30" s="2424"/>
      <c r="E30" s="2424"/>
      <c r="F30" s="2424"/>
      <c r="G30" s="2424"/>
      <c r="H30" s="2424"/>
      <c r="I30" s="2424"/>
      <c r="J30" s="2424"/>
      <c r="K30" s="2424"/>
      <c r="L30" s="2424" t="s">
        <v>6663</v>
      </c>
      <c r="M30" s="2425" t="str">
        <f>HYPERLINK("#'境外分支机构弥补亏损审核表'!A1","境外分支机构弥补亏损审核表")</f>
        <v>境外分支机构弥补亏损审核表</v>
      </c>
      <c r="N30" s="2424" t="s">
        <v>1694</v>
      </c>
      <c r="O30" s="2425" t="str">
        <f>HYPERLINK("#'A107011符合条件的居民企业之间的股息、红利等…优惠明细表'!A1","A107011符合条件的居民企业之间的股息、红利等…优惠明细表")</f>
        <v>A107011符合条件的居民企业之间的股息、红利等…优惠明细表</v>
      </c>
      <c r="P30" s="2424"/>
      <c r="Q30" s="2424"/>
    </row>
    <row r="31" spans="2:17" ht="42.75">
      <c r="B31" s="2424"/>
      <c r="C31" s="2424"/>
      <c r="D31" s="2424"/>
      <c r="E31" s="2424"/>
      <c r="F31" s="2424"/>
      <c r="G31" s="2424"/>
      <c r="H31" s="2424"/>
      <c r="I31" s="2424"/>
      <c r="J31" s="2424"/>
      <c r="K31" s="2424"/>
      <c r="L31" s="2424" t="s">
        <v>6664</v>
      </c>
      <c r="M31" s="2425" t="str">
        <f>HYPERLINK("#'跨年度结转抵免境外所得税审核表'!A1","跨年度结转抵免境外所得税审核表")</f>
        <v>跨年度结转抵免境外所得税审核表</v>
      </c>
      <c r="N31" s="2424" t="s">
        <v>1695</v>
      </c>
      <c r="O31" s="2425" t="str">
        <f>HYPERLINK("#'A107012 研发费用加计扣除优惠明细表'!A1","A107012 研发费用加计扣除优惠明细表")</f>
        <v>A107012 研发费用加计扣除优惠明细表</v>
      </c>
      <c r="P31" s="2424"/>
      <c r="Q31" s="2424"/>
    </row>
    <row r="32" spans="2:17" ht="42.75">
      <c r="B32" s="2424"/>
      <c r="C32" s="2424"/>
      <c r="D32" s="2424"/>
      <c r="E32" s="2424"/>
      <c r="F32" s="2424"/>
      <c r="G32" s="2424"/>
      <c r="H32" s="2424"/>
      <c r="I32" s="2424"/>
      <c r="J32" s="2424"/>
      <c r="K32" s="2424"/>
      <c r="L32" s="2424" t="s">
        <v>6665</v>
      </c>
      <c r="M32" s="2425" t="str">
        <f>HYPERLINK("#'跨地区经营汇总纳税企业年度分摊企业所得税审核表'!A1","跨地区经营汇总纳税企业年度分摊企业所得税审核表")</f>
        <v>跨地区经营汇总纳税企业年度分摊企业所得税审核表</v>
      </c>
      <c r="N32" s="2424" t="s">
        <v>1696</v>
      </c>
      <c r="O32" s="2425" t="str">
        <f>HYPERLINK("#'A107020所得减免优惠明细表'!A1","A107020所得减免优惠明细表")</f>
        <v>A107020所得减免优惠明细表</v>
      </c>
      <c r="P32" s="2424"/>
      <c r="Q32" s="2424"/>
    </row>
    <row r="33" spans="2:17" ht="42.75">
      <c r="B33" s="2424"/>
      <c r="C33" s="2424"/>
      <c r="D33" s="2424"/>
      <c r="E33" s="2424"/>
      <c r="F33" s="2424"/>
      <c r="G33" s="2424"/>
      <c r="H33" s="2424"/>
      <c r="I33" s="2424"/>
      <c r="J33" s="2424"/>
      <c r="K33" s="2424"/>
      <c r="L33" s="2424" t="s">
        <v>6666</v>
      </c>
      <c r="M33" s="2425" t="str">
        <f>HYPERLINK("#'企业所得税汇总纳税分支机构所得税分配表'!A1","企业所得税汇总纳税分支机构所得税分配表")</f>
        <v>企业所得税汇总纳税分支机构所得税分配表</v>
      </c>
      <c r="N33" s="2424" t="s">
        <v>1697</v>
      </c>
      <c r="O33" s="2425" t="str">
        <f>HYPERLINK("#'A107030 抵扣应纳税所得额明细表'!A1","A107030 抵扣应纳税所得额明细表")</f>
        <v>A107030 抵扣应纳税所得额明细表</v>
      </c>
      <c r="P33" s="2424"/>
      <c r="Q33" s="2424"/>
    </row>
    <row r="34" spans="2:17" ht="28.5">
      <c r="B34" s="2424"/>
      <c r="C34" s="2424"/>
      <c r="D34" s="2424"/>
      <c r="E34" s="2424"/>
      <c r="F34" s="2424"/>
      <c r="G34" s="2424"/>
      <c r="H34" s="2424"/>
      <c r="I34" s="2424"/>
      <c r="J34" s="2424"/>
      <c r="K34" s="2424"/>
      <c r="L34" s="2424"/>
      <c r="M34" s="2425"/>
      <c r="N34" s="2424" t="s">
        <v>1698</v>
      </c>
      <c r="O34" s="2425" t="str">
        <f>HYPERLINK("#'A107040减免所得税优惠明细表'!A1","A107040减免所得税优惠明细表")</f>
        <v>A107040减免所得税优惠明细表</v>
      </c>
      <c r="P34" s="2424"/>
      <c r="Q34" s="2424"/>
    </row>
    <row r="35" spans="2:17" ht="42.75">
      <c r="B35" s="2424"/>
      <c r="C35" s="2424"/>
      <c r="D35" s="2424"/>
      <c r="E35" s="2424"/>
      <c r="F35" s="2424"/>
      <c r="G35" s="2424"/>
      <c r="H35" s="2424"/>
      <c r="I35" s="2424"/>
      <c r="J35" s="2424"/>
      <c r="K35" s="2424"/>
      <c r="L35" s="2424"/>
      <c r="M35" s="2425"/>
      <c r="N35" s="2424" t="s">
        <v>1699</v>
      </c>
      <c r="O35" s="2425" t="str">
        <f>HYPERLINK("#'A107041 高新技术企业优惠情况及明细表'!A1","A107041 高新技术企业优惠情况及明细表")</f>
        <v>A107041 高新技术企业优惠情况及明细表</v>
      </c>
      <c r="P35" s="2424"/>
      <c r="Q35" s="2424"/>
    </row>
    <row r="36" spans="2:17" ht="42.75">
      <c r="B36" s="2424"/>
      <c r="C36" s="2424"/>
      <c r="D36" s="2424"/>
      <c r="E36" s="2424"/>
      <c r="F36" s="2424"/>
      <c r="G36" s="2424"/>
      <c r="H36" s="2424"/>
      <c r="I36" s="2424"/>
      <c r="J36" s="2424"/>
      <c r="K36" s="2424"/>
      <c r="L36" s="2424"/>
      <c r="M36" s="2424"/>
      <c r="N36" s="2424" t="s">
        <v>1700</v>
      </c>
      <c r="O36" s="2425" t="str">
        <f>HYPERLINK("#'A107042软件、集成电路企业优惠情况及明细表'!A1","A107042软件、集成电路企业优惠情况及明细表")</f>
        <v>A107042软件、集成电路企业优惠情况及明细表</v>
      </c>
      <c r="P36" s="2424"/>
      <c r="Q36" s="2424"/>
    </row>
    <row r="37" spans="2:17" ht="28.5">
      <c r="B37" s="2424"/>
      <c r="C37" s="2424"/>
      <c r="D37" s="2424"/>
      <c r="E37" s="2424"/>
      <c r="F37" s="2424"/>
      <c r="G37" s="2424"/>
      <c r="H37" s="2424"/>
      <c r="I37" s="2424"/>
      <c r="J37" s="2424"/>
      <c r="K37" s="2424"/>
      <c r="L37" s="2424"/>
      <c r="M37" s="2424"/>
      <c r="N37" s="2424" t="s">
        <v>1701</v>
      </c>
      <c r="O37" s="2425" t="str">
        <f>HYPERLINK("#'A107050 税额抵免优惠明细表'!A1","A107050 税额抵免优惠明细表")</f>
        <v>A107050 税额抵免优惠明细表</v>
      </c>
      <c r="P37" s="2424"/>
      <c r="Q37" s="2424"/>
    </row>
    <row r="38" spans="2:17" ht="28.5">
      <c r="B38" s="2424"/>
      <c r="C38" s="2424"/>
      <c r="D38" s="2424"/>
      <c r="E38" s="2424"/>
      <c r="F38" s="2424"/>
      <c r="G38" s="2424"/>
      <c r="H38" s="2424"/>
      <c r="I38" s="2424"/>
      <c r="J38" s="2424"/>
      <c r="K38" s="2424"/>
      <c r="L38" s="2424"/>
      <c r="M38" s="2424"/>
      <c r="N38" s="2424" t="s">
        <v>1702</v>
      </c>
      <c r="O38" s="2425" t="str">
        <f>HYPERLINK("#'A108000境外所得税收抵免明细表'!A1","A108000境外所得税收抵免明细表")</f>
        <v>A108000境外所得税收抵免明细表</v>
      </c>
      <c r="P38" s="2424"/>
      <c r="Q38" s="2424"/>
    </row>
    <row r="39" spans="2:17" ht="42.75">
      <c r="B39" s="2424"/>
      <c r="C39" s="2424"/>
      <c r="D39" s="2424"/>
      <c r="E39" s="2424"/>
      <c r="F39" s="2424"/>
      <c r="G39" s="2424"/>
      <c r="H39" s="2424"/>
      <c r="I39" s="2424"/>
      <c r="J39" s="2424"/>
      <c r="K39" s="2424"/>
      <c r="L39" s="2424"/>
      <c r="M39" s="2424"/>
      <c r="N39" s="2424" t="s">
        <v>1703</v>
      </c>
      <c r="O39" s="2425" t="str">
        <f>HYPERLINK("#'A108010境外所得纳税调整后所得明细表'!A1","A108010境外所得纳税调整后所得明细表")</f>
        <v>A108010境外所得纳税调整后所得明细表</v>
      </c>
      <c r="P39" s="2424"/>
      <c r="Q39" s="2424"/>
    </row>
    <row r="40" spans="2:17" ht="42.75">
      <c r="B40" s="2424"/>
      <c r="C40" s="2424"/>
      <c r="D40" s="2424"/>
      <c r="E40" s="2424"/>
      <c r="F40" s="2424"/>
      <c r="G40" s="2424"/>
      <c r="H40" s="2424"/>
      <c r="I40" s="2424"/>
      <c r="J40" s="2424"/>
      <c r="K40" s="2424"/>
      <c r="L40" s="2424"/>
      <c r="M40" s="2424"/>
      <c r="N40" s="2424" t="s">
        <v>1704</v>
      </c>
      <c r="O40" s="2425" t="str">
        <f>HYPERLINK("#'A108020境外分支机构弥补亏损明细表'!A1","A108020境外分支机构弥补亏损明细表")</f>
        <v>A108020境外分支机构弥补亏损明细表</v>
      </c>
      <c r="P40" s="2424"/>
      <c r="Q40" s="2424"/>
    </row>
    <row r="41" spans="2:17" ht="42.75">
      <c r="B41" s="2424"/>
      <c r="C41" s="2424"/>
      <c r="D41" s="2424"/>
      <c r="E41" s="2424"/>
      <c r="F41" s="2424"/>
      <c r="G41" s="2424"/>
      <c r="H41" s="2424"/>
      <c r="I41" s="2424"/>
      <c r="J41" s="2424"/>
      <c r="K41" s="2424"/>
      <c r="L41" s="2424"/>
      <c r="M41" s="2424"/>
      <c r="N41" s="2424" t="s">
        <v>1705</v>
      </c>
      <c r="O41" s="2425" t="str">
        <f>HYPERLINK("#'A108030 跨年度结转抵免境外所得税明细表'!A1","A108030 跨年度结转抵免境外所得税明细表")</f>
        <v>A108030 跨年度结转抵免境外所得税明细表</v>
      </c>
      <c r="P41" s="2424"/>
      <c r="Q41" s="2424"/>
    </row>
    <row r="42" spans="2:17" ht="57">
      <c r="B42" s="2424"/>
      <c r="C42" s="2424"/>
      <c r="D42" s="2424"/>
      <c r="E42" s="2424"/>
      <c r="F42" s="2424"/>
      <c r="G42" s="2424"/>
      <c r="H42" s="2424"/>
      <c r="I42" s="2424"/>
      <c r="J42" s="2424"/>
      <c r="K42" s="2424"/>
      <c r="L42" s="2424"/>
      <c r="M42" s="2424"/>
      <c r="N42" s="2424" t="s">
        <v>1706</v>
      </c>
      <c r="O42" s="2425" t="str">
        <f>HYPERLINK("#'A109000跨地区经营汇总纳税企业年度分摊企业所得税明细表'!A1","A109000跨地区经营汇总纳税企业年度分摊企业所得税明细表")</f>
        <v>A109000跨地区经营汇总纳税企业年度分摊企业所得税明细表</v>
      </c>
      <c r="P42" s="2424"/>
      <c r="Q42" s="2424"/>
    </row>
    <row r="43" spans="2:17" ht="42.75">
      <c r="B43" s="2424"/>
      <c r="C43" s="2424"/>
      <c r="D43" s="2424"/>
      <c r="E43" s="2424"/>
      <c r="F43" s="2424"/>
      <c r="G43" s="2424"/>
      <c r="H43" s="2424"/>
      <c r="I43" s="2424"/>
      <c r="J43" s="2424"/>
      <c r="K43" s="2424"/>
      <c r="L43" s="2424"/>
      <c r="M43" s="2424"/>
      <c r="N43" s="2424" t="s">
        <v>1707</v>
      </c>
      <c r="O43" s="2425" t="str">
        <f>HYPERLINK("#'A109010 企业所得税汇总纳税分支机构所得税分配表'!A1","A109010 企业所得税汇总纳税分支机构所得税分配表")</f>
        <v>A109010 企业所得税汇总纳税分支机构所得税分配表</v>
      </c>
      <c r="P43" s="2424"/>
      <c r="Q43" s="2424"/>
    </row>
    <row r="44" spans="2:17" ht="28.5">
      <c r="B44" s="2424"/>
      <c r="C44" s="2424"/>
      <c r="D44" s="2424"/>
      <c r="E44" s="2424"/>
      <c r="F44" s="2424"/>
      <c r="G44" s="2424"/>
      <c r="H44" s="2424"/>
      <c r="I44" s="2424"/>
      <c r="J44" s="2424"/>
      <c r="K44" s="2424"/>
      <c r="L44" s="2424"/>
      <c r="M44" s="2425"/>
      <c r="N44" s="2424" t="s">
        <v>1708</v>
      </c>
      <c r="O44" s="2425" t="str">
        <f>HYPERLINK("#'企业各税审核汇总表'!A1","企业各税审核汇总表")</f>
        <v>企业各税审核汇总表</v>
      </c>
      <c r="P44" s="2424"/>
      <c r="Q44" s="2424"/>
    </row>
  </sheetData>
  <mergeCells count="8">
    <mergeCell ref="L2:M2"/>
    <mergeCell ref="N2:O2"/>
    <mergeCell ref="P2:Q2"/>
    <mergeCell ref="B2:C2"/>
    <mergeCell ref="D2:E2"/>
    <mergeCell ref="F2:G2"/>
    <mergeCell ref="H2:I2"/>
    <mergeCell ref="J2:K2"/>
  </mergeCells>
  <phoneticPr fontId="128" type="noConversion"/>
  <pageMargins left="0.7" right="0.7" top="0.75" bottom="0.75" header="0.3" footer="0.3"/>
  <pageSetup scale="64"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0"/>
  <sheetViews>
    <sheetView workbookViewId="0"/>
  </sheetViews>
  <sheetFormatPr defaultColWidth="9" defaultRowHeight="14.25"/>
  <cols>
    <col min="1" max="1" width="9" style="2444"/>
    <col min="2" max="8" width="9" style="2436"/>
    <col min="9" max="9" width="9.125" style="2436" customWidth="1"/>
    <col min="10" max="16384" width="9" style="2436"/>
  </cols>
  <sheetData>
    <row r="1" spans="1:10" ht="24.95" customHeight="1">
      <c r="A1" s="2434"/>
      <c r="B1" s="2434"/>
      <c r="C1" s="2434"/>
      <c r="D1" s="2435"/>
      <c r="E1" s="2435" t="s">
        <v>8912</v>
      </c>
      <c r="F1" s="2470" t="str">
        <f>基本情况!$F$1</f>
        <v>厦中汇税审（2018）第DS0001号</v>
      </c>
      <c r="G1" s="2470"/>
      <c r="H1" s="2470"/>
      <c r="I1" s="2470"/>
    </row>
    <row r="2" spans="1:10" ht="9" customHeight="1">
      <c r="A2" s="2437"/>
      <c r="B2" s="2437"/>
      <c r="C2" s="2437"/>
      <c r="D2" s="2437"/>
      <c r="E2" s="2437"/>
      <c r="F2" s="2437"/>
      <c r="G2" s="2437"/>
      <c r="H2" s="2437"/>
      <c r="I2" s="2437"/>
    </row>
    <row r="3" spans="1:10" ht="18" customHeight="1">
      <c r="A3" s="2438"/>
      <c r="B3" s="2438"/>
      <c r="C3" s="2438"/>
      <c r="D3" s="2438"/>
      <c r="E3" s="2435" t="s">
        <v>8913</v>
      </c>
      <c r="F3" s="2471" t="str">
        <f>基本情况!$F$5</f>
        <v>企业所得税年度纳税申报审核</v>
      </c>
      <c r="G3" s="2471"/>
      <c r="H3" s="2471"/>
      <c r="I3" s="2471"/>
    </row>
    <row r="4" spans="1:10" ht="24.95" customHeight="1">
      <c r="A4" s="2439"/>
      <c r="B4" s="2439"/>
      <c r="C4" s="2439"/>
      <c r="D4" s="2439"/>
      <c r="E4" s="2439"/>
      <c r="F4" s="2439"/>
      <c r="G4" s="2439"/>
      <c r="H4" s="2439"/>
      <c r="I4" s="2439"/>
    </row>
    <row r="5" spans="1:10" ht="24.95" customHeight="1">
      <c r="A5" s="2437"/>
      <c r="B5" s="2437"/>
      <c r="C5" s="2437"/>
      <c r="D5" s="2437"/>
      <c r="E5" s="2437"/>
      <c r="F5" s="2437"/>
      <c r="G5" s="2437"/>
      <c r="H5" s="2437"/>
      <c r="I5" s="2437"/>
    </row>
    <row r="6" spans="1:10" ht="25.5" customHeight="1">
      <c r="A6" s="2472" t="str">
        <f>基本情况!$F$11</f>
        <v>中汇（厦门）税务师事务所有限公司</v>
      </c>
      <c r="B6" s="2473"/>
      <c r="C6" s="2473"/>
      <c r="D6" s="2473"/>
      <c r="E6" s="2473"/>
      <c r="F6" s="2473"/>
      <c r="G6" s="2473"/>
      <c r="H6" s="2473"/>
      <c r="I6" s="2473"/>
    </row>
    <row r="7" spans="1:10" ht="39.75" customHeight="1">
      <c r="A7" s="2474" t="s">
        <v>8914</v>
      </c>
      <c r="B7" s="2474"/>
      <c r="C7" s="2474"/>
      <c r="D7" s="2474"/>
      <c r="E7" s="2474"/>
      <c r="F7" s="2474"/>
      <c r="G7" s="2474"/>
      <c r="H7" s="2474"/>
      <c r="I7" s="2474"/>
    </row>
    <row r="8" spans="1:10" ht="39.75" customHeight="1">
      <c r="A8" s="2440"/>
      <c r="B8" s="2440"/>
      <c r="C8" s="2440"/>
      <c r="D8" s="2440"/>
      <c r="E8" s="2440"/>
      <c r="F8" s="2440"/>
      <c r="G8" s="2440"/>
      <c r="H8" s="2440"/>
      <c r="I8" s="2440"/>
    </row>
    <row r="9" spans="1:10" ht="39.75" customHeight="1">
      <c r="A9" s="2440"/>
      <c r="B9" s="2440"/>
      <c r="C9" s="2440"/>
      <c r="D9" s="2440"/>
      <c r="E9" s="2440"/>
      <c r="F9" s="2440"/>
      <c r="G9" s="2440"/>
      <c r="H9" s="2440"/>
      <c r="I9" s="2440"/>
    </row>
    <row r="10" spans="1:10" ht="24.95" customHeight="1">
      <c r="A10" s="2437"/>
      <c r="B10" s="2437"/>
      <c r="C10" s="2437"/>
      <c r="D10" s="2437"/>
      <c r="E10" s="2437"/>
      <c r="F10" s="2437"/>
      <c r="G10" s="2437"/>
      <c r="H10" s="2437"/>
      <c r="I10" s="2437"/>
    </row>
    <row r="11" spans="1:10" ht="39.75" customHeight="1">
      <c r="A11" s="2438" t="s">
        <v>8915</v>
      </c>
      <c r="B11" s="2438"/>
      <c r="C11" s="2438"/>
      <c r="D11" s="2475" t="str">
        <f>F1</f>
        <v>厦中汇税审（2018）第DS0001号</v>
      </c>
      <c r="E11" s="2475"/>
      <c r="F11" s="2475"/>
      <c r="G11" s="2475"/>
      <c r="H11" s="2438"/>
      <c r="I11" s="2438"/>
    </row>
    <row r="12" spans="1:10" ht="56.25" customHeight="1">
      <c r="A12" s="2438" t="s">
        <v>8916</v>
      </c>
      <c r="B12" s="2438"/>
      <c r="C12" s="2438"/>
      <c r="D12" s="2469" t="str">
        <f>基本情况!$C$3</f>
        <v/>
      </c>
      <c r="E12" s="2469"/>
      <c r="F12" s="2469"/>
      <c r="G12" s="2469"/>
      <c r="H12" s="2438"/>
      <c r="I12" s="2438"/>
    </row>
    <row r="13" spans="1:10" ht="56.25" customHeight="1">
      <c r="A13" s="2438" t="s">
        <v>8917</v>
      </c>
      <c r="B13" s="2441"/>
      <c r="C13" s="2442"/>
      <c r="D13" s="2469">
        <f>基本情况!$F$6</f>
        <v>2017</v>
      </c>
      <c r="E13" s="2469"/>
      <c r="F13" s="2469"/>
      <c r="G13" s="2469"/>
      <c r="H13" s="2438"/>
      <c r="I13" s="2438"/>
      <c r="J13" s="2443"/>
    </row>
    <row r="14" spans="1:10" ht="56.25" customHeight="1">
      <c r="A14" s="2438" t="s">
        <v>8918</v>
      </c>
      <c r="B14" s="2438"/>
      <c r="C14" s="2438"/>
      <c r="D14" s="2476">
        <f>基本情况!$F$18</f>
        <v>0</v>
      </c>
      <c r="E14" s="2476"/>
      <c r="F14" s="2476"/>
      <c r="G14" s="2476"/>
      <c r="H14" s="2438"/>
      <c r="I14" s="2438"/>
    </row>
    <row r="15" spans="1:10" ht="59.25" customHeight="1">
      <c r="A15" s="2438" t="s">
        <v>8919</v>
      </c>
      <c r="B15" s="2438"/>
      <c r="C15" s="2438"/>
      <c r="D15" s="2477" t="str">
        <f>基本情况!$F$26</f>
        <v>2018年5月4日</v>
      </c>
      <c r="E15" s="2477"/>
      <c r="F15" s="2477"/>
      <c r="G15" s="2477"/>
      <c r="H15" s="2438"/>
      <c r="I15" s="2438"/>
    </row>
    <row r="16" spans="1:10" ht="56.25" customHeight="1">
      <c r="A16" s="2478" t="s">
        <v>8920</v>
      </c>
      <c r="B16" s="2478"/>
      <c r="C16" s="2478"/>
      <c r="D16" s="2478"/>
      <c r="E16" s="2478"/>
      <c r="F16" s="2478"/>
      <c r="G16" s="2478"/>
      <c r="H16" s="2478"/>
      <c r="I16" s="2478"/>
    </row>
    <row r="17" spans="1:9" ht="24.95" customHeight="1">
      <c r="A17" s="2437"/>
      <c r="B17" s="2437"/>
      <c r="C17" s="2437"/>
      <c r="D17" s="2437"/>
      <c r="E17" s="2437"/>
      <c r="F17" s="2437"/>
      <c r="G17" s="2437"/>
      <c r="H17" s="2437"/>
      <c r="I17" s="2437"/>
    </row>
    <row r="18" spans="1:9" ht="24.95" customHeight="1">
      <c r="A18" s="2437"/>
      <c r="B18" s="2437"/>
      <c r="C18" s="2437"/>
      <c r="D18" s="2437"/>
      <c r="E18" s="2437"/>
      <c r="F18" s="2437"/>
      <c r="G18" s="2437"/>
      <c r="H18" s="2437"/>
      <c r="I18" s="2437"/>
    </row>
    <row r="19" spans="1:9" ht="24.95" customHeight="1">
      <c r="A19" s="2437"/>
      <c r="B19" s="2437"/>
      <c r="C19" s="2437"/>
      <c r="D19" s="2437"/>
      <c r="E19" s="2437"/>
      <c r="F19" s="2437"/>
      <c r="G19" s="2437" t="s">
        <v>8921</v>
      </c>
      <c r="H19" s="2479"/>
      <c r="I19" s="2479"/>
    </row>
    <row r="20" spans="1:9" ht="24.95" customHeight="1">
      <c r="A20" s="2443"/>
      <c r="B20" s="2443"/>
      <c r="C20" s="2443"/>
      <c r="D20" s="2443"/>
      <c r="E20" s="2443"/>
      <c r="F20" s="2443"/>
      <c r="G20" s="2443"/>
      <c r="H20" s="2443"/>
      <c r="I20" s="2443"/>
    </row>
    <row r="21" spans="1:9" ht="24.95" customHeight="1">
      <c r="A21" s="2443"/>
      <c r="B21" s="2443"/>
      <c r="C21" s="2443"/>
      <c r="D21" s="2443"/>
      <c r="E21" s="2443"/>
      <c r="F21" s="2443"/>
      <c r="G21" s="2443"/>
      <c r="H21" s="2443"/>
      <c r="I21" s="2443"/>
    </row>
    <row r="22" spans="1:9" ht="24.95" customHeight="1">
      <c r="A22" s="2443"/>
      <c r="B22" s="2443"/>
      <c r="C22" s="2443"/>
      <c r="D22" s="2443"/>
      <c r="E22" s="2443"/>
      <c r="F22" s="2443"/>
    </row>
    <row r="23" spans="1:9" ht="24.95" customHeight="1">
      <c r="A23" s="2443"/>
      <c r="B23" s="2443"/>
      <c r="C23" s="2443"/>
      <c r="D23" s="2443"/>
      <c r="E23" s="2443"/>
      <c r="F23" s="2443"/>
    </row>
    <row r="24" spans="1:9" ht="24.95" customHeight="1">
      <c r="A24" s="2443"/>
      <c r="B24" s="2443"/>
      <c r="C24" s="2443"/>
      <c r="D24" s="2443"/>
      <c r="E24" s="2443"/>
      <c r="F24" s="2443"/>
    </row>
    <row r="25" spans="1:9" ht="24.95" customHeight="1">
      <c r="A25" s="2443"/>
      <c r="B25" s="2443"/>
      <c r="C25" s="2443"/>
      <c r="D25" s="2443"/>
      <c r="E25" s="2443"/>
      <c r="F25" s="2443"/>
    </row>
    <row r="26" spans="1:9" ht="24.95" customHeight="1">
      <c r="A26" s="2443"/>
      <c r="B26" s="2443"/>
      <c r="C26" s="2443"/>
      <c r="D26" s="2443"/>
      <c r="E26" s="2443"/>
      <c r="F26" s="2443"/>
    </row>
    <row r="27" spans="1:9" ht="24.95" customHeight="1">
      <c r="A27" s="2443"/>
      <c r="B27" s="2443"/>
      <c r="C27" s="2443"/>
      <c r="D27" s="2443"/>
      <c r="E27" s="2443"/>
      <c r="F27" s="2443"/>
    </row>
    <row r="28" spans="1:9" ht="24.95" customHeight="1">
      <c r="A28" s="2443"/>
      <c r="B28" s="2443"/>
      <c r="C28" s="2443"/>
      <c r="D28" s="2443"/>
      <c r="E28" s="2443"/>
      <c r="F28" s="2443"/>
    </row>
    <row r="29" spans="1:9" ht="24.95" customHeight="1">
      <c r="A29" s="2443"/>
      <c r="B29" s="2443"/>
      <c r="C29" s="2443"/>
      <c r="D29" s="2443"/>
      <c r="E29" s="2443"/>
      <c r="F29" s="2443"/>
    </row>
    <row r="30" spans="1:9" ht="24.95" customHeight="1">
      <c r="A30" s="2443"/>
      <c r="B30" s="2443"/>
      <c r="C30" s="2443"/>
      <c r="D30" s="2443"/>
      <c r="E30" s="2443"/>
      <c r="F30" s="2443"/>
    </row>
    <row r="31" spans="1:9" ht="24.95" customHeight="1">
      <c r="A31" s="2443"/>
      <c r="B31" s="2443"/>
      <c r="C31" s="2443"/>
      <c r="D31" s="2443"/>
      <c r="E31" s="2443"/>
      <c r="F31" s="2443"/>
    </row>
    <row r="32" spans="1:9" ht="24.95" customHeight="1">
      <c r="A32" s="2443"/>
      <c r="B32" s="2443"/>
      <c r="C32" s="2443"/>
      <c r="D32" s="2443"/>
      <c r="E32" s="2443"/>
      <c r="F32" s="2443"/>
    </row>
    <row r="33" spans="1:6" ht="24.95" customHeight="1">
      <c r="A33" s="2443"/>
      <c r="B33" s="2443"/>
      <c r="C33" s="2443"/>
      <c r="D33" s="2443"/>
      <c r="E33" s="2443"/>
      <c r="F33" s="2443"/>
    </row>
    <row r="34" spans="1:6" ht="24.95" customHeight="1">
      <c r="A34" s="2443"/>
      <c r="B34" s="2443"/>
      <c r="C34" s="2443"/>
      <c r="D34" s="2443"/>
      <c r="E34" s="2443"/>
      <c r="F34" s="2443"/>
    </row>
    <row r="35" spans="1:6" ht="24.95" customHeight="1">
      <c r="A35" s="2443"/>
      <c r="B35" s="2443"/>
      <c r="C35" s="2443"/>
      <c r="D35" s="2443"/>
      <c r="E35" s="2443"/>
      <c r="F35" s="2443"/>
    </row>
    <row r="36" spans="1:6" ht="24.95" customHeight="1">
      <c r="A36" s="2443"/>
      <c r="B36" s="2443"/>
      <c r="C36" s="2443"/>
      <c r="D36" s="2443"/>
      <c r="E36" s="2443"/>
      <c r="F36" s="2443"/>
    </row>
    <row r="37" spans="1:6" ht="24.95" customHeight="1">
      <c r="A37" s="2443"/>
      <c r="B37" s="2443"/>
      <c r="C37" s="2443"/>
      <c r="D37" s="2443"/>
      <c r="E37" s="2443"/>
      <c r="F37" s="2443"/>
    </row>
    <row r="38" spans="1:6" ht="24.95" customHeight="1">
      <c r="A38" s="2443"/>
      <c r="B38" s="2443"/>
      <c r="C38" s="2443"/>
      <c r="D38" s="2443"/>
      <c r="E38" s="2443"/>
      <c r="F38" s="2443"/>
    </row>
    <row r="39" spans="1:6" ht="24.95" customHeight="1">
      <c r="A39" s="2443"/>
      <c r="B39" s="2443"/>
      <c r="C39" s="2443"/>
      <c r="D39" s="2443"/>
      <c r="E39" s="2443"/>
      <c r="F39" s="2443"/>
    </row>
    <row r="40" spans="1:6" ht="24.95" customHeight="1">
      <c r="A40" s="2443"/>
      <c r="B40" s="2443"/>
      <c r="C40" s="2443"/>
      <c r="D40" s="2443"/>
      <c r="E40" s="2443"/>
      <c r="F40" s="2443"/>
    </row>
    <row r="41" spans="1:6" ht="24.95" customHeight="1">
      <c r="A41" s="2443"/>
      <c r="B41" s="2443"/>
      <c r="C41" s="2443"/>
      <c r="D41" s="2443"/>
      <c r="E41" s="2443"/>
      <c r="F41" s="2443"/>
    </row>
    <row r="42" spans="1:6" ht="24.95" customHeight="1">
      <c r="A42" s="2443"/>
      <c r="B42" s="2443"/>
      <c r="C42" s="2443"/>
      <c r="D42" s="2443"/>
      <c r="E42" s="2443"/>
      <c r="F42" s="2443"/>
    </row>
    <row r="43" spans="1:6" ht="24.95" customHeight="1">
      <c r="A43" s="2443"/>
      <c r="B43" s="2443"/>
      <c r="C43" s="2443"/>
      <c r="D43" s="2443"/>
      <c r="E43" s="2443"/>
      <c r="F43" s="2443"/>
    </row>
    <row r="44" spans="1:6" ht="24.95" customHeight="1">
      <c r="A44" s="2443"/>
      <c r="B44" s="2443"/>
      <c r="C44" s="2443"/>
      <c r="D44" s="2443"/>
      <c r="E44" s="2443"/>
      <c r="F44" s="2443"/>
    </row>
    <row r="45" spans="1:6" ht="24.95" customHeight="1">
      <c r="A45" s="2443"/>
      <c r="B45" s="2443"/>
      <c r="C45" s="2443"/>
      <c r="D45" s="2443"/>
      <c r="E45" s="2443"/>
      <c r="F45" s="2443"/>
    </row>
    <row r="46" spans="1:6" ht="24.95" customHeight="1">
      <c r="A46" s="2443"/>
      <c r="B46" s="2443"/>
      <c r="C46" s="2443"/>
      <c r="D46" s="2443"/>
      <c r="E46" s="2443"/>
      <c r="F46" s="2443"/>
    </row>
    <row r="47" spans="1:6" ht="24.95" customHeight="1">
      <c r="A47" s="2443"/>
      <c r="B47" s="2443"/>
      <c r="C47" s="2443"/>
      <c r="D47" s="2443"/>
      <c r="E47" s="2443"/>
      <c r="F47" s="2443"/>
    </row>
    <row r="48" spans="1:6" ht="24.95" customHeight="1">
      <c r="A48" s="2443"/>
      <c r="B48" s="2443"/>
      <c r="C48" s="2443"/>
      <c r="D48" s="2443"/>
      <c r="E48" s="2443"/>
      <c r="F48" s="2443"/>
    </row>
    <row r="49" spans="1:6" ht="24.95" customHeight="1">
      <c r="A49" s="2443"/>
      <c r="B49" s="2443"/>
      <c r="C49" s="2443"/>
      <c r="D49" s="2443"/>
      <c r="E49" s="2443"/>
      <c r="F49" s="2443"/>
    </row>
    <row r="50" spans="1:6" ht="24.95" customHeight="1">
      <c r="A50" s="2443"/>
      <c r="B50" s="2443"/>
      <c r="C50" s="2443"/>
      <c r="D50" s="2443"/>
      <c r="E50" s="2443"/>
      <c r="F50" s="2443"/>
    </row>
    <row r="51" spans="1:6">
      <c r="A51" s="2443"/>
      <c r="B51" s="2443"/>
      <c r="C51" s="2443"/>
      <c r="D51" s="2443"/>
      <c r="E51" s="2443"/>
      <c r="F51" s="2443"/>
    </row>
    <row r="52" spans="1:6">
      <c r="A52" s="2443"/>
      <c r="B52" s="2443"/>
      <c r="C52" s="2443"/>
      <c r="D52" s="2443"/>
      <c r="E52" s="2443"/>
      <c r="F52" s="2443"/>
    </row>
    <row r="53" spans="1:6">
      <c r="A53" s="2443"/>
      <c r="B53" s="2443"/>
      <c r="C53" s="2443"/>
      <c r="D53" s="2443"/>
      <c r="E53" s="2443"/>
      <c r="F53" s="2443"/>
    </row>
    <row r="54" spans="1:6">
      <c r="A54" s="2443"/>
      <c r="B54" s="2443"/>
      <c r="C54" s="2443"/>
      <c r="D54" s="2443"/>
      <c r="E54" s="2443"/>
      <c r="F54" s="2443"/>
    </row>
    <row r="55" spans="1:6">
      <c r="A55" s="2443"/>
      <c r="B55" s="2443"/>
      <c r="C55" s="2443"/>
      <c r="D55" s="2443"/>
      <c r="E55" s="2443"/>
      <c r="F55" s="2443"/>
    </row>
    <row r="56" spans="1:6">
      <c r="A56" s="2443"/>
      <c r="B56" s="2443"/>
      <c r="C56" s="2443"/>
      <c r="D56" s="2443"/>
      <c r="E56" s="2443"/>
      <c r="F56" s="2443"/>
    </row>
    <row r="57" spans="1:6">
      <c r="A57" s="2443"/>
      <c r="B57" s="2443"/>
      <c r="C57" s="2443"/>
      <c r="D57" s="2443"/>
      <c r="E57" s="2443"/>
      <c r="F57" s="2443"/>
    </row>
    <row r="58" spans="1:6">
      <c r="A58" s="2443"/>
      <c r="B58" s="2443"/>
      <c r="C58" s="2443"/>
      <c r="D58" s="2443"/>
      <c r="E58" s="2443"/>
      <c r="F58" s="2443"/>
    </row>
    <row r="59" spans="1:6">
      <c r="A59" s="2443"/>
      <c r="B59" s="2443"/>
      <c r="C59" s="2443"/>
      <c r="D59" s="2443"/>
      <c r="E59" s="2443"/>
      <c r="F59" s="2443"/>
    </row>
    <row r="60" spans="1:6">
      <c r="A60" s="2443"/>
      <c r="B60" s="2443"/>
      <c r="C60" s="2443"/>
      <c r="D60" s="2443"/>
      <c r="E60" s="2443"/>
      <c r="F60" s="2443"/>
    </row>
    <row r="61" spans="1:6">
      <c r="A61" s="2443"/>
      <c r="B61" s="2443"/>
      <c r="C61" s="2443"/>
      <c r="D61" s="2443"/>
      <c r="E61" s="2443"/>
      <c r="F61" s="2443"/>
    </row>
    <row r="62" spans="1:6">
      <c r="A62" s="2443"/>
      <c r="B62" s="2443"/>
      <c r="C62" s="2443"/>
      <c r="D62" s="2443"/>
      <c r="E62" s="2443"/>
      <c r="F62" s="2443"/>
    </row>
    <row r="63" spans="1:6">
      <c r="A63" s="2443"/>
      <c r="B63" s="2443"/>
      <c r="C63" s="2443"/>
      <c r="D63" s="2443"/>
      <c r="E63" s="2443"/>
      <c r="F63" s="2443"/>
    </row>
    <row r="64" spans="1:6">
      <c r="A64" s="2443"/>
      <c r="B64" s="2443"/>
      <c r="C64" s="2443"/>
      <c r="D64" s="2443"/>
      <c r="E64" s="2443"/>
      <c r="F64" s="2443"/>
    </row>
    <row r="65" spans="1:6">
      <c r="A65" s="2443"/>
      <c r="B65" s="2443"/>
      <c r="C65" s="2443"/>
      <c r="D65" s="2443"/>
      <c r="E65" s="2443"/>
      <c r="F65" s="2443"/>
    </row>
    <row r="66" spans="1:6">
      <c r="A66" s="2443"/>
      <c r="B66" s="2443"/>
      <c r="C66" s="2443"/>
      <c r="D66" s="2443"/>
      <c r="E66" s="2443"/>
      <c r="F66" s="2443"/>
    </row>
    <row r="67" spans="1:6">
      <c r="A67" s="2443"/>
      <c r="B67" s="2443"/>
      <c r="C67" s="2443"/>
      <c r="D67" s="2443"/>
      <c r="E67" s="2443"/>
      <c r="F67" s="2443"/>
    </row>
    <row r="68" spans="1:6">
      <c r="A68" s="2443"/>
      <c r="B68" s="2443"/>
      <c r="C68" s="2443"/>
      <c r="D68" s="2443"/>
      <c r="E68" s="2443"/>
      <c r="F68" s="2443"/>
    </row>
    <row r="69" spans="1:6">
      <c r="A69" s="2443"/>
      <c r="B69" s="2443"/>
      <c r="C69" s="2443"/>
      <c r="D69" s="2443"/>
      <c r="E69" s="2443"/>
      <c r="F69" s="2443"/>
    </row>
    <row r="70" spans="1:6">
      <c r="A70" s="2443"/>
      <c r="B70" s="2443"/>
      <c r="C70" s="2443"/>
      <c r="D70" s="2443"/>
      <c r="E70" s="2443"/>
      <c r="F70" s="2443"/>
    </row>
    <row r="71" spans="1:6">
      <c r="A71" s="2443"/>
      <c r="B71" s="2443"/>
      <c r="C71" s="2443"/>
      <c r="D71" s="2443"/>
      <c r="E71" s="2443"/>
      <c r="F71" s="2443"/>
    </row>
    <row r="72" spans="1:6">
      <c r="A72" s="2443"/>
      <c r="B72" s="2443"/>
      <c r="C72" s="2443"/>
      <c r="D72" s="2443"/>
      <c r="E72" s="2443"/>
      <c r="F72" s="2443"/>
    </row>
    <row r="73" spans="1:6">
      <c r="A73" s="2443"/>
      <c r="B73" s="2443"/>
      <c r="C73" s="2443"/>
      <c r="D73" s="2443"/>
      <c r="E73" s="2443"/>
      <c r="F73" s="2443"/>
    </row>
    <row r="74" spans="1:6">
      <c r="A74" s="2443"/>
      <c r="B74" s="2443"/>
      <c r="C74" s="2443"/>
      <c r="D74" s="2443"/>
      <c r="E74" s="2443"/>
      <c r="F74" s="2443"/>
    </row>
    <row r="75" spans="1:6">
      <c r="A75" s="2443"/>
      <c r="B75" s="2443"/>
      <c r="C75" s="2443"/>
      <c r="D75" s="2443"/>
      <c r="E75" s="2443"/>
      <c r="F75" s="2443"/>
    </row>
    <row r="76" spans="1:6">
      <c r="A76" s="2443"/>
      <c r="B76" s="2443"/>
      <c r="C76" s="2443"/>
      <c r="D76" s="2443"/>
      <c r="E76" s="2443"/>
      <c r="F76" s="2443"/>
    </row>
    <row r="77" spans="1:6">
      <c r="A77" s="2443"/>
      <c r="B77" s="2443"/>
      <c r="C77" s="2443"/>
      <c r="D77" s="2443"/>
      <c r="E77" s="2443"/>
      <c r="F77" s="2443"/>
    </row>
    <row r="78" spans="1:6">
      <c r="A78" s="2443"/>
      <c r="B78" s="2443"/>
      <c r="C78" s="2443"/>
      <c r="D78" s="2443"/>
      <c r="E78" s="2443"/>
      <c r="F78" s="2443"/>
    </row>
    <row r="79" spans="1:6">
      <c r="A79" s="2443"/>
      <c r="B79" s="2443"/>
      <c r="C79" s="2443"/>
      <c r="D79" s="2443"/>
      <c r="E79" s="2443"/>
      <c r="F79" s="2443"/>
    </row>
    <row r="80" spans="1:6">
      <c r="A80" s="2443"/>
      <c r="B80" s="2443"/>
      <c r="C80" s="2443"/>
      <c r="D80" s="2443"/>
      <c r="E80" s="2443"/>
      <c r="F80" s="2443"/>
    </row>
    <row r="81" spans="1:6">
      <c r="A81" s="2443"/>
      <c r="B81" s="2443"/>
      <c r="C81" s="2443"/>
      <c r="D81" s="2443"/>
      <c r="E81" s="2443"/>
      <c r="F81" s="2443"/>
    </row>
    <row r="82" spans="1:6">
      <c r="A82" s="2443"/>
      <c r="B82" s="2443"/>
      <c r="C82" s="2443"/>
      <c r="D82" s="2443"/>
      <c r="E82" s="2443"/>
      <c r="F82" s="2443"/>
    </row>
    <row r="83" spans="1:6">
      <c r="A83" s="2443"/>
      <c r="B83" s="2443"/>
      <c r="C83" s="2443"/>
      <c r="D83" s="2443"/>
      <c r="E83" s="2443"/>
      <c r="F83" s="2443"/>
    </row>
    <row r="84" spans="1:6">
      <c r="A84" s="2443"/>
      <c r="B84" s="2443"/>
      <c r="C84" s="2443"/>
      <c r="D84" s="2443"/>
      <c r="E84" s="2443"/>
      <c r="F84" s="2443"/>
    </row>
    <row r="85" spans="1:6">
      <c r="A85" s="2443"/>
      <c r="B85" s="2443"/>
      <c r="C85" s="2443"/>
      <c r="D85" s="2443"/>
      <c r="E85" s="2443"/>
      <c r="F85" s="2443"/>
    </row>
    <row r="86" spans="1:6">
      <c r="A86" s="2443"/>
      <c r="B86" s="2443"/>
      <c r="C86" s="2443"/>
      <c r="D86" s="2443"/>
      <c r="E86" s="2443"/>
      <c r="F86" s="2443"/>
    </row>
    <row r="87" spans="1:6">
      <c r="A87" s="2443"/>
      <c r="B87" s="2443"/>
      <c r="C87" s="2443"/>
      <c r="D87" s="2443"/>
      <c r="E87" s="2443"/>
      <c r="F87" s="2443"/>
    </row>
    <row r="88" spans="1:6">
      <c r="A88" s="2443"/>
      <c r="B88" s="2443"/>
      <c r="C88" s="2443"/>
      <c r="D88" s="2443"/>
      <c r="E88" s="2443"/>
      <c r="F88" s="2443"/>
    </row>
    <row r="89" spans="1:6">
      <c r="A89" s="2443"/>
      <c r="B89" s="2443"/>
      <c r="C89" s="2443"/>
      <c r="D89" s="2443"/>
      <c r="E89" s="2443"/>
      <c r="F89" s="2443"/>
    </row>
    <row r="90" spans="1:6">
      <c r="A90" s="2443"/>
      <c r="B90" s="2443"/>
      <c r="C90" s="2443"/>
      <c r="D90" s="2443"/>
      <c r="E90" s="2443"/>
      <c r="F90" s="2443"/>
    </row>
  </sheetData>
  <sheetProtection selectLockedCells="1" selectUnlockedCells="1"/>
  <mergeCells count="11">
    <mergeCell ref="D13:G13"/>
    <mergeCell ref="D14:G14"/>
    <mergeCell ref="D15:G15"/>
    <mergeCell ref="A16:I16"/>
    <mergeCell ref="H19:I19"/>
    <mergeCell ref="D12:G12"/>
    <mergeCell ref="F1:I1"/>
    <mergeCell ref="F3:I3"/>
    <mergeCell ref="A6:I6"/>
    <mergeCell ref="A7:I7"/>
    <mergeCell ref="D11:G11"/>
  </mergeCells>
  <phoneticPr fontId="135" type="noConversion"/>
  <conditionalFormatting sqref="A1:I1">
    <cfRule type="cellIs" dxfId="14" priority="1" stopIfTrue="1" operator="between">
      <formula>"厦百邦"</formula>
      <formula>"号"</formula>
    </cfRule>
  </conditionalFormatting>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dimension ref="A1:S50"/>
  <sheetViews>
    <sheetView workbookViewId="0">
      <selection activeCell="B15" sqref="B15:I16"/>
    </sheetView>
  </sheetViews>
  <sheetFormatPr defaultColWidth="9" defaultRowHeight="16.5"/>
  <cols>
    <col min="1" max="1" width="9.375" style="565" customWidth="1"/>
    <col min="2" max="2" width="31.625" style="565" customWidth="1"/>
    <col min="3" max="3" width="6.125" style="565" customWidth="1"/>
    <col min="4" max="4" width="3.375" style="565" customWidth="1"/>
    <col min="5" max="5" width="5" style="565" customWidth="1"/>
    <col min="6" max="6" width="5.375" style="565" customWidth="1"/>
    <col min="7" max="7" width="3.625" style="565" customWidth="1"/>
    <col min="8" max="8" width="4.375" style="565" customWidth="1"/>
    <col min="9" max="9" width="5.375" style="565" customWidth="1"/>
    <col min="10" max="10" width="4.875" style="565" customWidth="1"/>
    <col min="11" max="11" width="7.375" style="565" customWidth="1"/>
    <col min="12" max="16384" width="9" style="565"/>
  </cols>
  <sheetData>
    <row r="1" spans="1:19" ht="25.9" customHeight="1">
      <c r="A1" s="2498" t="s">
        <v>1709</v>
      </c>
      <c r="B1" s="2498"/>
      <c r="C1" s="2498"/>
      <c r="D1" s="2498"/>
      <c r="E1" s="2498"/>
      <c r="F1" s="2496" t="str">
        <f>基本情况!$F$1</f>
        <v>厦中汇税审（2018）第DS0001号</v>
      </c>
      <c r="G1" s="2496"/>
      <c r="H1" s="2496"/>
      <c r="I1" s="2496"/>
      <c r="J1" s="2496"/>
      <c r="K1" s="2496"/>
      <c r="L1" s="564"/>
      <c r="M1" s="564"/>
      <c r="N1" s="564"/>
      <c r="O1" s="564"/>
      <c r="P1" s="564"/>
      <c r="Q1" s="564"/>
      <c r="R1" s="564"/>
      <c r="S1" s="564"/>
    </row>
    <row r="2" spans="1:19" ht="37.15" customHeight="1">
      <c r="A2" s="2499"/>
      <c r="B2" s="2499"/>
      <c r="C2" s="2499"/>
      <c r="D2" s="2499"/>
      <c r="E2" s="2499"/>
      <c r="F2" s="2497" t="str">
        <f>"底稿编号："&amp;开始!$B$4</f>
        <v>底稿编号：IN-02</v>
      </c>
      <c r="G2" s="2497"/>
      <c r="H2" s="2497"/>
      <c r="I2" s="2497"/>
      <c r="J2" s="2497"/>
      <c r="K2" s="2497"/>
      <c r="L2" s="564"/>
      <c r="M2" s="564"/>
      <c r="N2" s="576"/>
      <c r="O2" s="564"/>
      <c r="P2" s="564"/>
      <c r="Q2" s="564"/>
      <c r="R2" s="564"/>
      <c r="S2" s="564"/>
    </row>
    <row r="3" spans="1:19">
      <c r="A3" s="2509" t="s">
        <v>4510</v>
      </c>
      <c r="B3" s="2503" t="str">
        <f>基本情况!$C$3</f>
        <v/>
      </c>
      <c r="C3" s="2504"/>
      <c r="D3" s="2511"/>
      <c r="E3" s="2511"/>
      <c r="F3" s="2511" t="s">
        <v>4624</v>
      </c>
      <c r="G3" s="2511"/>
      <c r="H3" s="2511"/>
      <c r="I3" s="2511" t="s">
        <v>4575</v>
      </c>
      <c r="J3" s="2511"/>
      <c r="K3" s="2512"/>
      <c r="L3" s="564"/>
    </row>
    <row r="4" spans="1:19">
      <c r="A4" s="2510"/>
      <c r="B4" s="2505"/>
      <c r="C4" s="2506"/>
      <c r="D4" s="2513" t="s">
        <v>4407</v>
      </c>
      <c r="E4" s="2513"/>
      <c r="F4" s="2514" t="str">
        <f>基本情况!$F$19&amp;""</f>
        <v/>
      </c>
      <c r="G4" s="2514"/>
      <c r="H4" s="2514"/>
      <c r="I4" s="2515" t="str">
        <f>TEXT(基本情况!$F$27,"yyyy-mm-dd")</f>
        <v>2018-03-16</v>
      </c>
      <c r="J4" s="2515"/>
      <c r="K4" s="2516"/>
      <c r="L4" s="564"/>
    </row>
    <row r="5" spans="1:19">
      <c r="A5" s="2373" t="s">
        <v>4512</v>
      </c>
      <c r="B5" s="2507" t="str">
        <f>基本情况!$F$9</f>
        <v>2017年01月01日至2017年12月31日</v>
      </c>
      <c r="C5" s="2508"/>
      <c r="D5" s="2500" t="s">
        <v>4410</v>
      </c>
      <c r="E5" s="2500"/>
      <c r="F5" s="2501" t="str">
        <f>基本情况!$F$18&amp;""</f>
        <v/>
      </c>
      <c r="G5" s="2501"/>
      <c r="H5" s="2501"/>
      <c r="I5" s="2501" t="str">
        <f>TEXT(基本情况!$F$28,"yyyy-mm-dd")</f>
        <v>2018-05-04</v>
      </c>
      <c r="J5" s="2501"/>
      <c r="K5" s="2502"/>
      <c r="L5" s="564"/>
    </row>
    <row r="6" spans="1:19" ht="7.5" customHeight="1">
      <c r="A6" s="2491"/>
      <c r="B6" s="2491"/>
      <c r="C6" s="2491"/>
      <c r="D6" s="2491"/>
      <c r="E6" s="2491"/>
      <c r="F6" s="2491"/>
      <c r="G6" s="2491"/>
      <c r="H6" s="2491"/>
      <c r="I6" s="2491"/>
      <c r="J6" s="2491"/>
      <c r="K6" s="2491"/>
      <c r="L6" s="564"/>
      <c r="M6" s="564"/>
      <c r="N6" s="564"/>
      <c r="O6" s="564"/>
      <c r="P6" s="564"/>
      <c r="Q6" s="564"/>
      <c r="R6" s="564"/>
      <c r="S6" s="564"/>
    </row>
    <row r="7" spans="1:19">
      <c r="A7" s="2492" t="s">
        <v>4513</v>
      </c>
      <c r="B7" s="2493" t="s">
        <v>4625</v>
      </c>
      <c r="C7" s="2493"/>
      <c r="D7" s="2493"/>
      <c r="E7" s="2493"/>
      <c r="F7" s="2493"/>
      <c r="G7" s="2493"/>
      <c r="H7" s="2493"/>
      <c r="I7" s="2493"/>
      <c r="J7" s="2494" t="s">
        <v>4388</v>
      </c>
      <c r="K7" s="2494"/>
      <c r="L7" s="564"/>
      <c r="M7" s="564"/>
      <c r="N7" s="564"/>
      <c r="O7" s="564"/>
      <c r="P7" s="564"/>
      <c r="Q7" s="564"/>
      <c r="R7" s="564"/>
      <c r="S7" s="564"/>
    </row>
    <row r="8" spans="1:19">
      <c r="A8" s="2492"/>
      <c r="B8" s="2493"/>
      <c r="C8" s="2493"/>
      <c r="D8" s="2493"/>
      <c r="E8" s="2493"/>
      <c r="F8" s="2493"/>
      <c r="G8" s="2493"/>
      <c r="H8" s="2493"/>
      <c r="I8" s="2493"/>
      <c r="J8" s="2494"/>
      <c r="K8" s="2494"/>
      <c r="L8" s="2495" t="s">
        <v>1724</v>
      </c>
      <c r="M8" s="2495"/>
      <c r="N8" s="2495"/>
      <c r="O8" s="564"/>
      <c r="P8" s="564"/>
      <c r="Q8" s="564"/>
      <c r="R8" s="564"/>
      <c r="S8" s="564"/>
    </row>
    <row r="9" spans="1:19">
      <c r="A9" s="2483">
        <v>1</v>
      </c>
      <c r="B9" s="2490"/>
      <c r="C9" s="2490"/>
      <c r="D9" s="2490"/>
      <c r="E9" s="2490"/>
      <c r="F9" s="2490"/>
      <c r="G9" s="2490"/>
      <c r="H9" s="2490"/>
      <c r="I9" s="2490"/>
      <c r="J9" s="2486"/>
      <c r="K9" s="2486"/>
      <c r="L9" s="564"/>
      <c r="M9" s="564"/>
      <c r="N9" s="564"/>
      <c r="O9" s="564"/>
      <c r="P9" s="564"/>
      <c r="Q9" s="564"/>
      <c r="R9" s="564"/>
      <c r="S9" s="564"/>
    </row>
    <row r="10" spans="1:19">
      <c r="A10" s="2483"/>
      <c r="B10" s="2490"/>
      <c r="C10" s="2490"/>
      <c r="D10" s="2490"/>
      <c r="E10" s="2490"/>
      <c r="F10" s="2490"/>
      <c r="G10" s="2490"/>
      <c r="H10" s="2490"/>
      <c r="I10" s="2490"/>
      <c r="J10" s="2486"/>
      <c r="K10" s="2486"/>
      <c r="L10" s="564"/>
      <c r="M10" s="564"/>
      <c r="N10" s="564"/>
      <c r="O10" s="564"/>
      <c r="P10" s="564"/>
      <c r="Q10" s="564"/>
      <c r="R10" s="564"/>
      <c r="S10" s="564"/>
    </row>
    <row r="11" spans="1:19">
      <c r="A11" s="2483">
        <v>2</v>
      </c>
      <c r="B11" s="2484"/>
      <c r="C11" s="2484"/>
      <c r="D11" s="2484"/>
      <c r="E11" s="2484"/>
      <c r="F11" s="2484"/>
      <c r="G11" s="2484"/>
      <c r="H11" s="2484"/>
      <c r="I11" s="2484"/>
      <c r="J11" s="2486"/>
      <c r="K11" s="2486"/>
      <c r="L11" s="564"/>
      <c r="M11" s="564"/>
      <c r="N11" s="564"/>
      <c r="O11" s="564"/>
      <c r="P11" s="564"/>
      <c r="Q11" s="564"/>
      <c r="R11" s="564"/>
      <c r="S11" s="564"/>
    </row>
    <row r="12" spans="1:19">
      <c r="A12" s="2483"/>
      <c r="B12" s="2484"/>
      <c r="C12" s="2484"/>
      <c r="D12" s="2484"/>
      <c r="E12" s="2484"/>
      <c r="F12" s="2484"/>
      <c r="G12" s="2484"/>
      <c r="H12" s="2484"/>
      <c r="I12" s="2484"/>
      <c r="J12" s="2486"/>
      <c r="K12" s="2486"/>
      <c r="L12" s="564"/>
      <c r="M12" s="564"/>
      <c r="N12" s="564"/>
      <c r="O12" s="564"/>
      <c r="P12" s="564"/>
      <c r="Q12" s="564"/>
      <c r="R12" s="564"/>
      <c r="S12" s="564"/>
    </row>
    <row r="13" spans="1:19">
      <c r="A13" s="2483">
        <v>3</v>
      </c>
      <c r="B13" s="2490"/>
      <c r="C13" s="2490"/>
      <c r="D13" s="2490"/>
      <c r="E13" s="2490"/>
      <c r="F13" s="2490"/>
      <c r="G13" s="2490"/>
      <c r="H13" s="2490"/>
      <c r="I13" s="2490"/>
      <c r="J13" s="2486"/>
      <c r="K13" s="2486"/>
      <c r="L13" s="576" t="s">
        <v>4606</v>
      </c>
      <c r="M13" s="564"/>
      <c r="N13" s="564"/>
      <c r="O13" s="564"/>
      <c r="P13" s="564"/>
      <c r="Q13" s="564"/>
      <c r="R13" s="564"/>
      <c r="S13" s="564"/>
    </row>
    <row r="14" spans="1:19">
      <c r="A14" s="2483"/>
      <c r="B14" s="2490"/>
      <c r="C14" s="2490"/>
      <c r="D14" s="2490"/>
      <c r="E14" s="2490"/>
      <c r="F14" s="2490"/>
      <c r="G14" s="2490"/>
      <c r="H14" s="2490"/>
      <c r="I14" s="2490"/>
      <c r="J14" s="2486"/>
      <c r="K14" s="2486"/>
      <c r="L14" s="576" t="s">
        <v>4626</v>
      </c>
      <c r="M14" s="564"/>
      <c r="N14" s="564"/>
      <c r="O14" s="564"/>
      <c r="P14" s="564"/>
      <c r="Q14" s="564"/>
      <c r="R14" s="564"/>
      <c r="S14" s="564"/>
    </row>
    <row r="15" spans="1:19">
      <c r="A15" s="2483">
        <v>4</v>
      </c>
      <c r="B15" s="2484"/>
      <c r="C15" s="2484"/>
      <c r="D15" s="2484"/>
      <c r="E15" s="2484"/>
      <c r="F15" s="2484"/>
      <c r="G15" s="2484"/>
      <c r="H15" s="2484"/>
      <c r="I15" s="2484"/>
      <c r="J15" s="2486"/>
      <c r="K15" s="2486"/>
      <c r="L15" s="564"/>
      <c r="M15" s="564"/>
      <c r="N15" s="564"/>
      <c r="O15" s="564"/>
      <c r="P15" s="564"/>
      <c r="Q15" s="564"/>
      <c r="R15" s="564"/>
      <c r="S15" s="564"/>
    </row>
    <row r="16" spans="1:19">
      <c r="A16" s="2483"/>
      <c r="B16" s="2484"/>
      <c r="C16" s="2484"/>
      <c r="D16" s="2484"/>
      <c r="E16" s="2484"/>
      <c r="F16" s="2484"/>
      <c r="G16" s="2484"/>
      <c r="H16" s="2484"/>
      <c r="I16" s="2484"/>
      <c r="J16" s="2486"/>
      <c r="K16" s="2486"/>
      <c r="L16" s="564"/>
      <c r="M16" s="564"/>
      <c r="N16" s="564"/>
      <c r="O16" s="564"/>
      <c r="P16" s="564"/>
      <c r="Q16" s="564"/>
      <c r="R16" s="564"/>
      <c r="S16" s="564"/>
    </row>
    <row r="17" spans="1:19">
      <c r="A17" s="2483">
        <v>5</v>
      </c>
      <c r="B17" s="2484"/>
      <c r="C17" s="2484"/>
      <c r="D17" s="2484"/>
      <c r="E17" s="2484"/>
      <c r="F17" s="2484"/>
      <c r="G17" s="2484"/>
      <c r="H17" s="2484"/>
      <c r="I17" s="2484"/>
      <c r="J17" s="2486"/>
      <c r="K17" s="2486"/>
      <c r="L17" s="564"/>
      <c r="M17" s="564"/>
      <c r="N17" s="564"/>
      <c r="O17" s="564"/>
      <c r="P17" s="564"/>
      <c r="Q17" s="564"/>
      <c r="R17" s="564"/>
      <c r="S17" s="564"/>
    </row>
    <row r="18" spans="1:19">
      <c r="A18" s="2483"/>
      <c r="B18" s="2484"/>
      <c r="C18" s="2484"/>
      <c r="D18" s="2484"/>
      <c r="E18" s="2484"/>
      <c r="F18" s="2484"/>
      <c r="G18" s="2484"/>
      <c r="H18" s="2484"/>
      <c r="I18" s="2484"/>
      <c r="J18" s="2486"/>
      <c r="K18" s="2486"/>
      <c r="L18" s="564"/>
      <c r="M18" s="564"/>
      <c r="N18" s="564"/>
      <c r="O18" s="564"/>
      <c r="P18" s="564"/>
      <c r="Q18" s="564"/>
      <c r="R18" s="564"/>
      <c r="S18" s="564"/>
    </row>
    <row r="19" spans="1:19">
      <c r="A19" s="2483">
        <v>6</v>
      </c>
      <c r="B19" s="2484"/>
      <c r="C19" s="2484"/>
      <c r="D19" s="2484"/>
      <c r="E19" s="2484"/>
      <c r="F19" s="2484"/>
      <c r="G19" s="2484"/>
      <c r="H19" s="2484"/>
      <c r="I19" s="2484"/>
      <c r="J19" s="2486"/>
      <c r="K19" s="2486"/>
      <c r="L19" s="564"/>
      <c r="M19" s="564"/>
      <c r="N19" s="564"/>
      <c r="O19" s="564"/>
      <c r="P19" s="564"/>
      <c r="Q19" s="564"/>
      <c r="R19" s="564"/>
      <c r="S19" s="564"/>
    </row>
    <row r="20" spans="1:19">
      <c r="A20" s="2483"/>
      <c r="B20" s="2484"/>
      <c r="C20" s="2484"/>
      <c r="D20" s="2484"/>
      <c r="E20" s="2484"/>
      <c r="F20" s="2484"/>
      <c r="G20" s="2484"/>
      <c r="H20" s="2484"/>
      <c r="I20" s="2484"/>
      <c r="J20" s="2486"/>
      <c r="K20" s="2486"/>
      <c r="L20" s="564"/>
      <c r="M20" s="564"/>
      <c r="N20" s="564"/>
      <c r="O20" s="564"/>
      <c r="P20" s="564"/>
      <c r="Q20" s="564"/>
      <c r="R20" s="564"/>
      <c r="S20" s="564"/>
    </row>
    <row r="21" spans="1:19">
      <c r="A21" s="2483">
        <v>7</v>
      </c>
      <c r="B21" s="2484"/>
      <c r="C21" s="2484"/>
      <c r="D21" s="2484"/>
      <c r="E21" s="2484"/>
      <c r="F21" s="2484"/>
      <c r="G21" s="2484"/>
      <c r="H21" s="2484"/>
      <c r="I21" s="2484"/>
      <c r="J21" s="2486"/>
      <c r="K21" s="2486"/>
      <c r="L21" s="564"/>
      <c r="M21" s="564"/>
      <c r="N21" s="564"/>
      <c r="O21" s="564"/>
      <c r="P21" s="564"/>
      <c r="Q21" s="564"/>
      <c r="R21" s="564"/>
      <c r="S21" s="564"/>
    </row>
    <row r="22" spans="1:19">
      <c r="A22" s="2483"/>
      <c r="B22" s="2484"/>
      <c r="C22" s="2484"/>
      <c r="D22" s="2484"/>
      <c r="E22" s="2484"/>
      <c r="F22" s="2484"/>
      <c r="G22" s="2484"/>
      <c r="H22" s="2484"/>
      <c r="I22" s="2484"/>
      <c r="J22" s="2486"/>
      <c r="K22" s="2486"/>
      <c r="L22" s="564"/>
      <c r="M22" s="564"/>
      <c r="N22" s="564"/>
      <c r="O22" s="564"/>
      <c r="P22" s="564"/>
      <c r="Q22" s="564"/>
      <c r="R22" s="564"/>
      <c r="S22" s="564"/>
    </row>
    <row r="23" spans="1:19">
      <c r="A23" s="2483">
        <v>8</v>
      </c>
      <c r="B23" s="2484"/>
      <c r="C23" s="2484"/>
      <c r="D23" s="2484"/>
      <c r="E23" s="2484"/>
      <c r="F23" s="2484"/>
      <c r="G23" s="2484"/>
      <c r="H23" s="2484"/>
      <c r="I23" s="2484"/>
      <c r="J23" s="2486"/>
      <c r="K23" s="2486"/>
      <c r="L23" s="564"/>
      <c r="M23" s="564"/>
      <c r="N23" s="564"/>
      <c r="O23" s="564"/>
      <c r="P23" s="564"/>
      <c r="Q23" s="564"/>
      <c r="R23" s="564"/>
      <c r="S23" s="564"/>
    </row>
    <row r="24" spans="1:19">
      <c r="A24" s="2483"/>
      <c r="B24" s="2484"/>
      <c r="C24" s="2484"/>
      <c r="D24" s="2484"/>
      <c r="E24" s="2484"/>
      <c r="F24" s="2484"/>
      <c r="G24" s="2484"/>
      <c r="H24" s="2484"/>
      <c r="I24" s="2484"/>
      <c r="J24" s="2486"/>
      <c r="K24" s="2486"/>
      <c r="L24" s="564"/>
      <c r="M24" s="564"/>
      <c r="N24" s="564"/>
      <c r="O24" s="564"/>
      <c r="P24" s="564"/>
      <c r="Q24" s="564"/>
      <c r="R24" s="564"/>
      <c r="S24" s="564"/>
    </row>
    <row r="25" spans="1:19">
      <c r="A25" s="2483">
        <v>9</v>
      </c>
      <c r="B25" s="2484"/>
      <c r="C25" s="2484"/>
      <c r="D25" s="2484"/>
      <c r="E25" s="2484"/>
      <c r="F25" s="2484"/>
      <c r="G25" s="2484"/>
      <c r="H25" s="2484"/>
      <c r="I25" s="2484"/>
      <c r="J25" s="2486"/>
      <c r="K25" s="2486"/>
      <c r="L25" s="564"/>
      <c r="M25" s="564"/>
      <c r="N25" s="564"/>
      <c r="O25" s="564"/>
      <c r="P25" s="564"/>
      <c r="Q25" s="564"/>
      <c r="R25" s="564"/>
      <c r="S25" s="564"/>
    </row>
    <row r="26" spans="1:19">
      <c r="A26" s="2483"/>
      <c r="B26" s="2484"/>
      <c r="C26" s="2484"/>
      <c r="D26" s="2484"/>
      <c r="E26" s="2484"/>
      <c r="F26" s="2484"/>
      <c r="G26" s="2484"/>
      <c r="H26" s="2484"/>
      <c r="I26" s="2484"/>
      <c r="J26" s="2486"/>
      <c r="K26" s="2486"/>
      <c r="L26" s="564"/>
      <c r="M26" s="564"/>
      <c r="N26" s="564"/>
      <c r="O26" s="564"/>
      <c r="P26" s="564"/>
      <c r="Q26" s="564"/>
      <c r="R26" s="564"/>
      <c r="S26" s="564"/>
    </row>
    <row r="27" spans="1:19">
      <c r="A27" s="2483">
        <v>10</v>
      </c>
      <c r="B27" s="2484"/>
      <c r="C27" s="2484"/>
      <c r="D27" s="2484"/>
      <c r="E27" s="2484"/>
      <c r="F27" s="2484"/>
      <c r="G27" s="2484"/>
      <c r="H27" s="2484"/>
      <c r="I27" s="2484"/>
      <c r="J27" s="2486"/>
      <c r="K27" s="2486"/>
      <c r="L27" s="564"/>
      <c r="M27" s="564"/>
      <c r="N27" s="564"/>
      <c r="O27" s="564"/>
      <c r="P27" s="564"/>
      <c r="Q27" s="564"/>
      <c r="R27" s="564"/>
      <c r="S27" s="564"/>
    </row>
    <row r="28" spans="1:19">
      <c r="A28" s="2483"/>
      <c r="B28" s="2484"/>
      <c r="C28" s="2484"/>
      <c r="D28" s="2484"/>
      <c r="E28" s="2484"/>
      <c r="F28" s="2484"/>
      <c r="G28" s="2484"/>
      <c r="H28" s="2484"/>
      <c r="I28" s="2484"/>
      <c r="J28" s="2486"/>
      <c r="K28" s="2486"/>
      <c r="L28" s="564"/>
      <c r="M28" s="564"/>
      <c r="N28" s="564"/>
      <c r="O28" s="564"/>
      <c r="P28" s="564"/>
      <c r="Q28" s="564"/>
      <c r="R28" s="564"/>
      <c r="S28" s="564"/>
    </row>
    <row r="29" spans="1:19">
      <c r="A29" s="2483">
        <v>11</v>
      </c>
      <c r="B29" s="2484"/>
      <c r="C29" s="2484"/>
      <c r="D29" s="2484"/>
      <c r="E29" s="2484"/>
      <c r="F29" s="2484"/>
      <c r="G29" s="2484"/>
      <c r="H29" s="2484"/>
      <c r="I29" s="2484"/>
      <c r="J29" s="2486"/>
      <c r="K29" s="2486"/>
      <c r="L29" s="564"/>
      <c r="M29" s="564"/>
      <c r="N29" s="564"/>
      <c r="O29" s="564"/>
      <c r="P29" s="564"/>
      <c r="Q29" s="564"/>
      <c r="R29" s="564"/>
      <c r="S29" s="564"/>
    </row>
    <row r="30" spans="1:19">
      <c r="A30" s="2483"/>
      <c r="B30" s="2484"/>
      <c r="C30" s="2484"/>
      <c r="D30" s="2484"/>
      <c r="E30" s="2484"/>
      <c r="F30" s="2484"/>
      <c r="G30" s="2484"/>
      <c r="H30" s="2484"/>
      <c r="I30" s="2484"/>
      <c r="J30" s="2486"/>
      <c r="K30" s="2486"/>
      <c r="L30" s="564"/>
      <c r="M30" s="564"/>
      <c r="N30" s="564"/>
      <c r="O30" s="564"/>
      <c r="P30" s="564"/>
      <c r="Q30" s="564"/>
      <c r="R30" s="564"/>
      <c r="S30" s="564"/>
    </row>
    <row r="31" spans="1:19">
      <c r="A31" s="2483">
        <v>12</v>
      </c>
      <c r="B31" s="2484"/>
      <c r="C31" s="2484"/>
      <c r="D31" s="2484"/>
      <c r="E31" s="2484"/>
      <c r="F31" s="2484"/>
      <c r="G31" s="2484"/>
      <c r="H31" s="2484"/>
      <c r="I31" s="2484"/>
      <c r="J31" s="2486"/>
      <c r="K31" s="2486"/>
      <c r="L31" s="564"/>
      <c r="M31" s="564"/>
      <c r="N31" s="564"/>
      <c r="O31" s="564"/>
      <c r="P31" s="564"/>
      <c r="Q31" s="564"/>
      <c r="R31" s="564"/>
      <c r="S31" s="564"/>
    </row>
    <row r="32" spans="1:19">
      <c r="A32" s="2483"/>
      <c r="B32" s="2484"/>
      <c r="C32" s="2484"/>
      <c r="D32" s="2484"/>
      <c r="E32" s="2484"/>
      <c r="F32" s="2484"/>
      <c r="G32" s="2484"/>
      <c r="H32" s="2484"/>
      <c r="I32" s="2484"/>
      <c r="J32" s="2486"/>
      <c r="K32" s="2486"/>
      <c r="L32" s="564"/>
      <c r="M32" s="564"/>
      <c r="N32" s="564"/>
      <c r="O32" s="564"/>
      <c r="P32" s="564"/>
      <c r="Q32" s="564"/>
      <c r="R32" s="564"/>
      <c r="S32" s="564"/>
    </row>
    <row r="33" spans="1:19">
      <c r="A33" s="2483">
        <v>13</v>
      </c>
      <c r="B33" s="2484"/>
      <c r="C33" s="2484"/>
      <c r="D33" s="2484"/>
      <c r="E33" s="2484"/>
      <c r="F33" s="2484"/>
      <c r="G33" s="2484"/>
      <c r="H33" s="2484"/>
      <c r="I33" s="2484"/>
      <c r="J33" s="2486"/>
      <c r="K33" s="2486"/>
      <c r="L33" s="564"/>
      <c r="M33" s="564"/>
      <c r="N33" s="564"/>
      <c r="O33" s="564"/>
      <c r="P33" s="564"/>
      <c r="Q33" s="564"/>
      <c r="R33" s="564"/>
      <c r="S33" s="564"/>
    </row>
    <row r="34" spans="1:19">
      <c r="A34" s="2483"/>
      <c r="B34" s="2484"/>
      <c r="C34" s="2484"/>
      <c r="D34" s="2484"/>
      <c r="E34" s="2484"/>
      <c r="F34" s="2484"/>
      <c r="G34" s="2484"/>
      <c r="H34" s="2484"/>
      <c r="I34" s="2484"/>
      <c r="J34" s="2486"/>
      <c r="K34" s="2486"/>
      <c r="L34" s="564"/>
      <c r="M34" s="564"/>
      <c r="N34" s="564"/>
      <c r="O34" s="564"/>
      <c r="P34" s="564"/>
      <c r="Q34" s="564"/>
      <c r="R34" s="564"/>
      <c r="S34" s="564"/>
    </row>
    <row r="35" spans="1:19">
      <c r="A35" s="2483">
        <v>14</v>
      </c>
      <c r="B35" s="2484"/>
      <c r="C35" s="2484"/>
      <c r="D35" s="2484"/>
      <c r="E35" s="2484"/>
      <c r="F35" s="2484"/>
      <c r="G35" s="2484"/>
      <c r="H35" s="2484"/>
      <c r="I35" s="2484"/>
      <c r="J35" s="2486"/>
      <c r="K35" s="2486"/>
      <c r="L35" s="564"/>
      <c r="M35" s="564"/>
      <c r="N35" s="564"/>
      <c r="O35" s="564"/>
      <c r="P35" s="564"/>
      <c r="Q35" s="564"/>
      <c r="R35" s="564"/>
      <c r="S35" s="564"/>
    </row>
    <row r="36" spans="1:19">
      <c r="A36" s="2483"/>
      <c r="B36" s="2484"/>
      <c r="C36" s="2484"/>
      <c r="D36" s="2484"/>
      <c r="E36" s="2484"/>
      <c r="F36" s="2484"/>
      <c r="G36" s="2484"/>
      <c r="H36" s="2484"/>
      <c r="I36" s="2484"/>
      <c r="J36" s="2486"/>
      <c r="K36" s="2486"/>
      <c r="L36" s="564"/>
      <c r="M36" s="564"/>
      <c r="N36" s="564"/>
      <c r="O36" s="564"/>
      <c r="P36" s="564"/>
      <c r="Q36" s="564"/>
      <c r="R36" s="564"/>
      <c r="S36" s="564"/>
    </row>
    <row r="37" spans="1:19">
      <c r="A37" s="2483">
        <v>15</v>
      </c>
      <c r="B37" s="2484"/>
      <c r="C37" s="2484"/>
      <c r="D37" s="2484"/>
      <c r="E37" s="2484"/>
      <c r="F37" s="2484"/>
      <c r="G37" s="2484"/>
      <c r="H37" s="2484"/>
      <c r="I37" s="2484"/>
      <c r="J37" s="2486"/>
      <c r="K37" s="2486"/>
      <c r="L37" s="564"/>
      <c r="M37" s="564"/>
      <c r="N37" s="564"/>
      <c r="O37" s="564"/>
      <c r="P37" s="564"/>
      <c r="Q37" s="564"/>
      <c r="R37" s="564"/>
      <c r="S37" s="564"/>
    </row>
    <row r="38" spans="1:19">
      <c r="A38" s="2483"/>
      <c r="B38" s="2484"/>
      <c r="C38" s="2484"/>
      <c r="D38" s="2484"/>
      <c r="E38" s="2484"/>
      <c r="F38" s="2484"/>
      <c r="G38" s="2484"/>
      <c r="H38" s="2484"/>
      <c r="I38" s="2484"/>
      <c r="J38" s="2486"/>
      <c r="K38" s="2486"/>
      <c r="L38" s="564"/>
      <c r="M38" s="564"/>
      <c r="N38" s="564"/>
      <c r="O38" s="564"/>
      <c r="P38" s="564"/>
      <c r="Q38" s="564"/>
      <c r="R38" s="564"/>
      <c r="S38" s="564"/>
    </row>
    <row r="39" spans="1:19">
      <c r="A39" s="2487">
        <v>16</v>
      </c>
      <c r="B39" s="2488"/>
      <c r="C39" s="2488"/>
      <c r="D39" s="2488"/>
      <c r="E39" s="2488"/>
      <c r="F39" s="2488"/>
      <c r="G39" s="2488"/>
      <c r="H39" s="2488"/>
      <c r="I39" s="2488"/>
      <c r="J39" s="2489"/>
      <c r="K39" s="2489"/>
      <c r="L39" s="564"/>
      <c r="M39" s="564"/>
      <c r="N39" s="564"/>
      <c r="O39" s="564"/>
      <c r="P39" s="564"/>
      <c r="Q39" s="564"/>
      <c r="R39" s="564"/>
      <c r="S39" s="564"/>
    </row>
    <row r="40" spans="1:19">
      <c r="A40" s="2487"/>
      <c r="B40" s="2488"/>
      <c r="C40" s="2488"/>
      <c r="D40" s="2488"/>
      <c r="E40" s="2488"/>
      <c r="F40" s="2488"/>
      <c r="G40" s="2488"/>
      <c r="H40" s="2488"/>
      <c r="I40" s="2488"/>
      <c r="J40" s="2489"/>
      <c r="K40" s="2489"/>
      <c r="L40" s="564"/>
      <c r="M40" s="564"/>
      <c r="N40" s="564"/>
      <c r="O40" s="564"/>
      <c r="P40" s="564"/>
      <c r="Q40" s="564"/>
      <c r="R40" s="564"/>
      <c r="S40" s="564"/>
    </row>
    <row r="41" spans="1:19">
      <c r="A41" s="2483">
        <v>17</v>
      </c>
      <c r="B41" s="2484"/>
      <c r="C41" s="2484"/>
      <c r="D41" s="2484"/>
      <c r="E41" s="2484"/>
      <c r="F41" s="2484"/>
      <c r="G41" s="2484"/>
      <c r="H41" s="2484"/>
      <c r="I41" s="2484"/>
      <c r="J41" s="2485"/>
      <c r="K41" s="2485"/>
      <c r="L41" s="564"/>
      <c r="M41" s="564"/>
      <c r="N41" s="564"/>
      <c r="O41" s="564"/>
      <c r="P41" s="564"/>
      <c r="Q41" s="564"/>
      <c r="R41" s="564"/>
      <c r="S41" s="564"/>
    </row>
    <row r="42" spans="1:19">
      <c r="A42" s="2483"/>
      <c r="B42" s="2484"/>
      <c r="C42" s="2484"/>
      <c r="D42" s="2484"/>
      <c r="E42" s="2484"/>
      <c r="F42" s="2484"/>
      <c r="G42" s="2484"/>
      <c r="H42" s="2484"/>
      <c r="I42" s="2484"/>
      <c r="J42" s="2485"/>
      <c r="K42" s="2485"/>
      <c r="L42" s="564"/>
      <c r="M42" s="564"/>
      <c r="N42" s="564"/>
      <c r="O42" s="564"/>
      <c r="P42" s="564"/>
      <c r="Q42" s="564"/>
      <c r="R42" s="564"/>
      <c r="S42" s="564"/>
    </row>
    <row r="43" spans="1:19">
      <c r="A43" s="2483">
        <v>18</v>
      </c>
      <c r="B43" s="2484"/>
      <c r="C43" s="2484"/>
      <c r="D43" s="2484"/>
      <c r="E43" s="2484"/>
      <c r="F43" s="2484"/>
      <c r="G43" s="2484"/>
      <c r="H43" s="2484"/>
      <c r="I43" s="2484"/>
      <c r="J43" s="2485"/>
      <c r="K43" s="2485"/>
      <c r="L43" s="564"/>
      <c r="M43" s="564"/>
      <c r="N43" s="564"/>
      <c r="O43" s="564"/>
      <c r="P43" s="564"/>
      <c r="Q43" s="564"/>
      <c r="R43" s="564"/>
      <c r="S43" s="564"/>
    </row>
    <row r="44" spans="1:19">
      <c r="A44" s="2483"/>
      <c r="B44" s="2484"/>
      <c r="C44" s="2484"/>
      <c r="D44" s="2484"/>
      <c r="E44" s="2484"/>
      <c r="F44" s="2484"/>
      <c r="G44" s="2484"/>
      <c r="H44" s="2484"/>
      <c r="I44" s="2484"/>
      <c r="J44" s="2485"/>
      <c r="K44" s="2485"/>
      <c r="L44" s="564"/>
      <c r="M44" s="564"/>
      <c r="N44" s="564"/>
      <c r="O44" s="564"/>
      <c r="P44" s="564"/>
      <c r="Q44" s="564"/>
      <c r="R44" s="564"/>
      <c r="S44" s="564"/>
    </row>
    <row r="45" spans="1:19">
      <c r="A45" s="2483">
        <v>19</v>
      </c>
      <c r="B45" s="2484"/>
      <c r="C45" s="2484"/>
      <c r="D45" s="2484"/>
      <c r="E45" s="2484"/>
      <c r="F45" s="2484"/>
      <c r="G45" s="2484"/>
      <c r="H45" s="2484"/>
      <c r="I45" s="2484"/>
      <c r="J45" s="2485"/>
      <c r="K45" s="2485"/>
      <c r="L45" s="564"/>
      <c r="M45" s="564"/>
      <c r="N45" s="564"/>
      <c r="O45" s="564"/>
      <c r="P45" s="564"/>
      <c r="Q45" s="564"/>
      <c r="R45" s="564"/>
      <c r="S45" s="564"/>
    </row>
    <row r="46" spans="1:19">
      <c r="A46" s="2483"/>
      <c r="B46" s="2484"/>
      <c r="C46" s="2484"/>
      <c r="D46" s="2484"/>
      <c r="E46" s="2484"/>
      <c r="F46" s="2484"/>
      <c r="G46" s="2484"/>
      <c r="H46" s="2484"/>
      <c r="I46" s="2484"/>
      <c r="J46" s="2485"/>
      <c r="K46" s="2485"/>
      <c r="L46" s="564"/>
      <c r="M46" s="564"/>
      <c r="N46" s="564"/>
      <c r="O46" s="564"/>
      <c r="P46" s="564"/>
      <c r="Q46" s="564"/>
      <c r="R46" s="564"/>
      <c r="S46" s="564"/>
    </row>
    <row r="47" spans="1:19">
      <c r="A47" s="2483">
        <v>20</v>
      </c>
      <c r="B47" s="2484"/>
      <c r="C47" s="2484"/>
      <c r="D47" s="2484"/>
      <c r="E47" s="2484"/>
      <c r="F47" s="2484"/>
      <c r="G47" s="2484"/>
      <c r="H47" s="2484"/>
      <c r="I47" s="2484"/>
      <c r="J47" s="2485"/>
      <c r="K47" s="2485"/>
      <c r="L47" s="564"/>
      <c r="M47" s="564"/>
      <c r="N47" s="564"/>
      <c r="O47" s="564"/>
      <c r="P47" s="564"/>
      <c r="Q47" s="564"/>
      <c r="R47" s="564"/>
      <c r="S47" s="564"/>
    </row>
    <row r="48" spans="1:19">
      <c r="A48" s="2483"/>
      <c r="B48" s="2484"/>
      <c r="C48" s="2484"/>
      <c r="D48" s="2484"/>
      <c r="E48" s="2484"/>
      <c r="F48" s="2484"/>
      <c r="G48" s="2484"/>
      <c r="H48" s="2484"/>
      <c r="I48" s="2484"/>
      <c r="J48" s="2485"/>
      <c r="K48" s="2485"/>
      <c r="L48" s="564"/>
      <c r="M48" s="564"/>
      <c r="N48" s="564"/>
      <c r="O48" s="564"/>
      <c r="P48" s="564"/>
      <c r="Q48" s="564"/>
      <c r="R48" s="564"/>
      <c r="S48" s="564"/>
    </row>
    <row r="49" spans="1:19">
      <c r="A49" s="2480">
        <v>21</v>
      </c>
      <c r="B49" s="2481"/>
      <c r="C49" s="2481"/>
      <c r="D49" s="2481"/>
      <c r="E49" s="2481"/>
      <c r="F49" s="2481"/>
      <c r="G49" s="2481"/>
      <c r="H49" s="2481"/>
      <c r="I49" s="2481"/>
      <c r="J49" s="2482"/>
      <c r="K49" s="2482"/>
      <c r="L49" s="564"/>
      <c r="M49" s="564"/>
      <c r="N49" s="564"/>
      <c r="O49" s="564"/>
      <c r="P49" s="564"/>
      <c r="Q49" s="564"/>
      <c r="R49" s="564"/>
      <c r="S49" s="564"/>
    </row>
    <row r="50" spans="1:19">
      <c r="A50" s="2480"/>
      <c r="B50" s="2481"/>
      <c r="C50" s="2481"/>
      <c r="D50" s="2481"/>
      <c r="E50" s="2481"/>
      <c r="F50" s="2481"/>
      <c r="G50" s="2481"/>
      <c r="H50" s="2481"/>
      <c r="I50" s="2481"/>
      <c r="J50" s="2482"/>
      <c r="K50" s="2482"/>
      <c r="L50" s="564"/>
      <c r="M50" s="564"/>
      <c r="N50" s="564"/>
      <c r="O50" s="564"/>
      <c r="P50" s="564"/>
      <c r="Q50" s="564"/>
      <c r="R50" s="564"/>
      <c r="S50" s="564"/>
    </row>
  </sheetData>
  <sheetProtection selectLockedCells="1" selectUnlockedCells="1"/>
  <mergeCells count="83">
    <mergeCell ref="F1:K1"/>
    <mergeCell ref="F2:K2"/>
    <mergeCell ref="A1:E2"/>
    <mergeCell ref="D5:E5"/>
    <mergeCell ref="F5:H5"/>
    <mergeCell ref="I5:K5"/>
    <mergeCell ref="B3:C4"/>
    <mergeCell ref="B5:C5"/>
    <mergeCell ref="A3:A4"/>
    <mergeCell ref="D3:E3"/>
    <mergeCell ref="F3:H3"/>
    <mergeCell ref="I3:K3"/>
    <mergeCell ref="D4:E4"/>
    <mergeCell ref="F4:H4"/>
    <mergeCell ref="I4:K4"/>
    <mergeCell ref="A6:K6"/>
    <mergeCell ref="A7:A8"/>
    <mergeCell ref="B7:I8"/>
    <mergeCell ref="J7:K8"/>
    <mergeCell ref="L8:N8"/>
    <mergeCell ref="A9:A10"/>
    <mergeCell ref="B9:I10"/>
    <mergeCell ref="J9:K10"/>
    <mergeCell ref="A11:A12"/>
    <mergeCell ref="B11:I12"/>
    <mergeCell ref="J11:K12"/>
    <mergeCell ref="A13:A14"/>
    <mergeCell ref="B13:I14"/>
    <mergeCell ref="J13:K14"/>
    <mergeCell ref="A15:A16"/>
    <mergeCell ref="B15:I16"/>
    <mergeCell ref="J15:K16"/>
    <mergeCell ref="A17:A18"/>
    <mergeCell ref="B17:I18"/>
    <mergeCell ref="J17:K18"/>
    <mergeCell ref="A19:A20"/>
    <mergeCell ref="B19:I20"/>
    <mergeCell ref="J19:K20"/>
    <mergeCell ref="A21:A22"/>
    <mergeCell ref="B21:I22"/>
    <mergeCell ref="J21:K22"/>
    <mergeCell ref="A23:A24"/>
    <mergeCell ref="B23:I24"/>
    <mergeCell ref="J23:K24"/>
    <mergeCell ref="A25:A26"/>
    <mergeCell ref="B25:I26"/>
    <mergeCell ref="J25:K26"/>
    <mergeCell ref="A27:A28"/>
    <mergeCell ref="B27:I28"/>
    <mergeCell ref="J27:K28"/>
    <mergeCell ref="A29:A30"/>
    <mergeCell ref="B29:I30"/>
    <mergeCell ref="J29:K30"/>
    <mergeCell ref="A31:A32"/>
    <mergeCell ref="B31:I32"/>
    <mergeCell ref="J31:K32"/>
    <mergeCell ref="A33:A34"/>
    <mergeCell ref="B33:I34"/>
    <mergeCell ref="J33:K34"/>
    <mergeCell ref="A35:A36"/>
    <mergeCell ref="B35:I36"/>
    <mergeCell ref="J35:K36"/>
    <mergeCell ref="A37:A38"/>
    <mergeCell ref="B37:I38"/>
    <mergeCell ref="J37:K38"/>
    <mergeCell ref="A39:A40"/>
    <mergeCell ref="B39:I40"/>
    <mergeCell ref="J39:K40"/>
    <mergeCell ref="A41:A42"/>
    <mergeCell ref="B41:I42"/>
    <mergeCell ref="J41:K42"/>
    <mergeCell ref="A43:A44"/>
    <mergeCell ref="B43:I44"/>
    <mergeCell ref="J43:K44"/>
    <mergeCell ref="A49:A50"/>
    <mergeCell ref="B49:I50"/>
    <mergeCell ref="J49:K50"/>
    <mergeCell ref="A45:A46"/>
    <mergeCell ref="B45:I46"/>
    <mergeCell ref="J45:K46"/>
    <mergeCell ref="A47:A48"/>
    <mergeCell ref="B47:I48"/>
    <mergeCell ref="J47:K48"/>
  </mergeCells>
  <phoneticPr fontId="135" type="noConversion"/>
  <dataValidations count="1">
    <dataValidation allowBlank="1" showErrorMessage="1" sqref="F4:H4">
      <formula1>0</formula1>
      <formula2>0</formula2>
    </dataValidation>
  </dataValidation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K25"/>
  <sheetViews>
    <sheetView workbookViewId="0">
      <selection activeCell="B4" sqref="B4:C4"/>
    </sheetView>
  </sheetViews>
  <sheetFormatPr defaultColWidth="9" defaultRowHeight="14.25"/>
  <cols>
    <col min="1" max="1" width="10.25" style="964" customWidth="1"/>
    <col min="2" max="2" width="32.5" style="577" customWidth="1"/>
    <col min="3" max="3" width="8.25" style="577" customWidth="1"/>
    <col min="4" max="4" width="9.5" style="577" customWidth="1"/>
    <col min="5" max="5" width="19.25" style="577" customWidth="1"/>
    <col min="6" max="16384" width="9" style="577"/>
  </cols>
  <sheetData>
    <row r="1" spans="1:11" s="956" customFormat="1" ht="24" customHeight="1">
      <c r="A1" s="2543" t="str">
        <f>基本情况!F11</f>
        <v>中汇（厦门）税务师事务所有限公司</v>
      </c>
      <c r="B1" s="2543"/>
      <c r="C1" s="2543"/>
      <c r="D1" s="2543"/>
      <c r="E1" s="2543"/>
      <c r="F1" s="954"/>
      <c r="G1" s="954"/>
      <c r="H1" s="954"/>
      <c r="I1" s="955"/>
      <c r="J1" s="955"/>
      <c r="K1" s="955"/>
    </row>
    <row r="2" spans="1:11" ht="24" customHeight="1">
      <c r="A2" s="2544" t="s">
        <v>4640</v>
      </c>
      <c r="B2" s="2544"/>
      <c r="C2" s="2544"/>
      <c r="D2" s="2544"/>
      <c r="E2" s="957" t="str">
        <f>"索引号："&amp;开始!$B$5</f>
        <v>索引号：IN-03</v>
      </c>
      <c r="F2" s="958"/>
      <c r="G2" s="958"/>
      <c r="H2" s="958"/>
      <c r="I2" s="576"/>
      <c r="J2" s="576"/>
      <c r="K2" s="576"/>
    </row>
    <row r="3" spans="1:11" ht="6.75" customHeight="1">
      <c r="A3" s="2545"/>
      <c r="B3" s="2545"/>
      <c r="C3" s="2545"/>
      <c r="D3" s="2545"/>
      <c r="E3" s="2545"/>
      <c r="F3" s="958"/>
      <c r="G3" s="958"/>
      <c r="H3" s="958"/>
      <c r="I3" s="576"/>
      <c r="J3" s="576"/>
      <c r="K3" s="576"/>
    </row>
    <row r="4" spans="1:11" ht="36" customHeight="1">
      <c r="A4" s="959" t="s">
        <v>4510</v>
      </c>
      <c r="B4" s="2546" t="str">
        <f>基本情况!$C$3</f>
        <v/>
      </c>
      <c r="C4" s="2546"/>
      <c r="D4" s="959" t="s">
        <v>4641</v>
      </c>
      <c r="E4" s="960">
        <f>基本情况!$F$24</f>
        <v>1500</v>
      </c>
      <c r="F4" s="958"/>
      <c r="G4" s="958"/>
      <c r="H4" s="958"/>
      <c r="I4" s="576"/>
      <c r="J4" s="576"/>
      <c r="K4" s="576"/>
    </row>
    <row r="5" spans="1:11" ht="32.25" customHeight="1">
      <c r="A5" s="959" t="s">
        <v>1732</v>
      </c>
      <c r="B5" s="2546" t="str">
        <f>基本情况!$F$10</f>
        <v>厦中汇税审（2018）第DS0001号</v>
      </c>
      <c r="C5" s="2546"/>
      <c r="D5" s="959" t="s">
        <v>4642</v>
      </c>
      <c r="E5" s="961" t="str">
        <f>基本情况!$F$5</f>
        <v>企业所得税年度纳税申报审核</v>
      </c>
      <c r="F5" s="958"/>
      <c r="G5" s="958"/>
      <c r="H5" s="958"/>
      <c r="I5" s="576"/>
      <c r="J5" s="576"/>
      <c r="K5" s="576"/>
    </row>
    <row r="6" spans="1:11" ht="33" customHeight="1">
      <c r="A6" s="2540" t="s">
        <v>4643</v>
      </c>
      <c r="B6" s="2541"/>
      <c r="C6" s="2541"/>
      <c r="D6" s="2541"/>
      <c r="E6" s="2541"/>
      <c r="F6" s="576"/>
      <c r="G6" s="576"/>
      <c r="H6" s="576"/>
      <c r="I6" s="576"/>
      <c r="J6" s="576"/>
      <c r="K6" s="576"/>
    </row>
    <row r="7" spans="1:11" ht="33" customHeight="1">
      <c r="A7" s="2540"/>
      <c r="B7" s="2541"/>
      <c r="C7" s="2541"/>
      <c r="D7" s="2541"/>
      <c r="E7" s="2541"/>
      <c r="F7" s="576"/>
      <c r="G7" s="576"/>
      <c r="H7" s="576"/>
      <c r="I7" s="576"/>
      <c r="J7" s="576"/>
      <c r="K7" s="576"/>
    </row>
    <row r="8" spans="1:11" ht="28.5" customHeight="1">
      <c r="A8" s="2540"/>
      <c r="B8" s="2542" t="str">
        <f>"  签字："&amp;基本情况!$F$19&amp;""&amp;"                         日期："&amp;基本情况!$F$27</f>
        <v xml:space="preserve">  签字：                         日期：2018年3月16日</v>
      </c>
      <c r="C8" s="2542"/>
      <c r="D8" s="2542"/>
      <c r="E8" s="2542"/>
      <c r="F8" s="576"/>
      <c r="G8" s="576"/>
      <c r="H8" s="576"/>
      <c r="I8" s="576"/>
      <c r="J8" s="576"/>
      <c r="K8" s="576"/>
    </row>
    <row r="9" spans="1:11" ht="33" customHeight="1">
      <c r="A9" s="2532" t="s">
        <v>4644</v>
      </c>
      <c r="B9" s="2539"/>
      <c r="C9" s="2539"/>
      <c r="D9" s="2539"/>
      <c r="E9" s="2539"/>
      <c r="F9" s="576"/>
      <c r="G9" s="576"/>
      <c r="H9" s="576"/>
      <c r="I9" s="576"/>
      <c r="J9" s="576"/>
      <c r="K9" s="576"/>
    </row>
    <row r="10" spans="1:11" ht="33" customHeight="1">
      <c r="A10" s="2532"/>
      <c r="B10" s="2539"/>
      <c r="C10" s="2539"/>
      <c r="D10" s="2539"/>
      <c r="E10" s="2539"/>
      <c r="F10" s="576"/>
      <c r="G10" s="576"/>
      <c r="H10" s="576"/>
      <c r="I10" s="576"/>
      <c r="J10" s="576"/>
      <c r="K10" s="576"/>
    </row>
    <row r="11" spans="1:11" ht="36" customHeight="1">
      <c r="A11" s="2532"/>
      <c r="B11" s="2534" t="str">
        <f>"  签字："&amp;基本情况!$F$18&amp;""&amp;"                         日期："&amp;基本情况!$F$27</f>
        <v xml:space="preserve">  签字：                         日期：2018年3月16日</v>
      </c>
      <c r="C11" s="2534"/>
      <c r="D11" s="2534"/>
      <c r="E11" s="2534"/>
      <c r="F11" s="576"/>
      <c r="G11" s="576"/>
      <c r="H11" s="576"/>
      <c r="I11" s="576"/>
      <c r="J11" s="576"/>
      <c r="K11" s="576"/>
    </row>
    <row r="12" spans="1:11" ht="33" customHeight="1">
      <c r="A12" s="2532" t="s">
        <v>4645</v>
      </c>
      <c r="B12" s="2533"/>
      <c r="C12" s="2533"/>
      <c r="D12" s="2533"/>
      <c r="E12" s="2533"/>
      <c r="F12" s="576"/>
      <c r="G12" s="576"/>
      <c r="H12" s="576"/>
      <c r="I12" s="576"/>
      <c r="J12" s="576"/>
      <c r="K12" s="576"/>
    </row>
    <row r="13" spans="1:11" ht="33" customHeight="1">
      <c r="A13" s="2532"/>
      <c r="B13" s="2533"/>
      <c r="C13" s="2533"/>
      <c r="D13" s="2533"/>
      <c r="E13" s="2533"/>
      <c r="F13" s="576"/>
      <c r="G13" s="576"/>
      <c r="H13" s="576"/>
      <c r="I13" s="576"/>
      <c r="J13" s="576"/>
      <c r="K13" s="576"/>
    </row>
    <row r="14" spans="1:11" ht="36" customHeight="1">
      <c r="A14" s="2532"/>
      <c r="B14" s="2534" t="str">
        <f>"  签字："&amp;基本情况!$F$17&amp;"                         日期："&amp;基本情况!$F$27</f>
        <v xml:space="preserve">  签字：                         日期：2018年3月16日</v>
      </c>
      <c r="C14" s="2534"/>
      <c r="D14" s="2534"/>
      <c r="E14" s="2534"/>
      <c r="F14" s="576"/>
      <c r="G14" s="576"/>
      <c r="H14" s="576"/>
      <c r="I14" s="576"/>
      <c r="J14" s="576"/>
      <c r="K14" s="576"/>
    </row>
    <row r="15" spans="1:11" ht="33" customHeight="1">
      <c r="A15" s="2532" t="s">
        <v>4646</v>
      </c>
      <c r="B15" s="2533"/>
      <c r="C15" s="2533"/>
      <c r="D15" s="2533"/>
      <c r="E15" s="2533"/>
      <c r="F15" s="576"/>
      <c r="G15" s="576"/>
      <c r="H15" s="576"/>
      <c r="I15" s="576"/>
      <c r="J15" s="576"/>
      <c r="K15" s="576"/>
    </row>
    <row r="16" spans="1:11" ht="33" customHeight="1">
      <c r="A16" s="2532"/>
      <c r="B16" s="2533"/>
      <c r="C16" s="2533"/>
      <c r="D16" s="2533"/>
      <c r="E16" s="2533"/>
      <c r="F16" s="576"/>
      <c r="G16" s="576"/>
      <c r="H16" s="576"/>
      <c r="I16" s="576"/>
      <c r="J16" s="576"/>
      <c r="K16" s="576"/>
    </row>
    <row r="17" spans="1:11" ht="36" customHeight="1">
      <c r="A17" s="2532"/>
      <c r="B17" s="2534" t="str">
        <f>"  签字："&amp;基本情况!$F$16&amp;"                         日期："&amp;基本情况!$F$27</f>
        <v xml:space="preserve">  签字：                         日期：2018年3月16日</v>
      </c>
      <c r="C17" s="2534"/>
      <c r="D17" s="2534"/>
      <c r="E17" s="2534"/>
      <c r="F17" s="576"/>
      <c r="G17" s="576"/>
      <c r="H17" s="576"/>
      <c r="I17" s="576"/>
      <c r="J17" s="576"/>
      <c r="K17" s="576"/>
    </row>
    <row r="18" spans="1:11" ht="30" customHeight="1">
      <c r="A18" s="2532" t="s">
        <v>4647</v>
      </c>
      <c r="B18" s="962" t="s">
        <v>4648</v>
      </c>
      <c r="C18" s="2535" t="s">
        <v>4649</v>
      </c>
      <c r="D18" s="2535"/>
      <c r="E18" s="2535"/>
      <c r="F18" s="576"/>
      <c r="G18" s="576"/>
      <c r="H18" s="576"/>
      <c r="I18" s="576"/>
      <c r="J18" s="576"/>
      <c r="K18" s="576"/>
    </row>
    <row r="19" spans="1:11" ht="22.5" customHeight="1">
      <c r="A19" s="2532"/>
      <c r="B19" s="2536" t="s">
        <v>4650</v>
      </c>
      <c r="C19" s="2536"/>
      <c r="D19" s="2536"/>
      <c r="E19" s="2536"/>
      <c r="F19" s="576"/>
      <c r="G19" s="576"/>
      <c r="H19" s="576"/>
      <c r="I19" s="576"/>
      <c r="J19" s="576"/>
      <c r="K19" s="576"/>
    </row>
    <row r="20" spans="1:11" ht="36" customHeight="1">
      <c r="A20" s="2532"/>
      <c r="B20" s="2537" t="s">
        <v>4651</v>
      </c>
      <c r="C20" s="2537"/>
      <c r="D20" s="2537"/>
      <c r="E20" s="2537"/>
      <c r="F20" s="576"/>
      <c r="G20" s="576"/>
      <c r="H20" s="576"/>
      <c r="I20" s="576"/>
      <c r="J20" s="576"/>
      <c r="K20" s="576"/>
    </row>
    <row r="21" spans="1:11" ht="30" customHeight="1">
      <c r="A21" s="2532"/>
      <c r="B21" s="963" t="s">
        <v>4652</v>
      </c>
      <c r="C21" s="2538" t="s">
        <v>4408</v>
      </c>
      <c r="D21" s="2538"/>
      <c r="E21" s="2538"/>
      <c r="F21" s="576"/>
      <c r="G21" s="576"/>
      <c r="H21" s="576"/>
      <c r="I21" s="576"/>
      <c r="J21" s="576"/>
      <c r="K21" s="576"/>
    </row>
    <row r="22" spans="1:11" ht="30" customHeight="1">
      <c r="A22" s="2517" t="s">
        <v>4388</v>
      </c>
      <c r="B22" s="2519" t="s">
        <v>4653</v>
      </c>
      <c r="C22" s="2520"/>
      <c r="D22" s="2521">
        <f>'A100000 中华人民共和国企业所得税年度纳税申报表（A类）'!$D$22</f>
        <v>0</v>
      </c>
      <c r="E22" s="2522"/>
      <c r="F22" s="2523" t="s">
        <v>4654</v>
      </c>
      <c r="G22" s="2524"/>
      <c r="H22" s="2524"/>
      <c r="I22" s="2524"/>
      <c r="J22" s="576"/>
      <c r="K22" s="576"/>
    </row>
    <row r="23" spans="1:11" ht="24" customHeight="1">
      <c r="A23" s="2518"/>
      <c r="B23" s="2525" t="s">
        <v>4655</v>
      </c>
      <c r="C23" s="2526"/>
      <c r="D23" s="2521">
        <f>'A100000 中华人民共和国企业所得税年度纳税申报表（A类）'!$D$26</f>
        <v>0</v>
      </c>
      <c r="E23" s="2522"/>
      <c r="F23" s="576"/>
      <c r="G23" s="576"/>
      <c r="H23" s="576"/>
      <c r="I23" s="576"/>
      <c r="J23" s="576"/>
      <c r="K23" s="576"/>
    </row>
    <row r="24" spans="1:11" ht="24" customHeight="1">
      <c r="A24" s="2518"/>
      <c r="B24" s="2527" t="s">
        <v>4656</v>
      </c>
      <c r="C24" s="2528"/>
      <c r="D24" s="2529">
        <f>'A100000 中华人民共和国企业所得税年度纳税申报表（A类）'!$D$36</f>
        <v>0</v>
      </c>
      <c r="E24" s="2530"/>
      <c r="F24" s="576"/>
      <c r="G24" s="576"/>
      <c r="H24" s="576"/>
      <c r="I24" s="576"/>
      <c r="J24" s="576"/>
      <c r="K24" s="576"/>
    </row>
    <row r="25" spans="1:11" ht="39" customHeight="1">
      <c r="A25" s="2491"/>
      <c r="B25" s="2531"/>
      <c r="C25" s="2531"/>
      <c r="D25" s="2531"/>
      <c r="E25" s="2531"/>
      <c r="F25" s="576"/>
      <c r="G25" s="576"/>
      <c r="H25" s="576"/>
      <c r="I25" s="576"/>
      <c r="J25" s="576"/>
      <c r="K25" s="576"/>
    </row>
  </sheetData>
  <sheetProtection selectLockedCells="1" selectUnlockedCells="1"/>
  <mergeCells count="31">
    <mergeCell ref="A6:A8"/>
    <mergeCell ref="B6:E7"/>
    <mergeCell ref="B8:E8"/>
    <mergeCell ref="A1:E1"/>
    <mergeCell ref="A2:D2"/>
    <mergeCell ref="A3:E3"/>
    <mergeCell ref="B4:C4"/>
    <mergeCell ref="B5:C5"/>
    <mergeCell ref="A9:A11"/>
    <mergeCell ref="B9:E10"/>
    <mergeCell ref="B11:E11"/>
    <mergeCell ref="A12:A14"/>
    <mergeCell ref="B12:E13"/>
    <mergeCell ref="B14:E14"/>
    <mergeCell ref="A15:A17"/>
    <mergeCell ref="B15:E16"/>
    <mergeCell ref="B17:E17"/>
    <mergeCell ref="A18:A21"/>
    <mergeCell ref="C18:E18"/>
    <mergeCell ref="B19:E19"/>
    <mergeCell ref="B20:E20"/>
    <mergeCell ref="C21:E21"/>
    <mergeCell ref="A22:A25"/>
    <mergeCell ref="B22:C22"/>
    <mergeCell ref="D22:E22"/>
    <mergeCell ref="F22:I22"/>
    <mergeCell ref="B23:C23"/>
    <mergeCell ref="D23:E23"/>
    <mergeCell ref="B24:C24"/>
    <mergeCell ref="D24:E24"/>
    <mergeCell ref="B25:E25"/>
  </mergeCells>
  <phoneticPr fontId="135" type="noConversion"/>
  <hyperlinks>
    <hyperlink ref="F22:I22" location="'A100000中华人民共和国企业所得税年度纳税申报表（A类）'!A30" display="申报主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Q44"/>
  <sheetViews>
    <sheetView workbookViewId="0">
      <selection activeCell="M7" sqref="M7"/>
    </sheetView>
  </sheetViews>
  <sheetFormatPr defaultColWidth="9" defaultRowHeight="14.25"/>
  <cols>
    <col min="1" max="1" width="4.625" style="577" customWidth="1"/>
    <col min="2" max="2" width="5" style="577" customWidth="1"/>
    <col min="3" max="9" width="6" style="577" customWidth="1"/>
    <col min="10" max="10" width="22.25" style="577" customWidth="1"/>
    <col min="11" max="11" width="8.25" style="577" customWidth="1"/>
    <col min="12" max="16384" width="9" style="577"/>
  </cols>
  <sheetData>
    <row r="1" spans="1:17" ht="27" customHeight="1">
      <c r="A1" s="2568" t="s">
        <v>4627</v>
      </c>
      <c r="B1" s="2568"/>
      <c r="C1" s="2568"/>
      <c r="D1" s="2568"/>
      <c r="E1" s="2568"/>
      <c r="F1" s="2568"/>
      <c r="G1" s="2568"/>
      <c r="H1" s="2568"/>
      <c r="I1" s="2568"/>
      <c r="J1" s="2568"/>
      <c r="K1" s="2568"/>
      <c r="L1" s="576"/>
      <c r="M1" s="576"/>
      <c r="N1" s="576"/>
      <c r="O1" s="576"/>
      <c r="P1" s="576"/>
      <c r="Q1" s="576"/>
    </row>
    <row r="2" spans="1:17" ht="25.5" customHeight="1">
      <c r="A2" s="2569" t="str">
        <f>"委托单位名称："&amp;基本情况!$C$3</f>
        <v>委托单位名称：</v>
      </c>
      <c r="B2" s="2569"/>
      <c r="C2" s="2569"/>
      <c r="D2" s="2569"/>
      <c r="E2" s="2569"/>
      <c r="F2" s="2569"/>
      <c r="G2" s="2569"/>
      <c r="H2" s="2569"/>
      <c r="I2" s="2569"/>
      <c r="J2" s="2569"/>
      <c r="K2" s="965" t="s">
        <v>4409</v>
      </c>
      <c r="L2" s="576"/>
      <c r="M2" s="576"/>
      <c r="N2" s="576"/>
      <c r="O2" s="576"/>
      <c r="P2" s="576"/>
      <c r="Q2" s="576"/>
    </row>
    <row r="3" spans="1:17" ht="30" customHeight="1">
      <c r="A3" s="2570" t="s">
        <v>4657</v>
      </c>
      <c r="B3" s="2570"/>
      <c r="C3" s="966"/>
      <c r="D3" s="967"/>
      <c r="E3" s="966"/>
      <c r="F3" s="966"/>
      <c r="G3" s="967"/>
      <c r="H3" s="967"/>
      <c r="I3" s="2571" t="str">
        <f>"纳税所属年度："&amp;基本情况!$F$6&amp;"年度"</f>
        <v>纳税所属年度：2017年度</v>
      </c>
      <c r="J3" s="2571"/>
      <c r="K3" s="2572" t="str">
        <f>开始!$B$6</f>
        <v>IN-04</v>
      </c>
      <c r="L3" s="576"/>
      <c r="M3" s="576"/>
      <c r="N3" s="576"/>
      <c r="O3" s="576"/>
      <c r="P3" s="576"/>
      <c r="Q3" s="576"/>
    </row>
    <row r="4" spans="1:17" ht="25.5" customHeight="1">
      <c r="A4" s="968" t="str">
        <f>"报告文号："&amp;基本情况!$F$10</f>
        <v>报告文号：厦中汇税审（2018）第DS0001号</v>
      </c>
      <c r="B4" s="969"/>
      <c r="C4" s="969"/>
      <c r="D4" s="970"/>
      <c r="E4" s="970"/>
      <c r="F4" s="970"/>
      <c r="G4" s="971"/>
      <c r="H4" s="972"/>
      <c r="I4" s="2573" t="str">
        <f>"业务类型："&amp;基本情况!$F$5</f>
        <v>业务类型：企业所得税年度纳税申报审核</v>
      </c>
      <c r="J4" s="2573"/>
      <c r="K4" s="2572"/>
      <c r="L4" s="576"/>
      <c r="M4" s="576"/>
      <c r="N4" s="576"/>
      <c r="O4" s="576"/>
      <c r="P4" s="576"/>
      <c r="Q4" s="576"/>
    </row>
    <row r="5" spans="1:17" ht="7.5" customHeight="1">
      <c r="A5" s="2561"/>
      <c r="B5" s="2561"/>
      <c r="C5" s="2561"/>
      <c r="D5" s="2561"/>
      <c r="E5" s="2561"/>
      <c r="F5" s="2561"/>
      <c r="G5" s="2561"/>
      <c r="H5" s="2561"/>
      <c r="I5" s="2561"/>
      <c r="J5" s="2561"/>
      <c r="K5" s="2561"/>
      <c r="L5" s="576"/>
      <c r="M5" s="576"/>
      <c r="N5" s="576"/>
      <c r="O5" s="576"/>
      <c r="P5" s="576"/>
      <c r="Q5" s="576"/>
    </row>
    <row r="6" spans="1:17" ht="28.5" customHeight="1">
      <c r="A6" s="973" t="s">
        <v>4658</v>
      </c>
      <c r="B6" s="2562" t="s">
        <v>4659</v>
      </c>
      <c r="C6" s="2562"/>
      <c r="D6" s="2562"/>
      <c r="E6" s="974" t="s">
        <v>4660</v>
      </c>
      <c r="F6" s="2562" t="s">
        <v>4661</v>
      </c>
      <c r="G6" s="2562"/>
      <c r="H6" s="2562"/>
      <c r="I6" s="2562"/>
      <c r="J6" s="2562"/>
      <c r="K6" s="975" t="s">
        <v>4662</v>
      </c>
      <c r="L6" s="576"/>
      <c r="M6" s="576"/>
      <c r="N6" s="576"/>
      <c r="O6" s="576"/>
      <c r="P6" s="576"/>
      <c r="Q6" s="576"/>
    </row>
    <row r="7" spans="1:17" ht="22.5" customHeight="1">
      <c r="A7" s="2563" t="s">
        <v>1727</v>
      </c>
      <c r="B7" s="2564" t="s">
        <v>4663</v>
      </c>
      <c r="C7" s="2564"/>
      <c r="D7" s="2564"/>
      <c r="E7" s="2565"/>
      <c r="F7" s="2566"/>
      <c r="G7" s="2566"/>
      <c r="H7" s="2566"/>
      <c r="I7" s="2566"/>
      <c r="J7" s="2566"/>
      <c r="K7" s="2567"/>
      <c r="L7" s="576"/>
      <c r="M7" s="576"/>
      <c r="N7" s="576"/>
      <c r="O7" s="576"/>
      <c r="P7" s="576"/>
      <c r="Q7" s="576"/>
    </row>
    <row r="8" spans="1:17" ht="22.5" customHeight="1">
      <c r="A8" s="2563"/>
      <c r="B8" s="2564"/>
      <c r="C8" s="2564"/>
      <c r="D8" s="2564"/>
      <c r="E8" s="2565"/>
      <c r="F8" s="2560"/>
      <c r="G8" s="2560"/>
      <c r="H8" s="2560"/>
      <c r="I8" s="2560"/>
      <c r="J8" s="2560"/>
      <c r="K8" s="2567"/>
      <c r="L8" s="576"/>
      <c r="M8" s="576"/>
      <c r="N8" s="576"/>
      <c r="O8" s="576"/>
      <c r="P8" s="576"/>
      <c r="Q8" s="576"/>
    </row>
    <row r="9" spans="1:17" ht="22.5" customHeight="1">
      <c r="A9" s="2563"/>
      <c r="B9" s="2564"/>
      <c r="C9" s="2564"/>
      <c r="D9" s="2564"/>
      <c r="E9" s="2565"/>
      <c r="F9" s="2560"/>
      <c r="G9" s="2560"/>
      <c r="H9" s="2560"/>
      <c r="I9" s="2560"/>
      <c r="J9" s="2560"/>
      <c r="K9" s="2567"/>
      <c r="L9" s="576"/>
      <c r="M9" s="576"/>
      <c r="N9" s="576"/>
      <c r="O9" s="576"/>
      <c r="P9" s="576"/>
      <c r="Q9" s="576"/>
    </row>
    <row r="10" spans="1:17" ht="21" customHeight="1">
      <c r="A10" s="2563"/>
      <c r="B10" s="2564"/>
      <c r="C10" s="2564"/>
      <c r="D10" s="2564"/>
      <c r="E10" s="2565"/>
      <c r="F10" s="2560"/>
      <c r="G10" s="2560"/>
      <c r="H10" s="2560"/>
      <c r="I10" s="2560"/>
      <c r="J10" s="2560"/>
      <c r="K10" s="2567"/>
      <c r="L10" s="576"/>
      <c r="M10" s="576"/>
      <c r="N10" s="576"/>
      <c r="O10" s="576"/>
      <c r="P10" s="576"/>
      <c r="Q10" s="576"/>
    </row>
    <row r="11" spans="1:17" ht="15" customHeight="1">
      <c r="A11" s="2563"/>
      <c r="B11" s="2564"/>
      <c r="C11" s="2564"/>
      <c r="D11" s="2564"/>
      <c r="E11" s="2565"/>
      <c r="F11" s="2560"/>
      <c r="G11" s="2560"/>
      <c r="H11" s="2560"/>
      <c r="I11" s="2560"/>
      <c r="J11" s="2560"/>
      <c r="K11" s="2567"/>
      <c r="L11" s="576"/>
      <c r="M11" s="576"/>
      <c r="N11" s="576"/>
      <c r="O11" s="576"/>
      <c r="P11" s="576"/>
      <c r="Q11" s="576"/>
    </row>
    <row r="12" spans="1:17" ht="13.5" customHeight="1">
      <c r="A12" s="2563"/>
      <c r="B12" s="2564"/>
      <c r="C12" s="2564"/>
      <c r="D12" s="2564"/>
      <c r="E12" s="2565"/>
      <c r="F12" s="2560"/>
      <c r="G12" s="2560"/>
      <c r="H12" s="2560"/>
      <c r="I12" s="2560"/>
      <c r="J12" s="2560"/>
      <c r="K12" s="2567"/>
      <c r="L12" s="576"/>
      <c r="M12" s="576"/>
      <c r="N12" s="576"/>
      <c r="O12" s="576"/>
      <c r="P12" s="576"/>
      <c r="Q12" s="576"/>
    </row>
    <row r="13" spans="1:17" ht="14.25" customHeight="1">
      <c r="A13" s="2563"/>
      <c r="B13" s="2564"/>
      <c r="C13" s="2564"/>
      <c r="D13" s="2564"/>
      <c r="E13" s="2565"/>
      <c r="F13" s="2560"/>
      <c r="G13" s="2560"/>
      <c r="H13" s="2560"/>
      <c r="I13" s="2560"/>
      <c r="J13" s="2560"/>
      <c r="K13" s="2567"/>
      <c r="L13" s="576"/>
      <c r="M13" s="576"/>
      <c r="N13" s="576"/>
      <c r="O13" s="576"/>
      <c r="P13" s="576"/>
      <c r="Q13" s="576"/>
    </row>
    <row r="14" spans="1:17" ht="14.25" customHeight="1">
      <c r="A14" s="2563"/>
      <c r="B14" s="2564"/>
      <c r="C14" s="2564"/>
      <c r="D14" s="2564"/>
      <c r="E14" s="2565"/>
      <c r="F14" s="2551" t="str">
        <f>"签名："&amp;基本情况!$F$18&amp;""&amp;"               日期："&amp;基本情况!$F$27</f>
        <v>签名：               日期：2018年3月16日</v>
      </c>
      <c r="G14" s="2551"/>
      <c r="H14" s="2551"/>
      <c r="I14" s="2551"/>
      <c r="J14" s="2551"/>
      <c r="K14" s="2567"/>
      <c r="L14" s="576"/>
      <c r="M14" s="576"/>
      <c r="N14" s="576"/>
      <c r="O14" s="576"/>
      <c r="P14" s="576"/>
      <c r="Q14" s="576"/>
    </row>
    <row r="15" spans="1:17" ht="12" customHeight="1">
      <c r="A15" s="2563"/>
      <c r="B15" s="2564"/>
      <c r="C15" s="2564"/>
      <c r="D15" s="2564"/>
      <c r="E15" s="2565"/>
      <c r="F15" s="2551"/>
      <c r="G15" s="2551"/>
      <c r="H15" s="2551"/>
      <c r="I15" s="2551"/>
      <c r="J15" s="2551"/>
      <c r="K15" s="2567"/>
      <c r="L15" s="576"/>
      <c r="M15" s="576"/>
      <c r="N15" s="576"/>
      <c r="O15" s="576"/>
      <c r="P15" s="576"/>
      <c r="Q15" s="576"/>
    </row>
    <row r="16" spans="1:17" ht="20.25" customHeight="1">
      <c r="A16" s="2555" t="s">
        <v>4664</v>
      </c>
      <c r="B16" s="2556" t="s">
        <v>4665</v>
      </c>
      <c r="C16" s="2556"/>
      <c r="D16" s="2556"/>
      <c r="E16" s="2557"/>
      <c r="F16" s="2558"/>
      <c r="G16" s="2558"/>
      <c r="H16" s="2558"/>
      <c r="I16" s="2558"/>
      <c r="J16" s="2558"/>
      <c r="K16" s="2559"/>
      <c r="L16" s="576"/>
      <c r="M16" s="576"/>
      <c r="N16" s="576"/>
      <c r="O16" s="576"/>
      <c r="P16" s="576"/>
      <c r="Q16" s="576"/>
    </row>
    <row r="17" spans="1:17" ht="11.25" customHeight="1">
      <c r="A17" s="2555"/>
      <c r="B17" s="2556"/>
      <c r="C17" s="2556"/>
      <c r="D17" s="2556"/>
      <c r="E17" s="2557"/>
      <c r="F17" s="2560"/>
      <c r="G17" s="2560"/>
      <c r="H17" s="2560"/>
      <c r="I17" s="2560"/>
      <c r="J17" s="2560"/>
      <c r="K17" s="2559"/>
      <c r="L17" s="576"/>
      <c r="M17" s="576"/>
      <c r="N17" s="576"/>
      <c r="O17" s="576"/>
      <c r="P17" s="576"/>
      <c r="Q17" s="576"/>
    </row>
    <row r="18" spans="1:17" ht="15.75" customHeight="1">
      <c r="A18" s="2555"/>
      <c r="B18" s="2556"/>
      <c r="C18" s="2556"/>
      <c r="D18" s="2556"/>
      <c r="E18" s="2557"/>
      <c r="F18" s="2560"/>
      <c r="G18" s="2560"/>
      <c r="H18" s="2560"/>
      <c r="I18" s="2560"/>
      <c r="J18" s="2560"/>
      <c r="K18" s="2559"/>
      <c r="L18" s="576"/>
      <c r="M18" s="576"/>
      <c r="N18" s="576"/>
      <c r="O18" s="576"/>
      <c r="P18" s="576"/>
      <c r="Q18" s="576"/>
    </row>
    <row r="19" spans="1:17" ht="22.5" customHeight="1">
      <c r="A19" s="2555"/>
      <c r="B19" s="2556"/>
      <c r="C19" s="2556"/>
      <c r="D19" s="2556"/>
      <c r="E19" s="2557"/>
      <c r="F19" s="2560"/>
      <c r="G19" s="2560"/>
      <c r="H19" s="2560"/>
      <c r="I19" s="2560"/>
      <c r="J19" s="2560"/>
      <c r="K19" s="2559"/>
      <c r="L19" s="576"/>
      <c r="M19" s="576"/>
      <c r="N19" s="576"/>
      <c r="O19" s="576"/>
      <c r="P19" s="576"/>
      <c r="Q19" s="576"/>
    </row>
    <row r="20" spans="1:17" ht="17.25" customHeight="1">
      <c r="A20" s="2555"/>
      <c r="B20" s="2556"/>
      <c r="C20" s="2556"/>
      <c r="D20" s="2556"/>
      <c r="E20" s="2557"/>
      <c r="F20" s="2560"/>
      <c r="G20" s="2560"/>
      <c r="H20" s="2560"/>
      <c r="I20" s="2560"/>
      <c r="J20" s="2560"/>
      <c r="K20" s="2559"/>
      <c r="L20" s="576"/>
      <c r="M20" s="576"/>
      <c r="N20" s="576"/>
      <c r="O20" s="576"/>
      <c r="P20" s="576"/>
      <c r="Q20" s="576"/>
    </row>
    <row r="21" spans="1:17" ht="12.75" customHeight="1">
      <c r="A21" s="2555"/>
      <c r="B21" s="2556"/>
      <c r="C21" s="2556"/>
      <c r="D21" s="2556"/>
      <c r="E21" s="2557"/>
      <c r="F21" s="2560"/>
      <c r="G21" s="2560"/>
      <c r="H21" s="2560"/>
      <c r="I21" s="2560"/>
      <c r="J21" s="2560"/>
      <c r="K21" s="2559"/>
      <c r="L21" s="576"/>
      <c r="M21" s="576"/>
      <c r="N21" s="576"/>
      <c r="O21" s="576"/>
      <c r="P21" s="576"/>
      <c r="Q21" s="576"/>
    </row>
    <row r="22" spans="1:17" ht="12.75" customHeight="1">
      <c r="A22" s="2555"/>
      <c r="B22" s="2556"/>
      <c r="C22" s="2556"/>
      <c r="D22" s="2556"/>
      <c r="E22" s="2557"/>
      <c r="F22" s="2560"/>
      <c r="G22" s="2560"/>
      <c r="H22" s="2560"/>
      <c r="I22" s="2560"/>
      <c r="J22" s="2560"/>
      <c r="K22" s="2559"/>
      <c r="L22" s="576"/>
      <c r="M22" s="576"/>
      <c r="N22" s="576"/>
      <c r="O22" s="576"/>
      <c r="P22" s="576"/>
      <c r="Q22" s="576"/>
    </row>
    <row r="23" spans="1:17" ht="12" customHeight="1">
      <c r="A23" s="2555"/>
      <c r="B23" s="2556"/>
      <c r="C23" s="2556"/>
      <c r="D23" s="2556"/>
      <c r="E23" s="2557"/>
      <c r="F23" s="2560"/>
      <c r="G23" s="2560"/>
      <c r="H23" s="2560"/>
      <c r="I23" s="2560"/>
      <c r="J23" s="2560"/>
      <c r="K23" s="2559"/>
      <c r="L23" s="576"/>
      <c r="M23" s="576"/>
      <c r="N23" s="576"/>
      <c r="O23" s="576"/>
      <c r="P23" s="576"/>
      <c r="Q23" s="576"/>
    </row>
    <row r="24" spans="1:17" ht="15" customHeight="1">
      <c r="A24" s="2555"/>
      <c r="B24" s="2556"/>
      <c r="C24" s="2556"/>
      <c r="D24" s="2556"/>
      <c r="E24" s="2557"/>
      <c r="F24" s="2551" t="str">
        <f>"签名："&amp;基本情况!$F$17&amp;"               日期:"&amp;基本情况!$F$27</f>
        <v>签名：               日期:2018年3月16日</v>
      </c>
      <c r="G24" s="2551"/>
      <c r="H24" s="2551"/>
      <c r="I24" s="2551"/>
      <c r="J24" s="2551"/>
      <c r="K24" s="2559"/>
      <c r="L24" s="576"/>
      <c r="M24" s="576"/>
      <c r="N24" s="576"/>
      <c r="O24" s="576"/>
      <c r="P24" s="576"/>
      <c r="Q24" s="576"/>
    </row>
    <row r="25" spans="1:17" ht="19.5" customHeight="1">
      <c r="A25" s="2555"/>
      <c r="B25" s="2556"/>
      <c r="C25" s="2556"/>
      <c r="D25" s="2556"/>
      <c r="E25" s="2557"/>
      <c r="F25" s="2551"/>
      <c r="G25" s="2551"/>
      <c r="H25" s="2551"/>
      <c r="I25" s="2551"/>
      <c r="J25" s="2551"/>
      <c r="K25" s="2559"/>
      <c r="L25" s="576"/>
      <c r="M25" s="576"/>
      <c r="N25" s="576"/>
      <c r="O25" s="576"/>
      <c r="P25" s="576"/>
      <c r="Q25" s="576"/>
    </row>
    <row r="26" spans="1:17" ht="22.5" customHeight="1">
      <c r="A26" s="2555" t="s">
        <v>4666</v>
      </c>
      <c r="B26" s="2556" t="s">
        <v>4667</v>
      </c>
      <c r="C26" s="2556"/>
      <c r="D26" s="2556"/>
      <c r="E26" s="2557"/>
      <c r="F26" s="2558"/>
      <c r="G26" s="2558"/>
      <c r="H26" s="2558"/>
      <c r="I26" s="2558"/>
      <c r="J26" s="2558"/>
      <c r="K26" s="2559"/>
      <c r="L26" s="576"/>
      <c r="M26" s="576"/>
      <c r="N26" s="576"/>
      <c r="O26" s="576"/>
      <c r="P26" s="576"/>
      <c r="Q26" s="576"/>
    </row>
    <row r="27" spans="1:17" ht="19.5" customHeight="1">
      <c r="A27" s="2555"/>
      <c r="B27" s="2556"/>
      <c r="C27" s="2556"/>
      <c r="D27" s="2556"/>
      <c r="E27" s="2557"/>
      <c r="F27" s="2560"/>
      <c r="G27" s="2560"/>
      <c r="H27" s="2560"/>
      <c r="I27" s="2560"/>
      <c r="J27" s="2560"/>
      <c r="K27" s="2559"/>
      <c r="L27" s="576"/>
      <c r="M27" s="576"/>
      <c r="N27" s="576"/>
      <c r="O27" s="576"/>
      <c r="P27" s="576"/>
      <c r="Q27" s="576"/>
    </row>
    <row r="28" spans="1:17" ht="22.5" customHeight="1">
      <c r="A28" s="2555"/>
      <c r="B28" s="2556"/>
      <c r="C28" s="2556"/>
      <c r="D28" s="2556"/>
      <c r="E28" s="2557"/>
      <c r="F28" s="2560"/>
      <c r="G28" s="2560"/>
      <c r="H28" s="2560"/>
      <c r="I28" s="2560"/>
      <c r="J28" s="2560"/>
      <c r="K28" s="2559"/>
      <c r="L28" s="576"/>
      <c r="M28" s="576"/>
      <c r="N28" s="576"/>
      <c r="O28" s="576"/>
      <c r="P28" s="576"/>
      <c r="Q28" s="576"/>
    </row>
    <row r="29" spans="1:17" ht="22.5" customHeight="1">
      <c r="A29" s="2555"/>
      <c r="B29" s="2556"/>
      <c r="C29" s="2556"/>
      <c r="D29" s="2556"/>
      <c r="E29" s="2557"/>
      <c r="F29" s="2560"/>
      <c r="G29" s="2560"/>
      <c r="H29" s="2560"/>
      <c r="I29" s="2560"/>
      <c r="J29" s="2560"/>
      <c r="K29" s="2559"/>
      <c r="L29" s="576"/>
      <c r="M29" s="576"/>
      <c r="N29" s="576"/>
      <c r="O29" s="576"/>
      <c r="P29" s="576"/>
      <c r="Q29" s="576"/>
    </row>
    <row r="30" spans="1:17" ht="4.5" customHeight="1">
      <c r="A30" s="2555"/>
      <c r="B30" s="2556"/>
      <c r="C30" s="2556"/>
      <c r="D30" s="2556"/>
      <c r="E30" s="2557"/>
      <c r="F30" s="2560"/>
      <c r="G30" s="2560"/>
      <c r="H30" s="2560"/>
      <c r="I30" s="2560"/>
      <c r="J30" s="2560"/>
      <c r="K30" s="2559"/>
      <c r="L30" s="576"/>
      <c r="M30" s="576"/>
      <c r="N30" s="576"/>
      <c r="O30" s="576"/>
      <c r="P30" s="576"/>
      <c r="Q30" s="576"/>
    </row>
    <row r="31" spans="1:17" ht="6.75" customHeight="1">
      <c r="A31" s="2555"/>
      <c r="B31" s="2556"/>
      <c r="C31" s="2556"/>
      <c r="D31" s="2556"/>
      <c r="E31" s="2557"/>
      <c r="F31" s="2560"/>
      <c r="G31" s="2560"/>
      <c r="H31" s="2560"/>
      <c r="I31" s="2560"/>
      <c r="J31" s="2560"/>
      <c r="K31" s="2559"/>
      <c r="L31" s="576"/>
      <c r="M31" s="576"/>
      <c r="N31" s="576"/>
      <c r="O31" s="576"/>
      <c r="P31" s="576"/>
      <c r="Q31" s="576"/>
    </row>
    <row r="32" spans="1:17" ht="15.75" customHeight="1">
      <c r="A32" s="2555"/>
      <c r="B32" s="2556"/>
      <c r="C32" s="2556"/>
      <c r="D32" s="2556"/>
      <c r="E32" s="2557"/>
      <c r="F32" s="2551" t="str">
        <f>"签名："&amp;基本情况!$F$16&amp;"               日期："&amp;基本情况!$F$27</f>
        <v>签名：               日期：2018年3月16日</v>
      </c>
      <c r="G32" s="2551"/>
      <c r="H32" s="2551"/>
      <c r="I32" s="2551"/>
      <c r="J32" s="2551"/>
      <c r="K32" s="2559"/>
      <c r="L32" s="576"/>
      <c r="M32" s="576"/>
      <c r="N32" s="576"/>
      <c r="O32" s="576"/>
      <c r="P32" s="576"/>
      <c r="Q32" s="576"/>
    </row>
    <row r="33" spans="1:17" ht="12" customHeight="1">
      <c r="A33" s="2555"/>
      <c r="B33" s="2556"/>
      <c r="C33" s="2556"/>
      <c r="D33" s="2556"/>
      <c r="E33" s="2557"/>
      <c r="F33" s="2551"/>
      <c r="G33" s="2551"/>
      <c r="H33" s="2551"/>
      <c r="I33" s="2551"/>
      <c r="J33" s="2551"/>
      <c r="K33" s="2559"/>
      <c r="L33" s="576"/>
      <c r="M33" s="576"/>
      <c r="N33" s="576"/>
      <c r="O33" s="576"/>
      <c r="P33" s="576"/>
      <c r="Q33" s="576"/>
    </row>
    <row r="34" spans="1:17" ht="23.25" customHeight="1">
      <c r="A34" s="2552" t="s">
        <v>4668</v>
      </c>
      <c r="B34" s="2552"/>
      <c r="C34" s="2552"/>
      <c r="D34" s="2552"/>
      <c r="E34" s="2552"/>
      <c r="F34" s="2552"/>
      <c r="G34" s="2552"/>
      <c r="H34" s="2552"/>
      <c r="I34" s="2552"/>
      <c r="J34" s="2552"/>
      <c r="K34" s="2552"/>
      <c r="L34" s="576"/>
      <c r="M34" s="576"/>
      <c r="N34" s="576"/>
      <c r="O34" s="576"/>
      <c r="P34" s="576"/>
      <c r="Q34" s="576"/>
    </row>
    <row r="35" spans="1:17">
      <c r="A35" s="2553" t="s">
        <v>4669</v>
      </c>
      <c r="B35" s="2554"/>
      <c r="C35" s="2554"/>
      <c r="D35" s="2554"/>
      <c r="E35" s="2554"/>
      <c r="F35" s="2554"/>
      <c r="G35" s="2554"/>
      <c r="H35" s="2554"/>
      <c r="I35" s="2554"/>
      <c r="J35" s="2554"/>
      <c r="K35" s="2554"/>
      <c r="L35" s="576"/>
      <c r="M35" s="576"/>
      <c r="N35" s="576"/>
      <c r="O35" s="576"/>
      <c r="P35" s="576"/>
      <c r="Q35" s="576"/>
    </row>
    <row r="36" spans="1:17">
      <c r="A36" s="2553"/>
      <c r="B36" s="2554"/>
      <c r="C36" s="2554"/>
      <c r="D36" s="2554"/>
      <c r="E36" s="2554"/>
      <c r="F36" s="2554"/>
      <c r="G36" s="2554"/>
      <c r="H36" s="2554"/>
      <c r="I36" s="2554"/>
      <c r="J36" s="2554"/>
      <c r="K36" s="2554"/>
      <c r="L36" s="576"/>
      <c r="M36" s="576"/>
      <c r="N36" s="576"/>
      <c r="O36" s="576"/>
      <c r="P36" s="576"/>
      <c r="Q36" s="576"/>
    </row>
    <row r="37" spans="1:17">
      <c r="A37" s="2547" t="s">
        <v>4670</v>
      </c>
      <c r="B37" s="2548"/>
      <c r="C37" s="2548"/>
      <c r="D37" s="2548"/>
      <c r="E37" s="2548"/>
      <c r="F37" s="2548"/>
      <c r="G37" s="2548"/>
      <c r="H37" s="2548"/>
      <c r="I37" s="2548"/>
      <c r="J37" s="2548"/>
      <c r="K37" s="2548"/>
      <c r="L37" s="576"/>
      <c r="M37" s="576"/>
      <c r="N37" s="576"/>
      <c r="O37" s="576"/>
      <c r="P37" s="576"/>
      <c r="Q37" s="576"/>
    </row>
    <row r="38" spans="1:17">
      <c r="A38" s="2547"/>
      <c r="B38" s="2548"/>
      <c r="C38" s="2548"/>
      <c r="D38" s="2548"/>
      <c r="E38" s="2548"/>
      <c r="F38" s="2548"/>
      <c r="G38" s="2548"/>
      <c r="H38" s="2548"/>
      <c r="I38" s="2548"/>
      <c r="J38" s="2548"/>
      <c r="K38" s="2548"/>
      <c r="L38" s="576"/>
      <c r="M38" s="576"/>
      <c r="N38" s="576"/>
      <c r="O38" s="576"/>
      <c r="P38" s="576"/>
      <c r="Q38" s="576"/>
    </row>
    <row r="39" spans="1:17">
      <c r="A39" s="2547" t="s">
        <v>4671</v>
      </c>
      <c r="B39" s="2548"/>
      <c r="C39" s="2548"/>
      <c r="D39" s="2548"/>
      <c r="E39" s="2548"/>
      <c r="F39" s="2548"/>
      <c r="G39" s="2548"/>
      <c r="H39" s="2548"/>
      <c r="I39" s="2548"/>
      <c r="J39" s="2548"/>
      <c r="K39" s="2548"/>
      <c r="L39" s="576"/>
      <c r="M39" s="576"/>
      <c r="N39" s="576"/>
      <c r="O39" s="576"/>
      <c r="P39" s="576"/>
      <c r="Q39" s="576"/>
    </row>
    <row r="40" spans="1:17">
      <c r="A40" s="2547"/>
      <c r="B40" s="2548"/>
      <c r="C40" s="2548"/>
      <c r="D40" s="2548"/>
      <c r="E40" s="2548"/>
      <c r="F40" s="2548"/>
      <c r="G40" s="2548"/>
      <c r="H40" s="2548"/>
      <c r="I40" s="2548"/>
      <c r="J40" s="2548"/>
      <c r="K40" s="2548"/>
      <c r="L40" s="576"/>
      <c r="M40" s="576"/>
      <c r="N40" s="576"/>
      <c r="O40" s="576"/>
      <c r="P40" s="576"/>
      <c r="Q40" s="576"/>
    </row>
    <row r="41" spans="1:17">
      <c r="A41" s="2547" t="s">
        <v>4672</v>
      </c>
      <c r="B41" s="2548"/>
      <c r="C41" s="2548"/>
      <c r="D41" s="2548"/>
      <c r="E41" s="2548"/>
      <c r="F41" s="2548"/>
      <c r="G41" s="2548"/>
      <c r="H41" s="2548"/>
      <c r="I41" s="2548"/>
      <c r="J41" s="2548"/>
      <c r="K41" s="2548"/>
      <c r="L41" s="576"/>
      <c r="M41" s="576"/>
      <c r="N41" s="576"/>
      <c r="O41" s="576"/>
      <c r="P41" s="576"/>
      <c r="Q41" s="576"/>
    </row>
    <row r="42" spans="1:17">
      <c r="A42" s="2547"/>
      <c r="B42" s="2548"/>
      <c r="C42" s="2548"/>
      <c r="D42" s="2548"/>
      <c r="E42" s="2548"/>
      <c r="F42" s="2548"/>
      <c r="G42" s="2548"/>
      <c r="H42" s="2548"/>
      <c r="I42" s="2548"/>
      <c r="J42" s="2548"/>
      <c r="K42" s="2548"/>
      <c r="L42" s="576"/>
      <c r="M42" s="576"/>
      <c r="N42" s="576"/>
      <c r="O42" s="576"/>
      <c r="P42" s="576"/>
      <c r="Q42" s="576"/>
    </row>
    <row r="43" spans="1:17">
      <c r="A43" s="2549" t="s">
        <v>4673</v>
      </c>
      <c r="B43" s="2550"/>
      <c r="C43" s="2550"/>
      <c r="D43" s="2550"/>
      <c r="E43" s="2550"/>
      <c r="F43" s="2550"/>
      <c r="G43" s="2550"/>
      <c r="H43" s="2550"/>
      <c r="I43" s="2550"/>
      <c r="J43" s="2550"/>
      <c r="K43" s="2550"/>
      <c r="L43" s="576"/>
      <c r="M43" s="576"/>
      <c r="N43" s="576"/>
      <c r="O43" s="576"/>
      <c r="P43" s="576"/>
      <c r="Q43" s="576"/>
    </row>
    <row r="44" spans="1:17">
      <c r="A44" s="2549"/>
      <c r="B44" s="2550"/>
      <c r="C44" s="2550"/>
      <c r="D44" s="2550"/>
      <c r="E44" s="2550"/>
      <c r="F44" s="2550"/>
      <c r="G44" s="2550"/>
      <c r="H44" s="2550"/>
      <c r="I44" s="2550"/>
      <c r="J44" s="2550"/>
      <c r="K44" s="2550"/>
      <c r="L44" s="576"/>
      <c r="M44" s="576"/>
      <c r="N44" s="576"/>
      <c r="O44" s="576"/>
      <c r="P44" s="576"/>
      <c r="Q44" s="576"/>
    </row>
  </sheetData>
  <sheetProtection selectLockedCells="1" selectUnlockedCells="1"/>
  <mergeCells count="52">
    <mergeCell ref="A1:K1"/>
    <mergeCell ref="A2:J2"/>
    <mergeCell ref="A3:B3"/>
    <mergeCell ref="I3:J3"/>
    <mergeCell ref="K3:K4"/>
    <mergeCell ref="I4:J4"/>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6:A25"/>
    <mergeCell ref="B16:D25"/>
    <mergeCell ref="E16:E25"/>
    <mergeCell ref="F16:J16"/>
    <mergeCell ref="K16:K25"/>
    <mergeCell ref="F17:J18"/>
    <mergeCell ref="F19:J19"/>
    <mergeCell ref="F20:J21"/>
    <mergeCell ref="F22:J23"/>
    <mergeCell ref="F24:J25"/>
    <mergeCell ref="F32:J33"/>
    <mergeCell ref="A34:K34"/>
    <mergeCell ref="A35:A36"/>
    <mergeCell ref="B35:K36"/>
    <mergeCell ref="A37:A38"/>
    <mergeCell ref="B37:K38"/>
    <mergeCell ref="A26:A33"/>
    <mergeCell ref="B26:D33"/>
    <mergeCell ref="E26:E33"/>
    <mergeCell ref="F26:J26"/>
    <mergeCell ref="K26:K33"/>
    <mergeCell ref="F27:J27"/>
    <mergeCell ref="F28:J28"/>
    <mergeCell ref="F29:J29"/>
    <mergeCell ref="F30:J30"/>
    <mergeCell ref="F31:J31"/>
    <mergeCell ref="A39:A40"/>
    <mergeCell ref="B39:K40"/>
    <mergeCell ref="A41:A42"/>
    <mergeCell ref="B41:K42"/>
    <mergeCell ref="A43:A44"/>
    <mergeCell ref="B43:K44"/>
  </mergeCells>
  <phoneticPr fontId="135" type="noConversion"/>
  <dataValidations count="1">
    <dataValidation allowBlank="1" showInputMessage="1" showErrorMessage="1" prompt="请选择执业人员" sqref="C3:H3"/>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H36"/>
  <sheetViews>
    <sheetView workbookViewId="0">
      <selection activeCell="A3" sqref="A3:B3"/>
    </sheetView>
  </sheetViews>
  <sheetFormatPr defaultColWidth="9" defaultRowHeight="18" customHeight="1"/>
  <cols>
    <col min="1" max="1" width="6.625" style="577" customWidth="1"/>
    <col min="2" max="2" width="8.375" style="577" customWidth="1"/>
    <col min="3" max="3" width="11.625" style="577" customWidth="1"/>
    <col min="4" max="5" width="11.125" style="577" customWidth="1"/>
    <col min="6" max="6" width="13.625" style="577" customWidth="1"/>
    <col min="7" max="7" width="13.875" style="577" customWidth="1"/>
    <col min="8" max="8" width="12" style="577" customWidth="1"/>
    <col min="9" max="16384" width="9" style="577"/>
  </cols>
  <sheetData>
    <row r="1" spans="1:8" ht="23.25" customHeight="1">
      <c r="A1" s="2580" t="s">
        <v>4674</v>
      </c>
      <c r="B1" s="2580"/>
      <c r="C1" s="2580"/>
      <c r="D1" s="2580"/>
      <c r="E1" s="2580"/>
      <c r="F1" s="2580"/>
      <c r="G1" s="2580"/>
      <c r="H1" s="2580"/>
    </row>
    <row r="2" spans="1:8" ht="18" customHeight="1">
      <c r="A2" s="2581" t="str">
        <f>"索引号："&amp;开始!$B$7</f>
        <v>索引号：IN-05</v>
      </c>
      <c r="B2" s="2581"/>
      <c r="C2" s="2581"/>
      <c r="D2" s="2581"/>
      <c r="E2" s="2581"/>
      <c r="F2" s="2581"/>
      <c r="G2" s="2581"/>
      <c r="H2" s="2581"/>
    </row>
    <row r="3" spans="1:8" ht="18" customHeight="1">
      <c r="A3" s="2582" t="s">
        <v>4675</v>
      </c>
      <c r="B3" s="2582"/>
      <c r="C3" s="2583" t="str">
        <f>基本情况!$C$3</f>
        <v/>
      </c>
      <c r="D3" s="2583"/>
      <c r="E3" s="2583"/>
      <c r="F3" s="2583"/>
      <c r="G3" s="976"/>
      <c r="H3" s="976"/>
    </row>
    <row r="4" spans="1:8" ht="18" customHeight="1">
      <c r="A4" s="2584" t="s">
        <v>4676</v>
      </c>
      <c r="B4" s="2584"/>
      <c r="C4" s="2585" t="str">
        <f>基本情况!$C$32</f>
        <v>0</v>
      </c>
      <c r="D4" s="2585"/>
      <c r="E4" s="2585"/>
      <c r="F4" s="2585"/>
      <c r="G4" s="976"/>
      <c r="H4" s="976"/>
    </row>
    <row r="5" spans="1:8" ht="18" customHeight="1">
      <c r="A5" s="2575" t="str">
        <f>"受托方：  "&amp; 基本情况!$F$11 &amp;"   （以下简称乙方）"</f>
        <v>受托方：  中汇（厦门）税务师事务所有限公司   （以下简称乙方）</v>
      </c>
      <c r="B5" s="2575"/>
      <c r="C5" s="2575"/>
      <c r="D5" s="2575"/>
      <c r="E5" s="2575"/>
      <c r="F5" s="2575"/>
      <c r="G5" s="2575"/>
      <c r="H5" s="2575"/>
    </row>
    <row r="6" spans="1:8" ht="18" customHeight="1">
      <c r="A6" s="2575" t="s">
        <v>4677</v>
      </c>
      <c r="B6" s="2575"/>
      <c r="C6" s="2575"/>
      <c r="D6" s="2575"/>
      <c r="E6" s="2575"/>
      <c r="F6" s="2575"/>
      <c r="G6" s="2575"/>
      <c r="H6" s="2575"/>
    </row>
    <row r="7" spans="1:8" ht="18" customHeight="1">
      <c r="A7" s="2575" t="s">
        <v>4678</v>
      </c>
      <c r="B7" s="2575"/>
      <c r="C7" s="2575"/>
      <c r="D7" s="2575"/>
      <c r="E7" s="2575"/>
      <c r="F7" s="2575"/>
      <c r="G7" s="2575"/>
      <c r="H7" s="2575"/>
    </row>
    <row r="8" spans="1:8" ht="18" customHeight="1">
      <c r="A8" s="977" t="s">
        <v>4679</v>
      </c>
      <c r="B8" s="977"/>
      <c r="C8" s="2577" t="str">
        <f>"对"&amp;基本情况!$F$6&amp;"年度"&amp;"进行企业所得税年度纳税申报审核。"</f>
        <v>对2017年度进行企业所得税年度纳税申报审核。</v>
      </c>
      <c r="D8" s="2577"/>
      <c r="E8" s="2577"/>
      <c r="F8" s="2577"/>
      <c r="G8" s="2577"/>
      <c r="H8" s="2577"/>
    </row>
    <row r="9" spans="1:8" ht="18" customHeight="1">
      <c r="A9" s="2575" t="s">
        <v>4680</v>
      </c>
      <c r="B9" s="2575"/>
      <c r="C9" s="2575"/>
      <c r="D9" s="2575"/>
      <c r="E9" s="2575"/>
      <c r="F9" s="2575"/>
      <c r="G9" s="2575"/>
      <c r="H9" s="2575"/>
    </row>
    <row r="10" spans="1:8" ht="18" customHeight="1">
      <c r="A10" s="2574" t="s">
        <v>4681</v>
      </c>
      <c r="B10" s="2574"/>
      <c r="C10" s="2574"/>
      <c r="D10" s="2574"/>
      <c r="E10" s="2574"/>
      <c r="F10" s="2574"/>
      <c r="G10" s="2574"/>
      <c r="H10" s="2574"/>
    </row>
    <row r="11" spans="1:8" ht="22.9" customHeight="1">
      <c r="A11" s="2574"/>
      <c r="B11" s="2574"/>
      <c r="C11" s="2574"/>
      <c r="D11" s="2574"/>
      <c r="E11" s="2574"/>
      <c r="F11" s="2574"/>
      <c r="G11" s="2574"/>
      <c r="H11" s="2574"/>
    </row>
    <row r="12" spans="1:8" ht="30.75" customHeight="1">
      <c r="A12" s="2574"/>
      <c r="B12" s="2574"/>
      <c r="C12" s="2574"/>
      <c r="D12" s="2574"/>
      <c r="E12" s="2574"/>
      <c r="F12" s="2574"/>
      <c r="G12" s="2574"/>
      <c r="H12" s="2574"/>
    </row>
    <row r="13" spans="1:8" ht="27" customHeight="1">
      <c r="A13" s="2578" t="s">
        <v>4682</v>
      </c>
      <c r="B13" s="2578"/>
      <c r="C13" s="2578"/>
      <c r="D13" s="2578"/>
      <c r="E13" s="2578"/>
      <c r="F13" s="2578"/>
      <c r="G13" s="2578"/>
      <c r="H13" s="2578"/>
    </row>
    <row r="14" spans="1:8" ht="17.25" customHeight="1">
      <c r="A14" s="2575" t="s">
        <v>4683</v>
      </c>
      <c r="B14" s="2575"/>
      <c r="C14" s="2575"/>
      <c r="D14" s="2575"/>
      <c r="E14" s="2575"/>
      <c r="F14" s="2575"/>
      <c r="G14" s="2575"/>
      <c r="H14" s="2575"/>
    </row>
    <row r="15" spans="1:8" ht="30" customHeight="1">
      <c r="A15" s="2579" t="str">
        <f>"    1、根据国家有关收费规定和委托项目的工作量、难易度及风险程度确定业务费用总金额为 "&amp;IF(基本情况!$F$24=0,"       ",TEXT(基本情况!$F$24,"#,##0.00"))&amp;" 元人民币。"</f>
        <v xml:space="preserve">    1、根据国家有关收费规定和委托项目的工作量、难易度及风险程度确定业务费用总金额为 1,500.00 元人民币。</v>
      </c>
      <c r="B15" s="2579"/>
      <c r="C15" s="2579"/>
      <c r="D15" s="2579"/>
      <c r="E15" s="2579"/>
      <c r="F15" s="2579"/>
      <c r="G15" s="2579"/>
      <c r="H15" s="2579"/>
    </row>
    <row r="16" spans="1:8" ht="29.25" customHeight="1">
      <c r="A16" s="2574" t="s">
        <v>4684</v>
      </c>
      <c r="B16" s="2574"/>
      <c r="C16" s="2574"/>
      <c r="D16" s="2574"/>
      <c r="E16" s="2574"/>
      <c r="F16" s="2574"/>
      <c r="G16" s="2574"/>
      <c r="H16" s="2574"/>
    </row>
    <row r="17" spans="1:8" ht="18" customHeight="1">
      <c r="A17" s="2575" t="s">
        <v>4685</v>
      </c>
      <c r="B17" s="2575"/>
      <c r="C17" s="2575"/>
      <c r="D17" s="2575"/>
      <c r="E17" s="2575"/>
      <c r="F17" s="2575"/>
      <c r="G17" s="2575"/>
      <c r="H17" s="2575"/>
    </row>
    <row r="18" spans="1:8" ht="23.25" customHeight="1">
      <c r="A18" s="2575" t="s">
        <v>4686</v>
      </c>
      <c r="B18" s="2575"/>
      <c r="C18" s="2575"/>
      <c r="D18" s="2575"/>
      <c r="E18" s="2575"/>
      <c r="F18" s="2575"/>
      <c r="G18" s="2575"/>
      <c r="H18" s="2575"/>
    </row>
    <row r="19" spans="1:8" ht="34.15" customHeight="1">
      <c r="A19" s="2574" t="s">
        <v>4687</v>
      </c>
      <c r="B19" s="2574"/>
      <c r="C19" s="2574"/>
      <c r="D19" s="2574"/>
      <c r="E19" s="2574"/>
      <c r="F19" s="2574"/>
      <c r="G19" s="2574"/>
      <c r="H19" s="2574"/>
    </row>
    <row r="20" spans="1:8" ht="28.5" customHeight="1">
      <c r="A20" s="2574" t="s">
        <v>4688</v>
      </c>
      <c r="B20" s="2574"/>
      <c r="C20" s="2574"/>
      <c r="D20" s="2574"/>
      <c r="E20" s="2574"/>
      <c r="F20" s="2574"/>
      <c r="G20" s="2574"/>
      <c r="H20" s="2574"/>
    </row>
    <row r="21" spans="1:8" ht="23.25" customHeight="1">
      <c r="A21" s="2575" t="s">
        <v>4689</v>
      </c>
      <c r="B21" s="2575"/>
      <c r="C21" s="2575"/>
      <c r="D21" s="2575"/>
      <c r="E21" s="2575"/>
      <c r="F21" s="2575"/>
      <c r="G21" s="2575"/>
      <c r="H21" s="2575"/>
    </row>
    <row r="22" spans="1:8" ht="22.5" customHeight="1">
      <c r="A22" s="2575" t="s">
        <v>4690</v>
      </c>
      <c r="B22" s="2575"/>
      <c r="C22" s="2575"/>
      <c r="D22" s="2575"/>
      <c r="E22" s="2575"/>
      <c r="F22" s="2575"/>
      <c r="G22" s="2575"/>
      <c r="H22" s="2575"/>
    </row>
    <row r="23" spans="1:8" ht="18" customHeight="1">
      <c r="A23" s="2575" t="s">
        <v>4691</v>
      </c>
      <c r="B23" s="2575"/>
      <c r="C23" s="2575"/>
      <c r="D23" s="2575"/>
      <c r="E23" s="2575"/>
      <c r="F23" s="2575"/>
      <c r="G23" s="2575"/>
      <c r="H23" s="2575"/>
    </row>
    <row r="24" spans="1:8" ht="30" customHeight="1">
      <c r="A24" s="2574" t="s">
        <v>4692</v>
      </c>
      <c r="B24" s="2574"/>
      <c r="C24" s="2574"/>
      <c r="D24" s="2574"/>
      <c r="E24" s="2574"/>
      <c r="F24" s="2574"/>
      <c r="G24" s="2574"/>
      <c r="H24" s="2574"/>
    </row>
    <row r="25" spans="1:8" ht="31.5" customHeight="1">
      <c r="A25" s="2574" t="s">
        <v>4693</v>
      </c>
      <c r="B25" s="2574"/>
      <c r="C25" s="2574"/>
      <c r="D25" s="2574"/>
      <c r="E25" s="2574"/>
      <c r="F25" s="2574"/>
      <c r="G25" s="2574"/>
      <c r="H25" s="2574"/>
    </row>
    <row r="26" spans="1:8" ht="18" customHeight="1">
      <c r="A26" s="977" t="s">
        <v>4694</v>
      </c>
      <c r="B26" s="977"/>
      <c r="C26" s="977"/>
      <c r="D26" s="977"/>
      <c r="E26" s="977"/>
      <c r="F26" s="977"/>
      <c r="G26" s="977"/>
      <c r="H26" s="977"/>
    </row>
    <row r="27" spans="1:8" ht="27" customHeight="1">
      <c r="A27" s="978"/>
      <c r="B27" s="978"/>
      <c r="C27" s="978"/>
      <c r="D27" s="979"/>
      <c r="E27" s="979"/>
      <c r="F27" s="979"/>
      <c r="G27" s="979"/>
      <c r="H27" s="979"/>
    </row>
    <row r="28" spans="1:8" ht="18" customHeight="1">
      <c r="A28" s="576"/>
      <c r="B28" s="576"/>
      <c r="C28" s="576"/>
      <c r="D28" s="576"/>
      <c r="E28" s="576"/>
      <c r="F28" s="576"/>
      <c r="G28" s="576"/>
      <c r="H28" s="576"/>
    </row>
    <row r="29" spans="1:8" ht="18" customHeight="1">
      <c r="A29" s="2575" t="str">
        <f>"    甲方（签章）：                         乙方（签章）："&amp;基本情况!$F$11</f>
        <v xml:space="preserve">    甲方（签章）：                         乙方（签章）：中汇（厦门）税务师事务所有限公司</v>
      </c>
      <c r="B29" s="2575"/>
      <c r="C29" s="2575"/>
      <c r="D29" s="2575"/>
      <c r="E29" s="2575"/>
      <c r="F29" s="2575"/>
      <c r="G29" s="2575"/>
      <c r="H29" s="2575"/>
    </row>
    <row r="30" spans="1:8" ht="18" customHeight="1">
      <c r="A30" s="980" t="s">
        <v>4695</v>
      </c>
      <c r="B30" s="576"/>
      <c r="C30" s="576"/>
      <c r="D30" s="576"/>
      <c r="E30" s="576"/>
      <c r="F30" s="576"/>
      <c r="G30" s="576"/>
      <c r="H30" s="576"/>
    </row>
    <row r="31" spans="1:8" ht="18" customHeight="1">
      <c r="A31" s="2575" t="s">
        <v>4696</v>
      </c>
      <c r="B31" s="2575"/>
      <c r="C31" s="2575"/>
      <c r="D31" s="2575"/>
      <c r="E31" s="2575"/>
      <c r="F31" s="2575"/>
      <c r="G31" s="2575"/>
      <c r="H31" s="2575"/>
    </row>
    <row r="32" spans="1:8" ht="18" customHeight="1">
      <c r="A32" s="980"/>
      <c r="B32" s="576"/>
      <c r="C32" s="576"/>
      <c r="D32" s="576"/>
      <c r="E32" s="576"/>
      <c r="F32" s="576"/>
      <c r="G32" s="576"/>
      <c r="H32" s="576"/>
    </row>
    <row r="33" spans="1:8" ht="18" customHeight="1">
      <c r="A33" s="2576" t="str">
        <f>"    签约时间："&amp;"                             签约时间："&amp;"   "</f>
        <v xml:space="preserve">    签约时间：                             签约时间：   </v>
      </c>
      <c r="B33" s="2576"/>
      <c r="C33" s="2576"/>
      <c r="D33" s="2576"/>
      <c r="E33" s="2576"/>
      <c r="F33" s="2576"/>
      <c r="G33" s="2576"/>
      <c r="H33" s="2576"/>
    </row>
    <row r="34" spans="1:8" ht="18" customHeight="1">
      <c r="A34" s="980" t="s">
        <v>4697</v>
      </c>
      <c r="B34" s="576"/>
      <c r="C34" s="576"/>
      <c r="D34" s="576"/>
      <c r="E34" s="576"/>
      <c r="F34" s="576"/>
      <c r="G34" s="576"/>
      <c r="H34" s="576"/>
    </row>
    <row r="35" spans="1:8" ht="18" customHeight="1">
      <c r="A35" s="576"/>
      <c r="B35" s="576"/>
      <c r="C35" s="576"/>
      <c r="D35" s="576"/>
      <c r="E35" s="576"/>
      <c r="F35" s="576"/>
      <c r="G35" s="576"/>
      <c r="H35" s="576"/>
    </row>
    <row r="36" spans="1:8" ht="18" customHeight="1">
      <c r="A36" s="576"/>
      <c r="B36" s="576"/>
      <c r="C36" s="576"/>
      <c r="D36" s="576"/>
      <c r="E36" s="576"/>
      <c r="F36" s="576"/>
      <c r="G36" s="576"/>
      <c r="H36" s="576"/>
    </row>
  </sheetData>
  <sheetProtection selectLockedCells="1" selectUnlockedCells="1"/>
  <mergeCells count="28">
    <mergeCell ref="A1:H1"/>
    <mergeCell ref="A2:H2"/>
    <mergeCell ref="A3:B3"/>
    <mergeCell ref="C3:F3"/>
    <mergeCell ref="A4:B4"/>
    <mergeCell ref="C4:F4"/>
    <mergeCell ref="A18:H18"/>
    <mergeCell ref="A5:H5"/>
    <mergeCell ref="A6:H6"/>
    <mergeCell ref="A7:H7"/>
    <mergeCell ref="C8:H8"/>
    <mergeCell ref="A9:H9"/>
    <mergeCell ref="A10:H12"/>
    <mergeCell ref="A13:H13"/>
    <mergeCell ref="A14:H14"/>
    <mergeCell ref="A15:H15"/>
    <mergeCell ref="A16:H16"/>
    <mergeCell ref="A17:H17"/>
    <mergeCell ref="A25:H25"/>
    <mergeCell ref="A29:H29"/>
    <mergeCell ref="A31:H31"/>
    <mergeCell ref="A33:H33"/>
    <mergeCell ref="A19:H19"/>
    <mergeCell ref="A20:H20"/>
    <mergeCell ref="A21:H21"/>
    <mergeCell ref="A22:H22"/>
    <mergeCell ref="A23:H23"/>
    <mergeCell ref="A24:H24"/>
  </mergeCells>
  <phoneticPr fontId="135" type="noConversion"/>
  <pageMargins left="0.37" right="0.35433070866141703" top="0.511811023622047" bottom="0.11811023622047198" header="0.511811023622047" footer="0.511811023622047"/>
  <pageSetup paperSize="9" firstPageNumber="0" orientation="portrait"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S75"/>
  <sheetViews>
    <sheetView topLeftCell="B1" workbookViewId="0">
      <selection activeCell="B1" sqref="A1:XFD1"/>
    </sheetView>
  </sheetViews>
  <sheetFormatPr defaultColWidth="9" defaultRowHeight="16.5"/>
  <cols>
    <col min="1" max="1" width="5.875" style="565" customWidth="1"/>
    <col min="2" max="2" width="4.75" style="565" customWidth="1"/>
    <col min="3" max="3" width="30.875" style="565" customWidth="1"/>
    <col min="4" max="4" width="22.875" style="565" customWidth="1"/>
    <col min="5" max="5" width="20.375" style="565" customWidth="1"/>
    <col min="6" max="6" width="16.5" style="565" customWidth="1"/>
    <col min="7" max="7" width="21.25" style="565" customWidth="1"/>
    <col min="8" max="8" width="15" style="565" customWidth="1"/>
    <col min="9" max="9" width="2.625" style="565" customWidth="1"/>
    <col min="10" max="16384" width="9" style="565"/>
  </cols>
  <sheetData>
    <row r="1" spans="1:19" ht="32.25" customHeight="1">
      <c r="A1" s="981"/>
      <c r="B1" s="2627" t="s">
        <v>4771</v>
      </c>
      <c r="C1" s="2627"/>
      <c r="D1" s="2627"/>
      <c r="E1" s="2627"/>
      <c r="F1" s="2627"/>
      <c r="G1" s="2627"/>
      <c r="H1" s="2627"/>
      <c r="I1" s="982"/>
      <c r="J1" s="981"/>
      <c r="K1" s="981"/>
      <c r="L1" s="981"/>
      <c r="M1" s="981"/>
      <c r="N1" s="981"/>
      <c r="O1" s="981"/>
      <c r="P1" s="981"/>
      <c r="Q1" s="981"/>
      <c r="R1" s="981"/>
      <c r="S1" s="981"/>
    </row>
    <row r="2" spans="1:19" ht="30.75" customHeight="1">
      <c r="A2" s="981"/>
      <c r="B2" s="1013" t="s">
        <v>4770</v>
      </c>
      <c r="C2" s="1012" t="s">
        <v>4769</v>
      </c>
      <c r="D2" s="1011"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1011" t="s">
        <v>4768</v>
      </c>
      <c r="F2" s="1011" t="s">
        <v>4767</v>
      </c>
      <c r="G2" s="1011" t="s">
        <v>4766</v>
      </c>
      <c r="H2" s="1011" t="str">
        <f>IF(D4="否"," ","下浮50%")</f>
        <v>下浮50%</v>
      </c>
      <c r="I2" s="982"/>
      <c r="J2" s="981"/>
      <c r="K2" s="981"/>
      <c r="L2" s="981"/>
      <c r="M2" s="981"/>
      <c r="N2" s="981"/>
      <c r="O2" s="981"/>
      <c r="P2" s="981"/>
      <c r="Q2" s="981"/>
      <c r="R2" s="981"/>
      <c r="S2" s="981"/>
    </row>
    <row r="3" spans="1:19" ht="36.75" customHeight="1">
      <c r="A3" s="981"/>
      <c r="B3" s="1007"/>
      <c r="C3" s="1010" t="s">
        <v>4765</v>
      </c>
      <c r="D3" s="1009">
        <f>MIN('A000000 企业基础信息表'!$H$5*10000,'A100000 中华人民共和国企业所得税年度纳税申报表（A类）'!$D$4)</f>
        <v>0</v>
      </c>
      <c r="E3" s="1008">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1008">
        <f>E3*1.3</f>
        <v>1950</v>
      </c>
      <c r="G3" s="1008">
        <f>ROUND(IF(E3*0.7&lt;1500,1500,E3*0.7),2)</f>
        <v>1500</v>
      </c>
      <c r="H3" s="1008">
        <f>IF(D4="否"," ",IF(E3*0.5&lt;1500,1500,E3*0.5))</f>
        <v>1500</v>
      </c>
      <c r="I3" s="982"/>
      <c r="J3" s="981"/>
      <c r="K3" s="981"/>
      <c r="L3" s="981"/>
      <c r="M3" s="981"/>
      <c r="N3" s="981"/>
      <c r="O3" s="981"/>
      <c r="P3" s="981"/>
      <c r="Q3" s="981"/>
      <c r="R3" s="981"/>
      <c r="S3" s="981"/>
    </row>
    <row r="4" spans="1:19" ht="71.25" customHeight="1">
      <c r="A4" s="981"/>
      <c r="B4" s="1007"/>
      <c r="C4" s="1006" t="s">
        <v>4764</v>
      </c>
      <c r="D4" s="1005" t="s">
        <v>1798</v>
      </c>
      <c r="E4" s="2628"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629"/>
      <c r="G4" s="2629"/>
      <c r="H4" s="2629"/>
      <c r="I4" s="982"/>
      <c r="J4" s="981"/>
      <c r="K4" s="981"/>
      <c r="L4" s="981"/>
      <c r="M4" s="981"/>
      <c r="N4" s="981"/>
      <c r="O4" s="981"/>
      <c r="P4" s="981"/>
      <c r="Q4" s="981"/>
      <c r="R4" s="981"/>
      <c r="S4" s="981"/>
    </row>
    <row r="5" spans="1:19" ht="35.25" customHeight="1">
      <c r="A5" s="981"/>
      <c r="B5" s="982"/>
      <c r="C5" s="2630"/>
      <c r="D5" s="2630"/>
      <c r="E5" s="2630"/>
      <c r="F5" s="2630"/>
      <c r="G5" s="2630"/>
      <c r="H5" s="2630"/>
      <c r="I5" s="982"/>
      <c r="J5" s="981"/>
      <c r="K5" s="981"/>
      <c r="L5" s="981"/>
      <c r="M5" s="981"/>
      <c r="N5" s="981"/>
      <c r="O5" s="981"/>
      <c r="P5" s="981"/>
      <c r="Q5" s="981"/>
      <c r="R5" s="981"/>
      <c r="S5" s="981"/>
    </row>
    <row r="6" spans="1:19" ht="22.5">
      <c r="A6" s="981"/>
      <c r="B6" s="2631" t="s">
        <v>4763</v>
      </c>
      <c r="C6" s="2631"/>
      <c r="D6" s="2631"/>
      <c r="E6" s="2631"/>
      <c r="F6" s="2631"/>
      <c r="G6" s="2631"/>
      <c r="H6" s="2631"/>
      <c r="I6" s="2631"/>
      <c r="J6" s="981"/>
      <c r="K6" s="981"/>
      <c r="L6" s="981"/>
      <c r="M6" s="981"/>
      <c r="N6" s="981"/>
      <c r="O6" s="981"/>
      <c r="P6" s="981"/>
      <c r="Q6" s="981"/>
      <c r="R6" s="981"/>
      <c r="S6" s="981"/>
    </row>
    <row r="7" spans="1:19" ht="6.75" customHeight="1" thickBot="1">
      <c r="A7" s="981"/>
      <c r="B7" s="2632"/>
      <c r="C7" s="2632"/>
      <c r="D7" s="2632"/>
      <c r="E7" s="2632"/>
      <c r="F7" s="2632"/>
      <c r="G7" s="2632"/>
      <c r="H7" s="2632"/>
      <c r="I7" s="2633"/>
      <c r="J7" s="981"/>
      <c r="K7" s="981"/>
      <c r="L7" s="981"/>
      <c r="M7" s="981"/>
      <c r="N7" s="981"/>
      <c r="O7" s="981"/>
      <c r="P7" s="981"/>
      <c r="Q7" s="981"/>
      <c r="R7" s="981"/>
      <c r="S7" s="981"/>
    </row>
    <row r="8" spans="1:19" ht="13.5" customHeight="1">
      <c r="A8" s="981"/>
      <c r="B8" s="2634" t="s">
        <v>4513</v>
      </c>
      <c r="C8" s="2634" t="s">
        <v>4757</v>
      </c>
      <c r="D8" s="1004" t="s">
        <v>4756</v>
      </c>
      <c r="E8" s="2634" t="s">
        <v>4755</v>
      </c>
      <c r="F8" s="2636" t="s">
        <v>4754</v>
      </c>
      <c r="G8" s="2637"/>
      <c r="H8" s="2634" t="s">
        <v>4753</v>
      </c>
      <c r="I8" s="1003"/>
      <c r="J8" s="981"/>
      <c r="K8" s="981"/>
      <c r="L8" s="981"/>
      <c r="M8" s="981"/>
      <c r="N8" s="981"/>
      <c r="O8" s="981"/>
      <c r="P8" s="981"/>
      <c r="Q8" s="981"/>
      <c r="R8" s="981"/>
      <c r="S8" s="981"/>
    </row>
    <row r="9" spans="1:19" ht="17.25" thickBot="1">
      <c r="A9" s="981"/>
      <c r="B9" s="2635"/>
      <c r="C9" s="2635"/>
      <c r="D9" s="1002" t="s">
        <v>4752</v>
      </c>
      <c r="E9" s="2635"/>
      <c r="F9" s="2638"/>
      <c r="G9" s="2639"/>
      <c r="H9" s="2635"/>
      <c r="I9" s="983"/>
      <c r="J9" s="981"/>
      <c r="K9" s="981"/>
      <c r="L9" s="981"/>
      <c r="M9" s="981"/>
      <c r="N9" s="981"/>
      <c r="O9" s="981"/>
      <c r="P9" s="981"/>
      <c r="Q9" s="981"/>
      <c r="R9" s="981"/>
      <c r="S9" s="981"/>
    </row>
    <row r="10" spans="1:19" ht="24.75" customHeight="1" thickBot="1">
      <c r="A10" s="981"/>
      <c r="B10" s="2640"/>
      <c r="C10" s="2643" t="str">
        <f>C3</f>
        <v>企业所得税汇算清缴纳税申报鉴证</v>
      </c>
      <c r="D10" s="2644"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643" t="str">
        <f>IF(OR(C3="企业所得税汇算清缴纳税申报鉴证",C3="增值税纳税审核鉴证",C3="企业所得税税前弥补亏损鉴证"),"元/年",IF(C3="企业财产损失所得税前扣除鉴证","元/次","元/项目"))</f>
        <v>元/年</v>
      </c>
      <c r="F10" s="2645"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1001"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1000"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983"/>
      <c r="J10" s="981"/>
      <c r="K10" s="981"/>
      <c r="L10" s="981"/>
      <c r="M10" s="981"/>
      <c r="N10" s="981"/>
      <c r="O10" s="981"/>
      <c r="P10" s="981"/>
      <c r="Q10" s="981"/>
      <c r="R10" s="981"/>
      <c r="S10" s="981"/>
    </row>
    <row r="11" spans="1:19" ht="24.75" customHeight="1" thickBot="1">
      <c r="A11" s="981"/>
      <c r="B11" s="2641"/>
      <c r="C11" s="2643"/>
      <c r="D11" s="2644"/>
      <c r="E11" s="2643"/>
      <c r="F11" s="2646"/>
      <c r="G11" s="1001"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1000"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983"/>
      <c r="J11" s="981"/>
      <c r="K11" s="981"/>
      <c r="L11" s="981"/>
      <c r="M11" s="981"/>
      <c r="N11" s="981"/>
      <c r="O11" s="981"/>
      <c r="P11" s="981"/>
      <c r="Q11" s="981"/>
      <c r="R11" s="981"/>
      <c r="S11" s="981"/>
    </row>
    <row r="12" spans="1:19" ht="33" customHeight="1" thickBot="1">
      <c r="A12" s="981"/>
      <c r="B12" s="2641"/>
      <c r="C12" s="2643"/>
      <c r="D12" s="2644"/>
      <c r="E12" s="2643"/>
      <c r="F12" s="2646"/>
      <c r="G12" s="1001"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1000"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983"/>
      <c r="J12" s="981"/>
      <c r="K12" s="981"/>
      <c r="L12" s="981"/>
      <c r="M12" s="981"/>
      <c r="N12" s="981"/>
      <c r="O12" s="981"/>
      <c r="P12" s="981"/>
      <c r="Q12" s="981"/>
      <c r="R12" s="981"/>
      <c r="S12" s="981"/>
    </row>
    <row r="13" spans="1:19" ht="30.75" customHeight="1" thickBot="1">
      <c r="A13" s="981"/>
      <c r="B13" s="2641"/>
      <c r="C13" s="2643"/>
      <c r="D13" s="2644"/>
      <c r="E13" s="2643"/>
      <c r="F13" s="2646"/>
      <c r="G13" s="1001"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1000"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983"/>
      <c r="J13" s="981"/>
      <c r="K13" s="981"/>
      <c r="L13" s="981"/>
      <c r="M13" s="981"/>
      <c r="N13" s="981"/>
      <c r="O13" s="981"/>
      <c r="P13" s="981"/>
      <c r="Q13" s="981"/>
      <c r="R13" s="981"/>
      <c r="S13" s="981"/>
    </row>
    <row r="14" spans="1:19" ht="24.75" customHeight="1" thickBot="1">
      <c r="A14" s="981"/>
      <c r="B14" s="2641"/>
      <c r="C14" s="2643"/>
      <c r="D14" s="2644"/>
      <c r="E14" s="2643"/>
      <c r="F14" s="2646"/>
      <c r="G14" s="1001"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1000"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983"/>
      <c r="J14" s="981"/>
      <c r="K14" s="981"/>
      <c r="L14" s="981"/>
      <c r="M14" s="981"/>
      <c r="N14" s="981"/>
      <c r="O14" s="981"/>
      <c r="P14" s="981"/>
      <c r="Q14" s="981"/>
      <c r="R14" s="981"/>
      <c r="S14" s="981"/>
    </row>
    <row r="15" spans="1:19" ht="24.75" customHeight="1" thickBot="1">
      <c r="A15" s="981"/>
      <c r="B15" s="2642"/>
      <c r="C15" s="2643"/>
      <c r="D15" s="2644"/>
      <c r="E15" s="2643"/>
      <c r="F15" s="2647"/>
      <c r="G15" s="1001"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1000"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983"/>
      <c r="J15" s="981"/>
      <c r="K15" s="981"/>
      <c r="L15" s="981"/>
      <c r="M15" s="981"/>
      <c r="N15" s="981"/>
      <c r="O15" s="981"/>
      <c r="P15" s="981"/>
      <c r="Q15" s="981"/>
      <c r="R15" s="981"/>
      <c r="S15" s="981"/>
    </row>
    <row r="16" spans="1:19" s="757" customFormat="1">
      <c r="A16" s="983"/>
      <c r="B16" s="983"/>
      <c r="C16" s="983"/>
      <c r="D16" s="983"/>
      <c r="E16" s="983"/>
      <c r="F16" s="983"/>
      <c r="G16" s="983"/>
      <c r="H16" s="983"/>
      <c r="I16" s="983"/>
      <c r="J16" s="983"/>
      <c r="K16" s="983"/>
      <c r="L16" s="983"/>
      <c r="M16" s="983"/>
      <c r="N16" s="983"/>
      <c r="O16" s="983"/>
      <c r="P16" s="983"/>
      <c r="Q16" s="983"/>
      <c r="R16" s="983"/>
      <c r="S16" s="983"/>
    </row>
    <row r="17" spans="1:19" hidden="1">
      <c r="A17" s="981"/>
      <c r="B17" s="982"/>
      <c r="C17" s="982"/>
      <c r="D17" s="982"/>
      <c r="E17" s="982"/>
      <c r="F17" s="982"/>
      <c r="G17" s="982"/>
      <c r="H17" s="982"/>
      <c r="I17" s="982"/>
      <c r="J17" s="982"/>
      <c r="K17" s="981"/>
      <c r="L17" s="981"/>
      <c r="M17" s="981"/>
      <c r="N17" s="981"/>
      <c r="O17" s="981"/>
      <c r="P17" s="981"/>
      <c r="Q17" s="981"/>
      <c r="R17" s="981"/>
      <c r="S17" s="981"/>
    </row>
    <row r="18" spans="1:19" ht="24" hidden="1" customHeight="1">
      <c r="A18" s="981"/>
      <c r="B18" s="982">
        <v>1</v>
      </c>
      <c r="C18" s="998" t="s">
        <v>4751</v>
      </c>
      <c r="D18" s="999" t="s">
        <v>4762</v>
      </c>
      <c r="E18" s="982"/>
      <c r="F18" s="982"/>
      <c r="G18" s="982"/>
      <c r="H18" s="982"/>
      <c r="I18" s="982"/>
      <c r="J18" s="982"/>
      <c r="K18" s="981"/>
      <c r="L18" s="981"/>
      <c r="M18" s="981"/>
      <c r="N18" s="981"/>
      <c r="O18" s="981"/>
      <c r="P18" s="981"/>
      <c r="Q18" s="981"/>
      <c r="R18" s="981"/>
      <c r="S18" s="981"/>
    </row>
    <row r="19" spans="1:19" ht="24" hidden="1" customHeight="1">
      <c r="A19" s="981"/>
      <c r="B19" s="982">
        <v>2</v>
      </c>
      <c r="C19" s="998" t="s">
        <v>4745</v>
      </c>
      <c r="D19" s="999" t="s">
        <v>4761</v>
      </c>
      <c r="E19" s="982"/>
      <c r="F19" s="982"/>
      <c r="G19" s="982"/>
      <c r="H19" s="982"/>
      <c r="I19" s="982"/>
      <c r="J19" s="982"/>
      <c r="K19" s="981"/>
      <c r="L19" s="981"/>
      <c r="M19" s="981"/>
      <c r="N19" s="981"/>
      <c r="O19" s="981"/>
      <c r="P19" s="981"/>
      <c r="Q19" s="981"/>
      <c r="R19" s="981"/>
      <c r="S19" s="981"/>
    </row>
    <row r="20" spans="1:19" ht="31.5" hidden="1" customHeight="1">
      <c r="A20" s="981"/>
      <c r="B20" s="982">
        <v>3</v>
      </c>
      <c r="C20" s="998" t="s">
        <v>4760</v>
      </c>
      <c r="D20" s="982"/>
      <c r="E20" s="982"/>
      <c r="F20" s="982"/>
      <c r="G20" s="982"/>
      <c r="H20" s="982"/>
      <c r="I20" s="982"/>
      <c r="J20" s="982"/>
      <c r="K20" s="981"/>
      <c r="L20" s="981"/>
      <c r="M20" s="981"/>
      <c r="N20" s="981"/>
      <c r="O20" s="981"/>
      <c r="P20" s="981"/>
      <c r="Q20" s="981"/>
      <c r="R20" s="981"/>
      <c r="S20" s="981"/>
    </row>
    <row r="21" spans="1:19" ht="31.5" hidden="1" customHeight="1">
      <c r="A21" s="981"/>
      <c r="B21" s="982">
        <v>4</v>
      </c>
      <c r="C21" s="998" t="s">
        <v>4737</v>
      </c>
      <c r="D21" s="982"/>
      <c r="E21" s="982"/>
      <c r="F21" s="982"/>
      <c r="G21" s="982"/>
      <c r="H21" s="982"/>
      <c r="I21" s="982"/>
      <c r="J21" s="982"/>
      <c r="K21" s="981"/>
      <c r="L21" s="981"/>
      <c r="M21" s="981"/>
      <c r="N21" s="981"/>
      <c r="O21" s="981"/>
      <c r="P21" s="981"/>
      <c r="Q21" s="981"/>
      <c r="R21" s="981"/>
      <c r="S21" s="981"/>
    </row>
    <row r="22" spans="1:19" ht="31.5" hidden="1" customHeight="1">
      <c r="A22" s="981"/>
      <c r="B22" s="982">
        <v>5</v>
      </c>
      <c r="C22" s="998" t="s">
        <v>4734</v>
      </c>
      <c r="D22" s="982"/>
      <c r="E22" s="982"/>
      <c r="F22" s="982"/>
      <c r="G22" s="982"/>
      <c r="H22" s="982"/>
      <c r="I22" s="982"/>
      <c r="J22" s="982"/>
      <c r="K22" s="981"/>
      <c r="L22" s="981"/>
      <c r="M22" s="981"/>
      <c r="N22" s="981"/>
      <c r="O22" s="981"/>
      <c r="P22" s="981"/>
      <c r="Q22" s="981"/>
      <c r="R22" s="981"/>
      <c r="S22" s="981"/>
    </row>
    <row r="23" spans="1:19" ht="31.5" hidden="1" customHeight="1">
      <c r="A23" s="981"/>
      <c r="B23" s="982">
        <v>6</v>
      </c>
      <c r="C23" s="998" t="s">
        <v>4727</v>
      </c>
      <c r="D23" s="982"/>
      <c r="E23" s="982"/>
      <c r="F23" s="982"/>
      <c r="G23" s="982"/>
      <c r="H23" s="982"/>
      <c r="I23" s="982"/>
      <c r="J23" s="982"/>
      <c r="K23" s="981"/>
      <c r="L23" s="981"/>
      <c r="M23" s="981"/>
      <c r="N23" s="981"/>
      <c r="O23" s="981"/>
      <c r="P23" s="981"/>
      <c r="Q23" s="981"/>
      <c r="R23" s="981"/>
      <c r="S23" s="981"/>
    </row>
    <row r="24" spans="1:19" ht="31.5" hidden="1" customHeight="1">
      <c r="A24" s="981"/>
      <c r="B24" s="982">
        <v>7</v>
      </c>
      <c r="C24" s="998" t="s">
        <v>4759</v>
      </c>
      <c r="D24" s="982"/>
      <c r="E24" s="982"/>
      <c r="F24" s="982"/>
      <c r="G24" s="982"/>
      <c r="H24" s="982"/>
      <c r="I24" s="982"/>
      <c r="J24" s="982"/>
      <c r="K24" s="981"/>
      <c r="L24" s="981"/>
      <c r="M24" s="981"/>
      <c r="N24" s="981"/>
      <c r="O24" s="981"/>
      <c r="P24" s="981"/>
      <c r="Q24" s="981"/>
      <c r="R24" s="981"/>
      <c r="S24" s="981"/>
    </row>
    <row r="25" spans="1:19" ht="31.5" hidden="1" customHeight="1">
      <c r="A25" s="981"/>
      <c r="B25" s="982"/>
      <c r="C25" s="997"/>
      <c r="D25" s="982"/>
      <c r="E25" s="982"/>
      <c r="F25" s="982"/>
      <c r="G25" s="982"/>
      <c r="H25" s="982"/>
      <c r="I25" s="982"/>
      <c r="J25" s="982"/>
      <c r="K25" s="981"/>
      <c r="L25" s="981"/>
      <c r="M25" s="981"/>
      <c r="N25" s="981"/>
      <c r="O25" s="981"/>
      <c r="P25" s="981"/>
      <c r="Q25" s="981"/>
      <c r="R25" s="981"/>
      <c r="S25" s="981"/>
    </row>
    <row r="26" spans="1:19" hidden="1">
      <c r="A26" s="981"/>
      <c r="B26" s="982"/>
      <c r="C26" s="982"/>
      <c r="D26" s="982"/>
      <c r="E26" s="982"/>
      <c r="F26" s="982"/>
      <c r="G26" s="982"/>
      <c r="H26" s="982"/>
      <c r="I26" s="982"/>
      <c r="J26" s="982"/>
      <c r="K26" s="981"/>
      <c r="L26" s="981"/>
      <c r="M26" s="981"/>
      <c r="N26" s="981"/>
      <c r="O26" s="981"/>
      <c r="P26" s="981"/>
      <c r="Q26" s="981"/>
      <c r="R26" s="981"/>
      <c r="S26" s="981"/>
    </row>
    <row r="27" spans="1:19" s="564" customFormat="1" ht="22.5" hidden="1">
      <c r="A27" s="982"/>
      <c r="B27" s="982"/>
      <c r="C27" s="2626" t="s">
        <v>4758</v>
      </c>
      <c r="D27" s="2626"/>
      <c r="E27" s="2626"/>
      <c r="F27" s="2626"/>
      <c r="G27" s="2626"/>
      <c r="H27" s="2626"/>
      <c r="I27" s="2626"/>
      <c r="J27" s="2626"/>
      <c r="K27" s="982"/>
      <c r="L27" s="982"/>
      <c r="M27" s="982"/>
      <c r="N27" s="982"/>
      <c r="O27" s="982"/>
      <c r="P27" s="982"/>
      <c r="Q27" s="982"/>
      <c r="R27" s="982"/>
      <c r="S27" s="982"/>
    </row>
    <row r="28" spans="1:19" s="564" customFormat="1" ht="23.25" hidden="1" thickBot="1">
      <c r="A28" s="982"/>
      <c r="B28" s="982"/>
      <c r="C28" s="2617"/>
      <c r="D28" s="2617"/>
      <c r="E28" s="2617"/>
      <c r="F28" s="2617"/>
      <c r="G28" s="2617"/>
      <c r="H28" s="2617"/>
      <c r="I28" s="2617"/>
      <c r="J28" s="2617"/>
      <c r="K28" s="982"/>
      <c r="L28" s="982"/>
      <c r="M28" s="982"/>
      <c r="N28" s="982"/>
      <c r="O28" s="982"/>
      <c r="P28" s="982"/>
      <c r="Q28" s="982"/>
      <c r="R28" s="982"/>
      <c r="S28" s="982"/>
    </row>
    <row r="29" spans="1:19" s="564" customFormat="1" hidden="1">
      <c r="A29" s="982"/>
      <c r="B29" s="982"/>
      <c r="C29" s="2618" t="s">
        <v>4513</v>
      </c>
      <c r="D29" s="2618" t="s">
        <v>4757</v>
      </c>
      <c r="E29" s="996" t="s">
        <v>4756</v>
      </c>
      <c r="F29" s="2618" t="s">
        <v>4755</v>
      </c>
      <c r="G29" s="2620" t="s">
        <v>4754</v>
      </c>
      <c r="H29" s="2621"/>
      <c r="I29" s="2622"/>
      <c r="J29" s="2618" t="s">
        <v>4753</v>
      </c>
      <c r="K29" s="982"/>
      <c r="L29" s="982"/>
      <c r="M29" s="982"/>
      <c r="N29" s="982"/>
      <c r="O29" s="982"/>
      <c r="P29" s="982"/>
      <c r="Q29" s="982"/>
      <c r="R29" s="982"/>
      <c r="S29" s="982"/>
    </row>
    <row r="30" spans="1:19" s="564" customFormat="1" ht="17.25" hidden="1" thickBot="1">
      <c r="A30" s="982"/>
      <c r="B30" s="982"/>
      <c r="C30" s="2619"/>
      <c r="D30" s="2619"/>
      <c r="E30" s="995" t="s">
        <v>4752</v>
      </c>
      <c r="F30" s="2619"/>
      <c r="G30" s="2623"/>
      <c r="H30" s="2624"/>
      <c r="I30" s="2625"/>
      <c r="J30" s="2619"/>
      <c r="K30" s="982"/>
      <c r="L30" s="982"/>
      <c r="M30" s="982"/>
      <c r="N30" s="982"/>
      <c r="O30" s="982"/>
      <c r="P30" s="982"/>
      <c r="Q30" s="982"/>
      <c r="R30" s="982"/>
      <c r="S30" s="982"/>
    </row>
    <row r="31" spans="1:19" s="564" customFormat="1" ht="17.25" hidden="1" thickBot="1">
      <c r="A31" s="982"/>
      <c r="B31" s="982"/>
      <c r="C31" s="2586">
        <v>1</v>
      </c>
      <c r="D31" s="2586" t="s">
        <v>4751</v>
      </c>
      <c r="E31" s="2586" t="s">
        <v>4750</v>
      </c>
      <c r="F31" s="994" t="s">
        <v>4749</v>
      </c>
      <c r="G31" s="2586" t="s">
        <v>4748</v>
      </c>
      <c r="H31" s="2596" t="s">
        <v>4713</v>
      </c>
      <c r="I31" s="2597"/>
      <c r="J31" s="988" t="s">
        <v>4710</v>
      </c>
      <c r="K31" s="982"/>
      <c r="L31" s="982"/>
      <c r="M31" s="982"/>
      <c r="N31" s="982"/>
      <c r="O31" s="982"/>
      <c r="P31" s="982"/>
      <c r="Q31" s="982"/>
      <c r="R31" s="982"/>
      <c r="S31" s="982"/>
    </row>
    <row r="32" spans="1:19" s="564" customFormat="1" ht="17.25" hidden="1" thickBot="1">
      <c r="A32" s="982"/>
      <c r="B32" s="982"/>
      <c r="C32" s="2587"/>
      <c r="D32" s="2587"/>
      <c r="E32" s="2587"/>
      <c r="F32" s="993"/>
      <c r="G32" s="2587"/>
      <c r="H32" s="2596" t="s">
        <v>4711</v>
      </c>
      <c r="I32" s="2597"/>
      <c r="J32" s="988">
        <f>0.7/1000</f>
        <v>6.9999999999999999E-4</v>
      </c>
      <c r="K32" s="982"/>
      <c r="L32" s="982"/>
      <c r="M32" s="982"/>
      <c r="N32" s="982"/>
      <c r="O32" s="982"/>
      <c r="P32" s="982"/>
      <c r="Q32" s="982"/>
      <c r="R32" s="982"/>
      <c r="S32" s="982"/>
    </row>
    <row r="33" spans="1:19" s="564" customFormat="1" ht="17.25" hidden="1" thickBot="1">
      <c r="A33" s="982"/>
      <c r="B33" s="982"/>
      <c r="C33" s="2587"/>
      <c r="D33" s="2587"/>
      <c r="E33" s="2587"/>
      <c r="F33" s="993"/>
      <c r="G33" s="2587"/>
      <c r="H33" s="2596" t="s">
        <v>4709</v>
      </c>
      <c r="I33" s="2597"/>
      <c r="J33" s="988" t="s">
        <v>4730</v>
      </c>
      <c r="K33" s="982"/>
      <c r="L33" s="982"/>
      <c r="M33" s="982"/>
      <c r="N33" s="982"/>
      <c r="O33" s="982"/>
      <c r="P33" s="982"/>
      <c r="Q33" s="982"/>
      <c r="R33" s="982"/>
      <c r="S33" s="982"/>
    </row>
    <row r="34" spans="1:19" s="564" customFormat="1" ht="17.25" hidden="1" thickBot="1">
      <c r="A34" s="982"/>
      <c r="B34" s="982"/>
      <c r="C34" s="2587"/>
      <c r="D34" s="2587"/>
      <c r="E34" s="2587"/>
      <c r="F34" s="993"/>
      <c r="G34" s="2587"/>
      <c r="H34" s="2596" t="s">
        <v>4707</v>
      </c>
      <c r="I34" s="2597"/>
      <c r="J34" s="989">
        <f>0.4/1000</f>
        <v>4.0000000000000002E-4</v>
      </c>
      <c r="K34" s="982"/>
      <c r="L34" s="982"/>
      <c r="M34" s="982"/>
      <c r="N34" s="982"/>
      <c r="O34" s="982"/>
      <c r="P34" s="982"/>
      <c r="Q34" s="982"/>
      <c r="R34" s="982"/>
      <c r="S34" s="982"/>
    </row>
    <row r="35" spans="1:19" s="564" customFormat="1" ht="17.25" hidden="1" thickBot="1">
      <c r="A35" s="982"/>
      <c r="B35" s="982"/>
      <c r="C35" s="2587"/>
      <c r="D35" s="2587"/>
      <c r="E35" s="2587"/>
      <c r="F35" s="992"/>
      <c r="G35" s="2588"/>
      <c r="H35" s="2596" t="s">
        <v>4747</v>
      </c>
      <c r="I35" s="2597"/>
      <c r="J35" s="989" t="s">
        <v>4728</v>
      </c>
      <c r="K35" s="982"/>
      <c r="L35" s="982"/>
      <c r="M35" s="982"/>
      <c r="N35" s="982"/>
      <c r="O35" s="982"/>
      <c r="P35" s="982"/>
      <c r="Q35" s="982"/>
      <c r="R35" s="982"/>
      <c r="S35" s="982"/>
    </row>
    <row r="36" spans="1:19" s="564" customFormat="1" ht="26.25" hidden="1" thickBot="1">
      <c r="A36" s="982"/>
      <c r="B36" s="982"/>
      <c r="C36" s="2588"/>
      <c r="D36" s="2588"/>
      <c r="E36" s="2588"/>
      <c r="F36" s="987"/>
      <c r="G36" s="987"/>
      <c r="H36" s="991" t="s">
        <v>4746</v>
      </c>
      <c r="I36" s="990"/>
      <c r="J36" s="989" t="s">
        <v>4718</v>
      </c>
      <c r="K36" s="982"/>
      <c r="L36" s="982"/>
      <c r="M36" s="982"/>
      <c r="N36" s="982"/>
      <c r="O36" s="982"/>
      <c r="P36" s="982"/>
      <c r="Q36" s="982"/>
      <c r="R36" s="982"/>
      <c r="S36" s="982"/>
    </row>
    <row r="37" spans="1:19" s="564" customFormat="1" ht="17.25" hidden="1" thickBot="1">
      <c r="A37" s="982"/>
      <c r="B37" s="982"/>
      <c r="C37" s="2586">
        <v>2</v>
      </c>
      <c r="D37" s="2586" t="s">
        <v>4745</v>
      </c>
      <c r="E37" s="2586" t="s">
        <v>4744</v>
      </c>
      <c r="F37" s="2586" t="s">
        <v>4743</v>
      </c>
      <c r="G37" s="2586" t="s">
        <v>4742</v>
      </c>
      <c r="H37" s="2596" t="s">
        <v>4713</v>
      </c>
      <c r="I37" s="2597"/>
      <c r="J37" s="989">
        <v>1.2E-2</v>
      </c>
      <c r="K37" s="982"/>
      <c r="L37" s="982"/>
      <c r="M37" s="982"/>
      <c r="N37" s="982"/>
      <c r="O37" s="982"/>
      <c r="P37" s="982"/>
      <c r="Q37" s="982"/>
      <c r="R37" s="982"/>
      <c r="S37" s="982"/>
    </row>
    <row r="38" spans="1:19" s="564" customFormat="1" ht="17.25" hidden="1" thickBot="1">
      <c r="A38" s="982"/>
      <c r="B38" s="982"/>
      <c r="C38" s="2587"/>
      <c r="D38" s="2587"/>
      <c r="E38" s="2587"/>
      <c r="F38" s="2587"/>
      <c r="G38" s="2587"/>
      <c r="H38" s="2615" t="s">
        <v>4711</v>
      </c>
      <c r="I38" s="2616"/>
      <c r="J38" s="989">
        <v>5.0000000000000001E-3</v>
      </c>
      <c r="K38" s="982"/>
      <c r="L38" s="982"/>
      <c r="M38" s="982"/>
      <c r="N38" s="982"/>
      <c r="O38" s="982"/>
      <c r="P38" s="982"/>
      <c r="Q38" s="982"/>
      <c r="R38" s="982"/>
      <c r="S38" s="982"/>
    </row>
    <row r="39" spans="1:19" s="564" customFormat="1" ht="17.25" hidden="1" thickBot="1">
      <c r="A39" s="982"/>
      <c r="B39" s="982"/>
      <c r="C39" s="2587"/>
      <c r="D39" s="2587"/>
      <c r="E39" s="2587"/>
      <c r="F39" s="2587"/>
      <c r="G39" s="2587"/>
      <c r="H39" s="2596" t="s">
        <v>4709</v>
      </c>
      <c r="I39" s="2597"/>
      <c r="J39" s="988">
        <v>4.0000000000000001E-3</v>
      </c>
      <c r="K39" s="982"/>
      <c r="L39" s="982"/>
      <c r="M39" s="982"/>
      <c r="N39" s="982"/>
      <c r="O39" s="982"/>
      <c r="P39" s="982"/>
      <c r="Q39" s="982"/>
      <c r="R39" s="982"/>
      <c r="S39" s="982"/>
    </row>
    <row r="40" spans="1:19" s="564" customFormat="1" ht="17.25" hidden="1" thickBot="1">
      <c r="A40" s="982"/>
      <c r="B40" s="982"/>
      <c r="C40" s="2588"/>
      <c r="D40" s="2588"/>
      <c r="E40" s="2588"/>
      <c r="F40" s="2588"/>
      <c r="G40" s="2588"/>
      <c r="H40" s="2596" t="s">
        <v>4741</v>
      </c>
      <c r="I40" s="2597"/>
      <c r="J40" s="988">
        <v>2E-3</v>
      </c>
      <c r="K40" s="982"/>
      <c r="L40" s="982"/>
      <c r="M40" s="982"/>
      <c r="N40" s="982"/>
      <c r="O40" s="982"/>
      <c r="P40" s="982"/>
      <c r="Q40" s="982"/>
      <c r="R40" s="982"/>
      <c r="S40" s="982"/>
    </row>
    <row r="41" spans="1:19" s="564" customFormat="1" ht="14.25" hidden="1" customHeight="1">
      <c r="A41" s="982"/>
      <c r="B41" s="982"/>
      <c r="C41" s="2586">
        <v>3</v>
      </c>
      <c r="D41" s="2608" t="s">
        <v>4740</v>
      </c>
      <c r="E41" s="2606" t="s">
        <v>4739</v>
      </c>
      <c r="F41" s="2610"/>
      <c r="G41" s="2610"/>
      <c r="H41" s="2610"/>
      <c r="I41" s="2611"/>
      <c r="J41" s="2586" t="s">
        <v>4738</v>
      </c>
      <c r="K41" s="982"/>
      <c r="L41" s="982"/>
      <c r="M41" s="982"/>
      <c r="N41" s="982"/>
      <c r="O41" s="982"/>
      <c r="P41" s="982"/>
      <c r="Q41" s="982"/>
      <c r="R41" s="982"/>
      <c r="S41" s="982"/>
    </row>
    <row r="42" spans="1:19" s="564" customFormat="1" ht="17.25" hidden="1" thickBot="1">
      <c r="A42" s="982"/>
      <c r="B42" s="982"/>
      <c r="C42" s="2588"/>
      <c r="D42" s="2609"/>
      <c r="E42" s="2612"/>
      <c r="F42" s="2613"/>
      <c r="G42" s="2613"/>
      <c r="H42" s="2613"/>
      <c r="I42" s="2614"/>
      <c r="J42" s="2588"/>
      <c r="K42" s="982"/>
      <c r="L42" s="982"/>
      <c r="M42" s="982"/>
      <c r="N42" s="982"/>
      <c r="O42" s="982"/>
      <c r="P42" s="982"/>
      <c r="Q42" s="982"/>
      <c r="R42" s="982"/>
      <c r="S42" s="982"/>
    </row>
    <row r="43" spans="1:19" s="564" customFormat="1" ht="17.25" hidden="1" thickBot="1">
      <c r="A43" s="982"/>
      <c r="B43" s="982"/>
      <c r="C43" s="2586">
        <v>4</v>
      </c>
      <c r="D43" s="2586" t="s">
        <v>4737</v>
      </c>
      <c r="E43" s="2586" t="s">
        <v>4736</v>
      </c>
      <c r="F43" s="2586" t="s">
        <v>4735</v>
      </c>
      <c r="G43" s="2586" t="s">
        <v>4725</v>
      </c>
      <c r="H43" s="2596" t="s">
        <v>4724</v>
      </c>
      <c r="I43" s="2597"/>
      <c r="J43" s="985" t="s">
        <v>4706</v>
      </c>
      <c r="K43" s="982"/>
      <c r="L43" s="982"/>
      <c r="M43" s="982"/>
      <c r="N43" s="982"/>
      <c r="O43" s="982"/>
      <c r="P43" s="982"/>
      <c r="Q43" s="982"/>
      <c r="R43" s="982"/>
      <c r="S43" s="982"/>
    </row>
    <row r="44" spans="1:19" s="564" customFormat="1" ht="17.25" hidden="1" thickBot="1">
      <c r="A44" s="982"/>
      <c r="B44" s="982"/>
      <c r="C44" s="2587"/>
      <c r="D44" s="2587"/>
      <c r="E44" s="2587"/>
      <c r="F44" s="2587"/>
      <c r="G44" s="2587"/>
      <c r="H44" s="2596" t="s">
        <v>4723</v>
      </c>
      <c r="I44" s="2597"/>
      <c r="J44" s="985" t="s">
        <v>4722</v>
      </c>
      <c r="K44" s="982"/>
      <c r="L44" s="982"/>
      <c r="M44" s="982"/>
      <c r="N44" s="982"/>
      <c r="O44" s="982"/>
      <c r="P44" s="982"/>
      <c r="Q44" s="982"/>
      <c r="R44" s="982"/>
      <c r="S44" s="982"/>
    </row>
    <row r="45" spans="1:19" s="564" customFormat="1" ht="17.25" hidden="1" thickBot="1">
      <c r="A45" s="982"/>
      <c r="B45" s="982"/>
      <c r="C45" s="2587"/>
      <c r="D45" s="2587"/>
      <c r="E45" s="2587"/>
      <c r="F45" s="2587"/>
      <c r="G45" s="2587"/>
      <c r="H45" s="2596" t="s">
        <v>4721</v>
      </c>
      <c r="I45" s="2597"/>
      <c r="J45" s="985" t="s">
        <v>4720</v>
      </c>
      <c r="K45" s="982"/>
      <c r="L45" s="982"/>
      <c r="M45" s="982"/>
      <c r="N45" s="982"/>
      <c r="O45" s="982"/>
      <c r="P45" s="982"/>
      <c r="Q45" s="982"/>
      <c r="R45" s="982"/>
      <c r="S45" s="982"/>
    </row>
    <row r="46" spans="1:19" s="564" customFormat="1" ht="26.25" hidden="1" thickBot="1">
      <c r="A46" s="982"/>
      <c r="B46" s="982"/>
      <c r="C46" s="2588"/>
      <c r="D46" s="2588"/>
      <c r="E46" s="2588"/>
      <c r="F46" s="2588"/>
      <c r="G46" s="2588"/>
      <c r="H46" s="2596" t="s">
        <v>4719</v>
      </c>
      <c r="I46" s="2597"/>
      <c r="J46" s="985" t="s">
        <v>4718</v>
      </c>
      <c r="K46" s="982"/>
      <c r="L46" s="982"/>
      <c r="M46" s="982"/>
      <c r="N46" s="982"/>
      <c r="O46" s="982"/>
      <c r="P46" s="982"/>
      <c r="Q46" s="982"/>
      <c r="R46" s="982"/>
      <c r="S46" s="982"/>
    </row>
    <row r="47" spans="1:19" s="564" customFormat="1" ht="17.25" hidden="1" thickBot="1">
      <c r="A47" s="982"/>
      <c r="B47" s="982"/>
      <c r="C47" s="987"/>
      <c r="D47" s="2586" t="s">
        <v>4734</v>
      </c>
      <c r="E47" s="2586" t="s">
        <v>4733</v>
      </c>
      <c r="F47" s="2586" t="s">
        <v>4732</v>
      </c>
      <c r="G47" s="2586" t="s">
        <v>4731</v>
      </c>
      <c r="H47" s="2596" t="s">
        <v>4713</v>
      </c>
      <c r="I47" s="2597"/>
      <c r="J47" s="985" t="s">
        <v>4710</v>
      </c>
      <c r="K47" s="982"/>
      <c r="L47" s="982"/>
      <c r="M47" s="982"/>
      <c r="N47" s="982"/>
      <c r="O47" s="982"/>
      <c r="P47" s="982"/>
      <c r="Q47" s="982"/>
      <c r="R47" s="982"/>
      <c r="S47" s="982"/>
    </row>
    <row r="48" spans="1:19" s="564" customFormat="1" ht="17.25" hidden="1" thickBot="1">
      <c r="A48" s="982"/>
      <c r="B48" s="982"/>
      <c r="C48" s="987"/>
      <c r="D48" s="2587"/>
      <c r="E48" s="2587"/>
      <c r="F48" s="2587"/>
      <c r="G48" s="2587"/>
      <c r="H48" s="2596" t="s">
        <v>4711</v>
      </c>
      <c r="I48" s="2597"/>
      <c r="J48" s="985" t="s">
        <v>4722</v>
      </c>
      <c r="K48" s="982"/>
      <c r="L48" s="982"/>
      <c r="M48" s="982"/>
      <c r="N48" s="982"/>
      <c r="O48" s="982"/>
      <c r="P48" s="982"/>
      <c r="Q48" s="982"/>
      <c r="R48" s="982"/>
      <c r="S48" s="982"/>
    </row>
    <row r="49" spans="1:19" s="564" customFormat="1" ht="17.25" hidden="1" thickBot="1">
      <c r="A49" s="982"/>
      <c r="B49" s="982"/>
      <c r="C49" s="987"/>
      <c r="D49" s="2587"/>
      <c r="E49" s="2587"/>
      <c r="F49" s="2587"/>
      <c r="G49" s="2587"/>
      <c r="H49" s="2596" t="s">
        <v>4709</v>
      </c>
      <c r="I49" s="2597"/>
      <c r="J49" s="985" t="s">
        <v>4730</v>
      </c>
      <c r="K49" s="982"/>
      <c r="L49" s="982"/>
      <c r="M49" s="982"/>
      <c r="N49" s="982"/>
      <c r="O49" s="982"/>
      <c r="P49" s="982"/>
      <c r="Q49" s="982"/>
      <c r="R49" s="982"/>
      <c r="S49" s="982"/>
    </row>
    <row r="50" spans="1:19" s="564" customFormat="1" ht="17.25" hidden="1" thickBot="1">
      <c r="A50" s="982"/>
      <c r="B50" s="982"/>
      <c r="C50" s="987"/>
      <c r="D50" s="2587"/>
      <c r="E50" s="2587"/>
      <c r="F50" s="2587"/>
      <c r="G50" s="2587"/>
      <c r="H50" s="2606" t="s">
        <v>4707</v>
      </c>
      <c r="I50" s="2607"/>
      <c r="J50" s="985" t="s">
        <v>4729</v>
      </c>
      <c r="K50" s="982"/>
      <c r="L50" s="982"/>
      <c r="M50" s="982"/>
      <c r="N50" s="982"/>
      <c r="O50" s="982"/>
      <c r="P50" s="982"/>
      <c r="Q50" s="982"/>
      <c r="R50" s="982"/>
      <c r="S50" s="982"/>
    </row>
    <row r="51" spans="1:19" s="564" customFormat="1" ht="17.25" hidden="1" thickBot="1">
      <c r="A51" s="982"/>
      <c r="B51" s="982"/>
      <c r="C51" s="987">
        <v>5</v>
      </c>
      <c r="D51" s="2587"/>
      <c r="E51" s="2587"/>
      <c r="F51" s="2587"/>
      <c r="G51" s="2605"/>
      <c r="H51" s="2602" t="s">
        <v>4705</v>
      </c>
      <c r="I51" s="2603"/>
      <c r="J51" s="986" t="s">
        <v>4728</v>
      </c>
      <c r="K51" s="982"/>
      <c r="L51" s="982"/>
      <c r="M51" s="982"/>
      <c r="N51" s="982"/>
      <c r="O51" s="982"/>
      <c r="P51" s="982"/>
      <c r="Q51" s="982"/>
      <c r="R51" s="982"/>
      <c r="S51" s="982"/>
    </row>
    <row r="52" spans="1:19" s="564" customFormat="1" ht="17.25" hidden="1" thickBot="1">
      <c r="A52" s="982"/>
      <c r="B52" s="982"/>
      <c r="C52" s="2586">
        <v>6</v>
      </c>
      <c r="D52" s="2589" t="s">
        <v>4727</v>
      </c>
      <c r="E52" s="2592" t="s">
        <v>4726</v>
      </c>
      <c r="F52" s="2586" t="s">
        <v>4715</v>
      </c>
      <c r="G52" s="2586" t="s">
        <v>4725</v>
      </c>
      <c r="H52" s="985" t="s">
        <v>4724</v>
      </c>
      <c r="I52" s="2604" t="s">
        <v>4706</v>
      </c>
      <c r="J52" s="2597"/>
      <c r="K52" s="982"/>
      <c r="L52" s="982"/>
      <c r="M52" s="982"/>
      <c r="N52" s="982"/>
      <c r="O52" s="982"/>
      <c r="P52" s="982"/>
      <c r="Q52" s="982"/>
      <c r="R52" s="982"/>
      <c r="S52" s="982"/>
    </row>
    <row r="53" spans="1:19" s="564" customFormat="1" ht="17.25" hidden="1" thickBot="1">
      <c r="A53" s="982"/>
      <c r="B53" s="982"/>
      <c r="C53" s="2587"/>
      <c r="D53" s="2590"/>
      <c r="E53" s="2593"/>
      <c r="F53" s="2587"/>
      <c r="G53" s="2587"/>
      <c r="H53" s="985" t="s">
        <v>4723</v>
      </c>
      <c r="I53" s="2596" t="s">
        <v>4722</v>
      </c>
      <c r="J53" s="2597"/>
      <c r="K53" s="982"/>
      <c r="L53" s="982"/>
      <c r="M53" s="982"/>
      <c r="N53" s="982"/>
      <c r="O53" s="982"/>
      <c r="P53" s="982"/>
      <c r="Q53" s="982"/>
      <c r="R53" s="982"/>
      <c r="S53" s="982"/>
    </row>
    <row r="54" spans="1:19" s="564" customFormat="1" ht="17.25" hidden="1" thickBot="1">
      <c r="A54" s="982"/>
      <c r="B54" s="982"/>
      <c r="C54" s="2587"/>
      <c r="D54" s="2590"/>
      <c r="E54" s="2593"/>
      <c r="F54" s="2587"/>
      <c r="G54" s="2587"/>
      <c r="H54" s="985" t="s">
        <v>4721</v>
      </c>
      <c r="I54" s="2596" t="s">
        <v>4720</v>
      </c>
      <c r="J54" s="2597"/>
      <c r="K54" s="982"/>
      <c r="L54" s="982"/>
      <c r="M54" s="982"/>
      <c r="N54" s="982"/>
      <c r="O54" s="982"/>
      <c r="P54" s="982"/>
      <c r="Q54" s="982"/>
      <c r="R54" s="982"/>
      <c r="S54" s="982"/>
    </row>
    <row r="55" spans="1:19" s="564" customFormat="1" ht="17.25" hidden="1" thickBot="1">
      <c r="A55" s="982"/>
      <c r="B55" s="982"/>
      <c r="C55" s="2588"/>
      <c r="D55" s="2591"/>
      <c r="E55" s="2594"/>
      <c r="F55" s="2588"/>
      <c r="G55" s="2588"/>
      <c r="H55" s="985" t="s">
        <v>4719</v>
      </c>
      <c r="I55" s="2596" t="s">
        <v>4718</v>
      </c>
      <c r="J55" s="2597"/>
      <c r="K55" s="982"/>
      <c r="L55" s="982"/>
      <c r="M55" s="982"/>
      <c r="N55" s="982"/>
      <c r="O55" s="982"/>
      <c r="P55" s="982"/>
      <c r="Q55" s="982"/>
      <c r="R55" s="982"/>
      <c r="S55" s="982"/>
    </row>
    <row r="56" spans="1:19" s="564" customFormat="1" ht="17.25" hidden="1" thickBot="1">
      <c r="A56" s="982"/>
      <c r="B56" s="982"/>
      <c r="C56" s="2586">
        <v>7</v>
      </c>
      <c r="D56" s="2586" t="s">
        <v>4717</v>
      </c>
      <c r="E56" s="2586" t="s">
        <v>4716</v>
      </c>
      <c r="F56" s="2586" t="s">
        <v>4715</v>
      </c>
      <c r="G56" s="2586" t="s">
        <v>4714</v>
      </c>
      <c r="H56" s="985" t="s">
        <v>4713</v>
      </c>
      <c r="I56" s="2596" t="s">
        <v>4712</v>
      </c>
      <c r="J56" s="2597"/>
      <c r="K56" s="982"/>
      <c r="L56" s="982"/>
      <c r="M56" s="982"/>
      <c r="N56" s="982"/>
      <c r="O56" s="982"/>
      <c r="P56" s="982"/>
      <c r="Q56" s="982"/>
      <c r="R56" s="982"/>
      <c r="S56" s="982"/>
    </row>
    <row r="57" spans="1:19" s="564" customFormat="1" ht="17.25" hidden="1" thickBot="1">
      <c r="A57" s="982"/>
      <c r="B57" s="982"/>
      <c r="C57" s="2587"/>
      <c r="D57" s="2587"/>
      <c r="E57" s="2587"/>
      <c r="F57" s="2587"/>
      <c r="G57" s="2587"/>
      <c r="H57" s="985" t="s">
        <v>4711</v>
      </c>
      <c r="I57" s="2596" t="s">
        <v>4710</v>
      </c>
      <c r="J57" s="2597"/>
      <c r="K57" s="982"/>
      <c r="L57" s="982"/>
      <c r="M57" s="982"/>
      <c r="N57" s="982"/>
      <c r="O57" s="982"/>
      <c r="P57" s="982"/>
      <c r="Q57" s="982"/>
      <c r="R57" s="982"/>
      <c r="S57" s="982"/>
    </row>
    <row r="58" spans="1:19" s="564" customFormat="1" ht="26.25" hidden="1" thickBot="1">
      <c r="A58" s="982"/>
      <c r="B58" s="982"/>
      <c r="C58" s="2587"/>
      <c r="D58" s="2587"/>
      <c r="E58" s="2587"/>
      <c r="F58" s="2587"/>
      <c r="G58" s="2587"/>
      <c r="H58" s="985" t="s">
        <v>4709</v>
      </c>
      <c r="I58" s="2596" t="s">
        <v>4708</v>
      </c>
      <c r="J58" s="2597"/>
      <c r="K58" s="982"/>
      <c r="L58" s="982"/>
      <c r="M58" s="982"/>
      <c r="N58" s="982"/>
      <c r="O58" s="982"/>
      <c r="P58" s="982"/>
      <c r="Q58" s="982"/>
      <c r="R58" s="982"/>
      <c r="S58" s="982"/>
    </row>
    <row r="59" spans="1:19" s="564" customFormat="1" ht="26.25" hidden="1" thickBot="1">
      <c r="A59" s="982"/>
      <c r="B59" s="982"/>
      <c r="C59" s="2587"/>
      <c r="D59" s="2587"/>
      <c r="E59" s="2587"/>
      <c r="F59" s="2587"/>
      <c r="G59" s="2587"/>
      <c r="H59" s="985" t="s">
        <v>4707</v>
      </c>
      <c r="I59" s="2596" t="s">
        <v>4706</v>
      </c>
      <c r="J59" s="2597"/>
      <c r="K59" s="982"/>
      <c r="L59" s="982"/>
      <c r="M59" s="982"/>
      <c r="N59" s="982"/>
      <c r="O59" s="982"/>
      <c r="P59" s="982"/>
      <c r="Q59" s="982"/>
      <c r="R59" s="982"/>
      <c r="S59" s="982"/>
    </row>
    <row r="60" spans="1:19" s="564" customFormat="1" ht="17.25" hidden="1" thickBot="1">
      <c r="A60" s="982"/>
      <c r="B60" s="982"/>
      <c r="C60" s="2588"/>
      <c r="D60" s="2588"/>
      <c r="E60" s="2588"/>
      <c r="F60" s="2588"/>
      <c r="G60" s="2588"/>
      <c r="H60" s="985" t="s">
        <v>4705</v>
      </c>
      <c r="I60" s="2596" t="s">
        <v>4704</v>
      </c>
      <c r="J60" s="2597"/>
      <c r="K60" s="982"/>
      <c r="L60" s="982"/>
      <c r="M60" s="982"/>
      <c r="N60" s="982"/>
      <c r="O60" s="982"/>
      <c r="P60" s="982"/>
      <c r="Q60" s="982"/>
      <c r="R60" s="982"/>
      <c r="S60" s="982"/>
    </row>
    <row r="61" spans="1:19" s="564" customFormat="1" hidden="1">
      <c r="A61" s="982"/>
      <c r="B61" s="982"/>
      <c r="C61" s="982"/>
      <c r="D61" s="982"/>
      <c r="E61" s="982"/>
      <c r="F61" s="982"/>
      <c r="G61" s="982"/>
      <c r="H61" s="982"/>
      <c r="I61" s="982"/>
      <c r="J61" s="982"/>
      <c r="K61" s="982"/>
      <c r="L61" s="982"/>
      <c r="M61" s="982"/>
      <c r="N61" s="982"/>
      <c r="O61" s="982"/>
      <c r="P61" s="982"/>
      <c r="Q61" s="982"/>
      <c r="R61" s="982"/>
      <c r="S61" s="982"/>
    </row>
    <row r="62" spans="1:19" s="564" customFormat="1" hidden="1">
      <c r="A62" s="982"/>
      <c r="B62" s="2598" t="s">
        <v>4703</v>
      </c>
      <c r="C62" s="2598"/>
      <c r="D62" s="2598"/>
      <c r="E62" s="2598"/>
      <c r="F62" s="2598"/>
      <c r="G62" s="2598"/>
      <c r="H62" s="2598"/>
      <c r="I62" s="2598"/>
      <c r="J62" s="2598"/>
      <c r="K62" s="982"/>
      <c r="L62" s="982"/>
      <c r="M62" s="982"/>
      <c r="N62" s="982"/>
      <c r="O62" s="982"/>
      <c r="P62" s="982"/>
      <c r="Q62" s="982"/>
      <c r="R62" s="982"/>
      <c r="S62" s="982"/>
    </row>
    <row r="63" spans="1:19" s="564" customFormat="1" hidden="1">
      <c r="A63" s="982"/>
      <c r="B63" s="2599" t="s">
        <v>4702</v>
      </c>
      <c r="C63" s="2599"/>
      <c r="D63" s="2599"/>
      <c r="E63" s="2599"/>
      <c r="F63" s="2599"/>
      <c r="G63" s="2599"/>
      <c r="H63" s="2599"/>
      <c r="I63" s="2599"/>
      <c r="J63" s="2599"/>
      <c r="K63" s="982"/>
      <c r="L63" s="982"/>
      <c r="M63" s="982"/>
      <c r="N63" s="982"/>
      <c r="O63" s="982"/>
      <c r="P63" s="982"/>
      <c r="Q63" s="982"/>
      <c r="R63" s="982"/>
      <c r="S63" s="982"/>
    </row>
    <row r="64" spans="1:19" s="564" customFormat="1" ht="18.75" hidden="1">
      <c r="A64" s="982"/>
      <c r="B64" s="984"/>
      <c r="C64" s="982"/>
      <c r="D64" s="982"/>
      <c r="E64" s="982"/>
      <c r="F64" s="982"/>
      <c r="G64" s="982"/>
      <c r="H64" s="982"/>
      <c r="I64" s="982"/>
      <c r="J64" s="982"/>
      <c r="K64" s="982"/>
      <c r="L64" s="982"/>
      <c r="M64" s="982"/>
      <c r="N64" s="982"/>
      <c r="O64" s="982"/>
      <c r="P64" s="982"/>
      <c r="Q64" s="982"/>
      <c r="R64" s="982"/>
      <c r="S64" s="982"/>
    </row>
    <row r="65" spans="1:19" s="564" customFormat="1" ht="18.75" hidden="1">
      <c r="A65" s="982"/>
      <c r="B65" s="2600" t="s">
        <v>4701</v>
      </c>
      <c r="C65" s="2600"/>
      <c r="D65" s="2600"/>
      <c r="E65" s="2600"/>
      <c r="F65" s="2600"/>
      <c r="G65" s="2600"/>
      <c r="H65" s="2600"/>
      <c r="I65" s="2600"/>
      <c r="J65" s="2600"/>
      <c r="K65" s="982"/>
      <c r="L65" s="982"/>
      <c r="M65" s="982"/>
      <c r="N65" s="982"/>
      <c r="O65" s="982"/>
      <c r="P65" s="982"/>
      <c r="Q65" s="982"/>
      <c r="R65" s="982"/>
      <c r="S65" s="982"/>
    </row>
    <row r="66" spans="1:19" s="564" customFormat="1" ht="18.75" hidden="1">
      <c r="A66" s="982"/>
      <c r="B66" s="2601" t="s">
        <v>4700</v>
      </c>
      <c r="C66" s="2601"/>
      <c r="D66" s="2601"/>
      <c r="E66" s="2601"/>
      <c r="F66" s="2601"/>
      <c r="G66" s="2601"/>
      <c r="H66" s="2601"/>
      <c r="I66" s="2601"/>
      <c r="J66" s="2601"/>
      <c r="K66" s="982"/>
      <c r="L66" s="982"/>
      <c r="M66" s="982"/>
      <c r="N66" s="982"/>
      <c r="O66" s="982"/>
      <c r="P66" s="982"/>
      <c r="Q66" s="982"/>
      <c r="R66" s="982"/>
      <c r="S66" s="982"/>
    </row>
    <row r="67" spans="1:19" s="564" customFormat="1" ht="18.75" hidden="1">
      <c r="A67" s="982"/>
      <c r="B67" s="2601" t="s">
        <v>4699</v>
      </c>
      <c r="C67" s="2601"/>
      <c r="D67" s="2601"/>
      <c r="E67" s="2601"/>
      <c r="F67" s="2601"/>
      <c r="G67" s="2601"/>
      <c r="H67" s="2601"/>
      <c r="I67" s="2601"/>
      <c r="J67" s="2601"/>
      <c r="K67" s="982"/>
      <c r="L67" s="982"/>
      <c r="M67" s="982"/>
      <c r="N67" s="982"/>
      <c r="O67" s="982"/>
      <c r="P67" s="982"/>
      <c r="Q67" s="982"/>
      <c r="R67" s="982"/>
      <c r="S67" s="982"/>
    </row>
    <row r="68" spans="1:19" s="564" customFormat="1" ht="18.75" hidden="1">
      <c r="A68" s="982"/>
      <c r="B68" s="2595" t="s">
        <v>4698</v>
      </c>
      <c r="C68" s="2595"/>
      <c r="D68" s="2595"/>
      <c r="E68" s="2595"/>
      <c r="F68" s="2595"/>
      <c r="G68" s="2595"/>
      <c r="H68" s="2595"/>
      <c r="I68" s="2595"/>
      <c r="J68" s="2595"/>
      <c r="K68" s="982"/>
      <c r="L68" s="982"/>
      <c r="M68" s="982"/>
      <c r="N68" s="982"/>
      <c r="O68" s="982"/>
      <c r="P68" s="982"/>
      <c r="Q68" s="982"/>
      <c r="R68" s="982"/>
      <c r="S68" s="982"/>
    </row>
    <row r="69" spans="1:19" s="757" customFormat="1">
      <c r="A69" s="983"/>
      <c r="B69" s="983"/>
      <c r="C69" s="983"/>
      <c r="D69" s="983"/>
      <c r="E69" s="983"/>
      <c r="F69" s="983"/>
      <c r="G69" s="983"/>
      <c r="H69" s="983"/>
      <c r="I69" s="983"/>
      <c r="J69" s="983"/>
      <c r="K69" s="983"/>
      <c r="L69" s="983"/>
      <c r="M69" s="983"/>
      <c r="N69" s="983"/>
      <c r="O69" s="983"/>
      <c r="P69" s="983"/>
      <c r="Q69" s="983"/>
      <c r="R69" s="983"/>
      <c r="S69" s="983"/>
    </row>
    <row r="70" spans="1:19">
      <c r="A70" s="981"/>
      <c r="B70" s="982"/>
      <c r="C70" s="982"/>
      <c r="D70" s="982"/>
      <c r="E70" s="982"/>
      <c r="F70" s="982"/>
      <c r="G70" s="982"/>
      <c r="H70" s="982"/>
      <c r="I70" s="982"/>
      <c r="J70" s="982"/>
      <c r="K70" s="981"/>
      <c r="L70" s="981"/>
      <c r="M70" s="981"/>
      <c r="N70" s="981"/>
      <c r="O70" s="981"/>
      <c r="P70" s="981"/>
      <c r="Q70" s="981"/>
      <c r="R70" s="981"/>
      <c r="S70" s="981"/>
    </row>
    <row r="71" spans="1:19">
      <c r="A71" s="981"/>
      <c r="B71" s="981"/>
      <c r="C71" s="981"/>
      <c r="D71" s="981"/>
      <c r="E71" s="981"/>
      <c r="F71" s="981"/>
      <c r="G71" s="981"/>
      <c r="H71" s="981"/>
      <c r="I71" s="981"/>
      <c r="J71" s="981"/>
      <c r="K71" s="981"/>
      <c r="L71" s="981"/>
      <c r="M71" s="981"/>
      <c r="N71" s="981"/>
      <c r="O71" s="981"/>
      <c r="P71" s="981"/>
      <c r="Q71" s="981"/>
      <c r="R71" s="981"/>
      <c r="S71" s="981"/>
    </row>
    <row r="72" spans="1:19">
      <c r="A72" s="981"/>
      <c r="B72" s="981"/>
      <c r="C72" s="981"/>
      <c r="D72" s="981"/>
      <c r="E72" s="981"/>
      <c r="F72" s="981"/>
      <c r="G72" s="981"/>
      <c r="H72" s="981"/>
      <c r="I72" s="981"/>
      <c r="J72" s="981"/>
      <c r="K72" s="981"/>
      <c r="L72" s="981"/>
      <c r="M72" s="981"/>
      <c r="N72" s="981"/>
      <c r="O72" s="981"/>
      <c r="P72" s="981"/>
      <c r="Q72" s="981"/>
      <c r="R72" s="981"/>
      <c r="S72" s="981"/>
    </row>
    <row r="73" spans="1:19">
      <c r="A73" s="981"/>
      <c r="B73" s="981"/>
      <c r="C73" s="981"/>
      <c r="D73" s="981"/>
      <c r="E73" s="981"/>
      <c r="F73" s="981"/>
      <c r="G73" s="981"/>
      <c r="H73" s="981"/>
      <c r="I73" s="981"/>
      <c r="J73" s="981"/>
      <c r="K73" s="981"/>
      <c r="L73" s="981"/>
      <c r="M73" s="981"/>
      <c r="N73" s="981"/>
      <c r="O73" s="981"/>
      <c r="P73" s="981"/>
      <c r="Q73" s="981"/>
      <c r="R73" s="981"/>
      <c r="S73" s="981"/>
    </row>
    <row r="74" spans="1:19">
      <c r="A74" s="981"/>
      <c r="B74" s="981"/>
      <c r="C74" s="981"/>
      <c r="D74" s="981"/>
      <c r="E74" s="981"/>
      <c r="F74" s="981"/>
      <c r="G74" s="981"/>
      <c r="H74" s="981"/>
      <c r="I74" s="981"/>
      <c r="J74" s="981"/>
      <c r="K74" s="981"/>
      <c r="L74" s="981"/>
      <c r="M74" s="981"/>
      <c r="N74" s="981"/>
      <c r="O74" s="981"/>
      <c r="P74" s="981"/>
      <c r="Q74" s="981"/>
      <c r="R74" s="981"/>
      <c r="S74" s="981"/>
    </row>
    <row r="75" spans="1:19">
      <c r="A75" s="981"/>
      <c r="B75" s="981"/>
      <c r="C75" s="981"/>
      <c r="D75" s="981"/>
      <c r="E75" s="981"/>
      <c r="F75" s="981"/>
      <c r="G75" s="981"/>
      <c r="H75" s="981"/>
      <c r="I75" s="981"/>
      <c r="J75" s="981"/>
      <c r="K75" s="981"/>
      <c r="L75" s="981"/>
      <c r="M75" s="981"/>
      <c r="N75" s="981"/>
      <c r="O75" s="981"/>
      <c r="P75" s="981"/>
      <c r="Q75" s="981"/>
      <c r="R75" s="981"/>
      <c r="S75" s="981"/>
    </row>
  </sheetData>
  <sheetProtection selectLockedCells="1"/>
  <mergeCells count="87">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 ref="C28:J28"/>
    <mergeCell ref="C29:C30"/>
    <mergeCell ref="D29:D30"/>
    <mergeCell ref="F29:F30"/>
    <mergeCell ref="G29:I30"/>
    <mergeCell ref="J29:J30"/>
    <mergeCell ref="C31:C36"/>
    <mergeCell ref="D31:D36"/>
    <mergeCell ref="E31:E36"/>
    <mergeCell ref="G31:G35"/>
    <mergeCell ref="H31:I31"/>
    <mergeCell ref="H32:I32"/>
    <mergeCell ref="H33:I33"/>
    <mergeCell ref="H34:I34"/>
    <mergeCell ref="H35:I35"/>
    <mergeCell ref="H37:I37"/>
    <mergeCell ref="H38:I38"/>
    <mergeCell ref="H39:I39"/>
    <mergeCell ref="H40:I40"/>
    <mergeCell ref="C37:C40"/>
    <mergeCell ref="H50:I50"/>
    <mergeCell ref="D37:D40"/>
    <mergeCell ref="E37:E40"/>
    <mergeCell ref="J41:J42"/>
    <mergeCell ref="C43:C46"/>
    <mergeCell ref="D43:D46"/>
    <mergeCell ref="E43:E46"/>
    <mergeCell ref="F43:F46"/>
    <mergeCell ref="G43:G46"/>
    <mergeCell ref="H43:I43"/>
    <mergeCell ref="H44:I44"/>
    <mergeCell ref="F37:F40"/>
    <mergeCell ref="G37:G40"/>
    <mergeCell ref="C41:C42"/>
    <mergeCell ref="D41:D42"/>
    <mergeCell ref="E41:I42"/>
    <mergeCell ref="H45:I45"/>
    <mergeCell ref="H46:I46"/>
    <mergeCell ref="H47:I47"/>
    <mergeCell ref="H48:I48"/>
    <mergeCell ref="H49:I49"/>
    <mergeCell ref="F52:F55"/>
    <mergeCell ref="G52:G55"/>
    <mergeCell ref="D47:D51"/>
    <mergeCell ref="E47:E51"/>
    <mergeCell ref="F47:F51"/>
    <mergeCell ref="G47:G51"/>
    <mergeCell ref="I56:J56"/>
    <mergeCell ref="I57:J57"/>
    <mergeCell ref="I58:J58"/>
    <mergeCell ref="I59:J59"/>
    <mergeCell ref="H51:I51"/>
    <mergeCell ref="I52:J52"/>
    <mergeCell ref="I53:J53"/>
    <mergeCell ref="I54:J54"/>
    <mergeCell ref="C52:C55"/>
    <mergeCell ref="D52:D55"/>
    <mergeCell ref="E52:E55"/>
    <mergeCell ref="B68:J68"/>
    <mergeCell ref="I60:J60"/>
    <mergeCell ref="B62:J62"/>
    <mergeCell ref="B63:J63"/>
    <mergeCell ref="B65:J65"/>
    <mergeCell ref="B66:J66"/>
    <mergeCell ref="B67:J67"/>
    <mergeCell ref="I55:J55"/>
    <mergeCell ref="C56:C60"/>
    <mergeCell ref="D56:D60"/>
    <mergeCell ref="E56:E60"/>
    <mergeCell ref="F56:F60"/>
    <mergeCell ref="G56:G60"/>
  </mergeCells>
  <phoneticPr fontId="135" type="noConversion"/>
  <dataValidations count="2">
    <dataValidation type="list" allowBlank="1" showInputMessage="1" showErrorMessage="1" sqref="C3">
      <formula1>$C$18:$C$24</formula1>
    </dataValidation>
    <dataValidation type="list" allowBlank="1" showInputMessage="1" showErrorMessage="1" sqref="D4">
      <formula1>$D$18:$D$19</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H26"/>
  <sheetViews>
    <sheetView workbookViewId="0">
      <selection activeCell="G3" sqref="G3"/>
    </sheetView>
  </sheetViews>
  <sheetFormatPr defaultColWidth="9" defaultRowHeight="24" customHeight="1"/>
  <cols>
    <col min="1" max="1" width="8.125" style="575" customWidth="1"/>
    <col min="2" max="2" width="9" style="575"/>
    <col min="3" max="3" width="4.125" style="575" customWidth="1"/>
    <col min="4" max="4" width="14.625" style="575" customWidth="1"/>
    <col min="5" max="5" width="16.75" style="575" customWidth="1"/>
    <col min="6" max="6" width="9" style="575"/>
    <col min="7" max="7" width="18.375" style="575" customWidth="1"/>
    <col min="8" max="8" width="9.125" style="575" customWidth="1"/>
    <col min="9" max="16384" width="9" style="575"/>
  </cols>
  <sheetData>
    <row r="1" spans="1:8" ht="24" customHeight="1">
      <c r="A1" s="2648" t="s">
        <v>4628</v>
      </c>
      <c r="B1" s="2648"/>
      <c r="C1" s="2648"/>
      <c r="D1" s="2648"/>
      <c r="E1" s="2648"/>
      <c r="F1" s="2648"/>
      <c r="G1" s="2648"/>
      <c r="H1" s="1020"/>
    </row>
    <row r="2" spans="1:8" ht="50.25" customHeight="1">
      <c r="A2" s="574"/>
      <c r="B2" s="574"/>
      <c r="C2" s="574"/>
      <c r="D2" s="574"/>
      <c r="E2" s="574"/>
      <c r="F2" s="1019" t="s">
        <v>4794</v>
      </c>
      <c r="G2" s="2445" t="str">
        <f>开始!$B$9</f>
        <v>IN-07</v>
      </c>
      <c r="H2" s="1018"/>
    </row>
    <row r="3" spans="1:8" ht="29.25" customHeight="1">
      <c r="A3" s="1017" t="str">
        <f>基本情况!$F$11&amp;"："</f>
        <v>中汇（厦门）税务师事务所有限公司：</v>
      </c>
      <c r="B3" s="574"/>
      <c r="C3" s="574"/>
      <c r="D3" s="574"/>
      <c r="E3" s="574"/>
      <c r="F3" s="574"/>
      <c r="G3" s="574"/>
    </row>
    <row r="4" spans="1:8" ht="24" customHeight="1">
      <c r="A4" s="574" t="s">
        <v>4793</v>
      </c>
      <c r="B4" s="574" t="s">
        <v>4792</v>
      </c>
      <c r="C4" s="574"/>
      <c r="D4" s="2649" t="str">
        <f>基本情况!$F$6&amp;"年度"&amp;基本情况!$F$5&amp;"，"</f>
        <v>2017年度企业所得税年度纳税申报审核，</v>
      </c>
      <c r="E4" s="2649"/>
      <c r="F4" s="2649"/>
      <c r="G4" s="2649"/>
    </row>
    <row r="5" spans="1:8" ht="24" customHeight="1">
      <c r="A5" s="574" t="s">
        <v>4791</v>
      </c>
      <c r="B5" s="574"/>
      <c r="C5" s="574"/>
      <c r="D5" s="574"/>
      <c r="E5" s="574"/>
      <c r="F5" s="574"/>
      <c r="G5" s="574"/>
    </row>
    <row r="6" spans="1:8" ht="24" customHeight="1">
      <c r="A6" s="574" t="str">
        <f>"    1、本公司依照《"&amp;基本情况!$C$18&amp;"》和有关财务会计制度的规定进行会计核算和编制会"</f>
        <v xml:space="preserve">    1、本公司依照《小企业会计准则》和有关财务会计制度的规定进行会计核算和编制会</v>
      </c>
      <c r="B6" s="574"/>
      <c r="C6" s="574"/>
      <c r="D6" s="574"/>
      <c r="E6" s="574"/>
      <c r="F6" s="574"/>
      <c r="G6" s="574"/>
    </row>
    <row r="7" spans="1:8" ht="24" customHeight="1">
      <c r="A7" s="574" t="s">
        <v>4790</v>
      </c>
      <c r="B7" s="574"/>
      <c r="C7" s="574"/>
      <c r="D7" s="574"/>
      <c r="E7" s="574"/>
      <c r="F7" s="574"/>
      <c r="G7" s="574"/>
    </row>
    <row r="8" spans="1:8" ht="24" customHeight="1">
      <c r="A8" s="574" t="s">
        <v>4789</v>
      </c>
      <c r="B8" s="574"/>
      <c r="C8" s="574"/>
      <c r="D8" s="574"/>
      <c r="E8" s="574"/>
      <c r="F8" s="574"/>
      <c r="G8" s="574"/>
    </row>
    <row r="9" spans="1:8" ht="24" customHeight="1">
      <c r="A9" s="574" t="s">
        <v>4788</v>
      </c>
      <c r="B9" s="574"/>
      <c r="C9" s="574"/>
      <c r="D9" s="574"/>
      <c r="E9" s="574"/>
      <c r="F9" s="574"/>
      <c r="G9" s="574"/>
    </row>
    <row r="10" spans="1:8" ht="24" customHeight="1">
      <c r="A10" s="574" t="s">
        <v>4787</v>
      </c>
      <c r="B10" s="574"/>
      <c r="C10" s="574"/>
      <c r="D10" s="574"/>
      <c r="E10" s="574"/>
      <c r="F10" s="574"/>
      <c r="G10" s="574"/>
    </row>
    <row r="11" spans="1:8" ht="24" customHeight="1">
      <c r="A11" s="574" t="s">
        <v>4786</v>
      </c>
      <c r="B11" s="574"/>
      <c r="C11" s="574"/>
      <c r="D11" s="574"/>
      <c r="E11" s="574"/>
      <c r="F11" s="574"/>
      <c r="G11" s="574"/>
    </row>
    <row r="12" spans="1:8" ht="24" customHeight="1">
      <c r="A12" s="574" t="s">
        <v>4785</v>
      </c>
      <c r="B12" s="574"/>
      <c r="C12" s="574"/>
      <c r="D12" s="574"/>
      <c r="E12" s="574"/>
      <c r="F12" s="574"/>
      <c r="G12" s="574"/>
    </row>
    <row r="13" spans="1:8" ht="24" customHeight="1">
      <c r="A13" s="574" t="s">
        <v>4784</v>
      </c>
      <c r="B13" s="574"/>
      <c r="C13" s="574"/>
      <c r="D13" s="574"/>
      <c r="E13" s="574"/>
      <c r="F13" s="574"/>
      <c r="G13" s="574"/>
    </row>
    <row r="14" spans="1:8" ht="24" customHeight="1">
      <c r="A14" s="574" t="s">
        <v>4783</v>
      </c>
      <c r="B14" s="574"/>
      <c r="C14" s="574"/>
      <c r="D14" s="574"/>
      <c r="E14" s="574"/>
      <c r="F14" s="574"/>
      <c r="G14" s="574"/>
    </row>
    <row r="15" spans="1:8" ht="24" customHeight="1">
      <c r="A15" s="574" t="s">
        <v>4782</v>
      </c>
      <c r="B15" s="574"/>
      <c r="C15" s="574"/>
      <c r="D15" s="574"/>
      <c r="E15" s="574"/>
      <c r="F15" s="574"/>
      <c r="G15" s="574"/>
    </row>
    <row r="16" spans="1:8" ht="24" customHeight="1">
      <c r="A16" s="574" t="s">
        <v>4781</v>
      </c>
      <c r="B16" s="574" t="s">
        <v>4780</v>
      </c>
      <c r="C16" s="574"/>
      <c r="D16" s="574"/>
      <c r="E16" s="574"/>
      <c r="F16" s="574"/>
      <c r="G16" s="574"/>
    </row>
    <row r="17" spans="1:8" ht="24" customHeight="1">
      <c r="A17" s="574" t="s">
        <v>4779</v>
      </c>
      <c r="B17" s="574"/>
      <c r="C17" s="574"/>
      <c r="D17" s="574"/>
      <c r="E17" s="574"/>
      <c r="F17" s="574"/>
      <c r="G17" s="574"/>
    </row>
    <row r="18" spans="1:8" ht="24" customHeight="1">
      <c r="A18" s="574" t="s">
        <v>4778</v>
      </c>
      <c r="B18" s="574"/>
      <c r="C18" s="574"/>
      <c r="D18" s="574"/>
      <c r="E18" s="574"/>
      <c r="F18" s="574"/>
      <c r="G18" s="574"/>
    </row>
    <row r="19" spans="1:8" ht="24" customHeight="1">
      <c r="A19" s="574" t="s">
        <v>4777</v>
      </c>
      <c r="B19" s="574"/>
      <c r="C19" s="574"/>
      <c r="D19" s="574"/>
      <c r="E19" s="574"/>
      <c r="F19" s="574"/>
      <c r="G19" s="574"/>
    </row>
    <row r="20" spans="1:8" ht="24" customHeight="1">
      <c r="A20" s="574" t="s">
        <v>4776</v>
      </c>
      <c r="B20" s="574"/>
      <c r="C20" s="574"/>
      <c r="D20" s="574"/>
      <c r="E20" s="574"/>
      <c r="F20" s="574"/>
      <c r="G20" s="574"/>
    </row>
    <row r="21" spans="1:8" ht="24" customHeight="1">
      <c r="A21" s="2650" t="s">
        <v>4775</v>
      </c>
      <c r="B21" s="2650"/>
      <c r="C21" s="2650"/>
      <c r="D21" s="2650"/>
      <c r="E21" s="2650"/>
      <c r="F21" s="2650"/>
      <c r="G21" s="2650"/>
      <c r="H21" s="1016"/>
    </row>
    <row r="22" spans="1:8" ht="24" customHeight="1">
      <c r="A22" s="574"/>
      <c r="B22" s="574"/>
      <c r="C22" s="574"/>
      <c r="D22" s="574"/>
      <c r="E22" s="574"/>
      <c r="F22" s="574"/>
      <c r="G22" s="574"/>
    </row>
    <row r="23" spans="1:8" ht="24" customHeight="1">
      <c r="A23" s="574"/>
      <c r="B23" s="574"/>
      <c r="C23" s="574"/>
      <c r="D23" s="574"/>
      <c r="E23" s="574"/>
      <c r="F23" s="574"/>
      <c r="G23" s="574"/>
    </row>
    <row r="24" spans="1:8" ht="24" customHeight="1">
      <c r="A24" s="574" t="s">
        <v>4774</v>
      </c>
      <c r="B24" s="574"/>
      <c r="C24" s="574"/>
      <c r="D24" s="1015"/>
      <c r="E24" s="574"/>
      <c r="F24" s="574" t="s">
        <v>4773</v>
      </c>
      <c r="G24" s="574"/>
    </row>
    <row r="25" spans="1:8" ht="24" customHeight="1">
      <c r="A25" s="574"/>
      <c r="B25" s="574"/>
      <c r="C25" s="574"/>
      <c r="D25" s="1015"/>
      <c r="E25" s="574"/>
      <c r="F25" s="574"/>
      <c r="G25" s="574"/>
    </row>
    <row r="26" spans="1:8" ht="24" customHeight="1">
      <c r="A26" s="574" t="s">
        <v>4772</v>
      </c>
      <c r="B26" s="574"/>
      <c r="C26" s="574"/>
      <c r="D26" s="1015"/>
      <c r="E26" s="574"/>
      <c r="F26" s="574"/>
      <c r="G26" s="1014"/>
    </row>
  </sheetData>
  <sheetProtection selectLockedCells="1" selectUnlockedCells="1"/>
  <mergeCells count="3">
    <mergeCell ref="A1:G1"/>
    <mergeCell ref="D4:G4"/>
    <mergeCell ref="A21:G21"/>
  </mergeCells>
  <phoneticPr fontId="135"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Q33"/>
  <sheetViews>
    <sheetView workbookViewId="0">
      <selection activeCell="K3" sqref="K3"/>
    </sheetView>
  </sheetViews>
  <sheetFormatPr defaultColWidth="9" defaultRowHeight="16.5"/>
  <cols>
    <col min="1" max="1" width="1.125" style="565" customWidth="1"/>
    <col min="2" max="2" width="10.875" style="573" customWidth="1"/>
    <col min="3" max="3" width="14.375" style="573" customWidth="1"/>
    <col min="4" max="4" width="12.375" style="573" customWidth="1"/>
    <col min="5" max="5" width="4.75" style="573" customWidth="1"/>
    <col min="6" max="6" width="12.375" style="573" customWidth="1"/>
    <col min="7" max="7" width="4.125" style="573" customWidth="1"/>
    <col min="8" max="8" width="3.625" style="573" customWidth="1"/>
    <col min="9" max="9" width="3.5" style="573" customWidth="1"/>
    <col min="10" max="10" width="4.25" style="573" customWidth="1"/>
    <col min="11" max="11" width="12.75" style="573" customWidth="1"/>
    <col min="12" max="12" width="13.125" style="565" customWidth="1"/>
    <col min="13" max="16384" width="9" style="565"/>
  </cols>
  <sheetData>
    <row r="1" spans="1:17" ht="29.25" customHeight="1">
      <c r="A1" s="755"/>
      <c r="B1" s="2568" t="s">
        <v>4629</v>
      </c>
      <c r="C1" s="2568"/>
      <c r="D1" s="2568"/>
      <c r="E1" s="2568"/>
      <c r="F1" s="2568"/>
      <c r="G1" s="2568"/>
      <c r="H1" s="2568"/>
      <c r="I1" s="2568"/>
      <c r="J1" s="2568"/>
      <c r="K1" s="2568"/>
      <c r="L1" s="564"/>
      <c r="M1" s="564"/>
      <c r="N1" s="564"/>
      <c r="O1" s="564"/>
      <c r="P1" s="564"/>
      <c r="Q1" s="564"/>
    </row>
    <row r="2" spans="1:17" ht="15.75" customHeight="1">
      <c r="A2" s="755"/>
      <c r="B2" s="1045"/>
      <c r="C2" s="1045"/>
      <c r="D2" s="1045"/>
      <c r="E2" s="1045"/>
      <c r="F2" s="1045"/>
      <c r="G2" s="725" t="s">
        <v>4573</v>
      </c>
      <c r="H2" s="725"/>
      <c r="I2" s="725"/>
      <c r="J2" s="725"/>
      <c r="K2" s="2446" t="str">
        <f>开始!$B$10</f>
        <v>IN-08</v>
      </c>
      <c r="L2" s="564"/>
      <c r="M2" s="564"/>
      <c r="N2" s="564"/>
      <c r="O2" s="564"/>
      <c r="P2" s="564"/>
      <c r="Q2" s="564"/>
    </row>
    <row r="3" spans="1:17" ht="22.5" customHeight="1">
      <c r="B3" s="627" t="s">
        <v>4510</v>
      </c>
      <c r="C3" s="2663" t="str">
        <f>基本情况!$C$3</f>
        <v/>
      </c>
      <c r="D3" s="2663"/>
      <c r="E3" s="2663"/>
      <c r="F3" s="2663"/>
      <c r="G3" s="2664" t="s">
        <v>4407</v>
      </c>
      <c r="H3" s="2664"/>
      <c r="I3" s="2664"/>
      <c r="J3" s="2664"/>
      <c r="K3" s="1044" t="str">
        <f>基本情况!$F$18&amp;""</f>
        <v/>
      </c>
      <c r="L3" s="564"/>
      <c r="M3" s="564"/>
      <c r="N3" s="564"/>
      <c r="O3" s="564"/>
      <c r="P3" s="564"/>
      <c r="Q3" s="564"/>
    </row>
    <row r="4" spans="1:17" ht="22.5" customHeight="1">
      <c r="B4" s="715" t="s">
        <v>4512</v>
      </c>
      <c r="C4" s="2665" t="str">
        <f>基本情况!$F$9</f>
        <v>2017年01月01日至2017年12月31日</v>
      </c>
      <c r="D4" s="2665"/>
      <c r="E4" s="2665"/>
      <c r="F4" s="2665"/>
      <c r="G4" s="2666" t="s">
        <v>4473</v>
      </c>
      <c r="H4" s="2666"/>
      <c r="I4" s="2666"/>
      <c r="J4" s="2666"/>
      <c r="K4" s="1043">
        <f>基本情况!F27+1</f>
        <v>43176</v>
      </c>
      <c r="L4" s="564"/>
      <c r="M4" s="564"/>
      <c r="N4" s="564"/>
      <c r="O4" s="564"/>
      <c r="P4" s="564"/>
      <c r="Q4" s="564"/>
    </row>
    <row r="5" spans="1:17" ht="7.5" customHeight="1">
      <c r="B5" s="2661"/>
      <c r="C5" s="2661"/>
      <c r="D5" s="2661"/>
      <c r="E5" s="2661"/>
      <c r="F5" s="2661"/>
      <c r="G5" s="2661"/>
      <c r="H5" s="2661"/>
      <c r="I5" s="2661"/>
      <c r="J5" s="2661"/>
      <c r="K5" s="2661"/>
      <c r="L5" s="564"/>
      <c r="M5" s="564"/>
      <c r="N5" s="564"/>
      <c r="O5" s="564"/>
      <c r="P5" s="564"/>
      <c r="Q5" s="564"/>
    </row>
    <row r="6" spans="1:17" ht="22.5" customHeight="1">
      <c r="B6" s="2651" t="s">
        <v>4813</v>
      </c>
      <c r="C6" s="2651"/>
      <c r="D6" s="2651"/>
      <c r="E6" s="2651"/>
      <c r="F6" s="2651"/>
      <c r="G6" s="2651"/>
      <c r="H6" s="2651"/>
      <c r="I6" s="2651"/>
      <c r="J6" s="2651"/>
      <c r="K6" s="2651"/>
      <c r="L6" s="564"/>
      <c r="M6" s="564"/>
      <c r="N6" s="564"/>
      <c r="O6" s="564"/>
      <c r="P6" s="564"/>
      <c r="Q6" s="564"/>
    </row>
    <row r="7" spans="1:17" ht="44.25" customHeight="1">
      <c r="B7" s="2662" t="str">
        <f>基本情况!$F$6&amp;"年度"&amp;基本情况!$F$5</f>
        <v>2017年度企业所得税年度纳税申报审核</v>
      </c>
      <c r="C7" s="2662"/>
      <c r="D7" s="2662"/>
      <c r="E7" s="2662"/>
      <c r="F7" s="2662"/>
      <c r="G7" s="2662"/>
      <c r="H7" s="2662"/>
      <c r="I7" s="2662"/>
      <c r="J7" s="2662"/>
      <c r="K7" s="2662"/>
      <c r="L7" s="564"/>
      <c r="M7" s="564"/>
      <c r="N7" s="564"/>
      <c r="O7" s="564"/>
      <c r="P7" s="564"/>
      <c r="Q7" s="564"/>
    </row>
    <row r="8" spans="1:17" ht="22.5" customHeight="1">
      <c r="B8" s="2651" t="s">
        <v>4812</v>
      </c>
      <c r="C8" s="2651"/>
      <c r="D8" s="2651"/>
      <c r="E8" s="2651"/>
      <c r="F8" s="2651"/>
      <c r="G8" s="2651"/>
      <c r="H8" s="2651"/>
      <c r="I8" s="2651"/>
      <c r="J8" s="2651"/>
      <c r="K8" s="2651"/>
      <c r="L8" s="564"/>
      <c r="M8" s="564"/>
      <c r="N8" s="564"/>
      <c r="O8" s="564"/>
      <c r="P8" s="564"/>
      <c r="Q8" s="564"/>
    </row>
    <row r="9" spans="1:17" ht="22.5" customHeight="1">
      <c r="B9" s="2657" t="str">
        <f>"根据《中华人民共和国企业所得税法》、《中华人民共和国企业所得税法实施条例》以及其他税收法律、法规的规定，按照《注册税务师涉税审核业务基本准则》、《企业所得税汇算清缴纳税申报审核业务准则（试行）》的要求，对该单位"&amp;基本情况!$F$6&amp;"年企业所得税年度纳税申报进行审核。"</f>
        <v>根据《中华人民共和国企业所得税法》、《中华人民共和国企业所得税法实施条例》以及其他税收法律、法规的规定，按照《注册税务师涉税审核业务基本准则》、《企业所得税汇算清缴纳税申报审核业务准则（试行）》的要求，对该单位2017年企业所得税年度纳税申报进行审核。</v>
      </c>
      <c r="C9" s="2657"/>
      <c r="D9" s="2657"/>
      <c r="E9" s="2657"/>
      <c r="F9" s="2657"/>
      <c r="G9" s="2657"/>
      <c r="H9" s="2657"/>
      <c r="I9" s="2657"/>
      <c r="J9" s="2657"/>
      <c r="K9" s="2657"/>
      <c r="L9" s="564"/>
      <c r="M9" s="564"/>
      <c r="N9" s="564"/>
      <c r="O9" s="564"/>
      <c r="P9" s="564"/>
      <c r="Q9" s="564"/>
    </row>
    <row r="10" spans="1:17" ht="22.5" customHeight="1">
      <c r="B10" s="2657"/>
      <c r="C10" s="2657"/>
      <c r="D10" s="2657"/>
      <c r="E10" s="2657"/>
      <c r="F10" s="2657"/>
      <c r="G10" s="2657"/>
      <c r="H10" s="2657"/>
      <c r="I10" s="2657"/>
      <c r="J10" s="2657"/>
      <c r="K10" s="2657"/>
      <c r="L10" s="564"/>
      <c r="M10" s="564"/>
      <c r="N10" s="564"/>
      <c r="O10" s="564"/>
      <c r="P10" s="564"/>
      <c r="Q10" s="564"/>
    </row>
    <row r="11" spans="1:17" ht="22.5" customHeight="1">
      <c r="A11" s="1042"/>
      <c r="B11" s="2651" t="s">
        <v>4811</v>
      </c>
      <c r="C11" s="2651"/>
      <c r="D11" s="2651"/>
      <c r="E11" s="2651"/>
      <c r="F11" s="2651"/>
      <c r="G11" s="2651"/>
      <c r="H11" s="2651"/>
      <c r="I11" s="2651"/>
      <c r="J11" s="2651"/>
      <c r="K11" s="2651"/>
      <c r="L11" s="564"/>
    </row>
    <row r="12" spans="1:17" ht="22.5" customHeight="1">
      <c r="B12" s="2653" t="s">
        <v>4810</v>
      </c>
      <c r="C12" s="2653"/>
      <c r="D12" s="2654">
        <f>K4</f>
        <v>43176</v>
      </c>
      <c r="E12" s="2654"/>
      <c r="F12" s="2654"/>
      <c r="G12" s="2654"/>
      <c r="H12" s="2654"/>
      <c r="I12" s="2654"/>
      <c r="J12" s="2654"/>
      <c r="K12" s="2654"/>
      <c r="L12" s="654"/>
    </row>
    <row r="13" spans="1:17" ht="22.5" customHeight="1">
      <c r="B13" s="2653" t="s">
        <v>4809</v>
      </c>
      <c r="C13" s="2653"/>
      <c r="D13" s="1035">
        <f>D12</f>
        <v>43176</v>
      </c>
      <c r="E13" s="1034" t="s">
        <v>4804</v>
      </c>
      <c r="F13" s="1041">
        <f>D13+H13</f>
        <v>43179</v>
      </c>
      <c r="G13" s="1040" t="s">
        <v>4808</v>
      </c>
      <c r="H13" s="1039">
        <v>3</v>
      </c>
      <c r="I13" s="1038" t="s">
        <v>4807</v>
      </c>
      <c r="J13" s="1037">
        <f>COUNTA(B18:B25)*H13</f>
        <v>0</v>
      </c>
      <c r="K13" s="1036" t="s">
        <v>4806</v>
      </c>
      <c r="L13" s="564"/>
    </row>
    <row r="14" spans="1:17" ht="22.5" customHeight="1">
      <c r="B14" s="2653" t="s">
        <v>4805</v>
      </c>
      <c r="C14" s="2653"/>
      <c r="D14" s="1035">
        <f>F13+1</f>
        <v>43180</v>
      </c>
      <c r="E14" s="1034" t="s">
        <v>4804</v>
      </c>
      <c r="F14" s="2394" t="str">
        <f>基本情况!$F$26</f>
        <v>2018年5月4日</v>
      </c>
      <c r="G14" s="1033"/>
      <c r="H14" s="1032"/>
      <c r="I14" s="1032"/>
      <c r="J14" s="1032"/>
      <c r="K14" s="1031"/>
      <c r="L14" s="564"/>
    </row>
    <row r="15" spans="1:17" ht="22.5" customHeight="1">
      <c r="B15" s="2658" t="s">
        <v>4803</v>
      </c>
      <c r="C15" s="2658"/>
      <c r="D15" s="2659" t="str">
        <f>F14</f>
        <v>2018年5月4日</v>
      </c>
      <c r="E15" s="2659"/>
      <c r="F15" s="2659"/>
      <c r="G15" s="2659"/>
      <c r="H15" s="2659"/>
      <c r="I15" s="2659"/>
      <c r="J15" s="2659"/>
      <c r="K15" s="2659"/>
      <c r="L15" s="564"/>
      <c r="M15" s="564"/>
      <c r="N15" s="564"/>
      <c r="O15" s="564"/>
      <c r="P15" s="564"/>
      <c r="Q15" s="564"/>
    </row>
    <row r="16" spans="1:17" ht="22.5" customHeight="1">
      <c r="B16" s="2651" t="s">
        <v>4802</v>
      </c>
      <c r="C16" s="2651"/>
      <c r="D16" s="2651"/>
      <c r="E16" s="2651"/>
      <c r="F16" s="2651"/>
      <c r="G16" s="2651"/>
      <c r="H16" s="2651"/>
      <c r="I16" s="2651"/>
      <c r="J16" s="2651"/>
      <c r="K16" s="2651"/>
      <c r="L16" s="564"/>
      <c r="M16" s="564"/>
      <c r="N16" s="564"/>
      <c r="O16" s="564"/>
      <c r="P16" s="564"/>
      <c r="Q16" s="564"/>
    </row>
    <row r="17" spans="2:17" s="1027" customFormat="1" ht="22.5" customHeight="1">
      <c r="B17" s="1030" t="s">
        <v>4574</v>
      </c>
      <c r="C17" s="616" t="s">
        <v>4801</v>
      </c>
      <c r="D17" s="2660" t="s">
        <v>4800</v>
      </c>
      <c r="E17" s="2660"/>
      <c r="F17" s="2660"/>
      <c r="G17" s="2660"/>
      <c r="H17" s="2660"/>
      <c r="I17" s="2660"/>
      <c r="J17" s="2660"/>
      <c r="K17" s="1029" t="s">
        <v>4799</v>
      </c>
      <c r="L17" s="1028"/>
      <c r="M17" s="1028"/>
      <c r="N17" s="1028"/>
      <c r="O17" s="1028"/>
      <c r="P17" s="1028"/>
      <c r="Q17" s="1028"/>
    </row>
    <row r="18" spans="2:17" ht="22.5" customHeight="1">
      <c r="B18" s="1026"/>
      <c r="C18" s="1025" t="s">
        <v>1725</v>
      </c>
      <c r="D18" s="2656" t="s">
        <v>4797</v>
      </c>
      <c r="E18" s="2656"/>
      <c r="F18" s="2656"/>
      <c r="G18" s="2656"/>
      <c r="H18" s="2656"/>
      <c r="I18" s="2656"/>
      <c r="J18" s="2656"/>
      <c r="K18" s="1024"/>
      <c r="L18" s="564"/>
      <c r="M18" s="564"/>
      <c r="N18" s="564"/>
      <c r="O18" s="564"/>
      <c r="P18" s="564"/>
      <c r="Q18" s="564"/>
    </row>
    <row r="19" spans="2:17" ht="22.5" customHeight="1">
      <c r="B19" s="1026"/>
      <c r="C19" s="1025" t="s">
        <v>4798</v>
      </c>
      <c r="D19" s="2656" t="s">
        <v>4797</v>
      </c>
      <c r="E19" s="2656"/>
      <c r="F19" s="2656"/>
      <c r="G19" s="2656"/>
      <c r="H19" s="2656"/>
      <c r="I19" s="2656"/>
      <c r="J19" s="2656"/>
      <c r="K19" s="1024"/>
      <c r="L19" s="564"/>
      <c r="M19" s="564"/>
      <c r="N19" s="564"/>
      <c r="O19" s="564"/>
      <c r="P19" s="564"/>
      <c r="Q19" s="564"/>
    </row>
    <row r="20" spans="2:17" ht="22.5" customHeight="1">
      <c r="B20" s="1026"/>
      <c r="C20" s="1025" t="s">
        <v>4796</v>
      </c>
      <c r="D20" s="2656" t="s">
        <v>1729</v>
      </c>
      <c r="E20" s="2656"/>
      <c r="F20" s="2656"/>
      <c r="G20" s="2656"/>
      <c r="H20" s="2656"/>
      <c r="I20" s="2656"/>
      <c r="J20" s="2656"/>
      <c r="K20" s="1024"/>
      <c r="L20" s="564"/>
      <c r="M20" s="564"/>
      <c r="N20" s="564"/>
      <c r="O20" s="564"/>
      <c r="P20" s="564"/>
      <c r="Q20" s="564"/>
    </row>
    <row r="21" spans="2:17" ht="22.5" customHeight="1">
      <c r="B21" s="1026"/>
      <c r="C21" s="1025"/>
      <c r="D21" s="2656"/>
      <c r="E21" s="2656"/>
      <c r="F21" s="2656"/>
      <c r="G21" s="2656"/>
      <c r="H21" s="2656"/>
      <c r="I21" s="2656"/>
      <c r="J21" s="2656"/>
      <c r="K21" s="1024"/>
      <c r="L21" s="564"/>
      <c r="M21" s="564"/>
      <c r="N21" s="564"/>
      <c r="O21" s="564"/>
      <c r="P21" s="564"/>
      <c r="Q21" s="564"/>
    </row>
    <row r="22" spans="2:17" ht="22.5" customHeight="1">
      <c r="B22" s="1026"/>
      <c r="C22" s="1025"/>
      <c r="D22" s="2656"/>
      <c r="E22" s="2656"/>
      <c r="F22" s="2656"/>
      <c r="G22" s="2656"/>
      <c r="H22" s="2656"/>
      <c r="I22" s="2656"/>
      <c r="J22" s="2656"/>
      <c r="K22" s="1024"/>
      <c r="L22" s="564"/>
      <c r="M22" s="564"/>
      <c r="N22" s="564"/>
      <c r="O22" s="564"/>
      <c r="P22" s="564"/>
      <c r="Q22" s="564"/>
    </row>
    <row r="23" spans="2:17" ht="22.5" customHeight="1">
      <c r="B23" s="1026"/>
      <c r="C23" s="1025"/>
      <c r="D23" s="2656"/>
      <c r="E23" s="2656"/>
      <c r="F23" s="2656"/>
      <c r="G23" s="2656"/>
      <c r="H23" s="2656"/>
      <c r="I23" s="2656"/>
      <c r="J23" s="2656"/>
      <c r="K23" s="1024"/>
      <c r="L23" s="564"/>
      <c r="M23" s="564"/>
      <c r="N23" s="564"/>
      <c r="O23" s="564"/>
      <c r="P23" s="564"/>
      <c r="Q23" s="564"/>
    </row>
    <row r="24" spans="2:17" ht="22.5" customHeight="1">
      <c r="B24" s="1026"/>
      <c r="C24" s="1025"/>
      <c r="D24" s="2656"/>
      <c r="E24" s="2656"/>
      <c r="F24" s="2656"/>
      <c r="G24" s="2656"/>
      <c r="H24" s="2656"/>
      <c r="I24" s="2656"/>
      <c r="J24" s="2656"/>
      <c r="K24" s="1024"/>
      <c r="L24" s="564"/>
      <c r="M24" s="564"/>
      <c r="N24" s="564"/>
      <c r="O24" s="564"/>
      <c r="P24" s="564"/>
      <c r="Q24" s="564"/>
    </row>
    <row r="25" spans="2:17" ht="22.5" customHeight="1">
      <c r="B25" s="1023"/>
      <c r="C25" s="1022"/>
      <c r="D25" s="2656"/>
      <c r="E25" s="2656"/>
      <c r="F25" s="2656"/>
      <c r="G25" s="2656"/>
      <c r="H25" s="2656"/>
      <c r="I25" s="2656"/>
      <c r="J25" s="2656"/>
      <c r="K25" s="1021"/>
      <c r="L25" s="564"/>
      <c r="M25" s="564"/>
      <c r="N25" s="564"/>
      <c r="O25" s="564"/>
      <c r="P25" s="564"/>
      <c r="Q25" s="564"/>
    </row>
    <row r="26" spans="2:17" ht="22.5" customHeight="1">
      <c r="B26" s="2651" t="s">
        <v>4795</v>
      </c>
      <c r="C26" s="2651"/>
      <c r="D26" s="2651"/>
      <c r="E26" s="2651"/>
      <c r="F26" s="2651"/>
      <c r="G26" s="2651"/>
      <c r="H26" s="2651"/>
      <c r="I26" s="2651"/>
      <c r="J26" s="2651"/>
      <c r="K26" s="2651"/>
      <c r="L26" s="564"/>
      <c r="M26" s="564"/>
      <c r="N26" s="564"/>
      <c r="O26" s="564"/>
      <c r="P26" s="564"/>
      <c r="Q26" s="564"/>
    </row>
    <row r="27" spans="2:17" ht="18" customHeight="1">
      <c r="B27" s="2652"/>
      <c r="C27" s="2652"/>
      <c r="D27" s="2652"/>
      <c r="E27" s="2652"/>
      <c r="F27" s="2652"/>
      <c r="G27" s="2652"/>
      <c r="H27" s="2652"/>
      <c r="I27" s="2652"/>
      <c r="J27" s="2652"/>
      <c r="K27" s="2652"/>
      <c r="L27" s="564"/>
      <c r="M27" s="564"/>
      <c r="N27" s="564"/>
      <c r="O27" s="564"/>
      <c r="P27" s="564"/>
      <c r="Q27" s="564"/>
    </row>
    <row r="28" spans="2:17" ht="32.25" customHeight="1">
      <c r="B28" s="2652"/>
      <c r="C28" s="2652"/>
      <c r="D28" s="2652"/>
      <c r="E28" s="2652"/>
      <c r="F28" s="2652"/>
      <c r="G28" s="2652"/>
      <c r="H28" s="2652"/>
      <c r="I28" s="2652"/>
      <c r="J28" s="2652"/>
      <c r="K28" s="2652"/>
      <c r="L28" s="564"/>
      <c r="M28" s="564"/>
      <c r="N28" s="564"/>
      <c r="O28" s="564"/>
      <c r="P28" s="564"/>
      <c r="Q28" s="564"/>
    </row>
    <row r="29" spans="2:17" ht="27.75" customHeight="1">
      <c r="B29" s="2652"/>
      <c r="C29" s="2652"/>
      <c r="D29" s="2652"/>
      <c r="E29" s="2652"/>
      <c r="F29" s="2652"/>
      <c r="G29" s="2652"/>
      <c r="H29" s="2652"/>
      <c r="I29" s="2652"/>
      <c r="J29" s="2652"/>
      <c r="K29" s="2652"/>
      <c r="L29" s="564"/>
      <c r="M29" s="564"/>
      <c r="N29" s="564"/>
      <c r="O29" s="564"/>
      <c r="P29" s="564"/>
      <c r="Q29" s="564"/>
    </row>
    <row r="30" spans="2:17" ht="26.25" customHeight="1">
      <c r="B30" s="2652"/>
      <c r="C30" s="2652"/>
      <c r="D30" s="2652"/>
      <c r="E30" s="2652"/>
      <c r="F30" s="2652"/>
      <c r="G30" s="2652"/>
      <c r="H30" s="2652"/>
      <c r="I30" s="2652"/>
      <c r="J30" s="2652"/>
      <c r="K30" s="2652"/>
      <c r="L30" s="564"/>
      <c r="M30" s="564"/>
      <c r="N30" s="564"/>
      <c r="O30" s="564"/>
      <c r="P30" s="564"/>
      <c r="Q30" s="564"/>
    </row>
    <row r="31" spans="2:17" ht="22.5" customHeight="1">
      <c r="B31" s="2652"/>
      <c r="C31" s="2652"/>
      <c r="D31" s="2652"/>
      <c r="E31" s="2652"/>
      <c r="F31" s="2652"/>
      <c r="G31" s="2652"/>
      <c r="H31" s="2652"/>
      <c r="I31" s="2652"/>
      <c r="J31" s="2652"/>
      <c r="K31" s="2652"/>
      <c r="L31" s="564"/>
      <c r="M31" s="564"/>
      <c r="N31" s="564"/>
      <c r="O31" s="564"/>
      <c r="P31" s="564"/>
      <c r="Q31" s="564"/>
    </row>
    <row r="32" spans="2:17" ht="18.75" customHeight="1"/>
    <row r="33" spans="2:11">
      <c r="B33" s="2655"/>
      <c r="C33" s="2655"/>
      <c r="D33" s="2655"/>
      <c r="E33" s="2655"/>
      <c r="F33" s="2655"/>
      <c r="G33" s="2655"/>
      <c r="H33" s="2655"/>
      <c r="I33" s="2655"/>
      <c r="J33" s="2655"/>
      <c r="K33" s="2655"/>
    </row>
  </sheetData>
  <sheetProtection selectLockedCells="1" selectUnlockedCells="1"/>
  <mergeCells count="30">
    <mergeCell ref="B5:K5"/>
    <mergeCell ref="B6:K6"/>
    <mergeCell ref="B7:K7"/>
    <mergeCell ref="B1:K1"/>
    <mergeCell ref="C3:F3"/>
    <mergeCell ref="G3:J3"/>
    <mergeCell ref="C4:F4"/>
    <mergeCell ref="G4:J4"/>
    <mergeCell ref="B8:K8"/>
    <mergeCell ref="B9:K10"/>
    <mergeCell ref="B11:K11"/>
    <mergeCell ref="D23:J23"/>
    <mergeCell ref="B13:C13"/>
    <mergeCell ref="B14:C14"/>
    <mergeCell ref="B15:C15"/>
    <mergeCell ref="D15:K15"/>
    <mergeCell ref="B16:K16"/>
    <mergeCell ref="D17:J17"/>
    <mergeCell ref="B26:K26"/>
    <mergeCell ref="B27:K31"/>
    <mergeCell ref="B12:C12"/>
    <mergeCell ref="D12:K12"/>
    <mergeCell ref="B33:K33"/>
    <mergeCell ref="D18:J18"/>
    <mergeCell ref="D19:J19"/>
    <mergeCell ref="D20:J20"/>
    <mergeCell ref="D21:J21"/>
    <mergeCell ref="D22:J22"/>
    <mergeCell ref="D24:J24"/>
    <mergeCell ref="D25:J25"/>
  </mergeCells>
  <phoneticPr fontId="135" type="noConversion"/>
  <dataValidations count="3">
    <dataValidation allowBlank="1" showErrorMessage="1" sqref="B18:B25"/>
    <dataValidation type="list" allowBlank="1" showErrorMessage="1" sqref="C18:C25">
      <formula1>"审核助理,项目经理,总审师,主任税务师"</formula1>
      <formula2>0</formula2>
    </dataValidation>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R34"/>
  <sheetViews>
    <sheetView workbookViewId="0">
      <selection activeCell="M3" sqref="M3"/>
    </sheetView>
  </sheetViews>
  <sheetFormatPr defaultColWidth="9" defaultRowHeight="16.5"/>
  <cols>
    <col min="1" max="1" width="10.25" style="565" customWidth="1"/>
    <col min="2" max="2" width="30.375" style="565" customWidth="1"/>
    <col min="3" max="3" width="6.5" style="565" customWidth="1"/>
    <col min="4" max="4" width="0.625" style="565" customWidth="1"/>
    <col min="5" max="5" width="7.125" style="565" customWidth="1"/>
    <col min="6" max="6" width="0" style="565" hidden="1" customWidth="1"/>
    <col min="7" max="8" width="7.125" style="565" customWidth="1"/>
    <col min="9" max="9" width="4.125" style="565" customWidth="1"/>
    <col min="10" max="10" width="3" style="565" customWidth="1"/>
    <col min="11" max="11" width="7.125" style="565" customWidth="1"/>
    <col min="12" max="16384" width="9" style="565"/>
  </cols>
  <sheetData>
    <row r="1" spans="1:18" ht="22.5">
      <c r="A1" s="2682" t="s">
        <v>4630</v>
      </c>
      <c r="B1" s="2682"/>
      <c r="C1" s="2682"/>
      <c r="D1" s="2682"/>
      <c r="E1" s="2682"/>
      <c r="F1" s="2682"/>
      <c r="G1" s="2682"/>
      <c r="H1" s="2682"/>
      <c r="I1" s="2682"/>
      <c r="J1" s="2682"/>
      <c r="K1" s="2682"/>
      <c r="L1" s="564"/>
      <c r="M1" s="564"/>
      <c r="N1" s="564"/>
      <c r="O1" s="564"/>
      <c r="P1" s="564"/>
      <c r="Q1" s="564"/>
      <c r="R1" s="564"/>
    </row>
    <row r="2" spans="1:18" ht="7.5" customHeight="1">
      <c r="A2" s="645"/>
      <c r="B2" s="645"/>
      <c r="C2" s="645"/>
      <c r="D2" s="645"/>
      <c r="E2" s="645"/>
      <c r="F2" s="645"/>
      <c r="G2" s="645"/>
      <c r="H2" s="645"/>
      <c r="I2" s="645"/>
      <c r="J2" s="645"/>
      <c r="K2" s="645"/>
      <c r="L2" s="564"/>
      <c r="M2" s="564"/>
      <c r="N2" s="564"/>
      <c r="O2" s="564"/>
      <c r="P2" s="564"/>
      <c r="Q2" s="564"/>
      <c r="R2" s="564"/>
    </row>
    <row r="3" spans="1:18" s="1046" customFormat="1" ht="22.5" customHeight="1">
      <c r="A3" s="2492" t="s">
        <v>4510</v>
      </c>
      <c r="B3" s="2683" t="str">
        <f>基本情况!$C$3</f>
        <v/>
      </c>
      <c r="C3" s="2684"/>
      <c r="D3" s="2684"/>
      <c r="E3" s="2493" t="s">
        <v>4624</v>
      </c>
      <c r="F3" s="2493"/>
      <c r="G3" s="2493"/>
      <c r="H3" s="2493" t="s">
        <v>4575</v>
      </c>
      <c r="I3" s="2493"/>
      <c r="J3" s="2493"/>
      <c r="K3" s="950" t="s">
        <v>4409</v>
      </c>
      <c r="L3" s="1047"/>
      <c r="M3" s="2447"/>
      <c r="N3" s="2447"/>
      <c r="O3" s="1047"/>
      <c r="P3" s="1047"/>
      <c r="Q3" s="1047"/>
      <c r="R3" s="1047"/>
    </row>
    <row r="4" spans="1:18" s="1046" customFormat="1" ht="22.5" customHeight="1">
      <c r="A4" s="2492"/>
      <c r="B4" s="2683"/>
      <c r="C4" s="2513" t="s">
        <v>4407</v>
      </c>
      <c r="D4" s="2513"/>
      <c r="E4" s="2685" t="str">
        <f>基本情况!$F$19&amp;""</f>
        <v/>
      </c>
      <c r="F4" s="2685"/>
      <c r="G4" s="2685"/>
      <c r="H4" s="2686" t="str">
        <f>基本情况!$F$27</f>
        <v>2018年3月16日</v>
      </c>
      <c r="I4" s="2686"/>
      <c r="J4" s="2686"/>
      <c r="K4" s="2687" t="str">
        <f>开始!B11</f>
        <v>IN-09</v>
      </c>
      <c r="L4" s="1047"/>
      <c r="M4" s="1047"/>
      <c r="N4" s="1047"/>
      <c r="O4" s="1047"/>
      <c r="P4" s="1047"/>
      <c r="Q4" s="1047"/>
      <c r="R4" s="1047"/>
    </row>
    <row r="5" spans="1:18" s="1046" customFormat="1" ht="22.5" customHeight="1">
      <c r="A5" s="951" t="s">
        <v>4512</v>
      </c>
      <c r="B5" s="952" t="str">
        <f>基本情况!$F$9</f>
        <v>2017年01月01日至2017年12月31日</v>
      </c>
      <c r="C5" s="2679" t="s">
        <v>4410</v>
      </c>
      <c r="D5" s="2679"/>
      <c r="E5" s="2688" t="str">
        <f>基本情况!$F$18&amp;""</f>
        <v/>
      </c>
      <c r="F5" s="2688"/>
      <c r="G5" s="2688"/>
      <c r="H5" s="2688" t="str">
        <f>基本情况!$F$28</f>
        <v>2018年5月4日</v>
      </c>
      <c r="I5" s="2688"/>
      <c r="J5" s="2688"/>
      <c r="K5" s="2687"/>
      <c r="L5" s="1047"/>
      <c r="M5" s="1047"/>
      <c r="N5" s="1047"/>
      <c r="O5" s="1047"/>
      <c r="P5" s="1047"/>
      <c r="Q5" s="1047"/>
      <c r="R5" s="1047"/>
    </row>
    <row r="6" spans="1:18" s="1046" customFormat="1" ht="7.5" customHeight="1">
      <c r="A6" s="2677"/>
      <c r="B6" s="2677"/>
      <c r="C6" s="2677"/>
      <c r="D6" s="2677"/>
      <c r="E6" s="2677"/>
      <c r="F6" s="2677"/>
      <c r="G6" s="2677"/>
      <c r="H6" s="2677"/>
      <c r="I6" s="2677"/>
      <c r="J6" s="2677"/>
      <c r="K6" s="2677"/>
      <c r="L6" s="1047"/>
      <c r="M6" s="1047"/>
      <c r="N6" s="1047"/>
      <c r="O6" s="1047"/>
      <c r="P6" s="1047"/>
      <c r="Q6" s="1047"/>
      <c r="R6" s="1047"/>
    </row>
    <row r="7" spans="1:18" s="1046" customFormat="1" ht="22.5" customHeight="1">
      <c r="A7" s="2681" t="s">
        <v>313</v>
      </c>
      <c r="B7" s="2681"/>
      <c r="C7" s="2493" t="s">
        <v>4842</v>
      </c>
      <c r="D7" s="2493"/>
      <c r="E7" s="2493"/>
      <c r="F7" s="2493"/>
      <c r="G7" s="2493"/>
      <c r="H7" s="2678" t="s">
        <v>4841</v>
      </c>
      <c r="I7" s="2678"/>
      <c r="J7" s="2678"/>
      <c r="K7" s="2678"/>
      <c r="L7" s="1047"/>
      <c r="M7" s="1047"/>
      <c r="N7" s="1047"/>
      <c r="O7" s="1047"/>
      <c r="P7" s="1047"/>
      <c r="Q7" s="1047"/>
      <c r="R7" s="1047"/>
    </row>
    <row r="8" spans="1:18" s="1046" customFormat="1" ht="22.5" customHeight="1">
      <c r="A8" s="2681"/>
      <c r="B8" s="2681"/>
      <c r="C8" s="2679" t="s">
        <v>1798</v>
      </c>
      <c r="D8" s="2679"/>
      <c r="E8" s="2679" t="s">
        <v>1739</v>
      </c>
      <c r="F8" s="2679"/>
      <c r="G8" s="1056" t="s">
        <v>4840</v>
      </c>
      <c r="H8" s="1056" t="s">
        <v>4839</v>
      </c>
      <c r="I8" s="2679" t="s">
        <v>4838</v>
      </c>
      <c r="J8" s="2679"/>
      <c r="K8" s="1055" t="s">
        <v>4837</v>
      </c>
      <c r="L8" s="1047"/>
      <c r="M8" s="1047"/>
      <c r="N8" s="1047"/>
      <c r="O8" s="1047"/>
      <c r="P8" s="1047"/>
      <c r="Q8" s="1047"/>
      <c r="R8" s="1047"/>
    </row>
    <row r="9" spans="1:18" s="1046" customFormat="1" ht="22.5" customHeight="1">
      <c r="A9" s="2671" t="s">
        <v>4836</v>
      </c>
      <c r="B9" s="2671"/>
      <c r="C9" s="2680"/>
      <c r="D9" s="2680"/>
      <c r="E9" s="2680"/>
      <c r="F9" s="2680"/>
      <c r="G9" s="1054"/>
      <c r="H9" s="1054"/>
      <c r="I9" s="2680"/>
      <c r="J9" s="2680"/>
      <c r="K9" s="1053"/>
      <c r="L9" s="1047"/>
      <c r="M9" s="1047"/>
      <c r="N9" s="1047"/>
      <c r="O9" s="1047"/>
      <c r="P9" s="1047"/>
      <c r="Q9" s="1047"/>
      <c r="R9" s="1047"/>
    </row>
    <row r="10" spans="1:18" s="1046" customFormat="1" ht="22.5" customHeight="1">
      <c r="A10" s="2673" t="s">
        <v>4835</v>
      </c>
      <c r="B10" s="2673"/>
      <c r="C10" s="2674"/>
      <c r="D10" s="2674"/>
      <c r="E10" s="2674"/>
      <c r="F10" s="2674"/>
      <c r="G10" s="1051"/>
      <c r="H10" s="1051"/>
      <c r="I10" s="2674"/>
      <c r="J10" s="2674"/>
      <c r="K10" s="1050"/>
      <c r="L10" s="1047"/>
      <c r="M10" s="1047"/>
      <c r="N10" s="1052"/>
      <c r="O10" s="1047"/>
      <c r="P10" s="1047"/>
      <c r="Q10" s="1047"/>
      <c r="R10" s="1047"/>
    </row>
    <row r="11" spans="1:18" s="1046" customFormat="1" ht="22.5" customHeight="1">
      <c r="A11" s="2673" t="s">
        <v>4834</v>
      </c>
      <c r="B11" s="2673"/>
      <c r="C11" s="2674"/>
      <c r="D11" s="2674"/>
      <c r="E11" s="2674"/>
      <c r="F11" s="2674"/>
      <c r="G11" s="1051"/>
      <c r="H11" s="1051"/>
      <c r="I11" s="2674"/>
      <c r="J11" s="2674"/>
      <c r="K11" s="1050"/>
      <c r="L11" s="1047"/>
      <c r="M11" s="1047"/>
      <c r="N11" s="1052"/>
      <c r="O11" s="1047"/>
      <c r="P11" s="1047"/>
      <c r="Q11" s="1047"/>
      <c r="R11" s="1047"/>
    </row>
    <row r="12" spans="1:18" s="1046" customFormat="1" ht="22.5" customHeight="1">
      <c r="A12" s="2673" t="s">
        <v>4833</v>
      </c>
      <c r="B12" s="2673"/>
      <c r="C12" s="2674"/>
      <c r="D12" s="2674"/>
      <c r="E12" s="2674"/>
      <c r="F12" s="2674"/>
      <c r="G12" s="1051"/>
      <c r="H12" s="1051"/>
      <c r="I12" s="2674"/>
      <c r="J12" s="2674"/>
      <c r="K12" s="1050"/>
      <c r="L12" s="1047"/>
      <c r="M12" s="1047"/>
      <c r="N12" s="1052"/>
      <c r="O12" s="1047"/>
      <c r="P12" s="1047"/>
      <c r="Q12" s="1047"/>
      <c r="R12" s="1047"/>
    </row>
    <row r="13" spans="1:18" s="1046" customFormat="1" ht="22.5" customHeight="1">
      <c r="A13" s="2673" t="s">
        <v>4832</v>
      </c>
      <c r="B13" s="2673"/>
      <c r="C13" s="2674"/>
      <c r="D13" s="2674"/>
      <c r="E13" s="2674"/>
      <c r="F13" s="2674"/>
      <c r="G13" s="1051"/>
      <c r="H13" s="1051"/>
      <c r="I13" s="2674"/>
      <c r="J13" s="2674"/>
      <c r="K13" s="1050"/>
      <c r="L13" s="1047"/>
      <c r="M13" s="1047"/>
      <c r="N13" s="1052"/>
      <c r="O13" s="1047"/>
      <c r="P13" s="1047"/>
      <c r="Q13" s="1047"/>
      <c r="R13" s="1047"/>
    </row>
    <row r="14" spans="1:18" s="1046" customFormat="1" ht="22.5" customHeight="1">
      <c r="A14" s="2673" t="s">
        <v>4831</v>
      </c>
      <c r="B14" s="2673"/>
      <c r="C14" s="2674"/>
      <c r="D14" s="2674"/>
      <c r="E14" s="2674"/>
      <c r="F14" s="2674"/>
      <c r="G14" s="1051"/>
      <c r="H14" s="1051"/>
      <c r="I14" s="2674"/>
      <c r="J14" s="2674"/>
      <c r="K14" s="1050"/>
      <c r="L14" s="1047"/>
      <c r="M14" s="1047"/>
      <c r="N14" s="1052"/>
      <c r="O14" s="1047"/>
      <c r="P14" s="1047"/>
      <c r="Q14" s="1047"/>
      <c r="R14" s="1047"/>
    </row>
    <row r="15" spans="1:18" s="1046" customFormat="1" ht="22.5" customHeight="1">
      <c r="A15" s="2673" t="s">
        <v>4830</v>
      </c>
      <c r="B15" s="2673"/>
      <c r="C15" s="2674"/>
      <c r="D15" s="2674"/>
      <c r="E15" s="2674"/>
      <c r="F15" s="2674"/>
      <c r="G15" s="1051"/>
      <c r="H15" s="1051"/>
      <c r="I15" s="2674"/>
      <c r="J15" s="2674"/>
      <c r="K15" s="1050"/>
      <c r="L15" s="1047"/>
      <c r="M15" s="1047"/>
      <c r="N15" s="1052"/>
      <c r="O15" s="1047"/>
      <c r="P15" s="1047"/>
      <c r="Q15" s="1047"/>
      <c r="R15" s="1047"/>
    </row>
    <row r="16" spans="1:18" s="1046" customFormat="1" ht="22.5" customHeight="1">
      <c r="A16" s="2673" t="s">
        <v>4829</v>
      </c>
      <c r="B16" s="2673"/>
      <c r="C16" s="2674"/>
      <c r="D16" s="2674"/>
      <c r="E16" s="2674"/>
      <c r="F16" s="2674"/>
      <c r="G16" s="1051"/>
      <c r="H16" s="1051"/>
      <c r="I16" s="2674"/>
      <c r="J16" s="2674"/>
      <c r="K16" s="1050"/>
      <c r="L16" s="1047"/>
      <c r="M16" s="1047"/>
      <c r="N16" s="1052"/>
      <c r="O16" s="1047"/>
      <c r="P16" s="1047"/>
      <c r="Q16" s="1047"/>
      <c r="R16" s="1047"/>
    </row>
    <row r="17" spans="1:18" s="1046" customFormat="1" ht="22.5" customHeight="1">
      <c r="A17" s="2673" t="s">
        <v>4828</v>
      </c>
      <c r="B17" s="2673"/>
      <c r="C17" s="2674"/>
      <c r="D17" s="2674"/>
      <c r="E17" s="2674"/>
      <c r="F17" s="2674"/>
      <c r="G17" s="1051"/>
      <c r="H17" s="1051"/>
      <c r="I17" s="2674"/>
      <c r="J17" s="2674"/>
      <c r="K17" s="1050"/>
      <c r="L17" s="1047"/>
      <c r="M17" s="1047"/>
      <c r="N17" s="1047"/>
      <c r="O17" s="1047"/>
      <c r="P17" s="1047"/>
      <c r="Q17" s="1047"/>
      <c r="R17" s="1047"/>
    </row>
    <row r="18" spans="1:18" s="1046" customFormat="1" ht="22.5" customHeight="1">
      <c r="A18" s="2673" t="s">
        <v>4827</v>
      </c>
      <c r="B18" s="2673"/>
      <c r="C18" s="2674"/>
      <c r="D18" s="2674"/>
      <c r="E18" s="2674"/>
      <c r="F18" s="2674"/>
      <c r="G18" s="1051"/>
      <c r="H18" s="1051"/>
      <c r="I18" s="2674"/>
      <c r="J18" s="2674"/>
      <c r="K18" s="1050"/>
      <c r="L18" s="1047"/>
      <c r="M18" s="1047"/>
      <c r="N18" s="1047"/>
      <c r="O18" s="1047"/>
      <c r="P18" s="1047"/>
      <c r="Q18" s="1047"/>
      <c r="R18" s="1047"/>
    </row>
    <row r="19" spans="1:18" s="1046" customFormat="1" ht="22.5" customHeight="1">
      <c r="A19" s="2673" t="s">
        <v>4826</v>
      </c>
      <c r="B19" s="2673"/>
      <c r="C19" s="2674"/>
      <c r="D19" s="2674"/>
      <c r="E19" s="2674"/>
      <c r="F19" s="2674"/>
      <c r="G19" s="1051"/>
      <c r="H19" s="1051"/>
      <c r="I19" s="2674"/>
      <c r="J19" s="2674"/>
      <c r="K19" s="1050"/>
      <c r="L19" s="1047"/>
      <c r="M19" s="1047"/>
      <c r="N19" s="1047"/>
      <c r="O19" s="1047"/>
      <c r="P19" s="1047"/>
      <c r="Q19" s="1047"/>
      <c r="R19" s="1047"/>
    </row>
    <row r="20" spans="1:18" s="1046" customFormat="1" ht="22.5" customHeight="1">
      <c r="A20" s="2673" t="s">
        <v>4825</v>
      </c>
      <c r="B20" s="2673"/>
      <c r="C20" s="2674"/>
      <c r="D20" s="2674"/>
      <c r="E20" s="2674"/>
      <c r="F20" s="2674"/>
      <c r="G20" s="1051"/>
      <c r="H20" s="1051"/>
      <c r="I20" s="2674"/>
      <c r="J20" s="2674"/>
      <c r="K20" s="1050"/>
      <c r="L20" s="1047"/>
      <c r="M20" s="1047"/>
      <c r="N20" s="1047"/>
      <c r="O20" s="1047"/>
      <c r="P20" s="1047"/>
      <c r="Q20" s="1047"/>
      <c r="R20" s="1047"/>
    </row>
    <row r="21" spans="1:18" s="1046" customFormat="1" ht="22.5" customHeight="1">
      <c r="A21" s="2673" t="s">
        <v>4824</v>
      </c>
      <c r="B21" s="2673"/>
      <c r="C21" s="2674"/>
      <c r="D21" s="2674"/>
      <c r="E21" s="2674"/>
      <c r="F21" s="2674"/>
      <c r="G21" s="1051"/>
      <c r="H21" s="1051"/>
      <c r="I21" s="2674"/>
      <c r="J21" s="2674"/>
      <c r="K21" s="1050"/>
      <c r="L21" s="1047"/>
      <c r="M21" s="1047"/>
      <c r="N21" s="1047"/>
      <c r="O21" s="1047"/>
      <c r="P21" s="1047"/>
      <c r="Q21" s="1047"/>
      <c r="R21" s="1047"/>
    </row>
    <row r="22" spans="1:18" s="1046" customFormat="1" ht="22.5" customHeight="1">
      <c r="A22" s="2675" t="s">
        <v>4823</v>
      </c>
      <c r="B22" s="2675"/>
      <c r="C22" s="2676"/>
      <c r="D22" s="2676"/>
      <c r="E22" s="2676"/>
      <c r="F22" s="2676"/>
      <c r="G22" s="1049"/>
      <c r="H22" s="1049"/>
      <c r="I22" s="2676"/>
      <c r="J22" s="2676"/>
      <c r="K22" s="1048"/>
      <c r="L22" s="1047"/>
      <c r="M22" s="1047"/>
      <c r="N22" s="1047"/>
      <c r="O22" s="1047"/>
      <c r="P22" s="1047"/>
      <c r="Q22" s="1047"/>
      <c r="R22" s="1047"/>
    </row>
    <row r="23" spans="1:18" s="1046" customFormat="1" ht="22.5" customHeight="1">
      <c r="A23" s="2669" t="s">
        <v>4822</v>
      </c>
      <c r="B23" s="2669"/>
      <c r="C23" s="2670" t="s">
        <v>4821</v>
      </c>
      <c r="D23" s="2670"/>
      <c r="E23" s="2670"/>
      <c r="F23" s="2670"/>
      <c r="G23" s="2670"/>
      <c r="H23" s="2670"/>
      <c r="I23" s="2670"/>
      <c r="J23" s="2670"/>
      <c r="K23" s="2670"/>
      <c r="L23" s="1047"/>
      <c r="M23" s="1047"/>
      <c r="N23" s="1047"/>
      <c r="O23" s="1047"/>
      <c r="P23" s="1047"/>
      <c r="Q23" s="1047"/>
      <c r="R23" s="1047"/>
    </row>
    <row r="24" spans="1:18" s="1046" customFormat="1" ht="22.5" customHeight="1">
      <c r="A24" s="2671" t="s">
        <v>4820</v>
      </c>
      <c r="B24" s="2671"/>
      <c r="C24" s="2672"/>
      <c r="D24" s="2672"/>
      <c r="E24" s="2672"/>
      <c r="F24" s="2672"/>
      <c r="G24" s="2672"/>
      <c r="H24" s="2672"/>
      <c r="I24" s="2672"/>
      <c r="J24" s="2672"/>
      <c r="K24" s="2672"/>
      <c r="L24" s="1047"/>
      <c r="M24" s="1047"/>
      <c r="N24" s="1047"/>
      <c r="O24" s="1047"/>
      <c r="P24" s="1047"/>
      <c r="Q24" s="1047"/>
      <c r="R24" s="1047"/>
    </row>
    <row r="25" spans="1:18" s="1046" customFormat="1" ht="22.5" customHeight="1">
      <c r="A25" s="2667" t="s">
        <v>4819</v>
      </c>
      <c r="B25" s="2667"/>
      <c r="C25" s="2668"/>
      <c r="D25" s="2668"/>
      <c r="E25" s="2668"/>
      <c r="F25" s="2668"/>
      <c r="G25" s="2668"/>
      <c r="H25" s="2668"/>
      <c r="I25" s="2668"/>
      <c r="J25" s="2668"/>
      <c r="K25" s="2668"/>
      <c r="L25" s="1047"/>
      <c r="M25" s="1047"/>
      <c r="N25" s="1047"/>
      <c r="O25" s="1047"/>
      <c r="P25" s="1047"/>
      <c r="Q25" s="1047"/>
      <c r="R25" s="1047"/>
    </row>
    <row r="26" spans="1:18" s="1046" customFormat="1" ht="22.5" customHeight="1">
      <c r="A26" s="2673" t="s">
        <v>4818</v>
      </c>
      <c r="B26" s="2673"/>
      <c r="C26" s="2668"/>
      <c r="D26" s="2668"/>
      <c r="E26" s="2668"/>
      <c r="F26" s="2668"/>
      <c r="G26" s="2668"/>
      <c r="H26" s="2668"/>
      <c r="I26" s="2668"/>
      <c r="J26" s="2668"/>
      <c r="K26" s="2668"/>
      <c r="L26" s="1047"/>
      <c r="M26" s="1047"/>
      <c r="N26" s="1047"/>
      <c r="O26" s="1047"/>
      <c r="P26" s="1047"/>
      <c r="Q26" s="1047"/>
      <c r="R26" s="1047"/>
    </row>
    <row r="27" spans="1:18" s="1046" customFormat="1" ht="22.5" customHeight="1">
      <c r="A27" s="2667" t="s">
        <v>4817</v>
      </c>
      <c r="B27" s="2667"/>
      <c r="C27" s="2668"/>
      <c r="D27" s="2668"/>
      <c r="E27" s="2668"/>
      <c r="F27" s="2668"/>
      <c r="G27" s="2668"/>
      <c r="H27" s="2668"/>
      <c r="I27" s="2668"/>
      <c r="J27" s="2668"/>
      <c r="K27" s="2668"/>
      <c r="L27" s="1047"/>
      <c r="M27" s="1047"/>
      <c r="N27" s="1047"/>
      <c r="O27" s="1047"/>
      <c r="P27" s="1047"/>
      <c r="Q27" s="1047"/>
      <c r="R27" s="1047"/>
    </row>
    <row r="28" spans="1:18" s="1046" customFormat="1" ht="22.5" customHeight="1">
      <c r="A28" s="2667" t="s">
        <v>4816</v>
      </c>
      <c r="B28" s="2667"/>
      <c r="C28" s="2668"/>
      <c r="D28" s="2668"/>
      <c r="E28" s="2668"/>
      <c r="F28" s="2668"/>
      <c r="G28" s="2668"/>
      <c r="H28" s="2668"/>
      <c r="I28" s="2668"/>
      <c r="J28" s="2668"/>
      <c r="K28" s="2668"/>
      <c r="L28" s="1047"/>
      <c r="M28" s="1047"/>
      <c r="N28" s="1047"/>
      <c r="O28" s="1047"/>
      <c r="P28" s="1047"/>
      <c r="Q28" s="1047"/>
      <c r="R28" s="1047"/>
    </row>
    <row r="29" spans="1:18" s="1046" customFormat="1" ht="22.5" customHeight="1">
      <c r="A29" s="2667" t="s">
        <v>4815</v>
      </c>
      <c r="B29" s="2667"/>
      <c r="C29" s="2668"/>
      <c r="D29" s="2668"/>
      <c r="E29" s="2668"/>
      <c r="F29" s="2668"/>
      <c r="G29" s="2668"/>
      <c r="H29" s="2668"/>
      <c r="I29" s="2668"/>
      <c r="J29" s="2668"/>
      <c r="K29" s="2668"/>
      <c r="L29" s="1047"/>
      <c r="M29" s="1047"/>
      <c r="N29" s="1047"/>
      <c r="O29" s="1047"/>
      <c r="P29" s="1047"/>
      <c r="Q29" s="1047"/>
      <c r="R29" s="1047"/>
    </row>
    <row r="30" spans="1:18" s="1046" customFormat="1" ht="22.5" customHeight="1">
      <c r="A30" s="2667"/>
      <c r="B30" s="2667"/>
      <c r="C30" s="2668"/>
      <c r="D30" s="2668"/>
      <c r="E30" s="2668"/>
      <c r="F30" s="2668"/>
      <c r="G30" s="2668"/>
      <c r="H30" s="2668"/>
      <c r="I30" s="2668"/>
      <c r="J30" s="2668"/>
      <c r="K30" s="2668"/>
      <c r="L30" s="1047"/>
      <c r="M30" s="1047"/>
      <c r="N30" s="1047"/>
      <c r="O30" s="1047"/>
      <c r="P30" s="1047"/>
      <c r="Q30" s="1047"/>
      <c r="R30" s="1047"/>
    </row>
    <row r="31" spans="1:18" s="1046" customFormat="1" ht="22.5" customHeight="1">
      <c r="A31" s="2667"/>
      <c r="B31" s="2667"/>
      <c r="C31" s="2668"/>
      <c r="D31" s="2668"/>
      <c r="E31" s="2668"/>
      <c r="F31" s="2668"/>
      <c r="G31" s="2668"/>
      <c r="H31" s="2668"/>
      <c r="I31" s="2668"/>
      <c r="J31" s="2668"/>
      <c r="K31" s="2668"/>
      <c r="L31" s="1047"/>
      <c r="M31" s="1047"/>
      <c r="N31" s="1047"/>
      <c r="O31" s="1047"/>
      <c r="P31" s="1047"/>
      <c r="Q31" s="1047"/>
      <c r="R31" s="1047"/>
    </row>
    <row r="32" spans="1:18" s="1046" customFormat="1" ht="22.5" customHeight="1">
      <c r="A32" s="2667"/>
      <c r="B32" s="2667"/>
      <c r="C32" s="2668"/>
      <c r="D32" s="2668"/>
      <c r="E32" s="2668"/>
      <c r="F32" s="2668"/>
      <c r="G32" s="2668"/>
      <c r="H32" s="2668"/>
      <c r="I32" s="2668"/>
      <c r="J32" s="2668"/>
      <c r="K32" s="2668"/>
      <c r="L32" s="1047"/>
      <c r="M32" s="1047"/>
      <c r="N32" s="1047"/>
      <c r="O32" s="1047"/>
      <c r="P32" s="1047"/>
      <c r="Q32" s="1047"/>
      <c r="R32" s="1047"/>
    </row>
    <row r="33" spans="1:18" s="1046" customFormat="1" ht="22.5" customHeight="1">
      <c r="A33" s="2667"/>
      <c r="B33" s="2667"/>
      <c r="C33" s="2485"/>
      <c r="D33" s="2485"/>
      <c r="E33" s="2485"/>
      <c r="F33" s="2485"/>
      <c r="G33" s="2485"/>
      <c r="H33" s="2485"/>
      <c r="I33" s="2485"/>
      <c r="J33" s="2485"/>
      <c r="K33" s="2485"/>
      <c r="L33" s="1047"/>
      <c r="M33" s="1047"/>
      <c r="N33" s="1047"/>
      <c r="O33" s="1047"/>
      <c r="P33" s="1047"/>
      <c r="Q33" s="1047"/>
      <c r="R33" s="1047"/>
    </row>
    <row r="34" spans="1:18" ht="22.5" customHeight="1">
      <c r="A34" s="564" t="s">
        <v>4814</v>
      </c>
      <c r="B34" s="564"/>
      <c r="C34" s="564"/>
      <c r="D34" s="564"/>
      <c r="E34" s="564"/>
      <c r="F34" s="564"/>
      <c r="G34" s="564"/>
      <c r="H34" s="564"/>
      <c r="I34" s="564"/>
      <c r="J34" s="564"/>
      <c r="K34" s="564"/>
    </row>
  </sheetData>
  <sheetProtection selectLockedCells="1" selectUnlockedCells="1"/>
  <mergeCells count="98">
    <mergeCell ref="A1:K1"/>
    <mergeCell ref="A3:A4"/>
    <mergeCell ref="B3:B4"/>
    <mergeCell ref="C3:D3"/>
    <mergeCell ref="E3:G3"/>
    <mergeCell ref="H3:J3"/>
    <mergeCell ref="C4:D4"/>
    <mergeCell ref="E4:G4"/>
    <mergeCell ref="H4:J4"/>
    <mergeCell ref="K4:K5"/>
    <mergeCell ref="C5:D5"/>
    <mergeCell ref="E5:G5"/>
    <mergeCell ref="H5:J5"/>
    <mergeCell ref="A9:B9"/>
    <mergeCell ref="C9:D9"/>
    <mergeCell ref="E9:F9"/>
    <mergeCell ref="I9:J9"/>
    <mergeCell ref="A7:B8"/>
    <mergeCell ref="C7:G7"/>
    <mergeCell ref="A6:K6"/>
    <mergeCell ref="H7:K7"/>
    <mergeCell ref="C8:D8"/>
    <mergeCell ref="E8:F8"/>
    <mergeCell ref="I8:J8"/>
    <mergeCell ref="A10:B10"/>
    <mergeCell ref="C10:D10"/>
    <mergeCell ref="E10:F10"/>
    <mergeCell ref="I10:J10"/>
    <mergeCell ref="A11:B11"/>
    <mergeCell ref="C11:D11"/>
    <mergeCell ref="E11:F11"/>
    <mergeCell ref="I11:J11"/>
    <mergeCell ref="A12:B12"/>
    <mergeCell ref="C12:D12"/>
    <mergeCell ref="E12:F12"/>
    <mergeCell ref="I12:J12"/>
    <mergeCell ref="A13:B13"/>
    <mergeCell ref="C13:D13"/>
    <mergeCell ref="E13:F13"/>
    <mergeCell ref="I13:J13"/>
    <mergeCell ref="A14:B14"/>
    <mergeCell ref="C14:D14"/>
    <mergeCell ref="E14:F14"/>
    <mergeCell ref="I14:J14"/>
    <mergeCell ref="A15:B15"/>
    <mergeCell ref="C15:D15"/>
    <mergeCell ref="E15:F15"/>
    <mergeCell ref="I15:J15"/>
    <mergeCell ref="A16:B16"/>
    <mergeCell ref="C16:D16"/>
    <mergeCell ref="E16:F16"/>
    <mergeCell ref="I16:J16"/>
    <mergeCell ref="A17:B17"/>
    <mergeCell ref="C17:D17"/>
    <mergeCell ref="E17:F17"/>
    <mergeCell ref="I17:J17"/>
    <mergeCell ref="A18:B18"/>
    <mergeCell ref="C18:D18"/>
    <mergeCell ref="E18:F18"/>
    <mergeCell ref="I18:J18"/>
    <mergeCell ref="A19:B19"/>
    <mergeCell ref="C19:D19"/>
    <mergeCell ref="E19:F19"/>
    <mergeCell ref="I19:J19"/>
    <mergeCell ref="A20:B20"/>
    <mergeCell ref="C20:D20"/>
    <mergeCell ref="E20:F20"/>
    <mergeCell ref="I20:J20"/>
    <mergeCell ref="A22:B22"/>
    <mergeCell ref="C22:D22"/>
    <mergeCell ref="E22:F22"/>
    <mergeCell ref="I22:J22"/>
    <mergeCell ref="A21:B21"/>
    <mergeCell ref="C21:D21"/>
    <mergeCell ref="E21:F21"/>
    <mergeCell ref="I21:J21"/>
    <mergeCell ref="A23:B23"/>
    <mergeCell ref="C23:K23"/>
    <mergeCell ref="A24:B24"/>
    <mergeCell ref="C24:K24"/>
    <mergeCell ref="A26:B26"/>
    <mergeCell ref="C26:K26"/>
    <mergeCell ref="A25:B25"/>
    <mergeCell ref="C25:K25"/>
    <mergeCell ref="A33:B33"/>
    <mergeCell ref="C33:K33"/>
    <mergeCell ref="A30:B30"/>
    <mergeCell ref="C30:K30"/>
    <mergeCell ref="A32:B32"/>
    <mergeCell ref="C32:K32"/>
    <mergeCell ref="A31:B31"/>
    <mergeCell ref="C31:K31"/>
    <mergeCell ref="A27:B27"/>
    <mergeCell ref="C27:K27"/>
    <mergeCell ref="A28:B28"/>
    <mergeCell ref="C28:K28"/>
    <mergeCell ref="A29:B29"/>
    <mergeCell ref="C29:K29"/>
  </mergeCells>
  <phoneticPr fontId="135" type="noConversion"/>
  <dataValidations count="3">
    <dataValidation type="list" allowBlank="1" showErrorMessage="1" sqref="C24:K32">
      <formula1>"是,否"</formula1>
      <formula2>0</formula2>
    </dataValidation>
    <dataValidation type="list" allowBlank="1" showErrorMessage="1" sqref="C9:K22">
      <formula1>"√,×"</formula1>
      <formula2>0</formula2>
    </dataValidation>
    <dataValidation allowBlank="1" showErrorMessage="1" sqref="E4:G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U47"/>
  <sheetViews>
    <sheetView workbookViewId="0">
      <selection sqref="A1:N2"/>
    </sheetView>
  </sheetViews>
  <sheetFormatPr defaultColWidth="9" defaultRowHeight="16.5"/>
  <cols>
    <col min="1" max="1" width="4.875" style="565" customWidth="1"/>
    <col min="2" max="2" width="7.75" style="565" customWidth="1"/>
    <col min="3" max="5" width="9" style="565"/>
    <col min="6" max="6" width="9.5" style="565" customWidth="1"/>
    <col min="7" max="7" width="9.25" style="565" customWidth="1"/>
    <col min="8" max="8" width="3.5" style="565" customWidth="1"/>
    <col min="9" max="9" width="4.125" style="565" customWidth="1"/>
    <col min="10" max="10" width="3.875" style="565" customWidth="1"/>
    <col min="11" max="11" width="6.125" style="565" customWidth="1"/>
    <col min="12" max="12" width="3.5" style="565" customWidth="1"/>
    <col min="13" max="13" width="2.25" style="565" customWidth="1"/>
    <col min="14" max="14" width="4.875" style="565" customWidth="1"/>
    <col min="15" max="16384" width="9" style="565"/>
  </cols>
  <sheetData>
    <row r="1" spans="1:21" ht="14.25" customHeight="1">
      <c r="A1" s="2722" t="s">
        <v>4908</v>
      </c>
      <c r="B1" s="2722"/>
      <c r="C1" s="2722"/>
      <c r="D1" s="2722"/>
      <c r="E1" s="2722"/>
      <c r="F1" s="2722"/>
      <c r="G1" s="2722"/>
      <c r="H1" s="2722"/>
      <c r="I1" s="2722"/>
      <c r="J1" s="2722"/>
      <c r="K1" s="2722"/>
      <c r="L1" s="2722"/>
      <c r="M1" s="2722"/>
      <c r="N1" s="2722"/>
      <c r="O1" s="564"/>
      <c r="P1" s="564"/>
      <c r="Q1" s="564"/>
      <c r="R1" s="564"/>
      <c r="S1" s="564"/>
      <c r="T1" s="564"/>
      <c r="U1" s="564"/>
    </row>
    <row r="2" spans="1:21" ht="14.25" customHeight="1">
      <c r="A2" s="2722"/>
      <c r="B2" s="2722"/>
      <c r="C2" s="2722"/>
      <c r="D2" s="2722"/>
      <c r="E2" s="2722"/>
      <c r="F2" s="2722"/>
      <c r="G2" s="2722"/>
      <c r="H2" s="2722"/>
      <c r="I2" s="2722"/>
      <c r="J2" s="2722"/>
      <c r="K2" s="2722"/>
      <c r="L2" s="2722"/>
      <c r="M2" s="2722"/>
      <c r="N2" s="2722"/>
      <c r="O2" s="564"/>
      <c r="P2" s="564"/>
      <c r="Q2" s="564"/>
      <c r="R2" s="564"/>
      <c r="S2" s="564"/>
      <c r="T2" s="564"/>
      <c r="U2" s="564"/>
    </row>
    <row r="3" spans="1:21">
      <c r="A3" s="2723"/>
      <c r="B3" s="2723"/>
      <c r="C3" s="2723"/>
      <c r="D3" s="2723"/>
      <c r="E3" s="2723"/>
      <c r="F3" s="2723"/>
      <c r="G3" s="2723"/>
      <c r="H3" s="1094"/>
      <c r="I3" s="1094"/>
      <c r="J3" s="1094"/>
      <c r="K3" s="2724" t="s">
        <v>4409</v>
      </c>
      <c r="L3" s="2724"/>
      <c r="M3" s="2725" t="str">
        <f>开始!$B$12</f>
        <v>IN-10</v>
      </c>
      <c r="N3" s="2725"/>
      <c r="O3" s="564"/>
      <c r="P3" s="564"/>
      <c r="Q3" s="564"/>
      <c r="R3" s="564"/>
      <c r="S3" s="564"/>
      <c r="T3" s="564"/>
      <c r="U3" s="564"/>
    </row>
    <row r="4" spans="1:21">
      <c r="A4" s="2731" t="str">
        <f>"委托单位名称："&amp;基本情况!$C$3</f>
        <v>委托单位名称：</v>
      </c>
      <c r="B4" s="2731"/>
      <c r="C4" s="2731"/>
      <c r="D4" s="2731"/>
      <c r="E4" s="2731"/>
      <c r="F4" s="2729" t="str">
        <f>"会计期间："&amp;基本情况!$F$6&amp;"年度"</f>
        <v>会计期间：2017年度</v>
      </c>
      <c r="G4" s="2729"/>
      <c r="H4" s="2729"/>
      <c r="I4" s="2729"/>
      <c r="J4" s="2729"/>
      <c r="K4" s="2729"/>
      <c r="L4" s="2729"/>
      <c r="M4" s="2729"/>
      <c r="N4" s="2730" t="s">
        <v>4388</v>
      </c>
      <c r="O4" s="564"/>
      <c r="P4" s="564"/>
      <c r="Q4" s="564"/>
      <c r="R4" s="564"/>
      <c r="S4" s="564"/>
      <c r="T4" s="564"/>
      <c r="U4" s="564"/>
    </row>
    <row r="5" spans="1:21">
      <c r="A5" s="2727" t="s">
        <v>4907</v>
      </c>
      <c r="B5" s="2727"/>
      <c r="C5" s="2727"/>
      <c r="D5" s="2727"/>
      <c r="E5" s="2727"/>
      <c r="F5" s="2727"/>
      <c r="G5" s="2728" t="s">
        <v>4906</v>
      </c>
      <c r="H5" s="2728"/>
      <c r="I5" s="2728"/>
      <c r="J5" s="2728"/>
      <c r="K5" s="2728"/>
      <c r="L5" s="2728"/>
      <c r="M5" s="2728"/>
      <c r="N5" s="2730"/>
      <c r="O5" s="564"/>
      <c r="P5" s="564"/>
      <c r="Q5" s="564"/>
      <c r="R5" s="564"/>
      <c r="S5" s="564"/>
      <c r="T5" s="564"/>
      <c r="U5" s="564"/>
    </row>
    <row r="6" spans="1:21" ht="14.25" customHeight="1">
      <c r="A6" s="2696" t="s">
        <v>4905</v>
      </c>
      <c r="B6" s="2710" t="s">
        <v>4904</v>
      </c>
      <c r="C6" s="2710"/>
      <c r="D6" s="2710"/>
      <c r="E6" s="2710"/>
      <c r="F6" s="2710"/>
      <c r="G6" s="1062" t="s">
        <v>4903</v>
      </c>
      <c r="H6" s="1074"/>
      <c r="I6" s="2705" t="s">
        <v>4843</v>
      </c>
      <c r="J6" s="2705"/>
      <c r="K6" s="2705"/>
      <c r="L6" s="2705"/>
      <c r="M6" s="2705"/>
      <c r="N6" s="1063"/>
      <c r="O6" s="564"/>
      <c r="P6" s="564"/>
      <c r="Q6" s="564"/>
      <c r="R6" s="564"/>
      <c r="S6" s="564"/>
      <c r="T6" s="564"/>
      <c r="U6" s="564"/>
    </row>
    <row r="7" spans="1:21" ht="14.25" customHeight="1">
      <c r="A7" s="2696"/>
      <c r="B7" s="2710"/>
      <c r="C7" s="2710"/>
      <c r="D7" s="2710"/>
      <c r="E7" s="2710"/>
      <c r="F7" s="2710"/>
      <c r="G7" s="1059" t="s">
        <v>4902</v>
      </c>
      <c r="H7" s="1083"/>
      <c r="I7" s="1058"/>
      <c r="J7" s="2690" t="s">
        <v>4843</v>
      </c>
      <c r="K7" s="2690"/>
      <c r="L7" s="2690"/>
      <c r="M7" s="2690"/>
      <c r="N7" s="1063"/>
      <c r="O7" s="564"/>
      <c r="P7" s="564"/>
      <c r="Q7" s="564"/>
      <c r="R7" s="564"/>
      <c r="S7" s="564"/>
      <c r="T7" s="564"/>
      <c r="U7" s="564"/>
    </row>
    <row r="8" spans="1:21">
      <c r="A8" s="2696"/>
      <c r="B8" s="2714" t="s">
        <v>4901</v>
      </c>
      <c r="C8" s="2714"/>
      <c r="D8" s="2714"/>
      <c r="E8" s="2714"/>
      <c r="F8" s="2714"/>
      <c r="G8" s="1087" t="s">
        <v>4895</v>
      </c>
      <c r="H8" s="1085"/>
      <c r="I8" s="2707" t="s">
        <v>4843</v>
      </c>
      <c r="J8" s="2707"/>
      <c r="K8" s="1086" t="s">
        <v>4893</v>
      </c>
      <c r="L8" s="1085"/>
      <c r="M8" s="1086" t="s">
        <v>4843</v>
      </c>
      <c r="N8" s="1063"/>
      <c r="O8" s="564"/>
      <c r="P8" s="564"/>
      <c r="Q8" s="564"/>
      <c r="R8" s="564"/>
      <c r="S8" s="564"/>
      <c r="T8" s="564"/>
      <c r="U8" s="564"/>
    </row>
    <row r="9" spans="1:21">
      <c r="A9" s="2696"/>
      <c r="B9" s="2709" t="s">
        <v>4900</v>
      </c>
      <c r="C9" s="2709"/>
      <c r="D9" s="2709"/>
      <c r="E9" s="2709"/>
      <c r="F9" s="2709"/>
      <c r="G9" s="1087" t="s">
        <v>4847</v>
      </c>
      <c r="H9" s="1085"/>
      <c r="I9" s="2707" t="s">
        <v>4843</v>
      </c>
      <c r="J9" s="2707"/>
      <c r="K9" s="1086" t="s">
        <v>4875</v>
      </c>
      <c r="L9" s="1085"/>
      <c r="M9" s="1086" t="s">
        <v>4843</v>
      </c>
      <c r="N9" s="1063"/>
      <c r="O9" s="564"/>
      <c r="P9" s="1052"/>
      <c r="Q9" s="564"/>
      <c r="R9" s="564"/>
      <c r="S9" s="564"/>
      <c r="T9" s="564"/>
      <c r="U9" s="564"/>
    </row>
    <row r="10" spans="1:21" ht="15.2" customHeight="1">
      <c r="A10" s="2696"/>
      <c r="B10" s="2701" t="s">
        <v>4899</v>
      </c>
      <c r="C10" s="2701"/>
      <c r="D10" s="2701"/>
      <c r="E10" s="2701"/>
      <c r="F10" s="2701"/>
      <c r="G10" s="1069" t="s">
        <v>4850</v>
      </c>
      <c r="H10" s="1060"/>
      <c r="I10" s="2717" t="s">
        <v>4843</v>
      </c>
      <c r="J10" s="2717"/>
      <c r="K10" s="1070" t="s">
        <v>4849</v>
      </c>
      <c r="L10" s="1074"/>
      <c r="M10" s="1084" t="s">
        <v>4843</v>
      </c>
      <c r="N10" s="1063"/>
      <c r="O10" s="564"/>
      <c r="P10" s="1052"/>
      <c r="Q10" s="564"/>
      <c r="R10" s="564"/>
      <c r="S10" s="564"/>
      <c r="T10" s="564"/>
      <c r="U10" s="564"/>
    </row>
    <row r="11" spans="1:21">
      <c r="A11" s="2696"/>
      <c r="B11" s="2701"/>
      <c r="C11" s="2701"/>
      <c r="D11" s="2701"/>
      <c r="E11" s="2701"/>
      <c r="F11" s="2701"/>
      <c r="G11" s="1069" t="s">
        <v>4898</v>
      </c>
      <c r="H11" s="1068"/>
      <c r="I11" s="1068"/>
      <c r="J11" s="1068"/>
      <c r="K11" s="1060"/>
      <c r="L11" s="2719" t="s">
        <v>4843</v>
      </c>
      <c r="M11" s="2719"/>
      <c r="N11" s="1063"/>
      <c r="O11" s="564"/>
      <c r="P11" s="1052"/>
      <c r="Q11" s="564"/>
      <c r="R11" s="564"/>
      <c r="S11" s="564"/>
      <c r="T11" s="564"/>
      <c r="U11" s="564"/>
    </row>
    <row r="12" spans="1:21">
      <c r="A12" s="2696"/>
      <c r="B12" s="2701"/>
      <c r="C12" s="2701"/>
      <c r="D12" s="2701"/>
      <c r="E12" s="2701"/>
      <c r="F12" s="2701"/>
      <c r="G12" s="1059" t="s">
        <v>4897</v>
      </c>
      <c r="H12" s="1083"/>
      <c r="I12" s="1083"/>
      <c r="J12" s="1083"/>
      <c r="K12" s="1058"/>
      <c r="L12" s="2690" t="s">
        <v>4843</v>
      </c>
      <c r="M12" s="2690"/>
      <c r="N12" s="1063"/>
      <c r="O12" s="564"/>
      <c r="P12" s="1052"/>
      <c r="Q12" s="564"/>
      <c r="R12" s="564"/>
      <c r="S12" s="564"/>
      <c r="T12" s="564"/>
      <c r="U12" s="564"/>
    </row>
    <row r="13" spans="1:21" ht="23.85" customHeight="1">
      <c r="A13" s="2696"/>
      <c r="B13" s="2716" t="s">
        <v>4896</v>
      </c>
      <c r="C13" s="2716"/>
      <c r="D13" s="2716"/>
      <c r="E13" s="2716"/>
      <c r="F13" s="2716"/>
      <c r="G13" s="1087" t="s">
        <v>4895</v>
      </c>
      <c r="H13" s="1085"/>
      <c r="I13" s="2707" t="s">
        <v>4843</v>
      </c>
      <c r="J13" s="2707"/>
      <c r="K13" s="1086" t="s">
        <v>4893</v>
      </c>
      <c r="L13" s="1085"/>
      <c r="M13" s="1086" t="s">
        <v>4843</v>
      </c>
      <c r="N13" s="1063"/>
      <c r="O13" s="564"/>
      <c r="P13" s="1052"/>
      <c r="Q13" s="564"/>
      <c r="R13" s="564"/>
      <c r="S13" s="564"/>
      <c r="T13" s="564"/>
      <c r="U13" s="564"/>
    </row>
    <row r="14" spans="1:21" ht="14.25" customHeight="1">
      <c r="A14" s="2696"/>
      <c r="B14" s="2701" t="s">
        <v>4894</v>
      </c>
      <c r="C14" s="2701"/>
      <c r="D14" s="2701"/>
      <c r="E14" s="2701"/>
      <c r="F14" s="2701"/>
      <c r="G14" s="1062" t="s">
        <v>4847</v>
      </c>
      <c r="H14" s="1074"/>
      <c r="I14" s="2705" t="s">
        <v>4843</v>
      </c>
      <c r="J14" s="2705"/>
      <c r="K14" s="2705"/>
      <c r="L14" s="2705"/>
      <c r="M14" s="2705"/>
      <c r="N14" s="1063"/>
      <c r="O14" s="564"/>
      <c r="P14" s="1052"/>
      <c r="Q14" s="564"/>
      <c r="R14" s="564"/>
      <c r="S14" s="564"/>
      <c r="T14" s="564"/>
      <c r="U14" s="564"/>
    </row>
    <row r="15" spans="1:21" ht="14.25" customHeight="1">
      <c r="A15" s="2696"/>
      <c r="B15" s="2701"/>
      <c r="C15" s="2701"/>
      <c r="D15" s="2701"/>
      <c r="E15" s="2701"/>
      <c r="F15" s="2701"/>
      <c r="G15" s="2718"/>
      <c r="H15" s="2718"/>
      <c r="I15" s="2718"/>
      <c r="J15" s="2718"/>
      <c r="K15" s="2718"/>
      <c r="L15" s="2718"/>
      <c r="M15" s="2718"/>
      <c r="N15" s="1063"/>
      <c r="O15" s="564"/>
      <c r="P15" s="1052"/>
      <c r="Q15" s="564"/>
      <c r="R15" s="564"/>
      <c r="S15" s="564"/>
      <c r="T15" s="564"/>
      <c r="U15" s="564"/>
    </row>
    <row r="16" spans="1:21">
      <c r="A16" s="2696"/>
      <c r="B16" s="2701"/>
      <c r="C16" s="2701"/>
      <c r="D16" s="2701"/>
      <c r="E16" s="2701"/>
      <c r="F16" s="2701"/>
      <c r="G16" s="1069" t="s">
        <v>4893</v>
      </c>
      <c r="H16" s="1060"/>
      <c r="I16" s="2719" t="s">
        <v>4843</v>
      </c>
      <c r="J16" s="2719"/>
      <c r="K16" s="2719"/>
      <c r="L16" s="2719"/>
      <c r="M16" s="2719"/>
      <c r="N16" s="1063"/>
      <c r="O16" s="564"/>
      <c r="P16" s="564"/>
      <c r="Q16" s="564"/>
      <c r="R16" s="564"/>
      <c r="S16" s="564"/>
      <c r="T16" s="564"/>
      <c r="U16" s="564"/>
    </row>
    <row r="17" spans="1:21" ht="14.25" customHeight="1">
      <c r="A17" s="2696"/>
      <c r="B17" s="2701"/>
      <c r="C17" s="2701"/>
      <c r="D17" s="2701"/>
      <c r="E17" s="2701"/>
      <c r="F17" s="2701"/>
      <c r="G17" s="2720"/>
      <c r="H17" s="2720"/>
      <c r="I17" s="2720"/>
      <c r="J17" s="2720"/>
      <c r="K17" s="2720"/>
      <c r="L17" s="2720"/>
      <c r="M17" s="2720"/>
      <c r="N17" s="1063"/>
      <c r="O17" s="564"/>
      <c r="P17" s="564"/>
      <c r="Q17" s="564"/>
      <c r="R17" s="564"/>
      <c r="S17" s="564"/>
      <c r="T17" s="564"/>
      <c r="U17" s="564"/>
    </row>
    <row r="18" spans="1:21" ht="15.2" customHeight="1">
      <c r="A18" s="2696"/>
      <c r="B18" s="2701" t="s">
        <v>4892</v>
      </c>
      <c r="C18" s="2701"/>
      <c r="D18" s="2701"/>
      <c r="E18" s="2701"/>
      <c r="F18" s="2701"/>
      <c r="G18" s="1082" t="s">
        <v>4891</v>
      </c>
      <c r="H18" s="1081"/>
      <c r="I18" s="1093"/>
      <c r="J18" s="1081" t="s">
        <v>4890</v>
      </c>
      <c r="K18" s="1081"/>
      <c r="L18" s="1093"/>
      <c r="M18" s="1092" t="s">
        <v>4843</v>
      </c>
      <c r="N18" s="1077"/>
      <c r="O18" s="564"/>
      <c r="P18" s="564"/>
      <c r="Q18" s="564"/>
      <c r="R18" s="564"/>
      <c r="S18" s="564"/>
      <c r="T18" s="564"/>
      <c r="U18" s="564"/>
    </row>
    <row r="19" spans="1:21">
      <c r="A19" s="2696"/>
      <c r="B19" s="2701"/>
      <c r="C19" s="2701"/>
      <c r="D19" s="2701"/>
      <c r="E19" s="2701"/>
      <c r="F19" s="2701"/>
      <c r="G19" s="2721"/>
      <c r="H19" s="2721"/>
      <c r="I19" s="2721"/>
      <c r="J19" s="1079" t="s">
        <v>4889</v>
      </c>
      <c r="K19" s="1079"/>
      <c r="L19" s="1078"/>
      <c r="M19" s="1092" t="s">
        <v>4843</v>
      </c>
      <c r="N19" s="1077"/>
      <c r="O19" s="564"/>
      <c r="P19" s="564"/>
      <c r="Q19" s="564"/>
      <c r="R19" s="564"/>
      <c r="S19" s="564"/>
      <c r="T19" s="564"/>
      <c r="U19" s="564"/>
    </row>
    <row r="20" spans="1:21">
      <c r="A20" s="2696"/>
      <c r="B20" s="2701"/>
      <c r="C20" s="2701"/>
      <c r="D20" s="2701"/>
      <c r="E20" s="2701"/>
      <c r="F20" s="2701"/>
      <c r="G20" s="1059" t="s">
        <v>4888</v>
      </c>
      <c r="H20" s="1083"/>
      <c r="I20" s="1078"/>
      <c r="J20" s="2690" t="s">
        <v>4843</v>
      </c>
      <c r="K20" s="2690"/>
      <c r="L20" s="2690"/>
      <c r="M20" s="2690"/>
      <c r="N20" s="1063"/>
      <c r="O20" s="564"/>
      <c r="P20" s="564"/>
      <c r="Q20" s="564"/>
      <c r="R20" s="564"/>
      <c r="S20" s="564"/>
      <c r="T20" s="564"/>
      <c r="U20" s="564"/>
    </row>
    <row r="21" spans="1:21" ht="27.75" customHeight="1">
      <c r="A21" s="2696"/>
      <c r="B21" s="2712" t="s">
        <v>4887</v>
      </c>
      <c r="C21" s="2712"/>
      <c r="D21" s="2712"/>
      <c r="E21" s="2712"/>
      <c r="F21" s="2712"/>
      <c r="G21" s="1076" t="s">
        <v>4876</v>
      </c>
      <c r="H21" s="1091"/>
      <c r="I21" s="2726" t="s">
        <v>4843</v>
      </c>
      <c r="J21" s="2726"/>
      <c r="K21" s="1075" t="s">
        <v>4875</v>
      </c>
      <c r="L21" s="1091"/>
      <c r="M21" s="1090" t="s">
        <v>4843</v>
      </c>
      <c r="N21" s="1063"/>
      <c r="O21" s="564"/>
      <c r="P21" s="564"/>
      <c r="Q21" s="564"/>
      <c r="R21" s="564"/>
      <c r="S21" s="564"/>
      <c r="T21" s="564"/>
      <c r="U21" s="564"/>
    </row>
    <row r="22" spans="1:21" ht="15.2" customHeight="1">
      <c r="A22" s="2699" t="s">
        <v>4886</v>
      </c>
      <c r="B22" s="2706" t="s">
        <v>4885</v>
      </c>
      <c r="C22" s="2706"/>
      <c r="D22" s="2706"/>
      <c r="E22" s="2706"/>
      <c r="F22" s="2706"/>
      <c r="G22" s="1087" t="s">
        <v>4876</v>
      </c>
      <c r="H22" s="1085"/>
      <c r="I22" s="2707" t="s">
        <v>4843</v>
      </c>
      <c r="J22" s="2707"/>
      <c r="K22" s="1086" t="s">
        <v>4875</v>
      </c>
      <c r="L22" s="1085"/>
      <c r="M22" s="1084" t="s">
        <v>4843</v>
      </c>
      <c r="N22" s="1063"/>
      <c r="O22" s="564"/>
      <c r="P22" s="564"/>
      <c r="Q22" s="564"/>
      <c r="R22" s="564"/>
      <c r="S22" s="564"/>
      <c r="T22" s="564"/>
      <c r="U22" s="564"/>
    </row>
    <row r="23" spans="1:21">
      <c r="A23" s="2699"/>
      <c r="B23" s="2708" t="s">
        <v>4884</v>
      </c>
      <c r="C23" s="2708"/>
      <c r="D23" s="2708"/>
      <c r="E23" s="2708"/>
      <c r="F23" s="2708"/>
      <c r="G23" s="1087" t="s">
        <v>4876</v>
      </c>
      <c r="H23" s="1085"/>
      <c r="I23" s="2707" t="s">
        <v>4843</v>
      </c>
      <c r="J23" s="2707"/>
      <c r="K23" s="1086" t="s">
        <v>4875</v>
      </c>
      <c r="L23" s="1085"/>
      <c r="M23" s="1084" t="s">
        <v>4843</v>
      </c>
      <c r="N23" s="1063"/>
      <c r="O23" s="564"/>
      <c r="P23" s="564"/>
      <c r="Q23" s="564"/>
      <c r="R23" s="564"/>
      <c r="S23" s="564"/>
      <c r="T23" s="564"/>
      <c r="U23" s="564"/>
    </row>
    <row r="24" spans="1:21">
      <c r="A24" s="2699"/>
      <c r="B24" s="2714" t="s">
        <v>4883</v>
      </c>
      <c r="C24" s="2714"/>
      <c r="D24" s="2714"/>
      <c r="E24" s="2714"/>
      <c r="F24" s="2714"/>
      <c r="G24" s="1087" t="s">
        <v>4876</v>
      </c>
      <c r="H24" s="1085"/>
      <c r="I24" s="2707" t="s">
        <v>4843</v>
      </c>
      <c r="J24" s="2707"/>
      <c r="K24" s="1086" t="s">
        <v>4875</v>
      </c>
      <c r="L24" s="1085"/>
      <c r="M24" s="1084" t="s">
        <v>4843</v>
      </c>
      <c r="N24" s="1063"/>
      <c r="O24" s="564"/>
      <c r="P24" s="564"/>
      <c r="Q24" s="564"/>
      <c r="R24" s="564"/>
      <c r="S24" s="564"/>
      <c r="T24" s="564"/>
      <c r="U24" s="564"/>
    </row>
    <row r="25" spans="1:21" ht="15.2" customHeight="1">
      <c r="A25" s="2696" t="s">
        <v>4882</v>
      </c>
      <c r="B25" s="2712" t="s">
        <v>4881</v>
      </c>
      <c r="C25" s="2712"/>
      <c r="D25" s="2712"/>
      <c r="E25" s="2712"/>
      <c r="F25" s="2712"/>
      <c r="G25" s="1089" t="s">
        <v>4879</v>
      </c>
      <c r="H25" s="1085"/>
      <c r="I25" s="1088" t="s">
        <v>4843</v>
      </c>
      <c r="J25" s="1088" t="s">
        <v>4878</v>
      </c>
      <c r="K25" s="1088"/>
      <c r="L25" s="1085"/>
      <c r="M25" s="1084" t="s">
        <v>4843</v>
      </c>
      <c r="N25" s="1077"/>
      <c r="O25" s="564"/>
      <c r="P25" s="564"/>
      <c r="Q25" s="564"/>
      <c r="R25" s="564"/>
      <c r="S25" s="564"/>
      <c r="T25" s="564"/>
      <c r="U25" s="564"/>
    </row>
    <row r="26" spans="1:21">
      <c r="A26" s="2696"/>
      <c r="B26" s="2709" t="s">
        <v>4880</v>
      </c>
      <c r="C26" s="2709"/>
      <c r="D26" s="2709"/>
      <c r="E26" s="2709"/>
      <c r="F26" s="2709"/>
      <c r="G26" s="1089" t="s">
        <v>4879</v>
      </c>
      <c r="H26" s="1085"/>
      <c r="I26" s="1088" t="s">
        <v>4843</v>
      </c>
      <c r="J26" s="1088" t="s">
        <v>4878</v>
      </c>
      <c r="K26" s="1086"/>
      <c r="L26" s="1085"/>
      <c r="M26" s="1084" t="s">
        <v>4843</v>
      </c>
      <c r="N26" s="1063"/>
      <c r="O26" s="564"/>
      <c r="P26" s="564"/>
      <c r="Q26" s="564"/>
      <c r="R26" s="564"/>
      <c r="S26" s="564"/>
      <c r="T26" s="564"/>
      <c r="U26" s="564"/>
    </row>
    <row r="27" spans="1:21">
      <c r="A27" s="2696"/>
      <c r="B27" s="2714" t="s">
        <v>4877</v>
      </c>
      <c r="C27" s="2714"/>
      <c r="D27" s="2714"/>
      <c r="E27" s="2714"/>
      <c r="F27" s="2714"/>
      <c r="G27" s="1087" t="s">
        <v>4876</v>
      </c>
      <c r="H27" s="1085"/>
      <c r="I27" s="2707" t="s">
        <v>4843</v>
      </c>
      <c r="J27" s="2707"/>
      <c r="K27" s="1086" t="s">
        <v>4875</v>
      </c>
      <c r="L27" s="1085"/>
      <c r="M27" s="1084" t="s">
        <v>4843</v>
      </c>
      <c r="N27" s="1063"/>
      <c r="O27" s="564"/>
      <c r="P27" s="564"/>
      <c r="Q27" s="564"/>
      <c r="R27" s="564"/>
      <c r="S27" s="564"/>
      <c r="T27" s="564"/>
      <c r="U27" s="564"/>
    </row>
    <row r="28" spans="1:21" ht="15.2" customHeight="1">
      <c r="A28" s="2696"/>
      <c r="B28" s="2710" t="s">
        <v>4874</v>
      </c>
      <c r="C28" s="2710"/>
      <c r="D28" s="2710"/>
      <c r="E28" s="2710"/>
      <c r="F28" s="2710"/>
      <c r="G28" s="1062" t="s">
        <v>4873</v>
      </c>
      <c r="H28" s="1070"/>
      <c r="I28" s="1070"/>
      <c r="J28" s="1074"/>
      <c r="K28" s="2705" t="s">
        <v>4843</v>
      </c>
      <c r="L28" s="2705"/>
      <c r="M28" s="2705"/>
      <c r="N28" s="1063"/>
      <c r="O28" s="564"/>
      <c r="P28" s="564"/>
      <c r="Q28" s="564"/>
      <c r="R28" s="564"/>
      <c r="S28" s="564"/>
      <c r="T28" s="564"/>
      <c r="U28" s="564"/>
    </row>
    <row r="29" spans="1:21">
      <c r="A29" s="2696"/>
      <c r="B29" s="2710"/>
      <c r="C29" s="2710"/>
      <c r="D29" s="2710"/>
      <c r="E29" s="2710"/>
      <c r="F29" s="2710"/>
      <c r="G29" s="1059" t="s">
        <v>4872</v>
      </c>
      <c r="H29" s="1083"/>
      <c r="I29" s="1083"/>
      <c r="J29" s="1058"/>
      <c r="K29" s="2690" t="s">
        <v>4843</v>
      </c>
      <c r="L29" s="2690"/>
      <c r="M29" s="2690"/>
      <c r="N29" s="1063"/>
      <c r="O29" s="564"/>
      <c r="P29" s="564"/>
      <c r="Q29" s="564"/>
      <c r="R29" s="564"/>
      <c r="S29" s="564"/>
      <c r="T29" s="564"/>
      <c r="U29" s="564"/>
    </row>
    <row r="30" spans="1:21" ht="15.2" customHeight="1">
      <c r="A30" s="2696"/>
      <c r="B30" s="2710" t="s">
        <v>4871</v>
      </c>
      <c r="C30" s="2710"/>
      <c r="D30" s="2710"/>
      <c r="E30" s="2710"/>
      <c r="F30" s="2710"/>
      <c r="G30" s="1082" t="s">
        <v>4870</v>
      </c>
      <c r="H30" s="1081"/>
      <c r="I30" s="1081"/>
      <c r="J30" s="1074"/>
      <c r="K30" s="2715" t="s">
        <v>4843</v>
      </c>
      <c r="L30" s="2715"/>
      <c r="M30" s="2715"/>
      <c r="N30" s="1077"/>
      <c r="O30" s="564"/>
      <c r="P30" s="564"/>
      <c r="Q30" s="564"/>
      <c r="R30" s="564"/>
      <c r="S30" s="564"/>
      <c r="T30" s="564"/>
      <c r="U30" s="564"/>
    </row>
    <row r="31" spans="1:21">
      <c r="A31" s="2696"/>
      <c r="B31" s="2710"/>
      <c r="C31" s="2710"/>
      <c r="D31" s="2710"/>
      <c r="E31" s="2710"/>
      <c r="F31" s="2710"/>
      <c r="G31" s="1080" t="s">
        <v>4869</v>
      </c>
      <c r="H31" s="1060"/>
      <c r="I31" s="1068" t="s">
        <v>4868</v>
      </c>
      <c r="J31" s="1079"/>
      <c r="K31" s="1078"/>
      <c r="L31" s="2711" t="s">
        <v>4843</v>
      </c>
      <c r="M31" s="2711"/>
      <c r="N31" s="1077"/>
      <c r="O31" s="564"/>
      <c r="P31" s="564"/>
      <c r="Q31" s="564"/>
      <c r="R31" s="564"/>
      <c r="S31" s="564"/>
      <c r="T31" s="564"/>
      <c r="U31" s="564"/>
    </row>
    <row r="32" spans="1:21">
      <c r="A32" s="2696"/>
      <c r="B32" s="2710"/>
      <c r="C32" s="2710"/>
      <c r="D32" s="2710"/>
      <c r="E32" s="2710"/>
      <c r="F32" s="2710"/>
      <c r="G32" s="1059" t="s">
        <v>4867</v>
      </c>
      <c r="H32" s="1058"/>
      <c r="I32" s="2690" t="s">
        <v>4843</v>
      </c>
      <c r="J32" s="2690"/>
      <c r="K32" s="2690"/>
      <c r="L32" s="2690"/>
      <c r="M32" s="2690"/>
      <c r="N32" s="1063"/>
      <c r="O32" s="564"/>
      <c r="P32" s="564"/>
      <c r="Q32" s="564"/>
      <c r="R32" s="564"/>
      <c r="S32" s="564"/>
      <c r="T32" s="564"/>
      <c r="U32" s="564"/>
    </row>
    <row r="33" spans="1:21" ht="26.25" customHeight="1">
      <c r="A33" s="2699" t="s">
        <v>4866</v>
      </c>
      <c r="B33" s="2692" t="s">
        <v>4865</v>
      </c>
      <c r="C33" s="2692"/>
      <c r="D33" s="2692"/>
      <c r="E33" s="2692"/>
      <c r="F33" s="2692"/>
      <c r="G33" s="1076" t="s">
        <v>4864</v>
      </c>
      <c r="H33" s="1065"/>
      <c r="I33" s="1075" t="s">
        <v>4863</v>
      </c>
      <c r="J33" s="1075"/>
      <c r="K33" s="1065"/>
      <c r="L33" s="2700" t="s">
        <v>4843</v>
      </c>
      <c r="M33" s="2700"/>
      <c r="N33" s="1063"/>
      <c r="O33" s="564"/>
      <c r="P33" s="564"/>
      <c r="Q33" s="564"/>
      <c r="R33" s="564"/>
      <c r="S33" s="564"/>
      <c r="T33" s="564"/>
      <c r="U33" s="564"/>
    </row>
    <row r="34" spans="1:21" ht="12.75" customHeight="1">
      <c r="A34" s="2699"/>
      <c r="B34" s="2701" t="s">
        <v>4862</v>
      </c>
      <c r="C34" s="2701"/>
      <c r="D34" s="2701"/>
      <c r="E34" s="2701"/>
      <c r="F34" s="2701"/>
      <c r="G34" s="694" t="s">
        <v>4861</v>
      </c>
      <c r="H34" s="752"/>
      <c r="I34" s="1074"/>
      <c r="J34" s="2704" t="s">
        <v>4843</v>
      </c>
      <c r="K34" s="2704"/>
      <c r="L34" s="2704"/>
      <c r="M34" s="2704"/>
      <c r="N34" s="1073"/>
      <c r="O34" s="564"/>
      <c r="P34" s="564"/>
      <c r="Q34" s="564"/>
      <c r="R34" s="564"/>
      <c r="S34" s="564"/>
      <c r="T34" s="564"/>
      <c r="U34" s="564"/>
    </row>
    <row r="35" spans="1:21" ht="12.75" customHeight="1">
      <c r="A35" s="2699"/>
      <c r="B35" s="2701"/>
      <c r="C35" s="2701"/>
      <c r="D35" s="2701"/>
      <c r="E35" s="2701"/>
      <c r="F35" s="2701"/>
      <c r="G35" s="694"/>
      <c r="H35" s="1061" t="s">
        <v>4860</v>
      </c>
      <c r="I35" s="1061"/>
      <c r="J35" s="1061"/>
      <c r="K35" s="1060"/>
      <c r="L35" s="2689" t="s">
        <v>4843</v>
      </c>
      <c r="M35" s="2689"/>
      <c r="N35" s="1073"/>
      <c r="O35" s="564"/>
      <c r="P35" s="564"/>
      <c r="Q35" s="564"/>
      <c r="R35" s="564"/>
      <c r="S35" s="564"/>
      <c r="T35" s="564"/>
      <c r="U35" s="564"/>
    </row>
    <row r="36" spans="1:21">
      <c r="A36" s="2699"/>
      <c r="B36" s="2701"/>
      <c r="C36" s="2701"/>
      <c r="D36" s="2701"/>
      <c r="E36" s="2701"/>
      <c r="F36" s="2701"/>
      <c r="G36" s="694" t="s">
        <v>4846</v>
      </c>
      <c r="H36" s="1060"/>
      <c r="I36" s="1061" t="s">
        <v>4845</v>
      </c>
      <c r="J36" s="1061"/>
      <c r="K36" s="1060"/>
      <c r="L36" s="2689" t="s">
        <v>4843</v>
      </c>
      <c r="M36" s="2689"/>
      <c r="N36" s="1071"/>
      <c r="O36" s="564"/>
      <c r="P36" s="564"/>
      <c r="Q36" s="564"/>
      <c r="R36" s="564"/>
      <c r="S36" s="564"/>
      <c r="T36" s="564"/>
      <c r="U36" s="564"/>
    </row>
    <row r="37" spans="1:21" ht="19.5" customHeight="1">
      <c r="A37" s="2699"/>
      <c r="B37" s="2701"/>
      <c r="C37" s="2701"/>
      <c r="D37" s="2701"/>
      <c r="E37" s="2701"/>
      <c r="F37" s="2701"/>
      <c r="G37" s="694"/>
      <c r="H37" s="1061" t="s">
        <v>4859</v>
      </c>
      <c r="I37" s="1061"/>
      <c r="J37" s="1061"/>
      <c r="K37" s="1060"/>
      <c r="L37" s="2689" t="s">
        <v>4843</v>
      </c>
      <c r="M37" s="2689"/>
      <c r="N37" s="1071"/>
      <c r="O37" s="564"/>
      <c r="P37" s="564"/>
      <c r="Q37" s="564"/>
      <c r="R37" s="564"/>
      <c r="S37" s="564"/>
      <c r="T37" s="564"/>
      <c r="U37" s="564"/>
    </row>
    <row r="38" spans="1:21">
      <c r="A38" s="2699"/>
      <c r="B38" s="2701"/>
      <c r="C38" s="2701"/>
      <c r="D38" s="2701"/>
      <c r="E38" s="2701"/>
      <c r="F38" s="2701"/>
      <c r="G38" s="1072" t="s">
        <v>4858</v>
      </c>
      <c r="H38" s="1066"/>
      <c r="I38" s="1058"/>
      <c r="J38" s="2713" t="s">
        <v>4843</v>
      </c>
      <c r="K38" s="2713"/>
      <c r="L38" s="2713"/>
      <c r="M38" s="2713"/>
      <c r="N38" s="1071"/>
      <c r="O38" s="564"/>
      <c r="P38" s="564"/>
      <c r="Q38" s="564"/>
      <c r="R38" s="564"/>
      <c r="S38" s="564"/>
      <c r="T38" s="564"/>
      <c r="U38" s="564"/>
    </row>
    <row r="39" spans="1:21" ht="15.2" customHeight="1">
      <c r="A39" s="2699"/>
      <c r="B39" s="2692" t="s">
        <v>4857</v>
      </c>
      <c r="C39" s="2695" t="s">
        <v>4856</v>
      </c>
      <c r="D39" s="2695"/>
      <c r="E39" s="2695"/>
      <c r="F39" s="2695"/>
      <c r="G39" s="1062" t="s">
        <v>4855</v>
      </c>
      <c r="H39" s="1060"/>
      <c r="I39" s="1070" t="s">
        <v>4854</v>
      </c>
      <c r="J39" s="1070"/>
      <c r="K39" s="1070"/>
      <c r="L39" s="1060"/>
      <c r="M39" s="1061" t="s">
        <v>4843</v>
      </c>
      <c r="N39" s="1063"/>
      <c r="O39" s="564"/>
      <c r="P39" s="564"/>
      <c r="Q39" s="564"/>
      <c r="R39" s="564"/>
      <c r="S39" s="564"/>
      <c r="T39" s="564"/>
      <c r="U39" s="564"/>
    </row>
    <row r="40" spans="1:21">
      <c r="A40" s="2699"/>
      <c r="B40" s="2692"/>
      <c r="C40" s="2693" t="s">
        <v>4853</v>
      </c>
      <c r="D40" s="2693"/>
      <c r="E40" s="2693"/>
      <c r="F40" s="2693"/>
      <c r="G40" s="1069" t="s">
        <v>4850</v>
      </c>
      <c r="H40" s="1060"/>
      <c r="I40" s="2694" t="s">
        <v>4843</v>
      </c>
      <c r="J40" s="2694"/>
      <c r="K40" s="1068" t="s">
        <v>4849</v>
      </c>
      <c r="L40" s="1060"/>
      <c r="M40" s="1067" t="s">
        <v>4843</v>
      </c>
      <c r="N40" s="1057"/>
      <c r="O40" s="564"/>
      <c r="P40" s="564"/>
      <c r="Q40" s="564"/>
      <c r="R40" s="564"/>
      <c r="S40" s="564"/>
      <c r="T40" s="564"/>
      <c r="U40" s="564"/>
    </row>
    <row r="41" spans="1:21" ht="14.25" customHeight="1">
      <c r="A41" s="2699"/>
      <c r="B41" s="2692"/>
      <c r="C41" s="2703" t="s">
        <v>4852</v>
      </c>
      <c r="D41" s="2703"/>
      <c r="E41" s="2703"/>
      <c r="F41" s="2703"/>
      <c r="G41" s="1069" t="s">
        <v>4850</v>
      </c>
      <c r="H41" s="1060"/>
      <c r="I41" s="2694" t="s">
        <v>4843</v>
      </c>
      <c r="J41" s="2694"/>
      <c r="K41" s="1068" t="s">
        <v>4849</v>
      </c>
      <c r="L41" s="1060"/>
      <c r="M41" s="1067" t="s">
        <v>4843</v>
      </c>
      <c r="N41" s="1057"/>
      <c r="O41" s="564"/>
      <c r="P41" s="564"/>
      <c r="Q41" s="564"/>
      <c r="R41" s="564"/>
      <c r="S41" s="564"/>
      <c r="T41" s="564"/>
      <c r="U41" s="564"/>
    </row>
    <row r="42" spans="1:21" ht="26.25" customHeight="1">
      <c r="A42" s="2699"/>
      <c r="B42" s="2692" t="s">
        <v>4851</v>
      </c>
      <c r="C42" s="2692"/>
      <c r="D42" s="2692"/>
      <c r="E42" s="2692"/>
      <c r="F42" s="2692"/>
      <c r="G42" s="694" t="s">
        <v>4850</v>
      </c>
      <c r="H42" s="1065"/>
      <c r="I42" s="2702" t="s">
        <v>4843</v>
      </c>
      <c r="J42" s="2702"/>
      <c r="K42" s="1066" t="s">
        <v>4849</v>
      </c>
      <c r="L42" s="1065"/>
      <c r="M42" s="1064" t="s">
        <v>4843</v>
      </c>
      <c r="N42" s="1063"/>
      <c r="O42" s="564"/>
      <c r="P42" s="564"/>
      <c r="Q42" s="564"/>
      <c r="R42" s="564"/>
      <c r="S42" s="564"/>
      <c r="T42" s="564"/>
      <c r="U42" s="564"/>
    </row>
    <row r="43" spans="1:21">
      <c r="A43" s="2699"/>
      <c r="B43" s="2691" t="s">
        <v>4848</v>
      </c>
      <c r="C43" s="2691"/>
      <c r="D43" s="2691"/>
      <c r="E43" s="2691"/>
      <c r="F43" s="2691"/>
      <c r="G43" s="1062" t="s">
        <v>4847</v>
      </c>
      <c r="H43" s="1060"/>
      <c r="I43" s="2705" t="s">
        <v>4843</v>
      </c>
      <c r="J43" s="2705"/>
      <c r="K43" s="2705"/>
      <c r="L43" s="2705"/>
      <c r="M43" s="2705"/>
      <c r="N43" s="1057"/>
      <c r="O43" s="564"/>
      <c r="P43" s="564"/>
      <c r="Q43" s="564"/>
      <c r="R43" s="564"/>
      <c r="S43" s="564"/>
      <c r="T43" s="564"/>
      <c r="U43" s="564"/>
    </row>
    <row r="44" spans="1:21">
      <c r="A44" s="2699"/>
      <c r="B44" s="2691"/>
      <c r="C44" s="2691"/>
      <c r="D44" s="2691"/>
      <c r="E44" s="2691"/>
      <c r="F44" s="2691"/>
      <c r="G44" s="694" t="s">
        <v>4846</v>
      </c>
      <c r="H44" s="1060"/>
      <c r="I44" s="1061" t="s">
        <v>4845</v>
      </c>
      <c r="J44" s="1061"/>
      <c r="K44" s="1060"/>
      <c r="L44" s="2689" t="s">
        <v>4843</v>
      </c>
      <c r="M44" s="2689"/>
      <c r="N44" s="1057"/>
      <c r="O44" s="564"/>
      <c r="P44" s="564"/>
      <c r="Q44" s="564"/>
      <c r="R44" s="564"/>
      <c r="S44" s="564"/>
      <c r="T44" s="564"/>
      <c r="U44" s="564"/>
    </row>
    <row r="45" spans="1:21">
      <c r="A45" s="2699"/>
      <c r="B45" s="2691"/>
      <c r="C45" s="2691"/>
      <c r="D45" s="2691"/>
      <c r="E45" s="2691"/>
      <c r="F45" s="2691"/>
      <c r="G45" s="1059" t="s">
        <v>4844</v>
      </c>
      <c r="H45" s="1058"/>
      <c r="I45" s="2690" t="s">
        <v>4843</v>
      </c>
      <c r="J45" s="2690"/>
      <c r="K45" s="2690"/>
      <c r="L45" s="2690"/>
      <c r="M45" s="2690"/>
      <c r="N45" s="1057"/>
      <c r="O45" s="564"/>
      <c r="P45" s="564"/>
      <c r="Q45" s="564"/>
      <c r="R45" s="564"/>
      <c r="S45" s="564"/>
      <c r="T45" s="564"/>
      <c r="U45" s="564"/>
    </row>
    <row r="46" spans="1:21">
      <c r="A46" s="624"/>
      <c r="B46" s="2697"/>
      <c r="C46" s="2697"/>
      <c r="D46" s="2697"/>
      <c r="E46" s="2697"/>
      <c r="F46" s="2697"/>
      <c r="G46" s="624"/>
      <c r="H46" s="624"/>
      <c r="I46" s="624"/>
      <c r="J46" s="624"/>
      <c r="K46" s="624"/>
      <c r="L46" s="624"/>
      <c r="M46" s="624"/>
      <c r="N46" s="624"/>
      <c r="O46" s="564"/>
      <c r="P46" s="564"/>
      <c r="Q46" s="564"/>
      <c r="R46" s="564"/>
      <c r="S46" s="564"/>
      <c r="T46" s="564"/>
      <c r="U46" s="564"/>
    </row>
    <row r="47" spans="1:21">
      <c r="A47" s="2698" t="str">
        <f>"委托单位财务负责人："&amp;基本情况!$F$56&amp;"                              询问人："&amp;基本情况!$F$19&amp;""&amp;"                        "&amp;基本情况!$C$31</f>
        <v>委托单位财务负责人：对享受税收优惠情况进行简要描述并填报减免企业应纳税所得额。                              询问人：                        0</v>
      </c>
      <c r="B47" s="2698"/>
      <c r="C47" s="2698"/>
      <c r="D47" s="2698"/>
      <c r="E47" s="2698"/>
      <c r="F47" s="2698"/>
      <c r="G47" s="2698"/>
      <c r="H47" s="2698"/>
      <c r="I47" s="2698"/>
      <c r="J47" s="2698"/>
      <c r="K47" s="2698"/>
      <c r="L47" s="2698"/>
      <c r="M47" s="2698"/>
      <c r="N47" s="2698"/>
      <c r="O47" s="564"/>
      <c r="P47" s="564"/>
      <c r="Q47" s="564"/>
      <c r="R47" s="564"/>
      <c r="S47" s="564"/>
      <c r="T47" s="564"/>
      <c r="U47" s="564"/>
    </row>
  </sheetData>
  <sheetProtection selectLockedCells="1" selectUnlockedCells="1"/>
  <mergeCells count="75">
    <mergeCell ref="A1:N2"/>
    <mergeCell ref="A3:G3"/>
    <mergeCell ref="K3:L3"/>
    <mergeCell ref="M3:N3"/>
    <mergeCell ref="I21:J21"/>
    <mergeCell ref="A5:F5"/>
    <mergeCell ref="L11:M11"/>
    <mergeCell ref="G5:M5"/>
    <mergeCell ref="B9:F9"/>
    <mergeCell ref="I13:J13"/>
    <mergeCell ref="F4:M4"/>
    <mergeCell ref="N4:N5"/>
    <mergeCell ref="B6:F7"/>
    <mergeCell ref="I6:M6"/>
    <mergeCell ref="J7:M7"/>
    <mergeCell ref="A4:E4"/>
    <mergeCell ref="G15:M15"/>
    <mergeCell ref="I16:M16"/>
    <mergeCell ref="G17:M17"/>
    <mergeCell ref="B21:F21"/>
    <mergeCell ref="J20:M20"/>
    <mergeCell ref="B18:F20"/>
    <mergeCell ref="G19:I19"/>
    <mergeCell ref="B14:F17"/>
    <mergeCell ref="I14:M14"/>
    <mergeCell ref="L12:M12"/>
    <mergeCell ref="B10:F12"/>
    <mergeCell ref="B13:F13"/>
    <mergeCell ref="I9:J9"/>
    <mergeCell ref="B8:F8"/>
    <mergeCell ref="I8:J8"/>
    <mergeCell ref="I10:J10"/>
    <mergeCell ref="J38:M38"/>
    <mergeCell ref="B24:F24"/>
    <mergeCell ref="I24:J24"/>
    <mergeCell ref="B27:F27"/>
    <mergeCell ref="I27:J27"/>
    <mergeCell ref="K30:M30"/>
    <mergeCell ref="A25:A32"/>
    <mergeCell ref="B26:F26"/>
    <mergeCell ref="I32:M32"/>
    <mergeCell ref="B28:F29"/>
    <mergeCell ref="B30:F32"/>
    <mergeCell ref="K29:M29"/>
    <mergeCell ref="K28:M28"/>
    <mergeCell ref="L31:M31"/>
    <mergeCell ref="B25:F25"/>
    <mergeCell ref="A22:A24"/>
    <mergeCell ref="B22:F22"/>
    <mergeCell ref="I22:J22"/>
    <mergeCell ref="B23:F23"/>
    <mergeCell ref="I23:J23"/>
    <mergeCell ref="A6:A21"/>
    <mergeCell ref="B46:F46"/>
    <mergeCell ref="A47:N47"/>
    <mergeCell ref="A33:A45"/>
    <mergeCell ref="B33:F33"/>
    <mergeCell ref="L33:M33"/>
    <mergeCell ref="B34:F38"/>
    <mergeCell ref="I41:J41"/>
    <mergeCell ref="B42:F42"/>
    <mergeCell ref="I42:J42"/>
    <mergeCell ref="C41:F41"/>
    <mergeCell ref="J34:M34"/>
    <mergeCell ref="L35:M35"/>
    <mergeCell ref="L36:M36"/>
    <mergeCell ref="L37:M37"/>
    <mergeCell ref="I43:M43"/>
    <mergeCell ref="L44:M44"/>
    <mergeCell ref="I45:M45"/>
    <mergeCell ref="B43:F45"/>
    <mergeCell ref="B39:B41"/>
    <mergeCell ref="C40:F40"/>
    <mergeCell ref="I40:J40"/>
    <mergeCell ref="C39:F39"/>
  </mergeCells>
  <phoneticPr fontId="135" type="noConversion"/>
  <dataValidations count="1">
    <dataValidation type="list" allowBlank="1" showErrorMessage="1" sqref="H6 I7 H8:H10 L8:L10 K11:K12 H13:H14 L13 H16 I18 L18:L19 I20 H21:H27 L21:L27 J28:J30 H31:H33 K31 K33 I34 K35:K37 H36 I38 H39:H45 L39:L42 K44">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O17"/>
  <sheetViews>
    <sheetView workbookViewId="0">
      <selection activeCell="G4" sqref="G4"/>
    </sheetView>
  </sheetViews>
  <sheetFormatPr defaultColWidth="9" defaultRowHeight="16.5"/>
  <cols>
    <col min="1" max="1" width="16.125" style="565" customWidth="1"/>
    <col min="2" max="2" width="14.125" style="565" customWidth="1"/>
    <col min="3" max="3" width="14" style="565" customWidth="1"/>
    <col min="4" max="4" width="0" style="565" hidden="1" customWidth="1"/>
    <col min="5" max="5" width="10.75" style="565" customWidth="1"/>
    <col min="6" max="6" width="9.625" style="565" customWidth="1"/>
    <col min="7" max="7" width="18.75" style="565" customWidth="1"/>
    <col min="8" max="16384" width="9" style="565"/>
  </cols>
  <sheetData>
    <row r="1" spans="1:15" ht="22.5">
      <c r="A1" s="2682" t="s">
        <v>4917</v>
      </c>
      <c r="B1" s="2682"/>
      <c r="C1" s="2682"/>
      <c r="D1" s="2682"/>
      <c r="E1" s="2682"/>
      <c r="F1" s="2682"/>
      <c r="G1" s="2682"/>
      <c r="H1" s="564"/>
      <c r="I1" s="564"/>
      <c r="J1" s="564"/>
      <c r="K1" s="564"/>
      <c r="L1" s="564"/>
      <c r="M1" s="564"/>
      <c r="N1" s="564"/>
      <c r="O1" s="564"/>
    </row>
    <row r="2" spans="1:15" ht="7.5" customHeight="1">
      <c r="A2" s="645"/>
      <c r="B2" s="645"/>
      <c r="C2" s="645"/>
      <c r="D2" s="645"/>
      <c r="E2" s="645"/>
      <c r="F2" s="645"/>
      <c r="G2" s="645"/>
      <c r="H2" s="564"/>
      <c r="I2" s="564"/>
      <c r="J2" s="564"/>
      <c r="K2" s="564"/>
      <c r="L2" s="564"/>
      <c r="M2" s="564"/>
      <c r="N2" s="564"/>
      <c r="O2" s="564"/>
    </row>
    <row r="3" spans="1:15" ht="36" customHeight="1">
      <c r="A3" s="953" t="s">
        <v>4916</v>
      </c>
      <c r="B3" s="2735" t="str">
        <f>基本情况!$C$3</f>
        <v/>
      </c>
      <c r="C3" s="2735"/>
      <c r="D3" s="2735"/>
      <c r="E3" s="2735"/>
      <c r="F3" s="953" t="s">
        <v>4409</v>
      </c>
      <c r="G3" s="2448" t="str">
        <f>开始!$B$13</f>
        <v>IN-11</v>
      </c>
      <c r="H3" s="564"/>
      <c r="I3" s="564"/>
      <c r="J3" s="564"/>
      <c r="K3" s="564"/>
      <c r="L3" s="564"/>
      <c r="M3" s="564"/>
      <c r="N3" s="564"/>
      <c r="O3" s="564"/>
    </row>
    <row r="4" spans="1:15" ht="36" customHeight="1">
      <c r="A4" s="953" t="s">
        <v>4915</v>
      </c>
      <c r="B4" s="2736" t="str">
        <f>基本情况!$C$18</f>
        <v>小企业会计准则</v>
      </c>
      <c r="C4" s="2736"/>
      <c r="D4" s="2736"/>
      <c r="E4" s="2736"/>
      <c r="F4" s="953" t="s">
        <v>4512</v>
      </c>
      <c r="G4" s="1101" t="str">
        <f>基本情况!$F$6&amp;"年度"</f>
        <v>2017年度</v>
      </c>
      <c r="H4" s="564"/>
      <c r="I4" s="564"/>
      <c r="J4" s="564"/>
      <c r="K4" s="564"/>
      <c r="L4" s="564"/>
      <c r="M4" s="564"/>
      <c r="N4" s="564"/>
      <c r="O4" s="564"/>
    </row>
    <row r="5" spans="1:15" ht="36" customHeight="1">
      <c r="A5" s="953" t="s">
        <v>4914</v>
      </c>
      <c r="B5" s="1100"/>
      <c r="C5" s="2561" t="s">
        <v>1727</v>
      </c>
      <c r="D5" s="2561"/>
      <c r="E5" s="1099" t="str">
        <f>基本情况!$F$18&amp;""</f>
        <v/>
      </c>
      <c r="F5" s="1098" t="s">
        <v>4642</v>
      </c>
      <c r="G5" s="1097" t="str">
        <f>基本情况!$F$5</f>
        <v>企业所得税年度纳税申报审核</v>
      </c>
      <c r="H5" s="2495" t="s">
        <v>1724</v>
      </c>
      <c r="I5" s="2495"/>
      <c r="J5" s="2495"/>
      <c r="K5" s="564"/>
      <c r="L5" s="564"/>
      <c r="M5" s="564"/>
      <c r="N5" s="564"/>
      <c r="O5" s="564"/>
    </row>
    <row r="6" spans="1:15" ht="24" customHeight="1">
      <c r="A6" s="2732" t="s">
        <v>4913</v>
      </c>
      <c r="B6" s="2732"/>
      <c r="C6" s="2732"/>
      <c r="D6" s="2733" t="s">
        <v>4912</v>
      </c>
      <c r="E6" s="2733"/>
      <c r="F6" s="2733"/>
      <c r="G6" s="2733"/>
      <c r="H6" s="704" t="s">
        <v>4911</v>
      </c>
      <c r="I6" s="564"/>
      <c r="J6" s="564"/>
      <c r="K6" s="564"/>
      <c r="L6" s="564"/>
      <c r="M6" s="564"/>
      <c r="N6" s="564"/>
      <c r="O6" s="564"/>
    </row>
    <row r="7" spans="1:15" ht="45" customHeight="1">
      <c r="A7" s="2734"/>
      <c r="B7" s="2734"/>
      <c r="C7" s="2734"/>
      <c r="D7" s="2733"/>
      <c r="E7" s="2733"/>
      <c r="F7" s="2733"/>
      <c r="G7" s="2733"/>
      <c r="H7" s="1095"/>
      <c r="I7" s="564"/>
      <c r="J7" s="564"/>
      <c r="K7" s="564"/>
      <c r="L7" s="564"/>
      <c r="M7" s="564"/>
      <c r="N7" s="564"/>
      <c r="O7" s="564"/>
    </row>
    <row r="8" spans="1:15" ht="45" customHeight="1">
      <c r="A8" s="2734"/>
      <c r="B8" s="2734"/>
      <c r="C8" s="2734"/>
      <c r="D8" s="2733"/>
      <c r="E8" s="2733"/>
      <c r="F8" s="2733"/>
      <c r="G8" s="2733"/>
      <c r="H8" s="1096" t="s">
        <v>4910</v>
      </c>
      <c r="I8" s="564"/>
      <c r="J8" s="564"/>
      <c r="K8" s="564"/>
      <c r="L8" s="564"/>
      <c r="M8" s="564"/>
      <c r="N8" s="564"/>
      <c r="O8" s="564"/>
    </row>
    <row r="9" spans="1:15" ht="45" customHeight="1">
      <c r="A9" s="2734"/>
      <c r="B9" s="2734"/>
      <c r="C9" s="2734"/>
      <c r="D9" s="2733"/>
      <c r="E9" s="2733"/>
      <c r="F9" s="2733"/>
      <c r="G9" s="2733"/>
      <c r="H9" s="1095"/>
      <c r="I9" s="564"/>
      <c r="J9" s="564"/>
      <c r="K9" s="564"/>
      <c r="L9" s="564"/>
      <c r="M9" s="564"/>
      <c r="N9" s="564"/>
      <c r="O9" s="564"/>
    </row>
    <row r="10" spans="1:15" ht="45" customHeight="1">
      <c r="A10" s="2734"/>
      <c r="B10" s="2734"/>
      <c r="C10" s="2734"/>
      <c r="D10" s="2733"/>
      <c r="E10" s="2733"/>
      <c r="F10" s="2733"/>
      <c r="G10" s="2733"/>
      <c r="H10" s="1095"/>
      <c r="I10" s="564"/>
      <c r="J10" s="564"/>
      <c r="K10" s="564"/>
      <c r="L10" s="564"/>
      <c r="M10" s="564"/>
      <c r="N10" s="564"/>
      <c r="O10" s="564"/>
    </row>
    <row r="11" spans="1:15" ht="45" customHeight="1">
      <c r="A11" s="2734"/>
      <c r="B11" s="2734"/>
      <c r="C11" s="2734"/>
      <c r="D11" s="2733"/>
      <c r="E11" s="2733"/>
      <c r="F11" s="2733"/>
      <c r="G11" s="2733"/>
      <c r="H11" s="1095"/>
      <c r="I11" s="564"/>
      <c r="J11" s="564"/>
      <c r="K11" s="564"/>
      <c r="L11" s="564"/>
      <c r="M11" s="564"/>
      <c r="N11" s="564"/>
      <c r="O11" s="564"/>
    </row>
    <row r="12" spans="1:15" ht="24" customHeight="1">
      <c r="A12" s="2734"/>
      <c r="B12" s="2734"/>
      <c r="C12" s="2734"/>
      <c r="D12" s="2733" t="s">
        <v>4909</v>
      </c>
      <c r="E12" s="2733"/>
      <c r="F12" s="2733"/>
      <c r="G12" s="2733"/>
      <c r="H12" s="1095"/>
      <c r="I12" s="564"/>
      <c r="J12" s="564"/>
      <c r="K12" s="564"/>
      <c r="L12" s="564"/>
      <c r="M12" s="564"/>
      <c r="N12" s="564"/>
      <c r="O12" s="564"/>
    </row>
    <row r="13" spans="1:15" ht="45" customHeight="1">
      <c r="A13" s="2734"/>
      <c r="B13" s="2734"/>
      <c r="C13" s="2734"/>
      <c r="D13" s="2733"/>
      <c r="E13" s="2733"/>
      <c r="F13" s="2733"/>
      <c r="G13" s="2733"/>
      <c r="H13" s="564"/>
      <c r="I13" s="564"/>
      <c r="J13" s="564"/>
      <c r="K13" s="564"/>
      <c r="L13" s="564"/>
      <c r="M13" s="564"/>
      <c r="N13" s="564"/>
      <c r="O13" s="564"/>
    </row>
    <row r="14" spans="1:15" ht="45" customHeight="1">
      <c r="A14" s="2734"/>
      <c r="B14" s="2734"/>
      <c r="C14" s="2734"/>
      <c r="D14" s="2733"/>
      <c r="E14" s="2733"/>
      <c r="F14" s="2733"/>
      <c r="G14" s="2733"/>
      <c r="H14" s="564"/>
      <c r="I14" s="564"/>
      <c r="J14" s="564"/>
      <c r="K14" s="564"/>
      <c r="L14" s="564"/>
      <c r="M14" s="564"/>
      <c r="N14" s="564"/>
      <c r="O14" s="564"/>
    </row>
    <row r="15" spans="1:15" ht="45" customHeight="1">
      <c r="A15" s="2734"/>
      <c r="B15" s="2734"/>
      <c r="C15" s="2734"/>
      <c r="D15" s="2733"/>
      <c r="E15" s="2733"/>
      <c r="F15" s="2733"/>
      <c r="G15" s="2733"/>
      <c r="H15" s="564"/>
      <c r="I15" s="564"/>
      <c r="J15" s="564"/>
      <c r="K15" s="564"/>
      <c r="L15" s="564"/>
      <c r="M15" s="564"/>
      <c r="N15" s="564"/>
      <c r="O15" s="564"/>
    </row>
    <row r="16" spans="1:15" ht="45" customHeight="1">
      <c r="A16" s="2734"/>
      <c r="B16" s="2734"/>
      <c r="C16" s="2734"/>
      <c r="D16" s="2733"/>
      <c r="E16" s="2733"/>
      <c r="F16" s="2733"/>
      <c r="G16" s="2733"/>
      <c r="H16" s="564"/>
      <c r="I16" s="564"/>
      <c r="J16" s="564"/>
      <c r="K16" s="564"/>
      <c r="L16" s="564"/>
      <c r="M16" s="564"/>
      <c r="N16" s="564"/>
      <c r="O16" s="564"/>
    </row>
    <row r="17" spans="1:15" ht="45" customHeight="1">
      <c r="A17" s="2734"/>
      <c r="B17" s="2734"/>
      <c r="C17" s="2734"/>
      <c r="D17" s="2733"/>
      <c r="E17" s="2733"/>
      <c r="F17" s="2733"/>
      <c r="G17" s="2733"/>
      <c r="H17" s="564"/>
      <c r="I17" s="564"/>
      <c r="J17" s="564"/>
      <c r="K17" s="564"/>
      <c r="L17" s="564"/>
      <c r="M17" s="564"/>
      <c r="N17" s="564"/>
      <c r="O17" s="564"/>
    </row>
  </sheetData>
  <sheetProtection selectLockedCells="1" selectUnlockedCells="1"/>
  <mergeCells count="9">
    <mergeCell ref="H5:J5"/>
    <mergeCell ref="A6:C6"/>
    <mergeCell ref="D6:G11"/>
    <mergeCell ref="A7:C17"/>
    <mergeCell ref="D12:G17"/>
    <mergeCell ref="A1:G1"/>
    <mergeCell ref="B3:E3"/>
    <mergeCell ref="B4:E4"/>
    <mergeCell ref="C5:D5"/>
  </mergeCells>
  <phoneticPr fontId="135" type="noConversion"/>
  <hyperlinks>
    <hyperlink ref="H6" location="事项说明!A1" display="事项说明"/>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O31"/>
  <sheetViews>
    <sheetView workbookViewId="0">
      <selection activeCell="D3" sqref="D3:G3"/>
    </sheetView>
  </sheetViews>
  <sheetFormatPr defaultColWidth="8" defaultRowHeight="12"/>
  <cols>
    <col min="1" max="1" width="13.625" style="640" customWidth="1"/>
    <col min="2" max="2" width="9.75" style="640" customWidth="1"/>
    <col min="3" max="3" width="13.625" style="640" customWidth="1"/>
    <col min="4" max="4" width="8.25" style="640" customWidth="1"/>
    <col min="5" max="5" width="14.625" style="640" customWidth="1"/>
    <col min="6" max="6" width="12.75" style="640" customWidth="1"/>
    <col min="7" max="9" width="8" style="640"/>
    <col min="10" max="10" width="8.5" style="640" customWidth="1"/>
    <col min="11" max="16384" width="8" style="640"/>
  </cols>
  <sheetData>
    <row r="1" spans="1:15" s="1116" customFormat="1" ht="46.5" customHeight="1">
      <c r="A1" s="2568" t="s">
        <v>1710</v>
      </c>
      <c r="B1" s="2568"/>
      <c r="C1" s="2568"/>
      <c r="D1" s="2568"/>
      <c r="E1" s="2568"/>
      <c r="F1" s="2568"/>
      <c r="G1" s="2568"/>
      <c r="H1" s="1117"/>
      <c r="I1" s="1118"/>
      <c r="J1" s="1117"/>
      <c r="K1" s="1117"/>
      <c r="L1" s="1117"/>
      <c r="M1" s="1117"/>
      <c r="N1" s="1117"/>
      <c r="O1" s="1117"/>
    </row>
    <row r="2" spans="1:15" s="1112" customFormat="1" ht="23.25" customHeight="1">
      <c r="A2" s="1115" t="s">
        <v>4510</v>
      </c>
      <c r="B2" s="2738" t="str">
        <f>基本情况!$C$3</f>
        <v/>
      </c>
      <c r="C2" s="2738"/>
      <c r="D2" s="2738"/>
      <c r="E2" s="2738"/>
      <c r="F2" s="1114" t="s">
        <v>4409</v>
      </c>
      <c r="G2" s="2449" t="str">
        <f>开始!B14</f>
        <v>IN-12</v>
      </c>
      <c r="H2" s="1113"/>
      <c r="I2" s="1113"/>
      <c r="J2" s="1108"/>
      <c r="K2" s="1108"/>
      <c r="L2" s="1108"/>
      <c r="M2" s="1108"/>
      <c r="N2" s="1108"/>
      <c r="O2" s="1108"/>
    </row>
    <row r="3" spans="1:15" s="1102" customFormat="1" ht="23.25" customHeight="1">
      <c r="A3" s="2739" t="s">
        <v>4928</v>
      </c>
      <c r="B3" s="2739"/>
      <c r="C3" s="2739"/>
      <c r="D3" s="2740" t="s">
        <v>4927</v>
      </c>
      <c r="E3" s="2740"/>
      <c r="F3" s="2740"/>
      <c r="G3" s="2740"/>
      <c r="H3" s="1103"/>
      <c r="I3" s="1103"/>
      <c r="J3" s="1103"/>
      <c r="K3" s="1103"/>
      <c r="L3" s="1103"/>
      <c r="M3" s="1103"/>
      <c r="N3" s="1103"/>
      <c r="O3" s="1103"/>
    </row>
    <row r="4" spans="1:15" s="1102" customFormat="1" ht="23.25" customHeight="1">
      <c r="A4" s="1111" t="s">
        <v>4926</v>
      </c>
      <c r="B4" s="2746" t="str">
        <f>基本情况!$F$18&amp;""</f>
        <v/>
      </c>
      <c r="C4" s="2746"/>
      <c r="D4" s="2745" t="str">
        <f>"姓名："&amp;基本情况!$C$15</f>
        <v>姓名：0</v>
      </c>
      <c r="E4" s="2745"/>
      <c r="F4" s="2741" t="str">
        <f>"职务："&amp;基本情况!$A$15</f>
        <v>职务：企业负责人</v>
      </c>
      <c r="G4" s="2741"/>
      <c r="H4" s="2495" t="s">
        <v>1724</v>
      </c>
      <c r="I4" s="2495"/>
      <c r="J4" s="2495"/>
      <c r="K4" s="1103"/>
      <c r="L4" s="1103"/>
      <c r="M4" s="1103"/>
      <c r="N4" s="1103"/>
      <c r="O4" s="1103"/>
    </row>
    <row r="5" spans="1:15" s="1102" customFormat="1" ht="23.25" customHeight="1">
      <c r="A5" s="1111" t="s">
        <v>4925</v>
      </c>
      <c r="B5" s="2747" t="str">
        <f>基本情况!$F$19&amp;""</f>
        <v/>
      </c>
      <c r="C5" s="2747"/>
      <c r="D5" s="2745" t="str">
        <f>"姓名："&amp;基本情况!$C$16</f>
        <v>姓名：0</v>
      </c>
      <c r="E5" s="2745"/>
      <c r="F5" s="2741" t="str">
        <f>"职务："&amp;基本情况!$A$16</f>
        <v>职务：财务负责人</v>
      </c>
      <c r="G5" s="2741"/>
      <c r="H5" s="1103"/>
      <c r="I5" s="1103"/>
      <c r="J5" s="1103"/>
      <c r="K5" s="1103"/>
      <c r="L5" s="1103"/>
      <c r="M5" s="1103"/>
      <c r="N5" s="1103"/>
      <c r="O5" s="1103"/>
    </row>
    <row r="6" spans="1:15" s="1102" customFormat="1" ht="23.25" customHeight="1">
      <c r="A6" s="2742"/>
      <c r="B6" s="2742"/>
      <c r="C6" s="2742"/>
      <c r="D6" s="2743" t="s">
        <v>4924</v>
      </c>
      <c r="E6" s="2743"/>
      <c r="F6" s="2744" t="s">
        <v>4923</v>
      </c>
      <c r="G6" s="2744"/>
      <c r="H6" s="1103"/>
      <c r="I6" s="1103"/>
      <c r="J6" s="1103"/>
      <c r="K6" s="1103"/>
      <c r="L6" s="1103"/>
      <c r="M6" s="1103"/>
      <c r="N6" s="1103"/>
      <c r="O6" s="1103"/>
    </row>
    <row r="7" spans="1:15" s="1102" customFormat="1" ht="22.5" customHeight="1">
      <c r="A7" s="2749" t="s">
        <v>4922</v>
      </c>
      <c r="B7" s="2749"/>
      <c r="C7" s="2749"/>
      <c r="D7" s="2750" t="s">
        <v>4921</v>
      </c>
      <c r="E7" s="2750"/>
      <c r="F7" s="2750"/>
      <c r="G7" s="2750"/>
      <c r="H7" s="704" t="s">
        <v>4920</v>
      </c>
      <c r="I7" s="704"/>
      <c r="J7" s="704"/>
      <c r="K7" s="704"/>
      <c r="L7" s="1103"/>
      <c r="M7" s="1103"/>
      <c r="N7" s="1103"/>
      <c r="O7" s="1103"/>
    </row>
    <row r="8" spans="1:15" s="1102" customFormat="1" ht="12.75" hidden="1" customHeight="1">
      <c r="A8" s="1110"/>
      <c r="B8" s="1108"/>
      <c r="C8" s="1107"/>
      <c r="D8" s="1108"/>
      <c r="E8" s="1108"/>
      <c r="F8" s="1108"/>
      <c r="G8" s="1107"/>
      <c r="H8" s="1103"/>
      <c r="I8" s="1103"/>
      <c r="J8" s="1103"/>
      <c r="K8" s="1103"/>
      <c r="L8" s="1103"/>
      <c r="M8" s="1103"/>
      <c r="N8" s="1103"/>
      <c r="O8" s="1103"/>
    </row>
    <row r="9" spans="1:15" s="1102" customFormat="1" ht="13.5">
      <c r="A9" s="2748"/>
      <c r="B9" s="2748"/>
      <c r="C9" s="2748"/>
      <c r="D9" s="2748"/>
      <c r="E9" s="2748"/>
      <c r="F9" s="2748"/>
      <c r="G9" s="2748"/>
      <c r="H9" s="1103"/>
      <c r="I9" s="1103"/>
      <c r="J9" s="1103"/>
      <c r="K9" s="1103"/>
      <c r="L9" s="1103"/>
      <c r="M9" s="1103"/>
      <c r="N9" s="1103"/>
      <c r="O9" s="1103"/>
    </row>
    <row r="10" spans="1:15" s="1102" customFormat="1" ht="24.75" customHeight="1">
      <c r="A10" s="2737"/>
      <c r="B10" s="2737"/>
      <c r="C10" s="2737"/>
      <c r="D10" s="2737"/>
      <c r="E10" s="2737"/>
      <c r="F10" s="2737"/>
      <c r="G10" s="2737"/>
      <c r="H10" s="1103"/>
      <c r="I10" s="1103"/>
      <c r="J10" s="1103"/>
      <c r="K10" s="1103"/>
      <c r="L10" s="1103"/>
      <c r="M10" s="1103"/>
      <c r="N10" s="1103"/>
      <c r="O10" s="1103"/>
    </row>
    <row r="11" spans="1:15" s="1102" customFormat="1" ht="24.75" customHeight="1">
      <c r="A11" s="2737"/>
      <c r="B11" s="2737"/>
      <c r="C11" s="2737"/>
      <c r="D11" s="2737"/>
      <c r="E11" s="2737"/>
      <c r="F11" s="2737"/>
      <c r="G11" s="2737"/>
      <c r="H11" s="1103"/>
      <c r="I11" s="1103"/>
      <c r="J11" s="1103"/>
      <c r="K11" s="1103"/>
      <c r="L11" s="1103"/>
      <c r="M11" s="1103"/>
      <c r="N11" s="1103"/>
      <c r="O11" s="1103"/>
    </row>
    <row r="12" spans="1:15" s="1102" customFormat="1" ht="24.75" customHeight="1">
      <c r="A12" s="2737"/>
      <c r="B12" s="2737"/>
      <c r="C12" s="2737"/>
      <c r="D12" s="2737"/>
      <c r="E12" s="2737"/>
      <c r="F12" s="2737"/>
      <c r="G12" s="2737"/>
      <c r="H12" s="1103"/>
      <c r="I12" s="1103"/>
      <c r="J12" s="1103"/>
      <c r="K12" s="1103"/>
      <c r="L12" s="1103"/>
      <c r="M12" s="1103"/>
      <c r="N12" s="1103"/>
      <c r="O12" s="1103"/>
    </row>
    <row r="13" spans="1:15" s="1102" customFormat="1" ht="24.75" customHeight="1">
      <c r="A13" s="2737"/>
      <c r="B13" s="2737"/>
      <c r="C13" s="2737"/>
      <c r="D13" s="2737"/>
      <c r="E13" s="2737"/>
      <c r="F13" s="2737"/>
      <c r="G13" s="2737"/>
      <c r="H13" s="1103"/>
      <c r="I13" s="1103"/>
      <c r="J13" s="1103"/>
      <c r="K13" s="1103"/>
      <c r="L13" s="1103"/>
      <c r="M13" s="1103"/>
      <c r="N13" s="1103"/>
      <c r="O13" s="1103"/>
    </row>
    <row r="14" spans="1:15" s="1102" customFormat="1" ht="24.75" customHeight="1">
      <c r="A14" s="2737"/>
      <c r="B14" s="2737"/>
      <c r="C14" s="2737"/>
      <c r="D14" s="2737"/>
      <c r="E14" s="2737"/>
      <c r="F14" s="2737"/>
      <c r="G14" s="2737"/>
      <c r="H14" s="1103"/>
      <c r="I14" s="1103"/>
      <c r="J14" s="1103"/>
      <c r="K14" s="1103"/>
      <c r="L14" s="1103"/>
      <c r="M14" s="1103"/>
      <c r="N14" s="1103"/>
      <c r="O14" s="1103"/>
    </row>
    <row r="15" spans="1:15" s="1102" customFormat="1" ht="24.75" customHeight="1">
      <c r="A15" s="2737"/>
      <c r="B15" s="2737"/>
      <c r="C15" s="2737"/>
      <c r="D15" s="2737"/>
      <c r="E15" s="2737"/>
      <c r="F15" s="2737"/>
      <c r="G15" s="2737"/>
      <c r="H15" s="1103"/>
      <c r="I15" s="1103"/>
      <c r="J15" s="1103"/>
      <c r="K15" s="1103"/>
      <c r="L15" s="1103"/>
      <c r="M15" s="1103"/>
      <c r="N15" s="1103"/>
      <c r="O15" s="1103"/>
    </row>
    <row r="16" spans="1:15" s="1102" customFormat="1" ht="24.75" customHeight="1">
      <c r="A16" s="2737"/>
      <c r="B16" s="2737"/>
      <c r="C16" s="2737"/>
      <c r="D16" s="2737"/>
      <c r="E16" s="2737"/>
      <c r="F16" s="2737"/>
      <c r="G16" s="2737"/>
      <c r="H16" s="1103"/>
      <c r="I16" s="1103"/>
      <c r="J16" s="1103"/>
      <c r="K16" s="1103"/>
      <c r="L16" s="1103"/>
      <c r="M16" s="1103"/>
      <c r="N16" s="1103"/>
      <c r="O16" s="1103"/>
    </row>
    <row r="17" spans="1:15" s="1102" customFormat="1" ht="24.75" customHeight="1">
      <c r="A17" s="2737"/>
      <c r="B17" s="2737"/>
      <c r="C17" s="2737"/>
      <c r="D17" s="2737"/>
      <c r="E17" s="2737"/>
      <c r="F17" s="2737"/>
      <c r="G17" s="2737"/>
      <c r="H17" s="1103"/>
      <c r="I17" s="1103"/>
      <c r="J17" s="1103"/>
      <c r="K17" s="1103"/>
      <c r="L17" s="1103"/>
      <c r="M17" s="1103"/>
      <c r="N17" s="1103"/>
      <c r="O17" s="1103"/>
    </row>
    <row r="18" spans="1:15" s="1102" customFormat="1" ht="24.75" customHeight="1">
      <c r="A18" s="2737"/>
      <c r="B18" s="2737"/>
      <c r="C18" s="2737"/>
      <c r="D18" s="2737"/>
      <c r="E18" s="2737"/>
      <c r="F18" s="2737"/>
      <c r="G18" s="2737"/>
      <c r="H18" s="1103"/>
      <c r="I18" s="1103"/>
      <c r="J18" s="1103"/>
      <c r="K18" s="1103"/>
      <c r="L18" s="1103"/>
      <c r="M18" s="1103"/>
      <c r="N18" s="1103"/>
      <c r="O18" s="1103"/>
    </row>
    <row r="19" spans="1:15" s="1102" customFormat="1" ht="24.75" customHeight="1">
      <c r="A19" s="2737"/>
      <c r="B19" s="2737"/>
      <c r="C19" s="2737"/>
      <c r="D19" s="2737" t="s">
        <v>4919</v>
      </c>
      <c r="E19" s="2737"/>
      <c r="F19" s="2737"/>
      <c r="G19" s="2737"/>
      <c r="H19" s="1103"/>
      <c r="I19" s="1103"/>
      <c r="J19" s="1103"/>
      <c r="K19" s="1103"/>
      <c r="L19" s="1103"/>
      <c r="M19" s="1103"/>
      <c r="N19" s="1103"/>
      <c r="O19" s="1103"/>
    </row>
    <row r="20" spans="1:15" s="1102" customFormat="1" ht="24.75" customHeight="1">
      <c r="A20" s="2737"/>
      <c r="B20" s="2737"/>
      <c r="C20" s="2737"/>
      <c r="D20" s="2737"/>
      <c r="E20" s="2737"/>
      <c r="F20" s="2737"/>
      <c r="G20" s="2737"/>
      <c r="H20" s="1103"/>
      <c r="I20" s="1103"/>
      <c r="J20" s="1103"/>
      <c r="K20" s="1103"/>
      <c r="L20" s="1103"/>
      <c r="M20" s="1103"/>
      <c r="N20" s="1103"/>
      <c r="O20" s="1103"/>
    </row>
    <row r="21" spans="1:15" s="1102" customFormat="1" ht="24.75" customHeight="1">
      <c r="A21" s="2737"/>
      <c r="B21" s="2737"/>
      <c r="C21" s="2737"/>
      <c r="D21" s="2737"/>
      <c r="E21" s="2737"/>
      <c r="F21" s="2737"/>
      <c r="G21" s="2737"/>
      <c r="H21" s="1103"/>
      <c r="I21" s="1103"/>
      <c r="J21" s="1103"/>
      <c r="K21" s="1103"/>
      <c r="L21" s="1103"/>
      <c r="M21" s="1103"/>
      <c r="N21" s="1103"/>
      <c r="O21" s="1103"/>
    </row>
    <row r="22" spans="1:15" s="1102" customFormat="1" ht="24.75" customHeight="1">
      <c r="A22" s="2737"/>
      <c r="B22" s="2737"/>
      <c r="C22" s="2737"/>
      <c r="D22" s="2737"/>
      <c r="E22" s="2737"/>
      <c r="F22" s="2737"/>
      <c r="G22" s="2737"/>
      <c r="H22" s="1103"/>
      <c r="I22" s="1103"/>
      <c r="J22" s="1103"/>
      <c r="K22" s="1103"/>
      <c r="L22" s="1103"/>
      <c r="M22" s="1103"/>
      <c r="N22" s="1103"/>
      <c r="O22" s="1103"/>
    </row>
    <row r="23" spans="1:15" s="1102" customFormat="1" ht="24.75" customHeight="1">
      <c r="A23" s="2737"/>
      <c r="B23" s="2737"/>
      <c r="C23" s="2737"/>
      <c r="D23" s="2737"/>
      <c r="E23" s="2737"/>
      <c r="F23" s="2737"/>
      <c r="G23" s="2737"/>
      <c r="H23" s="1103"/>
      <c r="I23" s="1103"/>
      <c r="J23" s="1103"/>
      <c r="K23" s="1103"/>
      <c r="L23" s="1103"/>
      <c r="M23" s="1103"/>
      <c r="N23" s="1103"/>
      <c r="O23" s="1103"/>
    </row>
    <row r="24" spans="1:15" s="1102" customFormat="1" ht="24.75" customHeight="1">
      <c r="A24" s="2737"/>
      <c r="B24" s="2737"/>
      <c r="C24" s="2737"/>
      <c r="D24" s="2737"/>
      <c r="E24" s="2737"/>
      <c r="F24" s="2737"/>
      <c r="G24" s="2737"/>
      <c r="H24" s="1103"/>
      <c r="I24" s="1103"/>
      <c r="J24" s="1103"/>
      <c r="K24" s="1103"/>
      <c r="L24" s="1103"/>
      <c r="M24" s="1103"/>
      <c r="N24" s="1103"/>
      <c r="O24" s="1103"/>
    </row>
    <row r="25" spans="1:15" s="1102" customFormat="1" ht="24.75" customHeight="1">
      <c r="A25" s="2737"/>
      <c r="B25" s="2737"/>
      <c r="C25" s="2737"/>
      <c r="D25" s="2737"/>
      <c r="E25" s="2737"/>
      <c r="F25" s="2737"/>
      <c r="G25" s="2737"/>
      <c r="H25" s="1103"/>
      <c r="I25" s="1103"/>
      <c r="J25" s="1103"/>
      <c r="K25" s="1103"/>
      <c r="L25" s="1103"/>
      <c r="M25" s="1103"/>
      <c r="N25" s="1103"/>
      <c r="O25" s="1103"/>
    </row>
    <row r="26" spans="1:15" s="1102" customFormat="1" ht="24.75" customHeight="1">
      <c r="A26" s="2737"/>
      <c r="B26" s="2737"/>
      <c r="C26" s="2737"/>
      <c r="D26" s="2737"/>
      <c r="E26" s="2737"/>
      <c r="F26" s="2737"/>
      <c r="G26" s="2737"/>
      <c r="H26" s="1103"/>
      <c r="I26" s="1103"/>
      <c r="J26" s="1103"/>
      <c r="K26" s="1103"/>
      <c r="L26" s="1103"/>
      <c r="M26" s="1103"/>
      <c r="N26" s="1103"/>
      <c r="O26" s="1103"/>
    </row>
    <row r="27" spans="1:15" s="1102" customFormat="1" ht="24.75" customHeight="1">
      <c r="A27" s="2737"/>
      <c r="B27" s="2737"/>
      <c r="C27" s="2737"/>
      <c r="D27" s="2737"/>
      <c r="E27" s="2737"/>
      <c r="F27" s="2737"/>
      <c r="G27" s="2737"/>
      <c r="H27" s="1103"/>
      <c r="I27" s="1103"/>
      <c r="J27" s="1103"/>
      <c r="K27" s="1103"/>
      <c r="L27" s="1103"/>
      <c r="M27" s="1103"/>
      <c r="N27" s="1103"/>
      <c r="O27" s="1103"/>
    </row>
    <row r="28" spans="1:15" s="1102" customFormat="1" ht="24.75" customHeight="1">
      <c r="A28" s="2737"/>
      <c r="B28" s="2737"/>
      <c r="C28" s="2737"/>
      <c r="D28" s="2737"/>
      <c r="E28" s="2737"/>
      <c r="F28" s="2737"/>
      <c r="G28" s="2737"/>
      <c r="H28" s="1103"/>
      <c r="I28" s="1103"/>
      <c r="J28" s="1103"/>
      <c r="K28" s="1103"/>
      <c r="L28" s="1103"/>
      <c r="M28" s="1103"/>
      <c r="N28" s="1103"/>
      <c r="O28" s="1103"/>
    </row>
    <row r="29" spans="1:15" s="1102" customFormat="1" ht="24.75" customHeight="1">
      <c r="A29" s="2737"/>
      <c r="B29" s="2737"/>
      <c r="C29" s="2737"/>
      <c r="D29" s="2737"/>
      <c r="E29" s="2737"/>
      <c r="F29" s="2737"/>
      <c r="G29" s="2737"/>
      <c r="H29" s="1103"/>
      <c r="I29" s="1103"/>
      <c r="J29" s="1103"/>
      <c r="K29" s="1103"/>
      <c r="L29" s="1103"/>
      <c r="M29" s="1103"/>
      <c r="N29" s="1103"/>
      <c r="O29" s="1103"/>
    </row>
    <row r="30" spans="1:15" s="1102" customFormat="1" ht="13.5">
      <c r="A30" s="1110"/>
      <c r="B30" s="1108"/>
      <c r="C30" s="1107"/>
      <c r="D30" s="1109" t="s">
        <v>4918</v>
      </c>
      <c r="E30" s="1108"/>
      <c r="F30" s="1108"/>
      <c r="G30" s="1107"/>
      <c r="H30" s="1103"/>
      <c r="I30" s="1103"/>
      <c r="J30" s="1103"/>
      <c r="K30" s="1103"/>
      <c r="L30" s="1103"/>
      <c r="M30" s="1103"/>
      <c r="N30" s="1103"/>
      <c r="O30" s="1103"/>
    </row>
    <row r="31" spans="1:15" s="1102" customFormat="1" ht="13.5">
      <c r="A31" s="1106"/>
      <c r="B31" s="1105"/>
      <c r="C31" s="1104"/>
      <c r="D31" s="1106"/>
      <c r="E31" s="1105"/>
      <c r="F31" s="1105"/>
      <c r="G31" s="1104"/>
      <c r="H31" s="1103"/>
      <c r="I31" s="1103"/>
      <c r="J31" s="1103"/>
      <c r="K31" s="1103"/>
      <c r="L31" s="1103"/>
      <c r="M31" s="1103"/>
      <c r="N31" s="1103"/>
      <c r="O31" s="1103"/>
    </row>
  </sheetData>
  <sheetProtection selectLockedCells="1" selectUnlockedCells="1"/>
  <mergeCells count="58">
    <mergeCell ref="H4:J4"/>
    <mergeCell ref="B4:C4"/>
    <mergeCell ref="B5:C5"/>
    <mergeCell ref="D5:E5"/>
    <mergeCell ref="A10:C10"/>
    <mergeCell ref="D10:G10"/>
    <mergeCell ref="A9:C9"/>
    <mergeCell ref="D9:G9"/>
    <mergeCell ref="A7:C7"/>
    <mergeCell ref="D7:G7"/>
    <mergeCell ref="A1:G1"/>
    <mergeCell ref="B2:E2"/>
    <mergeCell ref="A3:C3"/>
    <mergeCell ref="D3:G3"/>
    <mergeCell ref="A12:C12"/>
    <mergeCell ref="D12:G12"/>
    <mergeCell ref="F5:G5"/>
    <mergeCell ref="A6:C6"/>
    <mergeCell ref="D6:E6"/>
    <mergeCell ref="F6:G6"/>
    <mergeCell ref="A11:C11"/>
    <mergeCell ref="D11:G11"/>
    <mergeCell ref="D4:E4"/>
    <mergeCell ref="F4:G4"/>
    <mergeCell ref="A13:C13"/>
    <mergeCell ref="D13:G13"/>
    <mergeCell ref="A14:C14"/>
    <mergeCell ref="D14:G14"/>
    <mergeCell ref="A22:C22"/>
    <mergeCell ref="D22:G22"/>
    <mergeCell ref="A21:C21"/>
    <mergeCell ref="D21:G21"/>
    <mergeCell ref="A19:C19"/>
    <mergeCell ref="D19:G19"/>
    <mergeCell ref="A20:C20"/>
    <mergeCell ref="D20:G20"/>
    <mergeCell ref="A17:C17"/>
    <mergeCell ref="D17:G17"/>
    <mergeCell ref="A18:C18"/>
    <mergeCell ref="D18:G18"/>
    <mergeCell ref="A29:C29"/>
    <mergeCell ref="D29:G29"/>
    <mergeCell ref="A26:C26"/>
    <mergeCell ref="D26:G26"/>
    <mergeCell ref="A27:C27"/>
    <mergeCell ref="D27:G27"/>
    <mergeCell ref="A28:C28"/>
    <mergeCell ref="D28:G28"/>
    <mergeCell ref="A25:C25"/>
    <mergeCell ref="D25:G25"/>
    <mergeCell ref="A15:C15"/>
    <mergeCell ref="D15:G15"/>
    <mergeCell ref="A16:C16"/>
    <mergeCell ref="D16:G16"/>
    <mergeCell ref="A23:C23"/>
    <mergeCell ref="D23:G23"/>
    <mergeCell ref="A24:C24"/>
    <mergeCell ref="D24:G24"/>
  </mergeCells>
  <phoneticPr fontId="135" type="noConversion"/>
  <dataValidations count="1">
    <dataValidation allowBlank="1" showErrorMessage="1" sqref="B5:C5">
      <formula1>0</formula1>
      <formula2>0</formula2>
    </dataValidation>
  </dataValidations>
  <hyperlinks>
    <hyperlink ref="H7" location="事项说明!A28" display="事项说明!A28"/>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0">
    <pageSetUpPr fitToPage="1"/>
  </sheetPr>
  <dimension ref="A1:J74"/>
  <sheetViews>
    <sheetView workbookViewId="0">
      <selection activeCell="C3" sqref="C3"/>
    </sheetView>
  </sheetViews>
  <sheetFormatPr defaultColWidth="9" defaultRowHeight="16.5"/>
  <cols>
    <col min="1" max="1" width="4.75" style="1046" bestFit="1" customWidth="1"/>
    <col min="2" max="2" width="56.75" style="565" customWidth="1"/>
    <col min="3" max="4" width="16.25" style="565" customWidth="1"/>
    <col min="5" max="16384" width="9" style="565"/>
  </cols>
  <sheetData>
    <row r="1" spans="1:10" ht="25.9" customHeight="1">
      <c r="A1" s="2756" t="s">
        <v>6562</v>
      </c>
      <c r="B1" s="2756"/>
      <c r="C1" s="2754" t="str">
        <f>基本情况!$F$10</f>
        <v>厦中汇税审（2018）第DS0001号</v>
      </c>
      <c r="D1" s="2754"/>
      <c r="E1" s="564"/>
      <c r="F1" s="564"/>
      <c r="G1" s="564"/>
      <c r="H1" s="564"/>
      <c r="I1" s="564"/>
      <c r="J1" s="564"/>
    </row>
    <row r="2" spans="1:10" ht="37.15" customHeight="1">
      <c r="A2" s="2757"/>
      <c r="B2" s="2757"/>
      <c r="C2" s="2755" t="str">
        <f>"底稿编号："&amp;开始!B15</f>
        <v>底稿编号：IN-13</v>
      </c>
      <c r="D2" s="2755"/>
      <c r="E2" s="564"/>
      <c r="F2" s="564"/>
      <c r="G2" s="564"/>
      <c r="H2" s="564"/>
      <c r="I2" s="564"/>
      <c r="J2" s="564"/>
    </row>
    <row r="3" spans="1:10" s="1119" customFormat="1" ht="32.25" customHeight="1">
      <c r="A3" s="2417" t="s">
        <v>4770</v>
      </c>
      <c r="B3" s="2417" t="s">
        <v>6563</v>
      </c>
      <c r="C3" s="2417" t="s">
        <v>6564</v>
      </c>
      <c r="D3" s="2417" t="s">
        <v>6565</v>
      </c>
      <c r="E3" s="1120"/>
      <c r="F3" s="1120"/>
      <c r="G3" s="1120"/>
      <c r="H3" s="1120"/>
      <c r="I3" s="1120"/>
      <c r="J3" s="1120"/>
    </row>
    <row r="4" spans="1:10" ht="18" customHeight="1">
      <c r="A4" s="2758" t="s">
        <v>6566</v>
      </c>
      <c r="B4" s="2759"/>
      <c r="C4" s="2759"/>
      <c r="D4" s="2760"/>
      <c r="E4" s="564"/>
      <c r="F4" s="564"/>
      <c r="G4" s="564"/>
      <c r="H4" s="564"/>
      <c r="I4" s="564"/>
      <c r="J4" s="564"/>
    </row>
    <row r="5" spans="1:10" ht="30.75" customHeight="1">
      <c r="A5" s="2418">
        <v>1</v>
      </c>
      <c r="B5" s="2419" t="s">
        <v>6567</v>
      </c>
      <c r="C5" s="2418"/>
      <c r="D5" s="2418"/>
      <c r="E5" s="564"/>
      <c r="F5" s="564"/>
      <c r="G5" s="564"/>
      <c r="H5" s="564"/>
      <c r="I5" s="564"/>
      <c r="J5" s="564"/>
    </row>
    <row r="6" spans="1:10" ht="16.5" customHeight="1">
      <c r="A6" s="2418">
        <v>2</v>
      </c>
      <c r="B6" s="2419" t="s">
        <v>6568</v>
      </c>
      <c r="C6" s="2418"/>
      <c r="D6" s="2418"/>
      <c r="E6" s="564"/>
      <c r="F6" s="564"/>
      <c r="G6" s="564"/>
      <c r="H6" s="564"/>
      <c r="I6" s="564"/>
      <c r="J6" s="564"/>
    </row>
    <row r="7" spans="1:10" ht="30" customHeight="1">
      <c r="A7" s="2418">
        <v>3</v>
      </c>
      <c r="B7" s="2419" t="s">
        <v>6569</v>
      </c>
      <c r="C7" s="2418"/>
      <c r="D7" s="2418"/>
      <c r="E7" s="564"/>
      <c r="F7" s="564"/>
      <c r="G7" s="564"/>
      <c r="H7" s="564"/>
      <c r="I7" s="564"/>
      <c r="J7" s="564"/>
    </row>
    <row r="8" spans="1:10" ht="16.5" customHeight="1">
      <c r="A8" s="2418">
        <v>4</v>
      </c>
      <c r="B8" s="2419" t="s">
        <v>6570</v>
      </c>
      <c r="C8" s="2418"/>
      <c r="D8" s="2418"/>
      <c r="E8" s="564"/>
      <c r="F8" s="564"/>
      <c r="G8" s="564"/>
      <c r="H8" s="564"/>
      <c r="I8" s="564"/>
      <c r="J8" s="564"/>
    </row>
    <row r="9" spans="1:10" ht="30" customHeight="1">
      <c r="A9" s="2418">
        <v>5</v>
      </c>
      <c r="B9" s="2419" t="s">
        <v>6571</v>
      </c>
      <c r="C9" s="2418"/>
      <c r="D9" s="2418"/>
      <c r="E9" s="564"/>
      <c r="F9" s="564"/>
      <c r="G9" s="564"/>
      <c r="H9" s="564"/>
      <c r="I9" s="564"/>
      <c r="J9" s="564"/>
    </row>
    <row r="10" spans="1:10" ht="16.5" customHeight="1">
      <c r="A10" s="2418">
        <v>6</v>
      </c>
      <c r="B10" s="2419" t="s">
        <v>6572</v>
      </c>
      <c r="C10" s="2418"/>
      <c r="D10" s="2418"/>
      <c r="E10" s="564"/>
      <c r="F10" s="564"/>
      <c r="G10" s="564"/>
      <c r="H10" s="564"/>
      <c r="I10" s="564"/>
      <c r="J10" s="564"/>
    </row>
    <row r="11" spans="1:10" ht="16.5" customHeight="1">
      <c r="A11" s="2418">
        <v>7</v>
      </c>
      <c r="B11" s="2419" t="s">
        <v>6573</v>
      </c>
      <c r="C11" s="2418"/>
      <c r="D11" s="2418"/>
      <c r="E11" s="564"/>
      <c r="F11" s="564"/>
      <c r="G11" s="564"/>
      <c r="H11" s="564"/>
      <c r="I11" s="564"/>
      <c r="J11" s="564"/>
    </row>
    <row r="12" spans="1:10" ht="30" customHeight="1">
      <c r="A12" s="2418">
        <v>8</v>
      </c>
      <c r="B12" s="2419" t="s">
        <v>6574</v>
      </c>
      <c r="C12" s="2418"/>
      <c r="D12" s="2418"/>
      <c r="E12" s="564"/>
      <c r="F12" s="564"/>
      <c r="G12" s="564"/>
      <c r="H12" s="564"/>
      <c r="I12" s="564"/>
      <c r="J12" s="564"/>
    </row>
    <row r="13" spans="1:10" ht="30" customHeight="1">
      <c r="A13" s="2418">
        <v>9</v>
      </c>
      <c r="B13" s="2419" t="s">
        <v>6575</v>
      </c>
      <c r="C13" s="2418"/>
      <c r="D13" s="2418"/>
      <c r="E13" s="564"/>
      <c r="F13" s="564"/>
      <c r="G13" s="564"/>
      <c r="H13" s="564"/>
      <c r="I13" s="564"/>
      <c r="J13" s="564"/>
    </row>
    <row r="14" spans="1:10" ht="16.5" customHeight="1">
      <c r="A14" s="2418">
        <v>10</v>
      </c>
      <c r="B14" s="2419" t="s">
        <v>6576</v>
      </c>
      <c r="C14" s="2418"/>
      <c r="D14" s="2418"/>
      <c r="E14" s="564"/>
      <c r="F14" s="564"/>
      <c r="G14" s="564"/>
      <c r="H14" s="564"/>
      <c r="I14" s="564"/>
      <c r="J14" s="564"/>
    </row>
    <row r="15" spans="1:10" ht="16.5" customHeight="1">
      <c r="A15" s="2418">
        <v>11</v>
      </c>
      <c r="B15" s="2419" t="s">
        <v>6577</v>
      </c>
      <c r="C15" s="2418"/>
      <c r="D15" s="2418"/>
      <c r="E15" s="564"/>
      <c r="F15" s="564"/>
      <c r="G15" s="564"/>
      <c r="H15" s="564"/>
      <c r="I15" s="564"/>
      <c r="J15" s="564"/>
    </row>
    <row r="16" spans="1:10" ht="16.5" customHeight="1">
      <c r="A16" s="2418">
        <v>12</v>
      </c>
      <c r="B16" s="2419" t="s">
        <v>6578</v>
      </c>
      <c r="C16" s="2418"/>
      <c r="D16" s="2418"/>
      <c r="E16" s="564"/>
      <c r="F16" s="564"/>
      <c r="G16" s="564"/>
      <c r="H16" s="564"/>
      <c r="I16" s="564"/>
      <c r="J16" s="564"/>
    </row>
    <row r="17" spans="1:10" ht="55.5" customHeight="1">
      <c r="A17" s="2418">
        <v>13</v>
      </c>
      <c r="B17" s="2419" t="s">
        <v>6579</v>
      </c>
      <c r="C17" s="2418"/>
      <c r="D17" s="2418"/>
      <c r="E17" s="564"/>
      <c r="F17" s="564"/>
      <c r="G17" s="564"/>
      <c r="H17" s="564"/>
      <c r="I17" s="564"/>
      <c r="J17" s="564"/>
    </row>
    <row r="18" spans="1:10" ht="30" customHeight="1">
      <c r="A18" s="2418">
        <v>14</v>
      </c>
      <c r="B18" s="2419" t="s">
        <v>6580</v>
      </c>
      <c r="C18" s="2418"/>
      <c r="D18" s="2418"/>
      <c r="E18" s="564"/>
      <c r="F18" s="564"/>
      <c r="G18" s="564"/>
      <c r="H18" s="564"/>
      <c r="I18" s="564"/>
      <c r="J18" s="564"/>
    </row>
    <row r="19" spans="1:10" ht="55.5" customHeight="1">
      <c r="A19" s="2418">
        <v>15</v>
      </c>
      <c r="B19" s="2419" t="s">
        <v>6581</v>
      </c>
      <c r="C19" s="2418"/>
      <c r="D19" s="2418"/>
      <c r="E19" s="564"/>
      <c r="F19" s="564"/>
      <c r="G19" s="564"/>
      <c r="H19" s="564"/>
      <c r="I19" s="564"/>
      <c r="J19" s="564"/>
    </row>
    <row r="20" spans="1:10" ht="16.5" customHeight="1">
      <c r="A20" s="2418">
        <v>16</v>
      </c>
      <c r="B20" s="2419" t="s">
        <v>6582</v>
      </c>
      <c r="C20" s="2418"/>
      <c r="D20" s="2418"/>
      <c r="E20" s="564"/>
      <c r="F20" s="564"/>
      <c r="G20" s="564"/>
      <c r="H20" s="564"/>
      <c r="I20" s="564"/>
      <c r="J20" s="564"/>
    </row>
    <row r="21" spans="1:10" ht="16.5" customHeight="1">
      <c r="A21" s="2418">
        <v>17</v>
      </c>
      <c r="B21" s="2419" t="s">
        <v>6583</v>
      </c>
      <c r="C21" s="2418"/>
      <c r="D21" s="2418"/>
      <c r="E21" s="564"/>
      <c r="F21" s="564"/>
      <c r="G21" s="564"/>
      <c r="H21" s="564"/>
      <c r="I21" s="564"/>
      <c r="J21" s="564"/>
    </row>
    <row r="22" spans="1:10" ht="16.5" customHeight="1">
      <c r="A22" s="2418">
        <v>18</v>
      </c>
      <c r="B22" s="2419" t="s">
        <v>6584</v>
      </c>
      <c r="C22" s="2418"/>
      <c r="D22" s="2418"/>
      <c r="E22" s="564"/>
      <c r="F22" s="564"/>
      <c r="G22" s="564"/>
      <c r="H22" s="564"/>
      <c r="I22" s="564"/>
      <c r="J22" s="564"/>
    </row>
    <row r="23" spans="1:10" ht="16.5" customHeight="1">
      <c r="A23" s="2418">
        <v>19</v>
      </c>
      <c r="B23" s="2419" t="s">
        <v>6585</v>
      </c>
      <c r="C23" s="2418"/>
      <c r="D23" s="2418"/>
      <c r="E23" s="564"/>
      <c r="F23" s="564"/>
      <c r="G23" s="564"/>
      <c r="H23" s="564"/>
      <c r="I23" s="564"/>
      <c r="J23" s="564"/>
    </row>
    <row r="24" spans="1:10" ht="30" customHeight="1">
      <c r="A24" s="2418">
        <v>20</v>
      </c>
      <c r="B24" s="2419" t="s">
        <v>6586</v>
      </c>
      <c r="C24" s="2418"/>
      <c r="D24" s="2418"/>
      <c r="E24" s="564"/>
      <c r="F24" s="564"/>
      <c r="G24" s="564"/>
      <c r="H24" s="564"/>
      <c r="I24" s="564"/>
      <c r="J24" s="564"/>
    </row>
    <row r="25" spans="1:10" ht="16.5" customHeight="1">
      <c r="A25" s="2418">
        <v>21</v>
      </c>
      <c r="B25" s="2419" t="s">
        <v>6587</v>
      </c>
      <c r="C25" s="2418"/>
      <c r="D25" s="2418"/>
      <c r="E25" s="564"/>
      <c r="F25" s="564"/>
      <c r="G25" s="564"/>
      <c r="H25" s="564"/>
      <c r="I25" s="564"/>
      <c r="J25" s="564"/>
    </row>
    <row r="26" spans="1:10" ht="16.5" customHeight="1">
      <c r="A26" s="2418">
        <v>22</v>
      </c>
      <c r="B26" s="2419" t="s">
        <v>6588</v>
      </c>
      <c r="C26" s="2418"/>
      <c r="D26" s="2418"/>
      <c r="E26" s="564"/>
      <c r="F26" s="564"/>
      <c r="G26" s="564"/>
      <c r="H26" s="564"/>
      <c r="I26" s="564"/>
      <c r="J26" s="564"/>
    </row>
    <row r="27" spans="1:10" ht="16.5" customHeight="1">
      <c r="A27" s="2418">
        <v>23</v>
      </c>
      <c r="B27" s="2419" t="s">
        <v>6589</v>
      </c>
      <c r="C27" s="2418"/>
      <c r="D27" s="2418"/>
      <c r="E27" s="564"/>
      <c r="F27" s="564"/>
      <c r="G27" s="564"/>
      <c r="H27" s="564"/>
      <c r="I27" s="564"/>
      <c r="J27" s="564"/>
    </row>
    <row r="28" spans="1:10" ht="16.5" customHeight="1">
      <c r="A28" s="2418">
        <v>24</v>
      </c>
      <c r="B28" s="2419" t="s">
        <v>6590</v>
      </c>
      <c r="C28" s="2418"/>
      <c r="D28" s="2418"/>
      <c r="E28" s="564"/>
      <c r="F28" s="564"/>
      <c r="G28" s="564"/>
      <c r="H28" s="564"/>
      <c r="I28" s="564"/>
      <c r="J28" s="564"/>
    </row>
    <row r="29" spans="1:10" ht="16.5" customHeight="1">
      <c r="A29" s="2418">
        <v>25</v>
      </c>
      <c r="B29" s="2419" t="s">
        <v>6591</v>
      </c>
      <c r="C29" s="2418"/>
      <c r="D29" s="2418"/>
      <c r="E29" s="564"/>
      <c r="F29" s="564"/>
      <c r="G29" s="564"/>
      <c r="H29" s="564"/>
      <c r="I29" s="564"/>
      <c r="J29" s="564"/>
    </row>
    <row r="30" spans="1:10" ht="16.5" customHeight="1">
      <c r="A30" s="2418">
        <v>26</v>
      </c>
      <c r="B30" s="2419" t="s">
        <v>6592</v>
      </c>
      <c r="C30" s="2418"/>
      <c r="D30" s="2418"/>
      <c r="E30" s="564"/>
      <c r="F30" s="564"/>
      <c r="G30" s="564"/>
      <c r="H30" s="564"/>
      <c r="I30" s="564"/>
      <c r="J30" s="564"/>
    </row>
    <row r="31" spans="1:10" ht="30" customHeight="1">
      <c r="A31" s="2418">
        <v>27</v>
      </c>
      <c r="B31" s="2419" t="s">
        <v>6593</v>
      </c>
      <c r="C31" s="2418"/>
      <c r="D31" s="2418"/>
      <c r="E31" s="564"/>
      <c r="F31" s="564"/>
      <c r="G31" s="564"/>
      <c r="H31" s="564"/>
      <c r="I31" s="564"/>
      <c r="J31" s="564"/>
    </row>
    <row r="32" spans="1:10" ht="16.5" customHeight="1">
      <c r="A32" s="2418">
        <v>28</v>
      </c>
      <c r="B32" s="2419" t="s">
        <v>6594</v>
      </c>
      <c r="C32" s="2418"/>
      <c r="D32" s="2418"/>
      <c r="E32" s="564"/>
      <c r="F32" s="564"/>
      <c r="G32" s="564"/>
      <c r="H32" s="564"/>
      <c r="I32" s="564"/>
      <c r="J32" s="564"/>
    </row>
    <row r="33" spans="1:10" ht="16.5" customHeight="1">
      <c r="A33" s="2418">
        <v>29</v>
      </c>
      <c r="B33" s="2419" t="s">
        <v>6595</v>
      </c>
      <c r="C33" s="2418"/>
      <c r="D33" s="2418"/>
      <c r="E33" s="564"/>
      <c r="F33" s="564"/>
      <c r="G33" s="564"/>
      <c r="H33" s="564"/>
      <c r="I33" s="564"/>
      <c r="J33" s="564"/>
    </row>
    <row r="34" spans="1:10" ht="16.5" customHeight="1">
      <c r="A34" s="2418">
        <v>30</v>
      </c>
      <c r="B34" s="2419" t="s">
        <v>6596</v>
      </c>
      <c r="C34" s="2418"/>
      <c r="D34" s="2418"/>
      <c r="E34" s="564"/>
      <c r="F34" s="564"/>
      <c r="G34" s="564"/>
      <c r="H34" s="564"/>
      <c r="I34" s="564"/>
      <c r="J34" s="564"/>
    </row>
    <row r="35" spans="1:10" ht="16.5" customHeight="1">
      <c r="A35" s="2418">
        <v>31</v>
      </c>
      <c r="B35" s="2419" t="s">
        <v>6597</v>
      </c>
      <c r="C35" s="2418"/>
      <c r="D35" s="2418"/>
      <c r="E35" s="564"/>
      <c r="F35" s="564"/>
      <c r="G35" s="564"/>
      <c r="H35" s="564"/>
      <c r="I35" s="564"/>
      <c r="J35" s="564"/>
    </row>
    <row r="36" spans="1:10" ht="16.5" customHeight="1">
      <c r="A36" s="2418">
        <v>32</v>
      </c>
      <c r="B36" s="2419" t="s">
        <v>6598</v>
      </c>
      <c r="C36" s="2418"/>
      <c r="D36" s="2418"/>
      <c r="E36" s="564"/>
      <c r="F36" s="564"/>
      <c r="G36" s="564"/>
      <c r="H36" s="564"/>
      <c r="I36" s="564"/>
      <c r="J36" s="564"/>
    </row>
    <row r="37" spans="1:10" ht="16.5" customHeight="1">
      <c r="A37" s="2751" t="s">
        <v>6599</v>
      </c>
      <c r="B37" s="2752"/>
      <c r="C37" s="2752"/>
      <c r="D37" s="2753"/>
      <c r="E37" s="564"/>
      <c r="F37" s="564"/>
      <c r="G37" s="564"/>
      <c r="H37" s="564"/>
      <c r="I37" s="564"/>
      <c r="J37" s="564"/>
    </row>
    <row r="38" spans="1:10" ht="16.5" customHeight="1">
      <c r="A38" s="2418">
        <v>1</v>
      </c>
      <c r="B38" s="2419" t="s">
        <v>6600</v>
      </c>
      <c r="C38" s="2418"/>
      <c r="D38" s="2418"/>
      <c r="E38" s="564"/>
      <c r="F38" s="564"/>
      <c r="G38" s="564"/>
      <c r="H38" s="564"/>
      <c r="I38" s="564"/>
      <c r="J38" s="564"/>
    </row>
    <row r="39" spans="1:10" ht="16.5" customHeight="1">
      <c r="A39" s="2418">
        <v>2</v>
      </c>
      <c r="B39" s="2419" t="s">
        <v>6601</v>
      </c>
      <c r="C39" s="2418"/>
      <c r="D39" s="2418"/>
      <c r="E39" s="564"/>
      <c r="F39" s="564"/>
      <c r="G39" s="564"/>
      <c r="H39" s="564"/>
      <c r="I39" s="564"/>
      <c r="J39" s="564"/>
    </row>
    <row r="40" spans="1:10" ht="16.5" customHeight="1">
      <c r="A40" s="2418">
        <v>3</v>
      </c>
      <c r="B40" s="2419" t="s">
        <v>6602</v>
      </c>
      <c r="C40" s="2418"/>
      <c r="D40" s="2418"/>
      <c r="E40" s="564"/>
      <c r="F40" s="564"/>
      <c r="G40" s="564"/>
      <c r="H40" s="564"/>
      <c r="I40" s="564"/>
      <c r="J40" s="564"/>
    </row>
    <row r="41" spans="1:10" ht="30" customHeight="1">
      <c r="A41" s="2418">
        <v>4</v>
      </c>
      <c r="B41" s="2419" t="s">
        <v>6603</v>
      </c>
      <c r="C41" s="2418"/>
      <c r="D41" s="2418"/>
    </row>
    <row r="42" spans="1:10">
      <c r="A42" s="2418">
        <v>5</v>
      </c>
      <c r="B42" s="2419" t="s">
        <v>6604</v>
      </c>
      <c r="C42" s="2418"/>
      <c r="D42" s="2418"/>
    </row>
    <row r="43" spans="1:10">
      <c r="A43" s="2751" t="s">
        <v>6605</v>
      </c>
      <c r="B43" s="2752"/>
      <c r="C43" s="2752"/>
      <c r="D43" s="2753"/>
    </row>
    <row r="44" spans="1:10">
      <c r="A44" s="2418">
        <v>1</v>
      </c>
      <c r="B44" s="2419" t="s">
        <v>6600</v>
      </c>
      <c r="C44" s="2418"/>
      <c r="D44" s="2418"/>
    </row>
    <row r="45" spans="1:10">
      <c r="A45" s="2418">
        <v>2</v>
      </c>
      <c r="B45" s="2419" t="s">
        <v>6606</v>
      </c>
      <c r="C45" s="2418"/>
      <c r="D45" s="2418"/>
    </row>
    <row r="46" spans="1:10">
      <c r="A46" s="2418">
        <v>3</v>
      </c>
      <c r="B46" s="2419" t="s">
        <v>6607</v>
      </c>
      <c r="C46" s="2418"/>
      <c r="D46" s="2418"/>
    </row>
    <row r="47" spans="1:10">
      <c r="A47" s="2418">
        <v>4</v>
      </c>
      <c r="B47" s="2419" t="s">
        <v>6608</v>
      </c>
      <c r="C47" s="2418"/>
      <c r="D47" s="2418"/>
    </row>
    <row r="48" spans="1:10">
      <c r="A48" s="2418">
        <v>5</v>
      </c>
      <c r="B48" s="2420" t="s">
        <v>6609</v>
      </c>
      <c r="C48" s="2420"/>
      <c r="D48" s="2420"/>
    </row>
    <row r="49" spans="1:4" ht="54.75" customHeight="1">
      <c r="A49" s="2418">
        <v>6</v>
      </c>
      <c r="B49" s="2419" t="s">
        <v>6610</v>
      </c>
      <c r="C49" s="2420"/>
      <c r="D49" s="2420"/>
    </row>
    <row r="50" spans="1:4" ht="30" customHeight="1">
      <c r="A50" s="2418">
        <v>7</v>
      </c>
      <c r="B50" s="2419" t="s">
        <v>6611</v>
      </c>
      <c r="C50" s="2420"/>
      <c r="D50" s="2420"/>
    </row>
    <row r="51" spans="1:4">
      <c r="A51" s="2418">
        <v>8</v>
      </c>
      <c r="B51" s="2420" t="s">
        <v>6612</v>
      </c>
      <c r="C51" s="2420"/>
      <c r="D51" s="2420"/>
    </row>
    <row r="52" spans="1:4" ht="30" customHeight="1">
      <c r="A52" s="2418">
        <v>9</v>
      </c>
      <c r="B52" s="2420" t="s">
        <v>6613</v>
      </c>
      <c r="C52" s="2420"/>
      <c r="D52" s="2420"/>
    </row>
    <row r="53" spans="1:4">
      <c r="A53" s="2418">
        <v>10</v>
      </c>
      <c r="B53" s="2420" t="s">
        <v>6614</v>
      </c>
      <c r="C53" s="2420"/>
      <c r="D53" s="2420"/>
    </row>
    <row r="54" spans="1:4" ht="45.75" customHeight="1">
      <c r="A54" s="2418">
        <v>11</v>
      </c>
      <c r="B54" s="2420" t="s">
        <v>6615</v>
      </c>
      <c r="C54" s="2420"/>
      <c r="D54" s="2420"/>
    </row>
    <row r="55" spans="1:4">
      <c r="A55" s="2418">
        <v>12</v>
      </c>
      <c r="B55" s="2420" t="s">
        <v>6616</v>
      </c>
      <c r="C55" s="2420"/>
      <c r="D55" s="2420"/>
    </row>
    <row r="56" spans="1:4">
      <c r="A56" s="2418">
        <v>13</v>
      </c>
      <c r="B56" s="2420" t="s">
        <v>6617</v>
      </c>
      <c r="C56" s="2420"/>
      <c r="D56" s="2420"/>
    </row>
    <row r="57" spans="1:4">
      <c r="A57" s="2418">
        <v>14</v>
      </c>
      <c r="B57" s="2420" t="s">
        <v>6618</v>
      </c>
      <c r="C57" s="2420"/>
      <c r="D57" s="2420"/>
    </row>
    <row r="58" spans="1:4">
      <c r="A58" s="2418">
        <v>15</v>
      </c>
      <c r="B58" s="2420" t="s">
        <v>6619</v>
      </c>
      <c r="C58" s="2420"/>
      <c r="D58" s="2420"/>
    </row>
    <row r="59" spans="1:4">
      <c r="A59" s="2418">
        <v>16</v>
      </c>
      <c r="B59" s="2419" t="s">
        <v>6620</v>
      </c>
      <c r="C59" s="2420"/>
      <c r="D59" s="2420"/>
    </row>
    <row r="60" spans="1:4">
      <c r="A60" s="2418">
        <v>17</v>
      </c>
      <c r="B60" s="2419" t="s">
        <v>6621</v>
      </c>
      <c r="C60" s="2420"/>
      <c r="D60" s="2420"/>
    </row>
    <row r="61" spans="1:4" ht="24">
      <c r="A61" s="2418">
        <v>18</v>
      </c>
      <c r="B61" s="2419" t="s">
        <v>6622</v>
      </c>
      <c r="C61" s="2420"/>
      <c r="D61" s="2420"/>
    </row>
    <row r="62" spans="1:4" ht="57.75" customHeight="1">
      <c r="A62" s="2418">
        <v>19</v>
      </c>
      <c r="B62" s="2419" t="s">
        <v>6623</v>
      </c>
      <c r="C62" s="2420"/>
      <c r="D62" s="2420"/>
    </row>
    <row r="63" spans="1:4" ht="44.25" customHeight="1">
      <c r="A63" s="2418">
        <v>20</v>
      </c>
      <c r="B63" s="2419" t="s">
        <v>6624</v>
      </c>
      <c r="C63" s="2420"/>
      <c r="D63" s="2420"/>
    </row>
    <row r="64" spans="1:4" ht="49.5" customHeight="1">
      <c r="A64" s="2418">
        <v>21</v>
      </c>
      <c r="B64" s="2419" t="s">
        <v>6625</v>
      </c>
      <c r="C64" s="2420"/>
      <c r="D64" s="2420"/>
    </row>
    <row r="65" spans="1:4">
      <c r="A65" s="2418">
        <v>22</v>
      </c>
      <c r="B65" s="2419" t="s">
        <v>6626</v>
      </c>
      <c r="C65" s="2420"/>
      <c r="D65" s="2420"/>
    </row>
    <row r="66" spans="1:4">
      <c r="A66" s="2418">
        <v>23</v>
      </c>
      <c r="B66" s="2419" t="s">
        <v>6627</v>
      </c>
      <c r="C66" s="2420"/>
      <c r="D66" s="2420"/>
    </row>
    <row r="67" spans="1:4" ht="30" customHeight="1">
      <c r="A67" s="2418">
        <v>24</v>
      </c>
      <c r="B67" s="2419" t="s">
        <v>6628</v>
      </c>
      <c r="C67" s="2420"/>
      <c r="D67" s="2420"/>
    </row>
    <row r="68" spans="1:4" ht="30" customHeight="1">
      <c r="A68" s="2418">
        <v>25</v>
      </c>
      <c r="B68" s="2419" t="s">
        <v>6629</v>
      </c>
      <c r="C68" s="2420"/>
      <c r="D68" s="2420"/>
    </row>
    <row r="69" spans="1:4" ht="30" customHeight="1">
      <c r="A69" s="2418">
        <v>26</v>
      </c>
      <c r="B69" s="2419" t="s">
        <v>6630</v>
      </c>
      <c r="C69" s="2420"/>
      <c r="D69" s="2420"/>
    </row>
    <row r="70" spans="1:4">
      <c r="A70" s="2418">
        <v>27</v>
      </c>
      <c r="B70" s="2419" t="s">
        <v>6631</v>
      </c>
      <c r="C70" s="2420"/>
      <c r="D70" s="2420"/>
    </row>
    <row r="71" spans="1:4">
      <c r="A71" s="2421"/>
      <c r="B71" s="2422"/>
      <c r="C71" s="2421"/>
      <c r="D71" s="2421"/>
    </row>
    <row r="72" spans="1:4">
      <c r="A72" s="2415"/>
      <c r="B72" s="2416"/>
      <c r="C72" s="2415"/>
      <c r="D72" s="2415"/>
    </row>
    <row r="73" spans="1:4">
      <c r="A73" s="2415"/>
      <c r="B73" s="2416"/>
      <c r="C73" s="2415"/>
      <c r="D73" s="2415"/>
    </row>
    <row r="74" spans="1:4">
      <c r="A74" s="2415"/>
      <c r="B74" s="2415" t="s">
        <v>6632</v>
      </c>
      <c r="C74" s="2416"/>
      <c r="D74" s="2415"/>
    </row>
  </sheetData>
  <sheetProtection selectLockedCells="1" selectUnlockedCells="1"/>
  <mergeCells count="6">
    <mergeCell ref="A43:D43"/>
    <mergeCell ref="C1:D1"/>
    <mergeCell ref="C2:D2"/>
    <mergeCell ref="A1:B2"/>
    <mergeCell ref="A4:D4"/>
    <mergeCell ref="A37:D37"/>
  </mergeCells>
  <phoneticPr fontId="135" type="noConversion"/>
  <dataValidations count="2">
    <dataValidation type="list" allowBlank="1" showErrorMessage="1" sqref="D6:D36">
      <formula1>"×"</formula1>
      <formula2>0</formula2>
    </dataValidation>
    <dataValidation type="list" allowBlank="1" showErrorMessage="1" sqref="C6:C36">
      <formula1>"√"</formula1>
      <formula2>0</formula2>
    </dataValidation>
  </dataValidations>
  <printOptions horizontalCentered="1"/>
  <pageMargins left="0.39370078740157483" right="0.39370078740157483" top="0.59055118110236227" bottom="0.59055118110236227" header="0.51181102362204722" footer="0.51181102362204722"/>
  <pageSetup paperSize="9" scale="89" firstPageNumber="0" fitToHeight="2" orientation="portrait" blackAndWhite="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L22"/>
  <sheetViews>
    <sheetView workbookViewId="0">
      <selection activeCell="D4" sqref="D4:E4"/>
    </sheetView>
  </sheetViews>
  <sheetFormatPr defaultColWidth="9" defaultRowHeight="16.5"/>
  <cols>
    <col min="1" max="1" width="7" style="565" customWidth="1"/>
    <col min="2" max="2" width="31.75" style="565" customWidth="1"/>
    <col min="3" max="3" width="7" style="565" customWidth="1"/>
    <col min="4" max="4" width="12.5" style="565" customWidth="1"/>
    <col min="5" max="5" width="26.25" style="565" customWidth="1"/>
    <col min="6" max="16384" width="9" style="565"/>
  </cols>
  <sheetData>
    <row r="1" spans="1:12" ht="22.5">
      <c r="A1" s="2682" t="s">
        <v>4631</v>
      </c>
      <c r="B1" s="2682"/>
      <c r="C1" s="2682"/>
      <c r="D1" s="2682"/>
      <c r="E1" s="2682"/>
      <c r="F1" s="564"/>
      <c r="G1" s="564"/>
      <c r="H1" s="564"/>
      <c r="I1" s="564"/>
      <c r="J1" s="564"/>
      <c r="K1" s="564"/>
      <c r="L1" s="564"/>
    </row>
    <row r="2" spans="1:12" ht="7.5" customHeight="1">
      <c r="A2" s="645"/>
      <c r="B2" s="645"/>
      <c r="C2" s="645"/>
      <c r="D2" s="645"/>
      <c r="E2" s="645"/>
      <c r="F2" s="564"/>
      <c r="G2" s="564"/>
      <c r="H2" s="564"/>
      <c r="I2" s="564"/>
      <c r="J2" s="564"/>
      <c r="K2" s="564"/>
      <c r="L2" s="564"/>
    </row>
    <row r="3" spans="1:12" ht="27.95" customHeight="1">
      <c r="A3" s="1129"/>
      <c r="B3" s="1129"/>
      <c r="C3" s="1129"/>
      <c r="D3" s="1128" t="s">
        <v>4409</v>
      </c>
      <c r="E3" s="2450" t="str">
        <f>开始!B16</f>
        <v>IN-14</v>
      </c>
      <c r="F3" s="564"/>
      <c r="G3" s="564"/>
      <c r="H3" s="564"/>
      <c r="I3" s="564"/>
      <c r="J3" s="564"/>
      <c r="K3" s="564"/>
      <c r="L3" s="564"/>
    </row>
    <row r="4" spans="1:12" ht="27.95" customHeight="1">
      <c r="A4" s="953" t="s">
        <v>4964</v>
      </c>
      <c r="B4" s="953" t="s">
        <v>4963</v>
      </c>
      <c r="C4" s="953" t="s">
        <v>4964</v>
      </c>
      <c r="D4" s="2561" t="s">
        <v>4963</v>
      </c>
      <c r="E4" s="2561"/>
      <c r="F4" s="564"/>
      <c r="G4" s="564"/>
      <c r="H4" s="564"/>
      <c r="I4" s="564"/>
      <c r="J4" s="564"/>
      <c r="K4" s="564"/>
      <c r="L4" s="564"/>
    </row>
    <row r="5" spans="1:12" ht="27.95" customHeight="1">
      <c r="A5" s="1127" t="s">
        <v>4962</v>
      </c>
      <c r="B5" s="1126" t="s">
        <v>4961</v>
      </c>
      <c r="C5" s="1124" t="s">
        <v>4960</v>
      </c>
      <c r="D5" s="2761" t="s">
        <v>4959</v>
      </c>
      <c r="E5" s="2761"/>
      <c r="F5" s="564"/>
      <c r="G5" s="564"/>
      <c r="H5" s="564"/>
      <c r="I5" s="564"/>
      <c r="J5" s="564"/>
      <c r="K5" s="564"/>
      <c r="L5" s="564"/>
    </row>
    <row r="6" spans="1:12" ht="27.95" customHeight="1">
      <c r="A6" s="1127" t="s">
        <v>4958</v>
      </c>
      <c r="B6" s="1126" t="s">
        <v>4957</v>
      </c>
      <c r="C6" s="1124" t="s">
        <v>4956</v>
      </c>
      <c r="D6" s="2761" t="s">
        <v>4955</v>
      </c>
      <c r="E6" s="2761"/>
      <c r="F6" s="564"/>
      <c r="G6" s="564"/>
      <c r="H6" s="564"/>
      <c r="I6" s="564"/>
      <c r="J6" s="564"/>
      <c r="K6" s="564"/>
      <c r="L6" s="564"/>
    </row>
    <row r="7" spans="1:12" ht="27.95" customHeight="1">
      <c r="A7" s="1124" t="s">
        <v>1771</v>
      </c>
      <c r="B7" s="1126" t="s">
        <v>4954</v>
      </c>
      <c r="C7" s="1124" t="s">
        <v>4953</v>
      </c>
      <c r="D7" s="2761" t="s">
        <v>4952</v>
      </c>
      <c r="E7" s="2761"/>
      <c r="F7" s="564"/>
      <c r="G7" s="564"/>
      <c r="H7" s="564"/>
      <c r="I7" s="564"/>
      <c r="J7" s="564"/>
      <c r="K7" s="564"/>
      <c r="L7" s="564"/>
    </row>
    <row r="8" spans="1:12" ht="27.95" customHeight="1">
      <c r="A8" s="1124" t="s">
        <v>1789</v>
      </c>
      <c r="B8" s="1126" t="s">
        <v>4951</v>
      </c>
      <c r="C8" s="1124" t="s">
        <v>4950</v>
      </c>
      <c r="D8" s="2761" t="s">
        <v>4949</v>
      </c>
      <c r="E8" s="2761"/>
      <c r="F8" s="564"/>
      <c r="G8" s="564"/>
      <c r="H8" s="564"/>
      <c r="I8" s="564"/>
      <c r="J8" s="564"/>
      <c r="K8" s="564"/>
      <c r="L8" s="564"/>
    </row>
    <row r="9" spans="1:12" ht="27.95" customHeight="1">
      <c r="A9" s="1124" t="s">
        <v>1776</v>
      </c>
      <c r="B9" s="1126" t="s">
        <v>4948</v>
      </c>
      <c r="C9" s="1124" t="s">
        <v>4947</v>
      </c>
      <c r="D9" s="2761" t="s">
        <v>4946</v>
      </c>
      <c r="E9" s="2761"/>
      <c r="F9" s="564"/>
      <c r="G9" s="564"/>
      <c r="H9" s="564"/>
      <c r="I9" s="564"/>
      <c r="J9" s="564"/>
      <c r="K9" s="564"/>
      <c r="L9" s="564"/>
    </row>
    <row r="10" spans="1:12" ht="27.95" customHeight="1">
      <c r="A10" s="1124" t="s">
        <v>1788</v>
      </c>
      <c r="B10" s="1126" t="s">
        <v>4945</v>
      </c>
      <c r="C10" s="1124" t="s">
        <v>4944</v>
      </c>
      <c r="D10" s="2761" t="s">
        <v>4943</v>
      </c>
      <c r="E10" s="2761"/>
      <c r="F10" s="564"/>
      <c r="G10" s="564"/>
      <c r="H10" s="564"/>
      <c r="I10" s="564"/>
      <c r="J10" s="564"/>
      <c r="K10" s="564"/>
      <c r="L10" s="564"/>
    </row>
    <row r="11" spans="1:12" ht="27.95" customHeight="1">
      <c r="A11" s="1124" t="s">
        <v>1772</v>
      </c>
      <c r="B11" s="1126" t="s">
        <v>4942</v>
      </c>
      <c r="C11" s="1124" t="s">
        <v>4941</v>
      </c>
      <c r="D11" s="2761" t="s">
        <v>4940</v>
      </c>
      <c r="E11" s="2761"/>
      <c r="F11" s="564"/>
      <c r="G11" s="564"/>
      <c r="H11" s="564"/>
      <c r="I11" s="564"/>
      <c r="J11" s="564"/>
      <c r="K11" s="564"/>
      <c r="L11" s="564"/>
    </row>
    <row r="12" spans="1:12" ht="27.95" customHeight="1">
      <c r="A12" s="1124" t="s">
        <v>4939</v>
      </c>
      <c r="B12" s="1126" t="s">
        <v>4415</v>
      </c>
      <c r="C12" s="1124" t="s">
        <v>4938</v>
      </c>
      <c r="D12" s="2761" t="s">
        <v>4937</v>
      </c>
      <c r="E12" s="2761"/>
      <c r="F12" s="564"/>
      <c r="G12" s="564"/>
      <c r="H12" s="564"/>
      <c r="I12" s="564"/>
      <c r="J12" s="564"/>
      <c r="K12" s="564"/>
      <c r="L12" s="564"/>
    </row>
    <row r="13" spans="1:12" ht="27.95" customHeight="1">
      <c r="A13" s="1124" t="s">
        <v>1774</v>
      </c>
      <c r="B13" s="1126" t="s">
        <v>4936</v>
      </c>
      <c r="C13" s="1124" t="s">
        <v>4935</v>
      </c>
      <c r="D13" s="2761" t="s">
        <v>4934</v>
      </c>
      <c r="E13" s="2761"/>
      <c r="F13" s="564"/>
      <c r="G13" s="564"/>
      <c r="H13" s="564"/>
      <c r="I13" s="564"/>
      <c r="J13" s="564"/>
      <c r="K13" s="564"/>
      <c r="L13" s="564"/>
    </row>
    <row r="14" spans="1:12" ht="27.95" customHeight="1">
      <c r="A14" s="1124" t="s">
        <v>133</v>
      </c>
      <c r="B14" s="1126" t="s">
        <v>4388</v>
      </c>
      <c r="C14" s="1124" t="s">
        <v>4933</v>
      </c>
      <c r="D14" s="2761" t="s">
        <v>4932</v>
      </c>
      <c r="E14" s="2761"/>
      <c r="F14" s="564"/>
      <c r="G14" s="564"/>
      <c r="H14" s="564"/>
      <c r="I14" s="564"/>
      <c r="J14" s="564"/>
      <c r="K14" s="564"/>
      <c r="L14" s="564"/>
    </row>
    <row r="15" spans="1:12" ht="27.95" customHeight="1">
      <c r="A15" s="1125"/>
      <c r="B15" s="1100"/>
      <c r="C15" s="1124" t="s">
        <v>4931</v>
      </c>
      <c r="D15" s="2761" t="s">
        <v>4930</v>
      </c>
      <c r="E15" s="2761"/>
      <c r="F15" s="564"/>
      <c r="G15" s="564"/>
      <c r="H15" s="564"/>
      <c r="I15" s="564"/>
      <c r="J15" s="564"/>
      <c r="K15" s="564"/>
      <c r="L15" s="564"/>
    </row>
    <row r="16" spans="1:12" ht="27.95" customHeight="1">
      <c r="A16" s="1122"/>
      <c r="B16" s="1123"/>
      <c r="C16" s="1122"/>
      <c r="D16" s="2762"/>
      <c r="E16" s="2762"/>
      <c r="F16" s="564"/>
      <c r="G16" s="564"/>
      <c r="H16" s="564"/>
      <c r="I16" s="564"/>
      <c r="J16" s="564"/>
      <c r="K16" s="564"/>
      <c r="L16" s="564"/>
    </row>
    <row r="17" spans="1:12" ht="27.95" customHeight="1">
      <c r="A17" s="1122"/>
      <c r="B17" s="1123"/>
      <c r="C17" s="1122"/>
      <c r="D17" s="2762"/>
      <c r="E17" s="2762"/>
      <c r="F17" s="564"/>
      <c r="G17" s="564"/>
      <c r="H17" s="564"/>
      <c r="I17" s="564"/>
      <c r="J17" s="564"/>
      <c r="K17" s="564"/>
      <c r="L17" s="564"/>
    </row>
    <row r="18" spans="1:12" ht="27.95" customHeight="1">
      <c r="A18" s="1122"/>
      <c r="B18" s="1123"/>
      <c r="C18" s="1122"/>
      <c r="D18" s="2762"/>
      <c r="E18" s="2762"/>
      <c r="F18" s="564"/>
      <c r="G18" s="564"/>
      <c r="H18" s="564"/>
      <c r="I18" s="564"/>
      <c r="J18" s="564"/>
      <c r="K18" s="564"/>
      <c r="L18" s="564"/>
    </row>
    <row r="19" spans="1:12" ht="27.95" customHeight="1">
      <c r="A19" s="1122"/>
      <c r="B19" s="1123"/>
      <c r="C19" s="1122"/>
      <c r="D19" s="2762"/>
      <c r="E19" s="2762"/>
      <c r="F19" s="564"/>
      <c r="G19" s="564"/>
      <c r="H19" s="564"/>
      <c r="I19" s="564"/>
      <c r="J19" s="564"/>
      <c r="K19" s="564"/>
      <c r="L19" s="564"/>
    </row>
    <row r="20" spans="1:12" ht="27.95" customHeight="1">
      <c r="A20" s="1122"/>
      <c r="B20" s="1123"/>
      <c r="C20" s="1122"/>
      <c r="D20" s="2762"/>
      <c r="E20" s="2762"/>
      <c r="F20" s="564"/>
      <c r="G20" s="564"/>
      <c r="H20" s="564"/>
      <c r="I20" s="564"/>
      <c r="J20" s="564"/>
      <c r="K20" s="564"/>
      <c r="L20" s="564"/>
    </row>
    <row r="21" spans="1:12" ht="27.95" customHeight="1">
      <c r="A21" s="1122"/>
      <c r="B21" s="1123"/>
      <c r="C21" s="1122"/>
      <c r="D21" s="2762"/>
      <c r="E21" s="2762"/>
      <c r="F21" s="564"/>
      <c r="G21" s="564"/>
      <c r="H21" s="564"/>
      <c r="I21" s="564"/>
      <c r="J21" s="564"/>
      <c r="K21" s="564"/>
      <c r="L21" s="564"/>
    </row>
    <row r="22" spans="1:12" ht="27.95" customHeight="1">
      <c r="A22" s="645" t="s">
        <v>4929</v>
      </c>
      <c r="B22" s="645"/>
      <c r="C22" s="645"/>
      <c r="D22" s="645"/>
      <c r="E22" s="645"/>
      <c r="F22" s="564"/>
      <c r="G22" s="564"/>
      <c r="H22" s="564"/>
      <c r="I22" s="564"/>
      <c r="J22" s="564"/>
      <c r="K22" s="564"/>
      <c r="L22" s="564"/>
    </row>
  </sheetData>
  <sheetProtection selectLockedCells="1" selectUnlockedCells="1"/>
  <mergeCells count="19">
    <mergeCell ref="A1:E1"/>
    <mergeCell ref="D4:E4"/>
    <mergeCell ref="D5:E5"/>
    <mergeCell ref="D6:E6"/>
    <mergeCell ref="D11:E11"/>
    <mergeCell ref="D7:E7"/>
    <mergeCell ref="D8:E8"/>
    <mergeCell ref="D9:E9"/>
    <mergeCell ref="D10:E10"/>
    <mergeCell ref="D12:E12"/>
    <mergeCell ref="D21:E21"/>
    <mergeCell ref="D15:E15"/>
    <mergeCell ref="D16:E16"/>
    <mergeCell ref="D17:E17"/>
    <mergeCell ref="D18:E18"/>
    <mergeCell ref="D19:E19"/>
    <mergeCell ref="D20:E20"/>
    <mergeCell ref="D13:E13"/>
    <mergeCell ref="D14:E14"/>
  </mergeCells>
  <phoneticPr fontId="135"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N36"/>
  <sheetViews>
    <sheetView workbookViewId="0">
      <selection activeCell="A3" sqref="A3:G3"/>
    </sheetView>
  </sheetViews>
  <sheetFormatPr defaultColWidth="9" defaultRowHeight="14.25"/>
  <cols>
    <col min="1" max="1" width="18" style="577" customWidth="1"/>
    <col min="2" max="2" width="12.375" style="577" customWidth="1"/>
    <col min="3" max="3" width="8.75" style="577" customWidth="1"/>
    <col min="4" max="4" width="10.625" style="577" customWidth="1"/>
    <col min="5" max="5" width="9.5" style="577" customWidth="1"/>
    <col min="6" max="6" width="12.625" style="577" customWidth="1"/>
    <col min="7" max="16384" width="9" style="577"/>
  </cols>
  <sheetData>
    <row r="1" spans="1:14" ht="22.5">
      <c r="A1" s="2682" t="s">
        <v>4971</v>
      </c>
      <c r="B1" s="2682"/>
      <c r="C1" s="2682"/>
      <c r="D1" s="2682"/>
      <c r="E1" s="2682"/>
      <c r="F1" s="2682"/>
      <c r="G1" s="2682"/>
      <c r="H1" s="576"/>
      <c r="I1" s="576"/>
      <c r="J1" s="576"/>
      <c r="K1" s="576"/>
      <c r="L1" s="576"/>
      <c r="M1" s="576"/>
      <c r="N1" s="576"/>
    </row>
    <row r="2" spans="1:14">
      <c r="A2" s="2763" t="str">
        <f>开始!B17</f>
        <v>IN-15</v>
      </c>
      <c r="B2" s="2763"/>
      <c r="C2" s="2763"/>
      <c r="D2" s="2763"/>
      <c r="E2" s="2763"/>
      <c r="F2" s="2763"/>
      <c r="G2" s="2763"/>
      <c r="H2" s="576"/>
      <c r="I2" s="576"/>
      <c r="J2" s="576"/>
      <c r="K2" s="576"/>
      <c r="L2" s="576"/>
      <c r="M2" s="576"/>
      <c r="N2" s="576"/>
    </row>
    <row r="3" spans="1:14" ht="19.5" customHeight="1">
      <c r="A3" s="2764" t="str">
        <f>"单位名称："&amp;基本情况!$C$3&amp;"      截止："&amp;基本情况!$F$6&amp;"年"&amp;TEXT(基本情况!$F$8,"mm月dd日")&amp;"      单位:人民币元"</f>
        <v>单位名称：      截止：2017年12月31日      单位:人民币元</v>
      </c>
      <c r="B3" s="2764"/>
      <c r="C3" s="2764"/>
      <c r="D3" s="2764"/>
      <c r="E3" s="2764"/>
      <c r="F3" s="2764"/>
      <c r="G3" s="2764"/>
      <c r="H3" s="576"/>
      <c r="I3" s="576"/>
      <c r="J3" s="576"/>
      <c r="K3" s="576"/>
      <c r="L3" s="576"/>
      <c r="M3" s="576"/>
      <c r="N3" s="576"/>
    </row>
    <row r="4" spans="1:14" s="575" customFormat="1" ht="22.5" customHeight="1">
      <c r="A4" s="959" t="s">
        <v>4970</v>
      </c>
      <c r="B4" s="959" t="s">
        <v>4969</v>
      </c>
      <c r="C4" s="959" t="s">
        <v>4968</v>
      </c>
      <c r="D4" s="959" t="s">
        <v>4967</v>
      </c>
      <c r="E4" s="959" t="s">
        <v>4966</v>
      </c>
      <c r="F4" s="959" t="s">
        <v>4965</v>
      </c>
      <c r="G4" s="959" t="s">
        <v>4560</v>
      </c>
      <c r="H4" s="574"/>
      <c r="I4" s="574"/>
      <c r="J4" s="574"/>
      <c r="K4" s="574"/>
      <c r="L4" s="574"/>
      <c r="M4" s="574"/>
      <c r="N4" s="574"/>
    </row>
    <row r="5" spans="1:14" ht="22.5" customHeight="1">
      <c r="A5" s="1146"/>
      <c r="B5" s="1145"/>
      <c r="C5" s="1145"/>
      <c r="D5" s="1144"/>
      <c r="E5" s="1144"/>
      <c r="F5" s="1144"/>
      <c r="G5" s="1143"/>
      <c r="H5" s="576"/>
      <c r="I5" s="576"/>
      <c r="J5" s="576"/>
      <c r="K5" s="576"/>
      <c r="L5" s="576"/>
      <c r="M5" s="576"/>
      <c r="N5" s="576"/>
    </row>
    <row r="6" spans="1:14" ht="22.5" customHeight="1">
      <c r="A6" s="1142"/>
      <c r="B6" s="1141"/>
      <c r="C6" s="1141"/>
      <c r="D6" s="1140"/>
      <c r="E6" s="1140"/>
      <c r="F6" s="1140"/>
      <c r="G6" s="1139"/>
      <c r="H6" s="576"/>
      <c r="I6" s="576"/>
      <c r="J6" s="576"/>
      <c r="K6" s="576"/>
      <c r="L6" s="576"/>
      <c r="M6" s="576"/>
      <c r="N6" s="576"/>
    </row>
    <row r="7" spans="1:14" ht="22.5" customHeight="1">
      <c r="A7" s="1142"/>
      <c r="B7" s="1141"/>
      <c r="C7" s="1141"/>
      <c r="D7" s="1140"/>
      <c r="E7" s="1140"/>
      <c r="F7" s="1140"/>
      <c r="G7" s="1139"/>
      <c r="H7" s="576"/>
      <c r="I7" s="576"/>
      <c r="J7" s="576"/>
      <c r="K7" s="576"/>
      <c r="L7" s="576"/>
      <c r="M7" s="576"/>
      <c r="N7" s="576"/>
    </row>
    <row r="8" spans="1:14" ht="22.5" customHeight="1">
      <c r="A8" s="1142"/>
      <c r="B8" s="1141"/>
      <c r="C8" s="1141"/>
      <c r="D8" s="1140"/>
      <c r="E8" s="1140"/>
      <c r="F8" s="1140"/>
      <c r="G8" s="1139"/>
      <c r="H8" s="576"/>
      <c r="I8" s="576"/>
      <c r="J8" s="576"/>
      <c r="K8" s="576"/>
      <c r="L8" s="576"/>
      <c r="M8" s="576"/>
      <c r="N8" s="576"/>
    </row>
    <row r="9" spans="1:14" ht="22.5" customHeight="1">
      <c r="A9" s="1142"/>
      <c r="B9" s="1141"/>
      <c r="C9" s="1141"/>
      <c r="D9" s="1140"/>
      <c r="E9" s="1140"/>
      <c r="F9" s="1140"/>
      <c r="G9" s="1139"/>
      <c r="H9" s="576"/>
      <c r="I9" s="576"/>
      <c r="J9" s="576"/>
      <c r="K9" s="576"/>
      <c r="L9" s="576"/>
      <c r="M9" s="576"/>
      <c r="N9" s="576"/>
    </row>
    <row r="10" spans="1:14" ht="22.5" customHeight="1">
      <c r="A10" s="1142"/>
      <c r="B10" s="1141"/>
      <c r="C10" s="1141"/>
      <c r="D10" s="1140"/>
      <c r="E10" s="1140"/>
      <c r="F10" s="1140"/>
      <c r="G10" s="1139"/>
      <c r="H10" s="576"/>
      <c r="I10" s="576"/>
      <c r="J10" s="576"/>
      <c r="K10" s="576"/>
      <c r="L10" s="576"/>
      <c r="M10" s="576"/>
      <c r="N10" s="576"/>
    </row>
    <row r="11" spans="1:14" ht="22.5" customHeight="1">
      <c r="A11" s="1142"/>
      <c r="B11" s="1141"/>
      <c r="C11" s="1141"/>
      <c r="D11" s="1140"/>
      <c r="E11" s="1140"/>
      <c r="F11" s="1140"/>
      <c r="G11" s="1139"/>
      <c r="H11" s="576"/>
      <c r="I11" s="576"/>
      <c r="J11" s="576"/>
      <c r="K11" s="576"/>
      <c r="L11" s="576"/>
      <c r="M11" s="576"/>
      <c r="N11" s="576"/>
    </row>
    <row r="12" spans="1:14" ht="22.5" customHeight="1">
      <c r="A12" s="1142"/>
      <c r="B12" s="1141"/>
      <c r="C12" s="1141"/>
      <c r="D12" s="1140"/>
      <c r="E12" s="1140"/>
      <c r="F12" s="1140"/>
      <c r="G12" s="1139"/>
      <c r="H12" s="576"/>
      <c r="I12" s="576"/>
      <c r="J12" s="576"/>
      <c r="K12" s="576"/>
      <c r="L12" s="576"/>
      <c r="M12" s="576"/>
      <c r="N12" s="576"/>
    </row>
    <row r="13" spans="1:14" ht="22.5" customHeight="1">
      <c r="A13" s="1142"/>
      <c r="B13" s="1141"/>
      <c r="C13" s="1141"/>
      <c r="D13" s="1140"/>
      <c r="E13" s="1140"/>
      <c r="F13" s="1140"/>
      <c r="G13" s="1139"/>
      <c r="H13" s="576"/>
      <c r="I13" s="576"/>
      <c r="J13" s="576"/>
      <c r="K13" s="576"/>
      <c r="L13" s="576"/>
      <c r="M13" s="576"/>
      <c r="N13" s="576"/>
    </row>
    <row r="14" spans="1:14" ht="22.5" customHeight="1">
      <c r="A14" s="1142"/>
      <c r="B14" s="1141"/>
      <c r="C14" s="1141"/>
      <c r="D14" s="1140"/>
      <c r="E14" s="1140"/>
      <c r="F14" s="1140"/>
      <c r="G14" s="1139"/>
      <c r="H14" s="576"/>
      <c r="I14" s="576"/>
      <c r="J14" s="576"/>
      <c r="K14" s="576"/>
      <c r="L14" s="576"/>
      <c r="M14" s="576"/>
      <c r="N14" s="576"/>
    </row>
    <row r="15" spans="1:14" ht="22.5" customHeight="1">
      <c r="A15" s="1142"/>
      <c r="B15" s="1141"/>
      <c r="C15" s="1141"/>
      <c r="D15" s="1140"/>
      <c r="E15" s="1140"/>
      <c r="F15" s="1140"/>
      <c r="G15" s="1139"/>
      <c r="H15" s="576"/>
      <c r="I15" s="576"/>
      <c r="J15" s="576"/>
      <c r="K15" s="576"/>
      <c r="L15" s="576"/>
      <c r="M15" s="576"/>
      <c r="N15" s="576"/>
    </row>
    <row r="16" spans="1:14" ht="22.5" customHeight="1">
      <c r="A16" s="1142"/>
      <c r="B16" s="1141"/>
      <c r="C16" s="1141"/>
      <c r="D16" s="1140"/>
      <c r="E16" s="1140"/>
      <c r="F16" s="1140"/>
      <c r="G16" s="1139"/>
      <c r="H16" s="576"/>
      <c r="I16" s="576"/>
      <c r="J16" s="576"/>
      <c r="K16" s="576"/>
      <c r="L16" s="576"/>
      <c r="M16" s="576"/>
      <c r="N16" s="576"/>
    </row>
    <row r="17" spans="1:14" ht="22.5" customHeight="1">
      <c r="A17" s="1142"/>
      <c r="B17" s="1141"/>
      <c r="C17" s="1141"/>
      <c r="D17" s="1140"/>
      <c r="E17" s="1140"/>
      <c r="F17" s="1140"/>
      <c r="G17" s="1139"/>
      <c r="H17" s="576"/>
      <c r="I17" s="576"/>
      <c r="J17" s="576"/>
      <c r="K17" s="576"/>
      <c r="L17" s="576"/>
      <c r="M17" s="576"/>
      <c r="N17" s="576"/>
    </row>
    <row r="18" spans="1:14" ht="22.5" customHeight="1">
      <c r="A18" s="1142"/>
      <c r="B18" s="1141"/>
      <c r="C18" s="1141"/>
      <c r="D18" s="1140"/>
      <c r="E18" s="1140"/>
      <c r="F18" s="1140"/>
      <c r="G18" s="1139"/>
      <c r="H18" s="576"/>
      <c r="I18" s="576"/>
      <c r="J18" s="576"/>
      <c r="K18" s="576"/>
      <c r="L18" s="576"/>
      <c r="M18" s="576"/>
      <c r="N18" s="576"/>
    </row>
    <row r="19" spans="1:14" ht="22.5" customHeight="1">
      <c r="A19" s="1142"/>
      <c r="B19" s="1141"/>
      <c r="C19" s="1141"/>
      <c r="D19" s="1140"/>
      <c r="E19" s="1140"/>
      <c r="F19" s="1140"/>
      <c r="G19" s="1139"/>
      <c r="H19" s="576"/>
      <c r="I19" s="576"/>
      <c r="J19" s="576"/>
      <c r="K19" s="576"/>
      <c r="L19" s="576"/>
      <c r="M19" s="576"/>
      <c r="N19" s="576"/>
    </row>
    <row r="20" spans="1:14" ht="22.5" customHeight="1">
      <c r="A20" s="1142"/>
      <c r="B20" s="1141"/>
      <c r="C20" s="1141"/>
      <c r="D20" s="1140"/>
      <c r="E20" s="1140"/>
      <c r="F20" s="1140"/>
      <c r="G20" s="1139"/>
      <c r="H20" s="576"/>
      <c r="I20" s="576"/>
      <c r="J20" s="576"/>
      <c r="K20" s="576"/>
      <c r="L20" s="576"/>
      <c r="M20" s="576"/>
      <c r="N20" s="576"/>
    </row>
    <row r="21" spans="1:14" ht="22.5" customHeight="1">
      <c r="A21" s="1142"/>
      <c r="B21" s="1141"/>
      <c r="C21" s="1141"/>
      <c r="D21" s="1140"/>
      <c r="E21" s="1140"/>
      <c r="F21" s="1140"/>
      <c r="G21" s="1139"/>
      <c r="H21" s="576"/>
      <c r="I21" s="576"/>
      <c r="J21" s="576"/>
      <c r="K21" s="576"/>
      <c r="L21" s="576"/>
      <c r="M21" s="576"/>
      <c r="N21" s="576"/>
    </row>
    <row r="22" spans="1:14" ht="22.5" customHeight="1">
      <c r="A22" s="1142"/>
      <c r="B22" s="1141"/>
      <c r="C22" s="1141"/>
      <c r="D22" s="1140"/>
      <c r="E22" s="1140"/>
      <c r="F22" s="1140"/>
      <c r="G22" s="1139"/>
      <c r="H22" s="576"/>
      <c r="I22" s="576"/>
      <c r="J22" s="576"/>
      <c r="K22" s="576"/>
      <c r="L22" s="576"/>
      <c r="M22" s="576"/>
      <c r="N22" s="576"/>
    </row>
    <row r="23" spans="1:14" ht="22.5" customHeight="1">
      <c r="A23" s="1142"/>
      <c r="B23" s="1141"/>
      <c r="C23" s="1141"/>
      <c r="D23" s="1140"/>
      <c r="E23" s="1140"/>
      <c r="F23" s="1140"/>
      <c r="G23" s="1139"/>
      <c r="H23" s="576"/>
      <c r="I23" s="576"/>
      <c r="J23" s="576"/>
      <c r="K23" s="576"/>
      <c r="L23" s="576"/>
      <c r="M23" s="576"/>
      <c r="N23" s="576"/>
    </row>
    <row r="24" spans="1:14" ht="22.5" customHeight="1">
      <c r="A24" s="1142"/>
      <c r="B24" s="1141"/>
      <c r="C24" s="1141"/>
      <c r="D24" s="1140"/>
      <c r="E24" s="1140"/>
      <c r="F24" s="1140"/>
      <c r="G24" s="1139"/>
      <c r="H24" s="576"/>
      <c r="I24" s="576"/>
      <c r="J24" s="576"/>
      <c r="K24" s="576"/>
      <c r="L24" s="576"/>
      <c r="M24" s="576"/>
      <c r="N24" s="576"/>
    </row>
    <row r="25" spans="1:14" ht="22.5" customHeight="1">
      <c r="A25" s="1142"/>
      <c r="B25" s="1141"/>
      <c r="C25" s="1141"/>
      <c r="D25" s="1140"/>
      <c r="E25" s="1140"/>
      <c r="F25" s="1140"/>
      <c r="G25" s="1139"/>
      <c r="H25" s="576"/>
      <c r="I25" s="576"/>
      <c r="J25" s="576"/>
      <c r="K25" s="576"/>
      <c r="L25" s="576"/>
      <c r="M25" s="576"/>
      <c r="N25" s="576"/>
    </row>
    <row r="26" spans="1:14" ht="22.5" customHeight="1">
      <c r="A26" s="1142"/>
      <c r="B26" s="1141"/>
      <c r="C26" s="1141"/>
      <c r="D26" s="1140"/>
      <c r="E26" s="1140"/>
      <c r="F26" s="1140"/>
      <c r="G26" s="1139"/>
      <c r="H26" s="576"/>
      <c r="I26" s="576"/>
      <c r="J26" s="576"/>
      <c r="K26" s="576"/>
      <c r="L26" s="576"/>
      <c r="M26" s="576"/>
      <c r="N26" s="576"/>
    </row>
    <row r="27" spans="1:14" ht="22.5" customHeight="1">
      <c r="A27" s="1142"/>
      <c r="B27" s="1141"/>
      <c r="C27" s="1141"/>
      <c r="D27" s="1140"/>
      <c r="E27" s="1140"/>
      <c r="F27" s="1140"/>
      <c r="G27" s="1139"/>
      <c r="H27" s="576"/>
      <c r="I27" s="576"/>
      <c r="J27" s="576"/>
      <c r="K27" s="576"/>
      <c r="L27" s="576"/>
      <c r="M27" s="576"/>
      <c r="N27" s="576"/>
    </row>
    <row r="28" spans="1:14" ht="22.5" customHeight="1">
      <c r="A28" s="1142"/>
      <c r="B28" s="1141"/>
      <c r="C28" s="1141"/>
      <c r="D28" s="1140"/>
      <c r="E28" s="1140"/>
      <c r="F28" s="1140"/>
      <c r="G28" s="1139"/>
      <c r="H28" s="576"/>
      <c r="I28" s="576"/>
      <c r="J28" s="576"/>
      <c r="K28" s="576"/>
      <c r="L28" s="576"/>
      <c r="M28" s="576"/>
      <c r="N28" s="576"/>
    </row>
    <row r="29" spans="1:14" ht="22.5" customHeight="1">
      <c r="A29" s="1142"/>
      <c r="B29" s="1141"/>
      <c r="C29" s="1141"/>
      <c r="D29" s="1140"/>
      <c r="E29" s="1140"/>
      <c r="F29" s="1140"/>
      <c r="G29" s="1139"/>
      <c r="H29" s="576"/>
      <c r="I29" s="576"/>
      <c r="J29" s="576"/>
      <c r="K29" s="576"/>
      <c r="L29" s="576"/>
      <c r="M29" s="576"/>
      <c r="N29" s="576"/>
    </row>
    <row r="30" spans="1:14" ht="22.5" customHeight="1">
      <c r="A30" s="1142"/>
      <c r="B30" s="1141"/>
      <c r="C30" s="1141"/>
      <c r="D30" s="1140"/>
      <c r="E30" s="1140"/>
      <c r="F30" s="1140"/>
      <c r="G30" s="1139"/>
      <c r="H30" s="576"/>
      <c r="I30" s="576"/>
      <c r="J30" s="576"/>
      <c r="K30" s="576"/>
      <c r="L30" s="576"/>
      <c r="M30" s="576"/>
      <c r="N30" s="576"/>
    </row>
    <row r="31" spans="1:14" ht="22.5" customHeight="1">
      <c r="A31" s="1142"/>
      <c r="B31" s="1141"/>
      <c r="C31" s="1141"/>
      <c r="D31" s="1140"/>
      <c r="E31" s="1140"/>
      <c r="F31" s="1140"/>
      <c r="G31" s="1139"/>
      <c r="H31" s="576"/>
      <c r="I31" s="576"/>
      <c r="J31" s="576"/>
      <c r="K31" s="576"/>
      <c r="L31" s="576"/>
      <c r="M31" s="576"/>
      <c r="N31" s="576"/>
    </row>
    <row r="32" spans="1:14" ht="22.5" customHeight="1">
      <c r="A32" s="1138"/>
      <c r="B32" s="1137"/>
      <c r="C32" s="1137"/>
      <c r="D32" s="1136"/>
      <c r="E32" s="1136"/>
      <c r="F32" s="1136"/>
      <c r="G32" s="1135"/>
      <c r="H32" s="576"/>
      <c r="I32" s="576"/>
      <c r="J32" s="576"/>
      <c r="K32" s="576"/>
      <c r="L32" s="576"/>
      <c r="M32" s="576"/>
      <c r="N32" s="576"/>
    </row>
    <row r="33" spans="1:14" ht="22.5" customHeight="1">
      <c r="A33" s="1132" t="s">
        <v>1745</v>
      </c>
      <c r="B33" s="1132"/>
      <c r="C33" s="1132"/>
      <c r="D33" s="1133">
        <f>SUM(D5:D32)</f>
        <v>0</v>
      </c>
      <c r="E33" s="1134"/>
      <c r="F33" s="1133">
        <f>SUM(F5:F32)</f>
        <v>0</v>
      </c>
      <c r="G33" s="1132"/>
      <c r="H33" s="576"/>
      <c r="I33" s="576"/>
      <c r="J33" s="576"/>
      <c r="K33" s="576"/>
      <c r="L33" s="576"/>
      <c r="M33" s="576"/>
      <c r="N33" s="576"/>
    </row>
    <row r="34" spans="1:14">
      <c r="A34" s="1131"/>
      <c r="B34" s="1131"/>
      <c r="C34" s="1131"/>
      <c r="D34" s="1131"/>
      <c r="E34" s="1131"/>
      <c r="F34" s="1131"/>
      <c r="G34" s="1131"/>
      <c r="H34" s="576"/>
      <c r="I34" s="576"/>
      <c r="J34" s="576"/>
      <c r="K34" s="576"/>
      <c r="L34" s="576"/>
      <c r="M34" s="576"/>
      <c r="N34" s="576"/>
    </row>
    <row r="35" spans="1:14" ht="18" customHeight="1">
      <c r="A35" s="2765" t="str">
        <f>"单位负责人："&amp;基本情况!$F$55&amp;"                盘点人："&amp;基本情况!$F$56&amp;"                  监盘人："&amp;基本情况!$F$19&amp;""</f>
        <v>单位负责人：备注                     盘点人：对享受税收优惠情况进行简要描述并填报减免企业应纳税所得额。                  监盘人：</v>
      </c>
      <c r="B35" s="2765"/>
      <c r="C35" s="2765"/>
      <c r="D35" s="2765"/>
      <c r="E35" s="2765"/>
      <c r="F35" s="2765"/>
      <c r="G35" s="2765"/>
      <c r="H35" s="576"/>
      <c r="I35" s="576"/>
      <c r="J35" s="576"/>
      <c r="K35" s="576"/>
      <c r="L35" s="576"/>
      <c r="M35" s="576"/>
      <c r="N35" s="576"/>
    </row>
    <row r="36" spans="1:14">
      <c r="A36" s="1130"/>
      <c r="B36" s="1130"/>
      <c r="C36" s="1130"/>
      <c r="D36" s="1130"/>
      <c r="E36" s="1130"/>
      <c r="F36" s="1130"/>
      <c r="G36" s="1130"/>
    </row>
  </sheetData>
  <sheetProtection selectLockedCells="1" selectUnlockedCells="1"/>
  <mergeCells count="4">
    <mergeCell ref="A1:G1"/>
    <mergeCell ref="A2:G2"/>
    <mergeCell ref="A3:G3"/>
    <mergeCell ref="A35:G35"/>
  </mergeCells>
  <phoneticPr fontId="135"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O53"/>
  <sheetViews>
    <sheetView workbookViewId="0">
      <selection activeCell="G4" sqref="G4:H4"/>
    </sheetView>
  </sheetViews>
  <sheetFormatPr defaultColWidth="9" defaultRowHeight="14.25"/>
  <cols>
    <col min="1" max="1" width="10.125" style="577" customWidth="1"/>
    <col min="2" max="2" width="6.875" style="577" customWidth="1"/>
    <col min="3" max="3" width="9" style="577"/>
    <col min="4" max="4" width="10.25" style="577" customWidth="1"/>
    <col min="5" max="5" width="3" style="577" customWidth="1"/>
    <col min="6" max="6" width="14.5" style="577" customWidth="1"/>
    <col min="7" max="7" width="9.75" style="577" customWidth="1"/>
    <col min="8" max="8" width="16.875" style="577" customWidth="1"/>
    <col min="9" max="16384" width="9" style="577"/>
  </cols>
  <sheetData>
    <row r="1" spans="1:15" ht="22.5">
      <c r="A1" s="2682" t="s">
        <v>4981</v>
      </c>
      <c r="B1" s="2682"/>
      <c r="C1" s="2682"/>
      <c r="D1" s="2682"/>
      <c r="E1" s="2682"/>
      <c r="F1" s="2682"/>
      <c r="G1" s="2682"/>
      <c r="H1" s="2682"/>
      <c r="I1" s="576"/>
      <c r="J1" s="576"/>
      <c r="K1" s="576"/>
      <c r="L1" s="576"/>
      <c r="M1" s="576"/>
      <c r="N1" s="576"/>
      <c r="O1" s="576"/>
    </row>
    <row r="2" spans="1:15">
      <c r="A2" s="1165" t="s">
        <v>4980</v>
      </c>
      <c r="B2" s="1165"/>
      <c r="C2" s="1165"/>
      <c r="D2" s="1165"/>
      <c r="E2" s="1165"/>
      <c r="F2" s="1165"/>
      <c r="G2" s="2769" t="s">
        <v>4370</v>
      </c>
      <c r="H2" s="2770" t="str">
        <f>开始!B18</f>
        <v>IN-16</v>
      </c>
      <c r="I2" s="576"/>
      <c r="J2" s="576"/>
      <c r="K2" s="576"/>
      <c r="L2" s="576"/>
      <c r="M2" s="576"/>
      <c r="N2" s="576"/>
      <c r="O2" s="576"/>
    </row>
    <row r="3" spans="1:15" ht="12" customHeight="1">
      <c r="A3" s="1164"/>
      <c r="B3" s="1164"/>
      <c r="C3" s="1164"/>
      <c r="D3" s="1164"/>
      <c r="E3" s="1164"/>
      <c r="F3" s="1164"/>
      <c r="G3" s="2769"/>
      <c r="H3" s="2770"/>
      <c r="I3" s="576"/>
      <c r="J3" s="576"/>
      <c r="K3" s="576"/>
      <c r="L3" s="576"/>
      <c r="M3" s="576"/>
      <c r="N3" s="576"/>
      <c r="O3" s="576"/>
    </row>
    <row r="4" spans="1:15" ht="19.5" customHeight="1">
      <c r="A4" s="1163" t="s">
        <v>4979</v>
      </c>
      <c r="B4" s="2771" t="str">
        <f>基本情况!$C$3</f>
        <v/>
      </c>
      <c r="C4" s="2771"/>
      <c r="D4" s="2771"/>
      <c r="E4" s="2771"/>
      <c r="F4" s="1162" t="s">
        <v>4978</v>
      </c>
      <c r="G4" s="2772" t="str">
        <f>基本情况!$F$6&amp;"年度"</f>
        <v>2017年度</v>
      </c>
      <c r="H4" s="2772"/>
      <c r="I4" s="576"/>
      <c r="J4" s="576"/>
      <c r="K4" s="576"/>
      <c r="L4" s="576"/>
      <c r="M4" s="576"/>
      <c r="N4" s="576"/>
      <c r="O4" s="576"/>
    </row>
    <row r="5" spans="1:15" ht="19.5" customHeight="1">
      <c r="A5" s="1161" t="s">
        <v>4977</v>
      </c>
      <c r="B5" s="2773"/>
      <c r="C5" s="2773"/>
      <c r="D5" s="2773"/>
      <c r="E5" s="2773"/>
      <c r="F5" s="1160" t="s">
        <v>4976</v>
      </c>
      <c r="G5" s="2774" t="str">
        <f>基本情况!$F$28</f>
        <v>2018年5月4日</v>
      </c>
      <c r="H5" s="2774"/>
      <c r="I5" s="576"/>
      <c r="J5" s="576"/>
      <c r="K5" s="576"/>
      <c r="L5" s="576"/>
      <c r="M5" s="576"/>
      <c r="N5" s="576"/>
      <c r="O5" s="576"/>
    </row>
    <row r="6" spans="1:15">
      <c r="A6" s="1159"/>
      <c r="B6" s="1158"/>
      <c r="C6" s="1158"/>
      <c r="D6" s="1158"/>
      <c r="E6" s="1158"/>
      <c r="F6" s="1158"/>
      <c r="G6" s="1158"/>
      <c r="H6" s="1157"/>
      <c r="I6" s="576"/>
      <c r="J6" s="576"/>
      <c r="K6" s="576"/>
      <c r="L6" s="576"/>
      <c r="M6" s="576"/>
      <c r="N6" s="576"/>
      <c r="O6" s="576"/>
    </row>
    <row r="7" spans="1:15">
      <c r="A7" s="1156"/>
      <c r="B7" s="1155"/>
      <c r="C7" s="1155"/>
      <c r="D7" s="1155"/>
      <c r="E7" s="1155"/>
      <c r="F7" s="1155"/>
      <c r="G7" s="1155"/>
      <c r="H7" s="1154"/>
      <c r="I7" s="576"/>
      <c r="J7" s="576"/>
      <c r="K7" s="576"/>
      <c r="L7" s="576"/>
      <c r="M7" s="576"/>
      <c r="N7" s="576"/>
      <c r="O7" s="576"/>
    </row>
    <row r="8" spans="1:15">
      <c r="A8" s="1156"/>
      <c r="B8" s="1155"/>
      <c r="C8" s="1155"/>
      <c r="D8" s="1155"/>
      <c r="E8" s="1155"/>
      <c r="F8" s="1155"/>
      <c r="G8" s="1155"/>
      <c r="H8" s="1154"/>
      <c r="I8" s="576"/>
      <c r="J8" s="576"/>
      <c r="K8" s="576"/>
      <c r="L8" s="576"/>
      <c r="M8" s="576"/>
      <c r="N8" s="576"/>
      <c r="O8" s="576"/>
    </row>
    <row r="9" spans="1:15">
      <c r="A9" s="1156"/>
      <c r="B9" s="1155"/>
      <c r="C9" s="1155"/>
      <c r="D9" s="1155"/>
      <c r="E9" s="1155"/>
      <c r="F9" s="1155"/>
      <c r="G9" s="1155"/>
      <c r="H9" s="1154"/>
      <c r="I9" s="576"/>
      <c r="J9" s="576"/>
      <c r="K9" s="576"/>
      <c r="L9" s="576"/>
      <c r="M9" s="576"/>
      <c r="N9" s="576"/>
      <c r="O9" s="576"/>
    </row>
    <row r="10" spans="1:15">
      <c r="A10" s="1156"/>
      <c r="B10" s="1155"/>
      <c r="C10" s="1155"/>
      <c r="D10" s="1155"/>
      <c r="E10" s="1155"/>
      <c r="F10" s="1155"/>
      <c r="G10" s="1155"/>
      <c r="H10" s="1154"/>
      <c r="I10" s="576"/>
      <c r="J10" s="576"/>
      <c r="K10" s="576"/>
      <c r="L10" s="576"/>
      <c r="M10" s="576"/>
      <c r="N10" s="576"/>
      <c r="O10" s="576"/>
    </row>
    <row r="11" spans="1:15">
      <c r="A11" s="1156"/>
      <c r="B11" s="1155"/>
      <c r="C11" s="1155"/>
      <c r="D11" s="1155"/>
      <c r="E11" s="1155"/>
      <c r="F11" s="1155"/>
      <c r="G11" s="1155"/>
      <c r="H11" s="1154"/>
      <c r="I11" s="576"/>
      <c r="J11" s="576"/>
      <c r="K11" s="576"/>
      <c r="L11" s="576"/>
      <c r="M11" s="576"/>
      <c r="N11" s="576"/>
      <c r="O11" s="576"/>
    </row>
    <row r="12" spans="1:15">
      <c r="A12" s="1156"/>
      <c r="B12" s="1155"/>
      <c r="C12" s="1155"/>
      <c r="D12" s="1155"/>
      <c r="E12" s="1155"/>
      <c r="F12" s="1155"/>
      <c r="G12" s="1155"/>
      <c r="H12" s="1154"/>
      <c r="I12" s="576"/>
      <c r="J12" s="576"/>
      <c r="K12" s="576"/>
      <c r="L12" s="576"/>
      <c r="M12" s="576"/>
      <c r="N12" s="576"/>
      <c r="O12" s="576"/>
    </row>
    <row r="13" spans="1:15">
      <c r="A13" s="1156"/>
      <c r="B13" s="1155"/>
      <c r="C13" s="1155"/>
      <c r="D13" s="1155"/>
      <c r="E13" s="1155"/>
      <c r="F13" s="1155"/>
      <c r="G13" s="1155"/>
      <c r="H13" s="1154"/>
      <c r="I13" s="576"/>
      <c r="J13" s="576"/>
      <c r="K13" s="576"/>
      <c r="L13" s="576"/>
      <c r="M13" s="576"/>
      <c r="N13" s="576"/>
      <c r="O13" s="576"/>
    </row>
    <row r="14" spans="1:15">
      <c r="A14" s="1156"/>
      <c r="B14" s="1155"/>
      <c r="C14" s="1155"/>
      <c r="D14" s="1155"/>
      <c r="E14" s="1155"/>
      <c r="F14" s="1155"/>
      <c r="G14" s="1155"/>
      <c r="H14" s="1154"/>
      <c r="I14" s="576"/>
      <c r="J14" s="576"/>
      <c r="K14" s="576"/>
      <c r="L14" s="576"/>
      <c r="M14" s="576"/>
      <c r="N14" s="576"/>
      <c r="O14" s="576"/>
    </row>
    <row r="15" spans="1:15">
      <c r="A15" s="1156"/>
      <c r="B15" s="1155"/>
      <c r="C15" s="1155"/>
      <c r="D15" s="1155"/>
      <c r="E15" s="1155"/>
      <c r="F15" s="1155"/>
      <c r="G15" s="1155"/>
      <c r="H15" s="1154"/>
      <c r="I15" s="576"/>
      <c r="J15" s="576"/>
      <c r="K15" s="576"/>
      <c r="L15" s="576"/>
      <c r="M15" s="576"/>
      <c r="N15" s="576"/>
      <c r="O15" s="576"/>
    </row>
    <row r="16" spans="1:15">
      <c r="A16" s="1156"/>
      <c r="B16" s="1155"/>
      <c r="C16" s="1155"/>
      <c r="D16" s="1155"/>
      <c r="E16" s="1155"/>
      <c r="F16" s="1155"/>
      <c r="G16" s="1155"/>
      <c r="H16" s="1154"/>
      <c r="I16" s="576"/>
      <c r="J16" s="576"/>
      <c r="K16" s="576"/>
      <c r="L16" s="576"/>
      <c r="M16" s="576"/>
      <c r="N16" s="576"/>
      <c r="O16" s="576"/>
    </row>
    <row r="17" spans="1:15">
      <c r="A17" s="1156"/>
      <c r="B17" s="1155"/>
      <c r="C17" s="1155"/>
      <c r="D17" s="1155"/>
      <c r="E17" s="1155"/>
      <c r="F17" s="1155"/>
      <c r="G17" s="1155"/>
      <c r="H17" s="1154"/>
      <c r="I17" s="576"/>
      <c r="J17" s="576"/>
      <c r="K17" s="576"/>
      <c r="L17" s="576"/>
      <c r="M17" s="576"/>
      <c r="N17" s="576"/>
      <c r="O17" s="576"/>
    </row>
    <row r="18" spans="1:15">
      <c r="A18" s="1156"/>
      <c r="B18" s="1155"/>
      <c r="C18" s="1155"/>
      <c r="D18" s="1155"/>
      <c r="E18" s="1155"/>
      <c r="F18" s="1155"/>
      <c r="G18" s="1155"/>
      <c r="H18" s="1154"/>
      <c r="I18" s="576"/>
      <c r="J18" s="576"/>
      <c r="K18" s="576"/>
      <c r="L18" s="576"/>
      <c r="M18" s="576"/>
      <c r="N18" s="576"/>
      <c r="O18" s="576"/>
    </row>
    <row r="19" spans="1:15">
      <c r="A19" s="1156"/>
      <c r="B19" s="1155"/>
      <c r="C19" s="1155"/>
      <c r="D19" s="1155"/>
      <c r="E19" s="1155"/>
      <c r="F19" s="1155"/>
      <c r="G19" s="1155"/>
      <c r="H19" s="1154"/>
      <c r="I19" s="576"/>
      <c r="J19" s="576"/>
      <c r="K19" s="576"/>
      <c r="L19" s="576"/>
      <c r="M19" s="576"/>
      <c r="N19" s="576"/>
      <c r="O19" s="576"/>
    </row>
    <row r="20" spans="1:15">
      <c r="A20" s="1156"/>
      <c r="B20" s="1155"/>
      <c r="C20" s="1155"/>
      <c r="D20" s="1155"/>
      <c r="E20" s="1155"/>
      <c r="F20" s="1155"/>
      <c r="G20" s="1155"/>
      <c r="H20" s="1154"/>
      <c r="I20" s="576"/>
      <c r="J20" s="576"/>
      <c r="K20" s="576"/>
      <c r="L20" s="576"/>
      <c r="M20" s="576"/>
      <c r="N20" s="576"/>
      <c r="O20" s="576"/>
    </row>
    <row r="21" spans="1:15">
      <c r="A21" s="1156"/>
      <c r="B21" s="1155"/>
      <c r="C21" s="1155"/>
      <c r="D21" s="1155"/>
      <c r="E21" s="1155"/>
      <c r="F21" s="1155"/>
      <c r="G21" s="1155"/>
      <c r="H21" s="1154"/>
      <c r="I21" s="576"/>
      <c r="J21" s="576"/>
      <c r="K21" s="576"/>
      <c r="L21" s="576"/>
      <c r="M21" s="576"/>
      <c r="N21" s="576"/>
      <c r="O21" s="576"/>
    </row>
    <row r="22" spans="1:15">
      <c r="A22" s="1156"/>
      <c r="B22" s="1155"/>
      <c r="C22" s="1155"/>
      <c r="D22" s="1155"/>
      <c r="E22" s="1155"/>
      <c r="F22" s="1155"/>
      <c r="G22" s="1155"/>
      <c r="H22" s="1154"/>
      <c r="I22" s="576"/>
      <c r="J22" s="576"/>
      <c r="K22" s="576"/>
      <c r="L22" s="576"/>
      <c r="M22" s="576"/>
      <c r="N22" s="576"/>
      <c r="O22" s="576"/>
    </row>
    <row r="23" spans="1:15">
      <c r="A23" s="1156"/>
      <c r="B23" s="1155"/>
      <c r="C23" s="1155"/>
      <c r="D23" s="1155"/>
      <c r="E23" s="1155"/>
      <c r="F23" s="1155"/>
      <c r="G23" s="1155"/>
      <c r="H23" s="1154"/>
      <c r="I23" s="576"/>
      <c r="J23" s="576"/>
      <c r="K23" s="576"/>
      <c r="L23" s="576"/>
      <c r="M23" s="576"/>
      <c r="N23" s="576"/>
      <c r="O23" s="576"/>
    </row>
    <row r="24" spans="1:15">
      <c r="A24" s="1156"/>
      <c r="B24" s="1155"/>
      <c r="C24" s="1155"/>
      <c r="D24" s="1155"/>
      <c r="E24" s="1155"/>
      <c r="F24" s="1155"/>
      <c r="G24" s="1155"/>
      <c r="H24" s="1154"/>
      <c r="I24" s="576"/>
      <c r="J24" s="576"/>
      <c r="K24" s="576"/>
      <c r="L24" s="576"/>
      <c r="M24" s="576"/>
      <c r="N24" s="576"/>
      <c r="O24" s="576"/>
    </row>
    <row r="25" spans="1:15">
      <c r="A25" s="1156"/>
      <c r="B25" s="1155"/>
      <c r="C25" s="1155"/>
      <c r="D25" s="1155"/>
      <c r="E25" s="1155"/>
      <c r="F25" s="1155"/>
      <c r="G25" s="1155"/>
      <c r="H25" s="1154"/>
      <c r="I25" s="576"/>
      <c r="J25" s="576"/>
      <c r="K25" s="576"/>
      <c r="L25" s="576"/>
      <c r="M25" s="576"/>
      <c r="N25" s="576"/>
      <c r="O25" s="576"/>
    </row>
    <row r="26" spans="1:15">
      <c r="A26" s="1156"/>
      <c r="B26" s="1155"/>
      <c r="C26" s="1155"/>
      <c r="D26" s="1155"/>
      <c r="E26" s="1155"/>
      <c r="F26" s="1155"/>
      <c r="G26" s="1155"/>
      <c r="H26" s="1154"/>
      <c r="I26" s="576"/>
      <c r="J26" s="576"/>
      <c r="K26" s="576"/>
      <c r="L26" s="576"/>
      <c r="M26" s="576"/>
      <c r="N26" s="576"/>
      <c r="O26" s="576"/>
    </row>
    <row r="27" spans="1:15">
      <c r="A27" s="1156"/>
      <c r="B27" s="1155"/>
      <c r="C27" s="1155"/>
      <c r="D27" s="1155"/>
      <c r="E27" s="1155"/>
      <c r="F27" s="1155"/>
      <c r="G27" s="1155"/>
      <c r="H27" s="1154"/>
      <c r="I27" s="576"/>
      <c r="J27" s="576"/>
      <c r="K27" s="576"/>
      <c r="L27" s="576"/>
      <c r="M27" s="576"/>
      <c r="N27" s="576"/>
      <c r="O27" s="576"/>
    </row>
    <row r="28" spans="1:15">
      <c r="A28" s="1156"/>
      <c r="B28" s="1155"/>
      <c r="C28" s="1155"/>
      <c r="D28" s="1155"/>
      <c r="E28" s="1155"/>
      <c r="F28" s="1155"/>
      <c r="G28" s="1155"/>
      <c r="H28" s="1154"/>
      <c r="I28" s="576"/>
      <c r="J28" s="576"/>
      <c r="K28" s="576"/>
      <c r="L28" s="576"/>
      <c r="M28" s="576"/>
      <c r="N28" s="576"/>
      <c r="O28" s="576"/>
    </row>
    <row r="29" spans="1:15">
      <c r="A29" s="1156"/>
      <c r="B29" s="1155"/>
      <c r="C29" s="1155"/>
      <c r="D29" s="1155"/>
      <c r="E29" s="1155"/>
      <c r="F29" s="1155"/>
      <c r="G29" s="1155"/>
      <c r="H29" s="1154"/>
      <c r="I29" s="576"/>
      <c r="J29" s="576"/>
      <c r="K29" s="576"/>
      <c r="L29" s="576"/>
      <c r="M29" s="576"/>
      <c r="N29" s="576"/>
      <c r="O29" s="576"/>
    </row>
    <row r="30" spans="1:15">
      <c r="A30" s="1156"/>
      <c r="B30" s="1155"/>
      <c r="C30" s="1155"/>
      <c r="D30" s="1155"/>
      <c r="E30" s="1155"/>
      <c r="F30" s="1155"/>
      <c r="G30" s="1155"/>
      <c r="H30" s="1154"/>
      <c r="I30" s="576"/>
      <c r="J30" s="576"/>
      <c r="K30" s="576"/>
      <c r="L30" s="576"/>
      <c r="M30" s="576"/>
      <c r="N30" s="576"/>
      <c r="O30" s="576"/>
    </row>
    <row r="31" spans="1:15">
      <c r="A31" s="1156"/>
      <c r="B31" s="1155"/>
      <c r="C31" s="1155"/>
      <c r="D31" s="1155"/>
      <c r="E31" s="1155"/>
      <c r="F31" s="1155"/>
      <c r="G31" s="1155"/>
      <c r="H31" s="1154"/>
      <c r="I31" s="576"/>
      <c r="J31" s="576"/>
      <c r="K31" s="576"/>
      <c r="L31" s="576"/>
      <c r="M31" s="576"/>
      <c r="N31" s="576"/>
      <c r="O31" s="576"/>
    </row>
    <row r="32" spans="1:15">
      <c r="A32" s="1156"/>
      <c r="B32" s="1155"/>
      <c r="C32" s="1155"/>
      <c r="D32" s="1155"/>
      <c r="E32" s="1155"/>
      <c r="F32" s="1155"/>
      <c r="G32" s="1155"/>
      <c r="H32" s="1154"/>
      <c r="I32" s="576"/>
      <c r="J32" s="576"/>
      <c r="K32" s="576"/>
      <c r="L32" s="576"/>
      <c r="M32" s="576"/>
      <c r="N32" s="576"/>
      <c r="O32" s="576"/>
    </row>
    <row r="33" spans="1:15">
      <c r="A33" s="1156"/>
      <c r="B33" s="1155"/>
      <c r="C33" s="1155"/>
      <c r="D33" s="1155"/>
      <c r="E33" s="1155"/>
      <c r="F33" s="1155"/>
      <c r="G33" s="1155"/>
      <c r="H33" s="1154"/>
      <c r="I33" s="576"/>
      <c r="J33" s="576"/>
      <c r="K33" s="576"/>
      <c r="L33" s="576"/>
      <c r="M33" s="576"/>
      <c r="N33" s="576"/>
      <c r="O33" s="576"/>
    </row>
    <row r="34" spans="1:15">
      <c r="A34" s="1156"/>
      <c r="B34" s="1155"/>
      <c r="C34" s="1155"/>
      <c r="D34" s="1155"/>
      <c r="E34" s="1155"/>
      <c r="F34" s="1155"/>
      <c r="G34" s="1155"/>
      <c r="H34" s="1154"/>
      <c r="I34" s="576"/>
      <c r="J34" s="576"/>
      <c r="K34" s="576"/>
      <c r="L34" s="576"/>
      <c r="M34" s="576"/>
      <c r="N34" s="576"/>
      <c r="O34" s="576"/>
    </row>
    <row r="35" spans="1:15">
      <c r="A35" s="1156"/>
      <c r="B35" s="1155"/>
      <c r="C35" s="1155"/>
      <c r="D35" s="1155"/>
      <c r="E35" s="1155"/>
      <c r="F35" s="1155"/>
      <c r="G35" s="1155"/>
      <c r="H35" s="1154"/>
      <c r="I35" s="576"/>
      <c r="J35" s="576"/>
      <c r="K35" s="576"/>
      <c r="L35" s="576"/>
      <c r="M35" s="576"/>
      <c r="N35" s="576"/>
      <c r="O35" s="576"/>
    </row>
    <row r="36" spans="1:15">
      <c r="A36" s="1156"/>
      <c r="B36" s="1155"/>
      <c r="C36" s="1155"/>
      <c r="D36" s="1155"/>
      <c r="E36" s="1155"/>
      <c r="F36" s="1155"/>
      <c r="G36" s="1155"/>
      <c r="H36" s="1154"/>
      <c r="I36" s="576"/>
      <c r="J36" s="576"/>
      <c r="K36" s="576"/>
      <c r="L36" s="576"/>
      <c r="M36" s="576"/>
      <c r="N36" s="576"/>
      <c r="O36" s="576"/>
    </row>
    <row r="37" spans="1:15">
      <c r="A37" s="1156"/>
      <c r="B37" s="1155"/>
      <c r="C37" s="1155"/>
      <c r="D37" s="1155"/>
      <c r="E37" s="1155"/>
      <c r="F37" s="1155"/>
      <c r="G37" s="1155"/>
      <c r="H37" s="1154"/>
      <c r="I37" s="576"/>
      <c r="J37" s="576"/>
      <c r="K37" s="576"/>
      <c r="L37" s="576"/>
      <c r="M37" s="576"/>
      <c r="N37" s="576"/>
      <c r="O37" s="576"/>
    </row>
    <row r="38" spans="1:15">
      <c r="A38" s="1156"/>
      <c r="B38" s="1155"/>
      <c r="C38" s="1155"/>
      <c r="D38" s="1155"/>
      <c r="E38" s="1155"/>
      <c r="F38" s="1155"/>
      <c r="G38" s="1155"/>
      <c r="H38" s="1154"/>
      <c r="I38" s="576"/>
      <c r="J38" s="576"/>
      <c r="K38" s="576"/>
      <c r="L38" s="576"/>
      <c r="M38" s="576"/>
      <c r="N38" s="576"/>
      <c r="O38" s="576"/>
    </row>
    <row r="39" spans="1:15">
      <c r="A39" s="1156"/>
      <c r="B39" s="1155"/>
      <c r="C39" s="1155"/>
      <c r="D39" s="1155"/>
      <c r="E39" s="1155"/>
      <c r="F39" s="1155"/>
      <c r="G39" s="1155"/>
      <c r="H39" s="1154"/>
      <c r="I39" s="576"/>
      <c r="J39" s="576"/>
      <c r="K39" s="576"/>
      <c r="L39" s="576"/>
      <c r="M39" s="576"/>
      <c r="N39" s="576"/>
      <c r="O39" s="576"/>
    </row>
    <row r="40" spans="1:15">
      <c r="A40" s="1156"/>
      <c r="B40" s="1155"/>
      <c r="C40" s="1155"/>
      <c r="D40" s="1155"/>
      <c r="E40" s="1155"/>
      <c r="F40" s="1155"/>
      <c r="G40" s="1155"/>
      <c r="H40" s="1154"/>
      <c r="I40" s="576"/>
      <c r="J40" s="576"/>
      <c r="K40" s="576"/>
      <c r="L40" s="576"/>
      <c r="M40" s="576"/>
      <c r="N40" s="576"/>
      <c r="O40" s="576"/>
    </row>
    <row r="41" spans="1:15">
      <c r="A41" s="1156"/>
      <c r="B41" s="1155"/>
      <c r="C41" s="1155"/>
      <c r="D41" s="1155"/>
      <c r="E41" s="1155"/>
      <c r="F41" s="1155"/>
      <c r="G41" s="1155"/>
      <c r="H41" s="1154"/>
      <c r="I41" s="576"/>
      <c r="J41" s="576"/>
      <c r="K41" s="576"/>
      <c r="L41" s="576"/>
      <c r="M41" s="576"/>
      <c r="N41" s="576"/>
      <c r="O41" s="576"/>
    </row>
    <row r="42" spans="1:15">
      <c r="A42" s="1156"/>
      <c r="B42" s="1155"/>
      <c r="C42" s="1155"/>
      <c r="D42" s="1155"/>
      <c r="E42" s="1155"/>
      <c r="F42" s="1155"/>
      <c r="G42" s="1155"/>
      <c r="H42" s="1154"/>
      <c r="I42" s="576"/>
      <c r="J42" s="576"/>
      <c r="K42" s="576"/>
      <c r="L42" s="576"/>
      <c r="M42" s="576"/>
      <c r="N42" s="576"/>
      <c r="O42" s="576"/>
    </row>
    <row r="43" spans="1:15">
      <c r="A43" s="1156"/>
      <c r="B43" s="1155"/>
      <c r="C43" s="1155"/>
      <c r="D43" s="1155"/>
      <c r="E43" s="1155"/>
      <c r="F43" s="1155"/>
      <c r="G43" s="1155"/>
      <c r="H43" s="1154"/>
      <c r="I43" s="576"/>
      <c r="J43" s="576"/>
      <c r="K43" s="576"/>
      <c r="L43" s="576"/>
      <c r="M43" s="576"/>
      <c r="N43" s="576"/>
      <c r="O43" s="576"/>
    </row>
    <row r="44" spans="1:15">
      <c r="A44" s="1156"/>
      <c r="B44" s="1155"/>
      <c r="C44" s="1155"/>
      <c r="D44" s="1155"/>
      <c r="E44" s="1155"/>
      <c r="F44" s="1155"/>
      <c r="G44" s="1155"/>
      <c r="H44" s="1154"/>
      <c r="I44" s="576"/>
      <c r="J44" s="576"/>
      <c r="K44" s="576"/>
      <c r="L44" s="576"/>
      <c r="M44" s="576"/>
      <c r="N44" s="576"/>
      <c r="O44" s="576"/>
    </row>
    <row r="45" spans="1:15">
      <c r="A45" s="1156"/>
      <c r="B45" s="1155"/>
      <c r="C45" s="1155"/>
      <c r="D45" s="1155"/>
      <c r="E45" s="1155"/>
      <c r="F45" s="1155"/>
      <c r="G45" s="1155"/>
      <c r="H45" s="1154"/>
      <c r="I45" s="576"/>
      <c r="J45" s="576"/>
      <c r="K45" s="576"/>
      <c r="L45" s="576"/>
      <c r="M45" s="576"/>
      <c r="N45" s="576"/>
      <c r="O45" s="576"/>
    </row>
    <row r="46" spans="1:15">
      <c r="A46" s="1156"/>
      <c r="B46" s="1155"/>
      <c r="C46" s="1155"/>
      <c r="D46" s="1155"/>
      <c r="E46" s="1155"/>
      <c r="F46" s="1155"/>
      <c r="G46" s="1155"/>
      <c r="H46" s="1154"/>
      <c r="I46" s="576"/>
      <c r="J46" s="576"/>
      <c r="K46" s="576"/>
      <c r="L46" s="576"/>
      <c r="M46" s="576"/>
      <c r="N46" s="576"/>
      <c r="O46" s="576"/>
    </row>
    <row r="47" spans="1:15" ht="14.25" customHeight="1">
      <c r="A47" s="1156"/>
      <c r="B47" s="1155"/>
      <c r="C47" s="1155"/>
      <c r="D47" s="1155"/>
      <c r="E47" s="1155"/>
      <c r="F47" s="1155"/>
      <c r="G47" s="1155"/>
      <c r="H47" s="1154"/>
      <c r="I47" s="576"/>
      <c r="J47" s="576"/>
      <c r="K47" s="576"/>
      <c r="L47" s="576"/>
      <c r="M47" s="576"/>
      <c r="N47" s="576"/>
      <c r="O47" s="576"/>
    </row>
    <row r="48" spans="1:15" ht="14.25" customHeight="1">
      <c r="A48" s="1156"/>
      <c r="B48" s="1155"/>
      <c r="C48" s="1155"/>
      <c r="D48" s="1155"/>
      <c r="E48" s="1155"/>
      <c r="F48" s="1155"/>
      <c r="G48" s="1155"/>
      <c r="H48" s="1154"/>
      <c r="I48" s="576"/>
      <c r="J48" s="576"/>
      <c r="K48" s="576"/>
      <c r="L48" s="576"/>
      <c r="M48" s="576"/>
      <c r="N48" s="576"/>
      <c r="O48" s="576"/>
    </row>
    <row r="49" spans="1:15" ht="14.25" customHeight="1">
      <c r="A49" s="1153"/>
      <c r="B49" s="1152"/>
      <c r="C49" s="1152"/>
      <c r="D49" s="1152"/>
      <c r="E49" s="1152"/>
      <c r="F49" s="1152"/>
      <c r="G49" s="1152"/>
      <c r="H49" s="1151"/>
      <c r="I49" s="576"/>
      <c r="J49" s="576"/>
      <c r="K49" s="576"/>
      <c r="L49" s="576"/>
      <c r="M49" s="576"/>
      <c r="N49" s="576"/>
      <c r="O49" s="576"/>
    </row>
    <row r="50" spans="1:15" ht="15" customHeight="1">
      <c r="A50" s="2775" t="s">
        <v>4975</v>
      </c>
      <c r="B50" s="2776"/>
      <c r="C50" s="2776"/>
      <c r="D50" s="2776"/>
      <c r="E50" s="2776"/>
      <c r="F50" s="2776"/>
      <c r="G50" s="2766" t="s">
        <v>4974</v>
      </c>
      <c r="H50" s="2767" t="str">
        <f>基本情况!$F$19&amp;""</f>
        <v/>
      </c>
      <c r="I50" s="576"/>
      <c r="J50" s="576"/>
      <c r="K50" s="576"/>
      <c r="L50" s="576"/>
      <c r="M50" s="576"/>
      <c r="N50" s="576"/>
      <c r="O50" s="576"/>
    </row>
    <row r="51" spans="1:15" ht="5.25" customHeight="1">
      <c r="A51" s="2775"/>
      <c r="B51" s="2776"/>
      <c r="C51" s="2776"/>
      <c r="D51" s="2776"/>
      <c r="E51" s="2776"/>
      <c r="F51" s="2776"/>
      <c r="G51" s="2766"/>
      <c r="H51" s="2767"/>
      <c r="I51" s="576"/>
      <c r="J51" s="576"/>
      <c r="K51" s="576"/>
      <c r="L51" s="576"/>
      <c r="M51" s="576"/>
      <c r="N51" s="576"/>
      <c r="O51" s="576"/>
    </row>
    <row r="52" spans="1:15" ht="21.75" customHeight="1">
      <c r="A52" s="2768"/>
      <c r="B52" s="2768"/>
      <c r="C52" s="2768"/>
      <c r="D52" s="2768"/>
      <c r="E52" s="2768"/>
      <c r="F52" s="1150" t="s">
        <v>4973</v>
      </c>
      <c r="G52" s="1149" t="s">
        <v>4972</v>
      </c>
      <c r="H52" s="1148" t="str">
        <f>基本情况!$F$18&amp;""</f>
        <v/>
      </c>
      <c r="I52" s="576"/>
      <c r="J52" s="576"/>
      <c r="K52" s="576"/>
      <c r="L52" s="576"/>
      <c r="M52" s="576"/>
      <c r="N52" s="576"/>
      <c r="O52" s="576"/>
    </row>
    <row r="53" spans="1:15">
      <c r="A53" s="1147"/>
      <c r="B53" s="1147"/>
      <c r="C53" s="1147"/>
      <c r="D53" s="1147"/>
      <c r="E53" s="1147"/>
      <c r="F53" s="1147"/>
      <c r="G53" s="1147"/>
      <c r="H53" s="1147"/>
    </row>
  </sheetData>
  <sheetProtection selectLockedCells="1" selectUnlockedCells="1"/>
  <mergeCells count="12">
    <mergeCell ref="G50:G51"/>
    <mergeCell ref="H50:H51"/>
    <mergeCell ref="A52:E52"/>
    <mergeCell ref="A1:H1"/>
    <mergeCell ref="G2:G3"/>
    <mergeCell ref="H2:H3"/>
    <mergeCell ref="B4:E4"/>
    <mergeCell ref="G4:H4"/>
    <mergeCell ref="B5:E5"/>
    <mergeCell ref="G5:H5"/>
    <mergeCell ref="A50:A51"/>
    <mergeCell ref="B50:F51"/>
  </mergeCells>
  <phoneticPr fontId="135" type="noConversion"/>
  <dataValidations count="2">
    <dataValidation type="list" allowBlank="1" showErrorMessage="1" sqref="F52">
      <formula1>"可以确认,"</formula1>
      <formula2>0</formula2>
    </dataValidation>
    <dataValidation allowBlank="1" showErrorMessage="1" sqref="H50:H51">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B1:F19"/>
  <sheetViews>
    <sheetView workbookViewId="0"/>
  </sheetViews>
  <sheetFormatPr defaultColWidth="9" defaultRowHeight="16.5"/>
  <cols>
    <col min="1" max="1" width="9" style="1185"/>
    <col min="2" max="2" width="107.625" style="1186" customWidth="1"/>
    <col min="3" max="16384" width="9" style="1185"/>
  </cols>
  <sheetData>
    <row r="1" spans="2:6" ht="48.75" customHeight="1">
      <c r="C1" s="1198"/>
      <c r="D1" s="1198"/>
    </row>
    <row r="2" spans="2:6" ht="15" customHeight="1">
      <c r="C2" s="1198"/>
      <c r="D2" s="1198"/>
    </row>
    <row r="3" spans="2:6" ht="30.75" customHeight="1">
      <c r="B3" s="1199" t="s">
        <v>5032</v>
      </c>
      <c r="C3" s="1198"/>
      <c r="D3" s="1198"/>
      <c r="E3" s="1198"/>
    </row>
    <row r="4" spans="2:6" ht="37.5" customHeight="1">
      <c r="B4" s="1186" t="s">
        <v>5031</v>
      </c>
      <c r="C4" s="1187"/>
      <c r="D4" s="1187"/>
      <c r="E4" s="1187"/>
      <c r="F4" s="1187"/>
    </row>
    <row r="5" spans="2:6">
      <c r="B5" s="1186" t="s">
        <v>5030</v>
      </c>
      <c r="C5" s="1187"/>
      <c r="D5" s="1187"/>
      <c r="E5" s="1187"/>
      <c r="F5" s="1187"/>
    </row>
    <row r="6" spans="2:6">
      <c r="C6" s="1187"/>
      <c r="D6" s="1187"/>
      <c r="E6" s="1187"/>
      <c r="F6" s="1187"/>
    </row>
    <row r="7" spans="2:6" ht="31.5" customHeight="1">
      <c r="B7" s="1189" t="s">
        <v>5029</v>
      </c>
      <c r="C7" s="1187"/>
      <c r="D7" s="1187"/>
      <c r="E7" s="1187"/>
      <c r="F7" s="1187"/>
    </row>
    <row r="8" spans="2:6">
      <c r="B8" s="1197" t="s">
        <v>5028</v>
      </c>
      <c r="C8" s="1187"/>
      <c r="D8" s="1187"/>
      <c r="E8" s="1187"/>
      <c r="F8" s="1187"/>
    </row>
    <row r="9" spans="2:6">
      <c r="B9" s="1196" t="s">
        <v>5027</v>
      </c>
      <c r="C9" s="1187"/>
      <c r="D9" s="1187"/>
      <c r="E9" s="1187"/>
      <c r="F9" s="1187"/>
    </row>
    <row r="10" spans="2:6">
      <c r="B10" s="1195" t="s">
        <v>5026</v>
      </c>
      <c r="C10" s="1187"/>
      <c r="D10" s="1187"/>
      <c r="E10" s="1187"/>
      <c r="F10" s="1187"/>
    </row>
    <row r="11" spans="2:6">
      <c r="B11" s="1194" t="s">
        <v>5025</v>
      </c>
      <c r="C11" s="1187"/>
      <c r="D11" s="1187"/>
      <c r="E11" s="1187"/>
      <c r="F11" s="1187"/>
    </row>
    <row r="12" spans="2:6">
      <c r="B12" s="1193" t="s">
        <v>5024</v>
      </c>
      <c r="C12" s="1187"/>
      <c r="D12" s="1187"/>
      <c r="E12" s="1187"/>
      <c r="F12" s="1187"/>
    </row>
    <row r="13" spans="2:6">
      <c r="B13" s="1192" t="s">
        <v>5023</v>
      </c>
      <c r="C13" s="1187"/>
      <c r="D13" s="1187"/>
      <c r="E13" s="1187"/>
      <c r="F13" s="1187"/>
    </row>
    <row r="14" spans="2:6">
      <c r="B14" s="1191" t="s">
        <v>5022</v>
      </c>
      <c r="C14" s="1187"/>
      <c r="D14" s="1187"/>
      <c r="E14" s="1187"/>
      <c r="F14" s="1187"/>
    </row>
    <row r="15" spans="2:6">
      <c r="B15" s="1190"/>
      <c r="C15" s="1187"/>
      <c r="D15" s="1187"/>
      <c r="E15" s="1187"/>
      <c r="F15" s="1187"/>
    </row>
    <row r="16" spans="2:6" ht="26.25" customHeight="1">
      <c r="B16" s="1189" t="s">
        <v>5021</v>
      </c>
      <c r="C16" s="1187"/>
      <c r="D16" s="1187"/>
      <c r="E16" s="1187"/>
      <c r="F16" s="1187"/>
    </row>
    <row r="17" spans="2:6">
      <c r="B17" s="1188" t="s">
        <v>5020</v>
      </c>
      <c r="C17" s="1187"/>
      <c r="D17" s="1187"/>
      <c r="E17" s="1187"/>
      <c r="F17" s="1187"/>
    </row>
    <row r="18" spans="2:6" ht="28.5">
      <c r="B18" s="1186" t="s">
        <v>5019</v>
      </c>
    </row>
    <row r="19" spans="2:6">
      <c r="B19" s="1186" t="s">
        <v>5018</v>
      </c>
    </row>
  </sheetData>
  <sheetProtection selectLockedCells="1" selectUnlockedCells="1"/>
  <phoneticPr fontId="135" type="noConversion"/>
  <hyperlinks>
    <hyperlink ref="B17" location="基本情况!A1" display="    1、填表顺序最好先从“基本情况”工作表填起，而后利润表、损益类底稿、凭证抽查、调整类底稿，各相关底稿填列后审核报告基本自动生成。"/>
  </hyperlinks>
  <pageMargins left="0.78740157480314998" right="0.35433070866141703" top="0.511811023622047" bottom="0.11811023622047198" header="0.511811023622047" footer="0.511811023622047"/>
  <pageSetup paperSize="9" firstPageNumber="0" orientation="landscape"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pageSetUpPr fitToPage="1"/>
  </sheetPr>
  <dimension ref="A1:T61"/>
  <sheetViews>
    <sheetView tabSelected="1" workbookViewId="0">
      <selection activeCell="A18" sqref="A18:B18"/>
    </sheetView>
  </sheetViews>
  <sheetFormatPr defaultColWidth="9.875" defaultRowHeight="16.5"/>
  <cols>
    <col min="1" max="1" width="8.625" customWidth="1"/>
    <col min="2" max="2" width="24.75" style="1" customWidth="1"/>
    <col min="3" max="3" width="9.75" customWidth="1"/>
    <col min="4" max="4" width="22.625" customWidth="1"/>
    <col min="5" max="5" width="18.875" customWidth="1"/>
    <col min="6" max="6" width="19.5" customWidth="1"/>
    <col min="7" max="7" width="8.875" customWidth="1"/>
    <col min="8" max="8" width="11.75" customWidth="1"/>
  </cols>
  <sheetData>
    <row r="1" spans="1:20" s="1" customFormat="1" ht="25.9" customHeight="1">
      <c r="A1" s="2833" t="s">
        <v>4241</v>
      </c>
      <c r="B1" s="2833"/>
      <c r="C1" s="2833"/>
      <c r="D1" s="2833"/>
      <c r="E1" s="2833"/>
      <c r="F1" s="2834" t="str">
        <f>F10</f>
        <v>厦中汇税审（2018）第DS0001号</v>
      </c>
      <c r="G1" s="2834"/>
      <c r="H1" s="2834"/>
    </row>
    <row r="2" spans="1:20" ht="37.15" customHeight="1" thickBot="1">
      <c r="A2" s="2833"/>
      <c r="B2" s="2833"/>
      <c r="C2" s="2833"/>
      <c r="D2" s="2833"/>
      <c r="E2" s="2833"/>
      <c r="F2" s="2835" t="str">
        <f>"底稿编号："&amp;开始!D3</f>
        <v>底稿编号：BA-01</v>
      </c>
      <c r="G2" s="2835"/>
      <c r="H2" s="2835"/>
    </row>
    <row r="3" spans="1:20" ht="18" customHeight="1" thickTop="1">
      <c r="A3" s="2839" t="s">
        <v>1713</v>
      </c>
      <c r="B3" s="2840"/>
      <c r="C3" s="2865" t="str">
        <f>地税、基本情况!B2&amp;""</f>
        <v/>
      </c>
      <c r="D3" s="2866"/>
      <c r="E3" s="542" t="s">
        <v>1820</v>
      </c>
      <c r="F3" s="529"/>
      <c r="G3" s="528" t="s">
        <v>1858</v>
      </c>
      <c r="H3" s="530"/>
      <c r="T3" t="s">
        <v>1714</v>
      </c>
    </row>
    <row r="4" spans="1:20" ht="18" customHeight="1">
      <c r="A4" s="2812" t="s">
        <v>1796</v>
      </c>
      <c r="B4" s="2813"/>
      <c r="C4" s="2867" t="s">
        <v>1739</v>
      </c>
      <c r="D4" s="2868"/>
      <c r="E4" s="516" t="s">
        <v>1821</v>
      </c>
      <c r="F4" s="514"/>
      <c r="G4" s="517" t="s">
        <v>1859</v>
      </c>
      <c r="H4" s="531"/>
    </row>
    <row r="5" spans="1:20" ht="18" customHeight="1">
      <c r="A5" s="2812" t="s">
        <v>1797</v>
      </c>
      <c r="B5" s="2813"/>
      <c r="C5" s="2869">
        <v>0.2</v>
      </c>
      <c r="D5" s="2870"/>
      <c r="E5" s="516" t="s">
        <v>1715</v>
      </c>
      <c r="F5" s="2816" t="s">
        <v>1716</v>
      </c>
      <c r="G5" s="2816"/>
      <c r="H5" s="2817"/>
    </row>
    <row r="6" spans="1:20" ht="18" customHeight="1">
      <c r="A6" s="2812" t="s">
        <v>1827</v>
      </c>
      <c r="B6" s="2813"/>
      <c r="C6" s="2818" t="s">
        <v>1818</v>
      </c>
      <c r="D6" s="2842"/>
      <c r="E6" s="516" t="s">
        <v>1717</v>
      </c>
      <c r="F6" s="2818">
        <v>2017</v>
      </c>
      <c r="G6" s="2818"/>
      <c r="H6" s="2819"/>
    </row>
    <row r="7" spans="1:20" ht="18" customHeight="1">
      <c r="A7" s="2812" t="s">
        <v>1828</v>
      </c>
      <c r="B7" s="2813"/>
      <c r="C7" s="2818" t="s">
        <v>1819</v>
      </c>
      <c r="D7" s="2842"/>
      <c r="E7" s="516" t="s">
        <v>1718</v>
      </c>
      <c r="F7" s="2820">
        <v>43101</v>
      </c>
      <c r="G7" s="2820"/>
      <c r="H7" s="2821"/>
    </row>
    <row r="8" spans="1:20" ht="18" customHeight="1">
      <c r="A8" s="2812" t="s">
        <v>1829</v>
      </c>
      <c r="B8" s="2813"/>
      <c r="C8" s="2818" t="s">
        <v>1857</v>
      </c>
      <c r="D8" s="2842"/>
      <c r="E8" s="516" t="s">
        <v>1719</v>
      </c>
      <c r="F8" s="2820">
        <v>43465</v>
      </c>
      <c r="G8" s="2820"/>
      <c r="H8" s="2821"/>
    </row>
    <row r="9" spans="1:20" ht="18" customHeight="1">
      <c r="A9" s="2812" t="s">
        <v>1830</v>
      </c>
      <c r="B9" s="2813"/>
      <c r="C9" s="2818" t="s">
        <v>1739</v>
      </c>
      <c r="D9" s="2842"/>
      <c r="E9" s="516" t="s">
        <v>1720</v>
      </c>
      <c r="F9" s="2875" t="str">
        <f>F6&amp;"年"&amp;TEXT(F7,"mm月dd日")&amp;"至"&amp;F6&amp;"年"&amp;TEXT(F8,"mm月dd日")</f>
        <v>2017年01月01日至2017年12月31日</v>
      </c>
      <c r="G9" s="2875"/>
      <c r="H9" s="2876"/>
      <c r="I9" s="524" t="s">
        <v>4213</v>
      </c>
    </row>
    <row r="10" spans="1:20" ht="18" customHeight="1">
      <c r="A10" s="2812" t="s">
        <v>1831</v>
      </c>
      <c r="B10" s="2813"/>
      <c r="C10" s="2818" t="s">
        <v>1857</v>
      </c>
      <c r="D10" s="2842"/>
      <c r="E10" s="516" t="s">
        <v>1732</v>
      </c>
      <c r="F10" s="2836" t="s">
        <v>8922</v>
      </c>
      <c r="G10" s="2837"/>
      <c r="H10" s="2838"/>
      <c r="I10" s="524" t="s">
        <v>4212</v>
      </c>
      <c r="T10" t="s">
        <v>1724</v>
      </c>
    </row>
    <row r="11" spans="1:20" ht="18" customHeight="1">
      <c r="A11" s="2812" t="s">
        <v>1832</v>
      </c>
      <c r="B11" s="2813"/>
      <c r="C11" s="2846">
        <f>地税、基本情况!B3</f>
        <v>0</v>
      </c>
      <c r="D11" s="2847"/>
      <c r="E11" s="516" t="s">
        <v>1721</v>
      </c>
      <c r="F11" s="2795" t="s">
        <v>1722</v>
      </c>
      <c r="G11" s="2814"/>
      <c r="H11" s="2815"/>
      <c r="T11" t="s">
        <v>1726</v>
      </c>
    </row>
    <row r="12" spans="1:20" ht="18" customHeight="1">
      <c r="A12" s="2812" t="s">
        <v>1833</v>
      </c>
      <c r="B12" s="2813"/>
      <c r="C12" s="2846">
        <f>地税、基本情况!B4</f>
        <v>0</v>
      </c>
      <c r="D12" s="2847"/>
      <c r="E12" s="516" t="s">
        <v>4209</v>
      </c>
      <c r="F12" s="2795"/>
      <c r="G12" s="2814"/>
      <c r="H12" s="2815"/>
      <c r="T12" t="s">
        <v>1728</v>
      </c>
    </row>
    <row r="13" spans="1:20" ht="18" customHeight="1">
      <c r="A13" s="2812" t="s">
        <v>1834</v>
      </c>
      <c r="B13" s="2813"/>
      <c r="C13" s="2846">
        <f>地税、基本情况!D3</f>
        <v>0</v>
      </c>
      <c r="D13" s="2847"/>
      <c r="E13" s="516" t="s">
        <v>4210</v>
      </c>
      <c r="F13" s="2862"/>
      <c r="G13" s="2871"/>
      <c r="H13" s="2863"/>
      <c r="T13" t="s">
        <v>1730</v>
      </c>
    </row>
    <row r="14" spans="1:20" ht="18" customHeight="1">
      <c r="A14" s="2812" t="s">
        <v>1835</v>
      </c>
      <c r="B14" s="2813"/>
      <c r="C14" s="2846">
        <f>地税、基本情况!D7</f>
        <v>0</v>
      </c>
      <c r="D14" s="2847"/>
      <c r="E14" s="516" t="s">
        <v>4211</v>
      </c>
      <c r="F14" s="2795"/>
      <c r="G14" s="2814"/>
      <c r="H14" s="2815"/>
    </row>
    <row r="15" spans="1:20" ht="18" customHeight="1">
      <c r="A15" s="2812" t="s">
        <v>1836</v>
      </c>
      <c r="B15" s="2813"/>
      <c r="C15" s="2846">
        <f>地税、基本情况!B7</f>
        <v>0</v>
      </c>
      <c r="D15" s="2847"/>
      <c r="E15" s="516" t="s">
        <v>4210</v>
      </c>
      <c r="F15" s="2862"/>
      <c r="G15" s="2871"/>
      <c r="H15" s="2863"/>
    </row>
    <row r="16" spans="1:20" ht="18" customHeight="1">
      <c r="A16" s="2812" t="s">
        <v>1837</v>
      </c>
      <c r="B16" s="2813"/>
      <c r="C16" s="2846">
        <f>地税、基本情况!B9</f>
        <v>0</v>
      </c>
      <c r="D16" s="2847"/>
      <c r="E16" s="516" t="s">
        <v>1723</v>
      </c>
      <c r="F16" s="2836"/>
      <c r="G16" s="2837"/>
      <c r="H16" s="2838"/>
    </row>
    <row r="17" spans="1:20" ht="18" customHeight="1">
      <c r="A17" s="2812" t="s">
        <v>1838</v>
      </c>
      <c r="B17" s="2813"/>
      <c r="C17" s="2846">
        <f>C15</f>
        <v>0</v>
      </c>
      <c r="D17" s="2847"/>
      <c r="E17" s="516" t="s">
        <v>1725</v>
      </c>
      <c r="F17" s="2836"/>
      <c r="G17" s="2837"/>
      <c r="H17" s="2838"/>
      <c r="T17" t="s">
        <v>1790</v>
      </c>
    </row>
    <row r="18" spans="1:20" ht="18" customHeight="1">
      <c r="A18" s="2812" t="s">
        <v>1839</v>
      </c>
      <c r="B18" s="2813"/>
      <c r="C18" s="2818" t="str">
        <f>IF(地税、基本情况!X31="","小企业会计准则",地税、基本情况!X31)</f>
        <v>小企业会计准则</v>
      </c>
      <c r="D18" s="2842"/>
      <c r="E18" s="516" t="s">
        <v>1727</v>
      </c>
      <c r="F18" s="2872"/>
      <c r="G18" s="2873"/>
      <c r="H18" s="2874"/>
      <c r="T18" t="s">
        <v>1791</v>
      </c>
    </row>
    <row r="19" spans="1:20" ht="18" customHeight="1">
      <c r="A19" s="2812" t="s">
        <v>1840</v>
      </c>
      <c r="B19" s="2813"/>
      <c r="C19" s="2846" t="e">
        <f>INDEX(地税、基本情况!A:A,MATCH("营业网点",地税、基本情况!A:A,0)+1)</f>
        <v>#N/A</v>
      </c>
      <c r="D19" s="2847"/>
      <c r="E19" s="516" t="s">
        <v>1729</v>
      </c>
      <c r="F19" s="2872"/>
      <c r="G19" s="2873"/>
      <c r="H19" s="2874"/>
    </row>
    <row r="20" spans="1:20" ht="18" customHeight="1">
      <c r="A20" s="2812" t="s">
        <v>1841</v>
      </c>
      <c r="B20" s="2813"/>
      <c r="C20" s="2846" t="e">
        <f>INDEX(地税、基本情况!D:D,MATCH("营业网点",地税、基本情况!A:A,0)+1)</f>
        <v>#N/A</v>
      </c>
      <c r="D20" s="2847"/>
      <c r="E20" s="516" t="s">
        <v>1729</v>
      </c>
      <c r="F20" s="2836"/>
      <c r="G20" s="2837"/>
      <c r="H20" s="2838"/>
    </row>
    <row r="21" spans="1:20" ht="18" customHeight="1">
      <c r="A21" s="2812" t="s">
        <v>1842</v>
      </c>
      <c r="B21" s="2813"/>
      <c r="C21" s="518" t="str">
        <f>LEFT(地税、基本情况!$B$6,3)</f>
        <v/>
      </c>
      <c r="D21" s="548" t="e">
        <f>VLOOKUP($C$21,辅助表!$F$2:$G$66,2,0)</f>
        <v>#N/A</v>
      </c>
      <c r="E21" s="516" t="s">
        <v>1729</v>
      </c>
      <c r="F21" s="2836"/>
      <c r="G21" s="2837"/>
      <c r="H21" s="2838"/>
    </row>
    <row r="22" spans="1:20" ht="18" customHeight="1">
      <c r="A22" s="2812" t="s">
        <v>1843</v>
      </c>
      <c r="B22" s="2813"/>
      <c r="C22" s="518" t="str">
        <f>LEFT(地税、基本情况!$D$5,1)</f>
        <v/>
      </c>
      <c r="D22" s="548" t="e">
        <f>VLOOKUP($C$22,辅助表!$F$1165:$G$1184,2,0)</f>
        <v>#N/A</v>
      </c>
      <c r="E22" s="516" t="s">
        <v>1729</v>
      </c>
      <c r="F22" s="2836"/>
      <c r="G22" s="2837"/>
      <c r="H22" s="2838"/>
    </row>
    <row r="23" spans="1:20" ht="18" customHeight="1">
      <c r="A23" s="2812" t="s">
        <v>4178</v>
      </c>
      <c r="B23" s="2813"/>
      <c r="C23" s="518" t="str">
        <f>LEFT(地税、基本情况!$F$6,4)</f>
        <v/>
      </c>
      <c r="D23" s="548" t="e">
        <f>VLOOKUP($C$23,辅助表!$F$69:$G$1162,2)</f>
        <v>#N/A</v>
      </c>
      <c r="E23" s="516" t="s">
        <v>1729</v>
      </c>
      <c r="F23" s="2836"/>
      <c r="G23" s="2837"/>
      <c r="H23" s="2838"/>
    </row>
    <row r="24" spans="1:20" ht="18" customHeight="1">
      <c r="A24" s="2812" t="s">
        <v>1844</v>
      </c>
      <c r="B24" s="2813"/>
      <c r="C24" s="2846">
        <f>地税、基本情况!H6</f>
        <v>0</v>
      </c>
      <c r="D24" s="2847"/>
      <c r="E24" s="516" t="s">
        <v>1731</v>
      </c>
      <c r="F24" s="2843">
        <f>税审收费标准!$H$3</f>
        <v>1500</v>
      </c>
      <c r="G24" s="2844"/>
      <c r="H24" s="2845"/>
    </row>
    <row r="25" spans="1:20" ht="18" customHeight="1">
      <c r="A25" s="2812" t="s">
        <v>1845</v>
      </c>
      <c r="B25" s="2813"/>
      <c r="C25" s="2846">
        <f>地税、基本情况!D10</f>
        <v>0</v>
      </c>
      <c r="D25" s="2847"/>
      <c r="E25" s="516" t="s">
        <v>1733</v>
      </c>
      <c r="F25" s="2836" t="str">
        <f>F27</f>
        <v>2018年3月16日</v>
      </c>
      <c r="G25" s="2837"/>
      <c r="H25" s="2838"/>
    </row>
    <row r="26" spans="1:20" ht="18" customHeight="1">
      <c r="A26" s="2857" t="s">
        <v>1846</v>
      </c>
      <c r="B26" s="2786" t="str">
        <f>地税、基本情况!X9&amp;""</f>
        <v/>
      </c>
      <c r="C26" s="2787"/>
      <c r="D26" s="2788"/>
      <c r="E26" s="516" t="s">
        <v>1734</v>
      </c>
      <c r="F26" s="2836" t="s">
        <v>1792</v>
      </c>
      <c r="G26" s="2837"/>
      <c r="H26" s="2838"/>
    </row>
    <row r="27" spans="1:20" ht="18" customHeight="1">
      <c r="A27" s="2858"/>
      <c r="B27" s="2789"/>
      <c r="C27" s="2790"/>
      <c r="D27" s="2791"/>
      <c r="E27" s="516" t="s">
        <v>1735</v>
      </c>
      <c r="F27" s="2836" t="s">
        <v>1793</v>
      </c>
      <c r="G27" s="2837"/>
      <c r="H27" s="2838"/>
    </row>
    <row r="28" spans="1:20" ht="18" customHeight="1">
      <c r="A28" s="2858"/>
      <c r="B28" s="2789"/>
      <c r="C28" s="2790"/>
      <c r="D28" s="2791"/>
      <c r="E28" s="516" t="s">
        <v>1736</v>
      </c>
      <c r="F28" s="2836" t="str">
        <f>F26</f>
        <v>2018年5月4日</v>
      </c>
      <c r="G28" s="2837"/>
      <c r="H28" s="2838"/>
    </row>
    <row r="29" spans="1:20" ht="18" customHeight="1">
      <c r="A29" s="2858"/>
      <c r="B29" s="2789"/>
      <c r="C29" s="2790"/>
      <c r="D29" s="2791"/>
      <c r="E29" s="516" t="s">
        <v>4198</v>
      </c>
      <c r="F29" s="2843">
        <v>361004</v>
      </c>
      <c r="G29" s="2844"/>
      <c r="H29" s="2845"/>
    </row>
    <row r="30" spans="1:20" s="1" customFormat="1" ht="18" customHeight="1">
      <c r="A30" s="2859"/>
      <c r="B30" s="2792"/>
      <c r="C30" s="2793"/>
      <c r="D30" s="2794"/>
      <c r="E30" s="516" t="s">
        <v>4199</v>
      </c>
      <c r="F30" s="2843" t="str">
        <f>IF(F11="中汇百邦（厦门）税务师事务所有限公司","0592-5881030","0592-2988712")</f>
        <v>0592-2988712</v>
      </c>
      <c r="G30" s="2844"/>
      <c r="H30" s="2845"/>
    </row>
    <row r="31" spans="1:20" s="1" customFormat="1" ht="18" customHeight="1">
      <c r="A31" s="2812" t="s">
        <v>1847</v>
      </c>
      <c r="B31" s="2813"/>
      <c r="C31" s="2846">
        <f>YEAR(地税、基本情况!X18)-YEAR(地税、基本情况!X17)</f>
        <v>0</v>
      </c>
      <c r="D31" s="2847"/>
      <c r="E31" s="516" t="s">
        <v>4200</v>
      </c>
      <c r="F31" s="2843" t="s">
        <v>1737</v>
      </c>
      <c r="G31" s="2844"/>
      <c r="H31" s="2845"/>
    </row>
    <row r="32" spans="1:20" s="1" customFormat="1" ht="18" customHeight="1">
      <c r="A32" s="2812" t="s">
        <v>1848</v>
      </c>
      <c r="B32" s="2813"/>
      <c r="C32" s="2846" t="str">
        <f>TRIM(C24)</f>
        <v>0</v>
      </c>
      <c r="D32" s="2847"/>
      <c r="E32" s="516" t="s">
        <v>4201</v>
      </c>
      <c r="F32" s="2843"/>
      <c r="G32" s="2844"/>
      <c r="H32" s="2845"/>
    </row>
    <row r="33" spans="1:11" s="1" customFormat="1" ht="18" customHeight="1">
      <c r="A33" s="2812" t="s">
        <v>1849</v>
      </c>
      <c r="B33" s="2813"/>
      <c r="C33" s="2818" t="s">
        <v>1739</v>
      </c>
      <c r="D33" s="2842"/>
      <c r="E33" s="516" t="s">
        <v>1738</v>
      </c>
      <c r="F33" s="2795" t="s">
        <v>1739</v>
      </c>
      <c r="G33" s="2814"/>
      <c r="H33" s="2815"/>
    </row>
    <row r="34" spans="1:11" s="1" customFormat="1" ht="18" customHeight="1">
      <c r="A34" s="2812" t="s">
        <v>1850</v>
      </c>
      <c r="B34" s="2813"/>
      <c r="C34" s="2818" t="s">
        <v>1739</v>
      </c>
      <c r="D34" s="2842"/>
      <c r="E34" s="516" t="s">
        <v>1740</v>
      </c>
      <c r="F34" s="525">
        <v>3</v>
      </c>
      <c r="G34" s="2862" t="str">
        <f>VLOOKUP(F34,辅助表!$A$10:$B$13,2,0)</f>
        <v>无保留意见</v>
      </c>
      <c r="H34" s="2863"/>
    </row>
    <row r="35" spans="1:11" s="1" customFormat="1" ht="18" customHeight="1">
      <c r="A35" s="2812" t="s">
        <v>1851</v>
      </c>
      <c r="B35" s="2813"/>
      <c r="C35" s="2795" t="s">
        <v>1739</v>
      </c>
      <c r="D35" s="2796"/>
      <c r="E35" s="516" t="s">
        <v>1766</v>
      </c>
      <c r="F35" s="2848"/>
      <c r="G35" s="2849"/>
      <c r="H35" s="2850"/>
    </row>
    <row r="36" spans="1:11" s="1" customFormat="1" ht="18" customHeight="1">
      <c r="A36" s="2812" t="s">
        <v>1852</v>
      </c>
      <c r="B36" s="2813"/>
      <c r="C36" s="2795" t="s">
        <v>1739</v>
      </c>
      <c r="D36" s="2796"/>
      <c r="E36" s="545" t="s">
        <v>1767</v>
      </c>
      <c r="F36" s="2848"/>
      <c r="G36" s="2849"/>
      <c r="H36" s="2850"/>
    </row>
    <row r="37" spans="1:11" ht="18" customHeight="1">
      <c r="A37" s="2812" t="s">
        <v>1853</v>
      </c>
      <c r="B37" s="2813"/>
      <c r="C37" s="2797">
        <v>42736</v>
      </c>
      <c r="D37" s="2798"/>
      <c r="E37" s="546"/>
      <c r="F37" s="2851"/>
      <c r="G37" s="2852"/>
      <c r="H37" s="2853"/>
      <c r="I37" s="1"/>
      <c r="J37" s="1"/>
      <c r="K37" s="1"/>
    </row>
    <row r="38" spans="1:11" ht="18" customHeight="1">
      <c r="A38" s="2812" t="s">
        <v>1854</v>
      </c>
      <c r="B38" s="2813"/>
      <c r="C38" s="2797">
        <v>43100</v>
      </c>
      <c r="D38" s="2798"/>
      <c r="E38" s="546"/>
      <c r="F38" s="2851"/>
      <c r="G38" s="2852"/>
      <c r="H38" s="2853"/>
      <c r="I38" s="1"/>
      <c r="J38" s="1"/>
      <c r="K38" s="1"/>
    </row>
    <row r="39" spans="1:11" ht="18" customHeight="1">
      <c r="A39" s="2812" t="s">
        <v>1855</v>
      </c>
      <c r="B39" s="2813"/>
      <c r="C39" s="2795" t="s">
        <v>1803</v>
      </c>
      <c r="D39" s="2796"/>
      <c r="E39" s="546"/>
      <c r="F39" s="2851"/>
      <c r="G39" s="2852"/>
      <c r="H39" s="2853"/>
      <c r="I39" s="1"/>
      <c r="J39" s="1"/>
      <c r="K39" s="1"/>
    </row>
    <row r="40" spans="1:11" ht="18" customHeight="1" thickBot="1">
      <c r="A40" s="2826" t="s">
        <v>1856</v>
      </c>
      <c r="B40" s="2827"/>
      <c r="C40" s="2799" t="s">
        <v>4214</v>
      </c>
      <c r="D40" s="2800"/>
      <c r="E40" s="547"/>
      <c r="F40" s="2854"/>
      <c r="G40" s="2855"/>
      <c r="H40" s="2856"/>
    </row>
    <row r="41" spans="1:11" ht="18" customHeight="1">
      <c r="A41" s="2803" t="s">
        <v>1794</v>
      </c>
      <c r="B41" s="2804"/>
      <c r="C41" s="2841" t="s">
        <v>1741</v>
      </c>
      <c r="D41" s="2841"/>
      <c r="E41" s="534" t="s">
        <v>1742</v>
      </c>
      <c r="F41" s="534" t="s">
        <v>1743</v>
      </c>
      <c r="G41" s="2841" t="s">
        <v>1744</v>
      </c>
      <c r="H41" s="2864"/>
    </row>
    <row r="42" spans="1:11" ht="18" customHeight="1">
      <c r="A42" s="2822" t="str">
        <f>实收公积!B8&amp;""</f>
        <v/>
      </c>
      <c r="B42" s="2823"/>
      <c r="C42" s="2801">
        <f>F42</f>
        <v>0</v>
      </c>
      <c r="D42" s="2802"/>
      <c r="E42" s="522" t="str">
        <f t="shared" ref="E42:E52" si="0">IF(ISERROR(C42/$C$53),"",C42/$C$53)</f>
        <v/>
      </c>
      <c r="F42" s="521">
        <f>实收公积!H8</f>
        <v>0</v>
      </c>
      <c r="G42" s="2860" t="str">
        <f t="shared" ref="G42:G52" si="1">IF(ISERROR(F42/$C$53),"",F42/$C$53)</f>
        <v/>
      </c>
      <c r="H42" s="2861"/>
    </row>
    <row r="43" spans="1:11" ht="18" customHeight="1">
      <c r="A43" s="2822" t="str">
        <f>实收公积!B9&amp;""</f>
        <v/>
      </c>
      <c r="B43" s="2823"/>
      <c r="C43" s="2801">
        <f t="shared" ref="C43:C52" si="2">F43</f>
        <v>0</v>
      </c>
      <c r="D43" s="2802"/>
      <c r="E43" s="522" t="str">
        <f t="shared" si="0"/>
        <v/>
      </c>
      <c r="F43" s="521">
        <f>实收公积!H9</f>
        <v>0</v>
      </c>
      <c r="G43" s="2860" t="str">
        <f t="shared" si="1"/>
        <v/>
      </c>
      <c r="H43" s="2861"/>
    </row>
    <row r="44" spans="1:11" ht="18" customHeight="1">
      <c r="A44" s="2822" t="str">
        <f>实收公积!B10&amp;""</f>
        <v/>
      </c>
      <c r="B44" s="2823"/>
      <c r="C44" s="2801">
        <f t="shared" si="2"/>
        <v>0</v>
      </c>
      <c r="D44" s="2802"/>
      <c r="E44" s="522" t="str">
        <f t="shared" si="0"/>
        <v/>
      </c>
      <c r="F44" s="521">
        <f>实收公积!H10</f>
        <v>0</v>
      </c>
      <c r="G44" s="2860" t="str">
        <f t="shared" si="1"/>
        <v/>
      </c>
      <c r="H44" s="2861"/>
    </row>
    <row r="45" spans="1:11" ht="18" customHeight="1">
      <c r="A45" s="2822" t="str">
        <f>实收公积!B11&amp;""</f>
        <v/>
      </c>
      <c r="B45" s="2823"/>
      <c r="C45" s="2801">
        <f t="shared" si="2"/>
        <v>0</v>
      </c>
      <c r="D45" s="2802"/>
      <c r="E45" s="522" t="str">
        <f t="shared" si="0"/>
        <v/>
      </c>
      <c r="F45" s="521">
        <f>实收公积!H11</f>
        <v>0</v>
      </c>
      <c r="G45" s="2777" t="str">
        <f t="shared" si="1"/>
        <v/>
      </c>
      <c r="H45" s="2778"/>
    </row>
    <row r="46" spans="1:11" ht="18" customHeight="1">
      <c r="A46" s="2822" t="str">
        <f>实收公积!B12&amp;""</f>
        <v/>
      </c>
      <c r="B46" s="2823"/>
      <c r="C46" s="2801">
        <f t="shared" si="2"/>
        <v>0</v>
      </c>
      <c r="D46" s="2802"/>
      <c r="E46" s="522" t="str">
        <f t="shared" si="0"/>
        <v/>
      </c>
      <c r="F46" s="521">
        <f>实收公积!H12</f>
        <v>0</v>
      </c>
      <c r="G46" s="2777" t="str">
        <f t="shared" si="1"/>
        <v/>
      </c>
      <c r="H46" s="2778"/>
    </row>
    <row r="47" spans="1:11" ht="18" customHeight="1">
      <c r="A47" s="2822" t="str">
        <f>实收公积!B13&amp;""</f>
        <v/>
      </c>
      <c r="B47" s="2823"/>
      <c r="C47" s="2801">
        <f t="shared" si="2"/>
        <v>0</v>
      </c>
      <c r="D47" s="2802"/>
      <c r="E47" s="522" t="str">
        <f t="shared" si="0"/>
        <v/>
      </c>
      <c r="F47" s="521">
        <f>实收公积!H13</f>
        <v>0</v>
      </c>
      <c r="G47" s="2777" t="str">
        <f t="shared" si="1"/>
        <v/>
      </c>
      <c r="H47" s="2778"/>
    </row>
    <row r="48" spans="1:11" ht="18" customHeight="1">
      <c r="A48" s="2822" t="str">
        <f>实收公积!B14&amp;""</f>
        <v/>
      </c>
      <c r="B48" s="2823"/>
      <c r="C48" s="2801">
        <f t="shared" si="2"/>
        <v>0</v>
      </c>
      <c r="D48" s="2802"/>
      <c r="E48" s="522" t="str">
        <f t="shared" si="0"/>
        <v/>
      </c>
      <c r="F48" s="521">
        <f>实收公积!H14</f>
        <v>0</v>
      </c>
      <c r="G48" s="2777" t="str">
        <f t="shared" si="1"/>
        <v/>
      </c>
      <c r="H48" s="2778"/>
    </row>
    <row r="49" spans="1:8" ht="18" customHeight="1">
      <c r="A49" s="2822" t="str">
        <f>实收公积!B15&amp;""</f>
        <v/>
      </c>
      <c r="B49" s="2823"/>
      <c r="C49" s="2801">
        <f t="shared" si="2"/>
        <v>0</v>
      </c>
      <c r="D49" s="2802"/>
      <c r="E49" s="522" t="str">
        <f t="shared" si="0"/>
        <v/>
      </c>
      <c r="F49" s="521">
        <f>实收公积!H15</f>
        <v>0</v>
      </c>
      <c r="G49" s="2777" t="str">
        <f t="shared" si="1"/>
        <v/>
      </c>
      <c r="H49" s="2778"/>
    </row>
    <row r="50" spans="1:8" ht="18" customHeight="1">
      <c r="A50" s="2822" t="str">
        <f>实收公积!B16&amp;""</f>
        <v/>
      </c>
      <c r="B50" s="2823"/>
      <c r="C50" s="2801">
        <f t="shared" si="2"/>
        <v>0</v>
      </c>
      <c r="D50" s="2802"/>
      <c r="E50" s="522" t="str">
        <f t="shared" si="0"/>
        <v/>
      </c>
      <c r="F50" s="521">
        <f>实收公积!H16</f>
        <v>0</v>
      </c>
      <c r="G50" s="2777" t="str">
        <f t="shared" si="1"/>
        <v/>
      </c>
      <c r="H50" s="2778"/>
    </row>
    <row r="51" spans="1:8" ht="33.6" customHeight="1">
      <c r="A51" s="2822" t="str">
        <f>实收公积!B17&amp;""</f>
        <v/>
      </c>
      <c r="B51" s="2823"/>
      <c r="C51" s="2801">
        <f t="shared" si="2"/>
        <v>0</v>
      </c>
      <c r="D51" s="2802"/>
      <c r="E51" s="522" t="str">
        <f t="shared" si="0"/>
        <v/>
      </c>
      <c r="F51" s="521">
        <f>实收公积!H17</f>
        <v>0</v>
      </c>
      <c r="G51" s="2777" t="str">
        <f t="shared" si="1"/>
        <v/>
      </c>
      <c r="H51" s="2778"/>
    </row>
    <row r="52" spans="1:8" ht="28.9" customHeight="1">
      <c r="A52" s="2822" t="s">
        <v>1795</v>
      </c>
      <c r="B52" s="2823"/>
      <c r="C52" s="2801">
        <f t="shared" si="2"/>
        <v>0</v>
      </c>
      <c r="D52" s="2802"/>
      <c r="E52" s="522" t="str">
        <f t="shared" si="0"/>
        <v/>
      </c>
      <c r="F52" s="521">
        <f>实收公积!H18</f>
        <v>0</v>
      </c>
      <c r="G52" s="2777" t="str">
        <f t="shared" si="1"/>
        <v/>
      </c>
      <c r="H52" s="2778"/>
    </row>
    <row r="53" spans="1:8" ht="26.45" customHeight="1" thickBot="1">
      <c r="A53" s="2824" t="s">
        <v>1745</v>
      </c>
      <c r="B53" s="2825"/>
      <c r="C53" s="2828">
        <f>SUM(C42:D52)</f>
        <v>0</v>
      </c>
      <c r="D53" s="2829"/>
      <c r="E53" s="549">
        <f>SUM(E42:E52)</f>
        <v>0</v>
      </c>
      <c r="F53" s="550">
        <f>SUM(F42:F52)</f>
        <v>0</v>
      </c>
      <c r="G53" s="2779">
        <f>SUM(G42:G52)</f>
        <v>0</v>
      </c>
      <c r="H53" s="2780"/>
    </row>
    <row r="54" spans="1:8" s="1" customFormat="1" ht="2.4500000000000002" customHeight="1" thickBot="1">
      <c r="A54" s="557"/>
      <c r="B54" s="551"/>
      <c r="C54" s="552"/>
      <c r="D54" s="553"/>
      <c r="E54" s="554"/>
      <c r="F54" s="552"/>
      <c r="G54" s="555"/>
      <c r="H54" s="556"/>
    </row>
    <row r="55" spans="1:8" ht="28.9" customHeight="1">
      <c r="A55" s="2803" t="s">
        <v>1746</v>
      </c>
      <c r="B55" s="2804"/>
      <c r="C55" s="534" t="s">
        <v>1747</v>
      </c>
      <c r="D55" s="534" t="s">
        <v>1748</v>
      </c>
      <c r="E55" s="534" t="s">
        <v>1749</v>
      </c>
      <c r="F55" s="2830" t="s">
        <v>1750</v>
      </c>
      <c r="G55" s="2831"/>
      <c r="H55" s="2832"/>
    </row>
    <row r="56" spans="1:8" ht="152.44999999999999" customHeight="1">
      <c r="A56" s="2805" t="s">
        <v>1751</v>
      </c>
      <c r="B56" s="2806"/>
      <c r="C56" s="526" t="s">
        <v>1752</v>
      </c>
      <c r="D56" s="543"/>
      <c r="E56" s="527">
        <v>0</v>
      </c>
      <c r="F56" s="2781" t="s">
        <v>1753</v>
      </c>
      <c r="G56" s="2782"/>
      <c r="H56" s="2783"/>
    </row>
    <row r="57" spans="1:8" ht="139.9" customHeight="1">
      <c r="A57" s="2807" t="s">
        <v>1754</v>
      </c>
      <c r="B57" s="2808"/>
      <c r="C57" s="526" t="s">
        <v>1755</v>
      </c>
      <c r="D57" s="543"/>
      <c r="E57" s="527">
        <v>0</v>
      </c>
      <c r="F57" s="2781" t="s">
        <v>1756</v>
      </c>
      <c r="G57" s="2782"/>
      <c r="H57" s="2783"/>
    </row>
    <row r="58" spans="1:8" ht="124.9" customHeight="1">
      <c r="A58" s="2805" t="s">
        <v>1757</v>
      </c>
      <c r="B58" s="2806"/>
      <c r="C58" s="526" t="s">
        <v>1758</v>
      </c>
      <c r="D58" s="543"/>
      <c r="E58" s="527">
        <v>0</v>
      </c>
      <c r="F58" s="2781" t="s">
        <v>1759</v>
      </c>
      <c r="G58" s="2782"/>
      <c r="H58" s="2783"/>
    </row>
    <row r="59" spans="1:8" ht="117" customHeight="1">
      <c r="A59" s="2805" t="s">
        <v>1760</v>
      </c>
      <c r="B59" s="2806"/>
      <c r="C59" s="526" t="s">
        <v>1755</v>
      </c>
      <c r="D59" s="543"/>
      <c r="E59" s="527">
        <v>0</v>
      </c>
      <c r="F59" s="2781" t="s">
        <v>1761</v>
      </c>
      <c r="G59" s="2782"/>
      <c r="H59" s="2783"/>
    </row>
    <row r="60" spans="1:8" ht="166.9" customHeight="1" thickBot="1">
      <c r="A60" s="2784" t="s">
        <v>1762</v>
      </c>
      <c r="B60" s="2785"/>
      <c r="C60" s="532" t="s">
        <v>1763</v>
      </c>
      <c r="D60" s="544" t="s">
        <v>1764</v>
      </c>
      <c r="E60" s="533"/>
      <c r="F60" s="2809" t="s">
        <v>1765</v>
      </c>
      <c r="G60" s="2810"/>
      <c r="H60" s="2811"/>
    </row>
    <row r="61" spans="1:8" ht="17.25" thickTop="1"/>
  </sheetData>
  <sheetProtection formatCells="0" selectLockedCells="1"/>
  <mergeCells count="155">
    <mergeCell ref="F24:H24"/>
    <mergeCell ref="C24:D24"/>
    <mergeCell ref="C13:D13"/>
    <mergeCell ref="C14:D14"/>
    <mergeCell ref="C15:D15"/>
    <mergeCell ref="C3:D3"/>
    <mergeCell ref="C4:D4"/>
    <mergeCell ref="C5:D5"/>
    <mergeCell ref="C12:D12"/>
    <mergeCell ref="F12:H12"/>
    <mergeCell ref="F20:H20"/>
    <mergeCell ref="F21:H21"/>
    <mergeCell ref="F22:H22"/>
    <mergeCell ref="F23:H23"/>
    <mergeCell ref="C18:D18"/>
    <mergeCell ref="F13:H13"/>
    <mergeCell ref="F14:H14"/>
    <mergeCell ref="F15:H15"/>
    <mergeCell ref="F16:H16"/>
    <mergeCell ref="F17:H17"/>
    <mergeCell ref="F18:H18"/>
    <mergeCell ref="F19:H19"/>
    <mergeCell ref="F9:H9"/>
    <mergeCell ref="C11:D11"/>
    <mergeCell ref="C16:D16"/>
    <mergeCell ref="C17:D17"/>
    <mergeCell ref="C25:D25"/>
    <mergeCell ref="C6:D6"/>
    <mergeCell ref="C7:D7"/>
    <mergeCell ref="C8:D8"/>
    <mergeCell ref="C9:D9"/>
    <mergeCell ref="C10:D10"/>
    <mergeCell ref="G44:H44"/>
    <mergeCell ref="C19:D19"/>
    <mergeCell ref="C20:D20"/>
    <mergeCell ref="F25:H25"/>
    <mergeCell ref="F26:H26"/>
    <mergeCell ref="F31:H31"/>
    <mergeCell ref="F32:H32"/>
    <mergeCell ref="G43:H43"/>
    <mergeCell ref="G34:H34"/>
    <mergeCell ref="F30:H30"/>
    <mergeCell ref="C44:D44"/>
    <mergeCell ref="F37:H37"/>
    <mergeCell ref="F38:H38"/>
    <mergeCell ref="C43:D43"/>
    <mergeCell ref="G41:H41"/>
    <mergeCell ref="G42:H42"/>
    <mergeCell ref="A42:B42"/>
    <mergeCell ref="A43:B43"/>
    <mergeCell ref="A44:B44"/>
    <mergeCell ref="A23:B23"/>
    <mergeCell ref="A24:B24"/>
    <mergeCell ref="A25:B25"/>
    <mergeCell ref="A18:B18"/>
    <mergeCell ref="A19:B19"/>
    <mergeCell ref="A20:B20"/>
    <mergeCell ref="A21:B21"/>
    <mergeCell ref="A22:B22"/>
    <mergeCell ref="A31:B31"/>
    <mergeCell ref="A32:B32"/>
    <mergeCell ref="A26:A30"/>
    <mergeCell ref="C41:D41"/>
    <mergeCell ref="C42:D42"/>
    <mergeCell ref="C33:D33"/>
    <mergeCell ref="F29:H29"/>
    <mergeCell ref="F33:H33"/>
    <mergeCell ref="C31:D31"/>
    <mergeCell ref="C32:D32"/>
    <mergeCell ref="A12:B12"/>
    <mergeCell ref="A13:B13"/>
    <mergeCell ref="A14:B14"/>
    <mergeCell ref="A15:B15"/>
    <mergeCell ref="A16:B16"/>
    <mergeCell ref="A17:B17"/>
    <mergeCell ref="F27:H27"/>
    <mergeCell ref="F28:H28"/>
    <mergeCell ref="F35:H35"/>
    <mergeCell ref="F36:H36"/>
    <mergeCell ref="F39:H39"/>
    <mergeCell ref="F40:H40"/>
    <mergeCell ref="C34:D34"/>
    <mergeCell ref="A33:B33"/>
    <mergeCell ref="A34:B34"/>
    <mergeCell ref="A35:B35"/>
    <mergeCell ref="A36:B36"/>
    <mergeCell ref="A1:E2"/>
    <mergeCell ref="F1:H1"/>
    <mergeCell ref="F2:H2"/>
    <mergeCell ref="F10:H10"/>
    <mergeCell ref="A3:B3"/>
    <mergeCell ref="A4:B4"/>
    <mergeCell ref="A5:B5"/>
    <mergeCell ref="A6:B6"/>
    <mergeCell ref="A7:B7"/>
    <mergeCell ref="A8:B8"/>
    <mergeCell ref="A9:B9"/>
    <mergeCell ref="A10:B10"/>
    <mergeCell ref="A11:B11"/>
    <mergeCell ref="F11:H11"/>
    <mergeCell ref="F5:H5"/>
    <mergeCell ref="F6:H6"/>
    <mergeCell ref="F7:H7"/>
    <mergeCell ref="F8:H8"/>
    <mergeCell ref="A58:B58"/>
    <mergeCell ref="A59:B59"/>
    <mergeCell ref="A49:B49"/>
    <mergeCell ref="A50:B50"/>
    <mergeCell ref="A51:B51"/>
    <mergeCell ref="A52:B52"/>
    <mergeCell ref="A53:B53"/>
    <mergeCell ref="A37:B37"/>
    <mergeCell ref="A38:B38"/>
    <mergeCell ref="A39:B39"/>
    <mergeCell ref="A40:B40"/>
    <mergeCell ref="A41:B41"/>
    <mergeCell ref="A45:B45"/>
    <mergeCell ref="A46:B46"/>
    <mergeCell ref="A47:B47"/>
    <mergeCell ref="A48:B48"/>
    <mergeCell ref="C53:D53"/>
    <mergeCell ref="F55:H55"/>
    <mergeCell ref="F56:H56"/>
    <mergeCell ref="F57:H57"/>
    <mergeCell ref="F58:H58"/>
    <mergeCell ref="A60:B60"/>
    <mergeCell ref="B26:D30"/>
    <mergeCell ref="C35:D35"/>
    <mergeCell ref="C36:D36"/>
    <mergeCell ref="C37:D37"/>
    <mergeCell ref="C38:D38"/>
    <mergeCell ref="C39:D39"/>
    <mergeCell ref="C40:D40"/>
    <mergeCell ref="C45:D45"/>
    <mergeCell ref="C46:D46"/>
    <mergeCell ref="C47:D47"/>
    <mergeCell ref="C48:D48"/>
    <mergeCell ref="C49:D49"/>
    <mergeCell ref="C50:D50"/>
    <mergeCell ref="C51:D51"/>
    <mergeCell ref="C52:D52"/>
    <mergeCell ref="A55:B55"/>
    <mergeCell ref="A56:B56"/>
    <mergeCell ref="A57:B57"/>
    <mergeCell ref="F59:H59"/>
    <mergeCell ref="F60:H60"/>
    <mergeCell ref="G45:H45"/>
    <mergeCell ref="G46:H46"/>
    <mergeCell ref="G47:H47"/>
    <mergeCell ref="G48:H48"/>
    <mergeCell ref="G49:H49"/>
    <mergeCell ref="G50:H50"/>
    <mergeCell ref="G51:H51"/>
    <mergeCell ref="G52:H52"/>
    <mergeCell ref="G53:H53"/>
  </mergeCells>
  <phoneticPr fontId="128" type="noConversion"/>
  <conditionalFormatting sqref="C5">
    <cfRule type="expression" dxfId="13" priority="2">
      <formula>$C$4&lt;&gt; "分支机构（须进行完整年度纳税申报且按比例纳税）"</formula>
    </cfRule>
  </conditionalFormatting>
  <conditionalFormatting sqref="C37:C40">
    <cfRule type="expression" dxfId="12" priority="1">
      <formula>$C$36="否"</formula>
    </cfRule>
  </conditionalFormatting>
  <dataValidations count="13">
    <dataValidation type="list" allowBlank="1" showInputMessage="1" showErrorMessage="1" sqref="F11">
      <formula1>"中汇（厦门）税务师事务所有限公司,厦门明正税务师事务所有限公司"</formula1>
    </dataValidation>
    <dataValidation type="list" allowBlank="1" showErrorMessage="1" sqref="F34">
      <formula1>"1,2,3,4"</formula1>
    </dataValidation>
    <dataValidation type="list" allowBlank="1" showErrorMessage="1" sqref="C18:D18">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allowBlank="1" showErrorMessage="1" sqref="F7:F8">
      <formula1>0</formula1>
      <formula2>0</formula2>
    </dataValidation>
    <dataValidation allowBlank="1" showErrorMessage="1" sqref="C21:C23"/>
    <dataValidation type="list" allowBlank="1" showErrorMessage="1" sqref="F6">
      <formula1>"2017,2018,2019"</formula1>
    </dataValidation>
    <dataValidation type="list" allowBlank="1" showErrorMessage="1" sqref="F33">
      <formula1>"是,否"</formula1>
      <formula2>0</formula2>
    </dataValidation>
    <dataValidation type="list" allowBlank="1" showInputMessage="1" showErrorMessage="1" sqref="C4">
      <formula1>"总机构（跨省）——适用《跨地区经营汇总纳税企业所得税征收管理办法》,总机构（跨省）——不适用《跨地区经营汇总纳税企业所得税征收管理办法》,总机构（省内）,分支机构（须进行完整年度纳税申报且按比例纳税）,分支机构（须进行完整年度纳税申报但不就地缴纳）,否"</formula1>
    </dataValidation>
    <dataValidation type="list" allowBlank="1" showInputMessage="1" showErrorMessage="1" sqref="C6:D8 C10:D10 C33:C35">
      <formula1>"是,否"</formula1>
    </dataValidation>
    <dataValidation type="list" allowBlank="1" showInputMessage="1" showErrorMessage="1" sqref="C9:D9">
      <formula1>"境内上市,境外上市(含香港等),否"</formula1>
    </dataValidation>
    <dataValidation type="list" allowBlank="1" showInputMessage="1" showErrorMessage="1" sqref="C39">
      <formula1>重组交易类型</formula1>
    </dataValidation>
    <dataValidation type="list" allowBlank="1" showInputMessage="1" showErrorMessage="1" sqref="C40">
      <formula1>INDIRECT($C$39)</formula1>
    </dataValidation>
    <dataValidation type="list" allowBlank="1" showInputMessage="1" showErrorMessage="1" sqref="C36:D36">
      <formula1>"一般性税务处理,特殊性税务处理,否"</formula1>
    </dataValidation>
  </dataValidations>
  <hyperlinks>
    <hyperlink ref="T11" location="资产负债!A1" display="资产负债!A1"/>
    <hyperlink ref="T12" location="企业情况表!A1" display="企业情况表"/>
  </hyperlinks>
  <printOptions horizontalCentered="1"/>
  <pageMargins left="0.39370078740157483" right="0.39370078740157483" top="0.59055118110236227" bottom="0.59055118110236227" header="0.51181102362204722" footer="0.51181102362204722"/>
  <pageSetup paperSize="9" scale="72" firstPageNumber="0" fitToHeight="0" orientation="portrait" blackAndWhite="1" r:id="rId1"/>
  <headerFooter alignWithMargins="0"/>
  <rowBreaks count="1" manualBreakCount="1">
    <brk id="53" max="7" man="1"/>
  </rowBreaks>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6">
    <pageSetUpPr fitToPage="1"/>
  </sheetPr>
  <dimension ref="A1:M35"/>
  <sheetViews>
    <sheetView topLeftCell="C1" workbookViewId="0">
      <selection activeCell="I1" sqref="I1"/>
    </sheetView>
  </sheetViews>
  <sheetFormatPr defaultRowHeight="16.5"/>
  <cols>
    <col min="1" max="1" width="21.5" customWidth="1"/>
    <col min="2" max="2" width="4.625" bestFit="1" customWidth="1"/>
    <col min="3" max="4" width="16" customWidth="1"/>
    <col min="5" max="5" width="32.125" bestFit="1" customWidth="1"/>
    <col min="6" max="6" width="4.625" bestFit="1" customWidth="1"/>
    <col min="7" max="8" width="16" customWidth="1"/>
    <col min="11" max="11" width="16.5" customWidth="1"/>
    <col min="12" max="12" width="16.5" bestFit="1" customWidth="1"/>
    <col min="13" max="13" width="15" bestFit="1" customWidth="1"/>
  </cols>
  <sheetData>
    <row r="1" spans="1:13" s="1" customFormat="1" ht="25.9" customHeight="1">
      <c r="A1" s="2883" t="s">
        <v>4215</v>
      </c>
      <c r="B1" s="2883"/>
      <c r="C1" s="2883"/>
      <c r="D1" s="2883"/>
      <c r="E1" s="2883"/>
      <c r="F1" s="2881" t="str">
        <f>基本情况!$F$1</f>
        <v>厦中汇税审（2018）第DS0001号</v>
      </c>
      <c r="G1" s="2881"/>
      <c r="H1" s="2881"/>
    </row>
    <row r="2" spans="1:13" ht="37.15" customHeight="1">
      <c r="A2" s="2883"/>
      <c r="B2" s="2883"/>
      <c r="C2" s="2883"/>
      <c r="D2" s="2883"/>
      <c r="E2" s="2883"/>
      <c r="F2" s="2882" t="str">
        <f>"底稿编号："&amp;开始!$D$4</f>
        <v>底稿编号：BA-02</v>
      </c>
      <c r="G2" s="2882"/>
      <c r="H2" s="2882"/>
    </row>
    <row r="3" spans="1:13" ht="17.25" thickBot="1">
      <c r="A3" s="2880" t="str">
        <f>"编制单位："&amp;基本情况!C3</f>
        <v>编制单位：</v>
      </c>
      <c r="B3" s="2880"/>
      <c r="C3" s="2880"/>
      <c r="D3" s="2880"/>
      <c r="E3" s="797">
        <f>DATE(基本情况!F6,MONTH(基本情况!F8),DAY(基本情况!F8))</f>
        <v>43100</v>
      </c>
      <c r="F3" s="798"/>
      <c r="G3" s="798"/>
      <c r="H3" s="799" t="s">
        <v>4216</v>
      </c>
    </row>
    <row r="4" spans="1:13" ht="15.6" customHeight="1" thickTop="1" thickBot="1">
      <c r="A4" s="788" t="s">
        <v>4217</v>
      </c>
      <c r="B4" s="789" t="s">
        <v>4218</v>
      </c>
      <c r="C4" s="800" t="s">
        <v>4219</v>
      </c>
      <c r="D4" s="800" t="s">
        <v>4220</v>
      </c>
      <c r="E4" s="801" t="s">
        <v>4221</v>
      </c>
      <c r="F4" s="789" t="s">
        <v>4218</v>
      </c>
      <c r="G4" s="800" t="s">
        <v>4219</v>
      </c>
      <c r="H4" s="802" t="s">
        <v>4222</v>
      </c>
    </row>
    <row r="5" spans="1:13" ht="15.6" customHeight="1" thickTop="1">
      <c r="A5" s="790" t="s">
        <v>4223</v>
      </c>
      <c r="B5" s="778"/>
      <c r="C5" s="803"/>
      <c r="D5" s="803"/>
      <c r="E5" s="804" t="s">
        <v>4224</v>
      </c>
      <c r="F5" s="778"/>
      <c r="G5" s="805"/>
      <c r="H5" s="806"/>
      <c r="J5" s="818"/>
      <c r="K5" s="819" t="s">
        <v>4360</v>
      </c>
      <c r="L5" s="819" t="s">
        <v>4361</v>
      </c>
      <c r="M5" s="820" t="s">
        <v>4366</v>
      </c>
    </row>
    <row r="6" spans="1:13" ht="15.6" customHeight="1">
      <c r="A6" s="791" t="s">
        <v>4471</v>
      </c>
      <c r="B6" s="778">
        <v>1</v>
      </c>
      <c r="C6" s="537"/>
      <c r="D6" s="537"/>
      <c r="E6" s="807" t="s">
        <v>4269</v>
      </c>
      <c r="F6" s="778">
        <v>28</v>
      </c>
      <c r="G6" s="538"/>
      <c r="H6" s="539"/>
      <c r="J6" s="821" t="s">
        <v>4362</v>
      </c>
      <c r="K6" s="822">
        <f>IF(YEAR(基本情况!$C$25)=基本情况!$F$6,IF(INT((MONTH(基本情况!$C$25)-1)/3)+1=ROW()-ROW(资产负债表!$K$5),资产负债表!$D$33,0),资产负债表!$D$33)</f>
        <v>0</v>
      </c>
      <c r="L6" s="562"/>
      <c r="M6" s="823">
        <f>ROUND((K6+L6)/2,2)</f>
        <v>0</v>
      </c>
    </row>
    <row r="7" spans="1:13" ht="15.6" customHeight="1">
      <c r="A7" s="792" t="s">
        <v>4242</v>
      </c>
      <c r="B7" s="778">
        <v>2</v>
      </c>
      <c r="C7" s="537"/>
      <c r="D7" s="537"/>
      <c r="E7" s="807" t="s">
        <v>4270</v>
      </c>
      <c r="F7" s="778">
        <v>29</v>
      </c>
      <c r="G7" s="538"/>
      <c r="H7" s="539"/>
      <c r="J7" s="821" t="s">
        <v>4363</v>
      </c>
      <c r="K7" s="822">
        <f>IF(YEAR(基本情况!$C$25)=基本情况!$F$6,IF(INT((MONTH(基本情况!$C$25)-1)/3)+1=ROW()-ROW(资产负债表!$K$5),资产负债表!$D$33,IF(INT((MONTH(基本情况!$C$25)-1)/3)+1&lt;ROW()-ROW(资产负债表!$K$5),L6,0)),L6)</f>
        <v>0</v>
      </c>
      <c r="L7" s="562"/>
      <c r="M7" s="823">
        <f>ROUND((K7+L7)/2,2)</f>
        <v>0</v>
      </c>
    </row>
    <row r="8" spans="1:13" ht="15.6" customHeight="1">
      <c r="A8" s="792" t="s">
        <v>4243</v>
      </c>
      <c r="B8" s="778">
        <v>3</v>
      </c>
      <c r="C8" s="537"/>
      <c r="D8" s="537"/>
      <c r="E8" s="807" t="s">
        <v>4271</v>
      </c>
      <c r="F8" s="778">
        <v>30</v>
      </c>
      <c r="G8" s="538"/>
      <c r="H8" s="539"/>
      <c r="J8" s="821" t="s">
        <v>4364</v>
      </c>
      <c r="K8" s="822">
        <f>IF(YEAR(基本情况!$C$25)=基本情况!$F$6,IF(INT((MONTH(基本情况!$C$25)-1)/3)+1=ROW()-ROW(资产负债表!$K$5),资产负债表!$D$33,IF(INT((MONTH(基本情况!$C$25)-1)/3)+1&lt;ROW()-ROW(资产负债表!$K$5),L7,0)),L7)</f>
        <v>0</v>
      </c>
      <c r="L8" s="562"/>
      <c r="M8" s="823">
        <f>ROUND((K8+L8)/2,2)</f>
        <v>0</v>
      </c>
    </row>
    <row r="9" spans="1:13" ht="15.6" customHeight="1">
      <c r="A9" s="1907" t="s">
        <v>4244</v>
      </c>
      <c r="B9" s="778">
        <v>4</v>
      </c>
      <c r="C9" s="537"/>
      <c r="D9" s="537"/>
      <c r="E9" s="807" t="s">
        <v>4272</v>
      </c>
      <c r="F9" s="778">
        <v>31</v>
      </c>
      <c r="G9" s="538"/>
      <c r="H9" s="539"/>
      <c r="J9" s="821" t="s">
        <v>4365</v>
      </c>
      <c r="K9" s="822">
        <f>IF(YEAR(基本情况!$C$25)=基本情况!$F$6,IF(INT((MONTH(基本情况!$C$25)-1)/3)+1=ROW()-ROW(资产负债表!$K$5),资产负债表!$D$33,IF(INT((MONTH(基本情况!$C$25)-1)/3)+1&lt;ROW()-ROW(资产负债表!$K$5),L8,0)),L8)</f>
        <v>0</v>
      </c>
      <c r="L9" s="822">
        <f>C33</f>
        <v>0</v>
      </c>
      <c r="M9" s="823">
        <f>ROUND((K9+L9)/2,2)</f>
        <v>0</v>
      </c>
    </row>
    <row r="10" spans="1:13" ht="15.6" customHeight="1" thickBot="1">
      <c r="A10" s="792" t="s">
        <v>4245</v>
      </c>
      <c r="B10" s="778">
        <v>5</v>
      </c>
      <c r="C10" s="537"/>
      <c r="D10" s="537"/>
      <c r="E10" s="807" t="s">
        <v>4273</v>
      </c>
      <c r="F10" s="778">
        <v>32</v>
      </c>
      <c r="G10" s="538"/>
      <c r="H10" s="539"/>
      <c r="J10" s="824" t="s">
        <v>4367</v>
      </c>
      <c r="K10" s="825"/>
      <c r="L10" s="825"/>
      <c r="M10" s="826">
        <f>IF(SUM(L6:L8)=0,ROUND((G33+H33)/2,2),ROUND(SUM(M6:M9)/IF(YEAR(基本情况!$C$25)=基本情况!$F$6,5-(INT((MONTH(基本情况!$C$25)-1)/3)+1),4),2))</f>
        <v>0</v>
      </c>
    </row>
    <row r="11" spans="1:13" ht="15.6" customHeight="1" thickTop="1">
      <c r="A11" s="792" t="s">
        <v>4246</v>
      </c>
      <c r="B11" s="778">
        <v>6</v>
      </c>
      <c r="C11" s="537"/>
      <c r="D11" s="537"/>
      <c r="E11" s="807" t="s">
        <v>4274</v>
      </c>
      <c r="F11" s="778">
        <v>33</v>
      </c>
      <c r="G11" s="538"/>
      <c r="H11" s="539"/>
    </row>
    <row r="12" spans="1:13" ht="15.6" customHeight="1">
      <c r="A12" s="792" t="s">
        <v>4247</v>
      </c>
      <c r="B12" s="778">
        <v>7</v>
      </c>
      <c r="C12" s="537"/>
      <c r="D12" s="537"/>
      <c r="E12" s="807" t="s">
        <v>4275</v>
      </c>
      <c r="F12" s="778">
        <v>34</v>
      </c>
      <c r="G12" s="538"/>
      <c r="H12" s="539"/>
    </row>
    <row r="13" spans="1:13" ht="15.6" customHeight="1">
      <c r="A13" s="792" t="s">
        <v>4248</v>
      </c>
      <c r="B13" s="778">
        <v>8</v>
      </c>
      <c r="C13" s="537"/>
      <c r="D13" s="537"/>
      <c r="E13" s="807" t="s">
        <v>4276</v>
      </c>
      <c r="F13" s="778">
        <v>35</v>
      </c>
      <c r="G13" s="538"/>
      <c r="H13" s="539"/>
    </row>
    <row r="14" spans="1:13" ht="15.6" customHeight="1">
      <c r="A14" s="792" t="s">
        <v>4249</v>
      </c>
      <c r="B14" s="778">
        <v>9</v>
      </c>
      <c r="C14" s="537"/>
      <c r="D14" s="537"/>
      <c r="E14" s="807" t="s">
        <v>4277</v>
      </c>
      <c r="F14" s="778">
        <v>36</v>
      </c>
      <c r="G14" s="538"/>
      <c r="H14" s="539"/>
    </row>
    <row r="15" spans="1:13" ht="15.6" customHeight="1">
      <c r="A15" s="1907" t="s">
        <v>4251</v>
      </c>
      <c r="B15" s="778">
        <v>10</v>
      </c>
      <c r="C15" s="537"/>
      <c r="D15" s="537"/>
      <c r="E15" s="807" t="s">
        <v>4278</v>
      </c>
      <c r="F15" s="778">
        <v>37</v>
      </c>
      <c r="G15" s="538"/>
      <c r="H15" s="539"/>
      <c r="K15" s="1"/>
      <c r="L15" s="1"/>
    </row>
    <row r="16" spans="1:13" ht="15.6" customHeight="1">
      <c r="A16" s="793" t="s">
        <v>4227</v>
      </c>
      <c r="B16" s="778">
        <v>11</v>
      </c>
      <c r="C16" s="779">
        <f>SUM(C6:C15)</f>
        <v>0</v>
      </c>
      <c r="D16" s="779">
        <f>SUM(D6:D15)</f>
        <v>0</v>
      </c>
      <c r="E16" s="808" t="s">
        <v>4225</v>
      </c>
      <c r="F16" s="778">
        <v>38</v>
      </c>
      <c r="G16" s="813">
        <f>SUM(G6:G15)</f>
        <v>0</v>
      </c>
      <c r="H16" s="814">
        <f>SUM(H6:H15)</f>
        <v>0</v>
      </c>
      <c r="K16" s="1"/>
      <c r="L16" s="1"/>
    </row>
    <row r="17" spans="1:12" ht="15.6" customHeight="1">
      <c r="A17" s="790" t="s">
        <v>4228</v>
      </c>
      <c r="B17" s="778"/>
      <c r="C17" s="812"/>
      <c r="D17" s="812"/>
      <c r="E17" s="804" t="s">
        <v>4226</v>
      </c>
      <c r="F17" s="778"/>
      <c r="G17" s="815"/>
      <c r="H17" s="816"/>
      <c r="K17" s="1"/>
      <c r="L17" s="1"/>
    </row>
    <row r="18" spans="1:12" ht="15.6" customHeight="1">
      <c r="A18" s="792" t="s">
        <v>4253</v>
      </c>
      <c r="B18" s="778">
        <v>12</v>
      </c>
      <c r="C18" s="537"/>
      <c r="D18" s="537"/>
      <c r="E18" s="807" t="s">
        <v>4279</v>
      </c>
      <c r="F18" s="778">
        <v>39</v>
      </c>
      <c r="G18" s="538"/>
      <c r="H18" s="539"/>
      <c r="K18" s="1"/>
      <c r="L18" s="1"/>
    </row>
    <row r="19" spans="1:12" ht="15.6" customHeight="1">
      <c r="A19" s="792" t="s">
        <v>4254</v>
      </c>
      <c r="B19" s="778">
        <v>13</v>
      </c>
      <c r="C19" s="537"/>
      <c r="D19" s="537"/>
      <c r="E19" s="807" t="s">
        <v>4280</v>
      </c>
      <c r="F19" s="778">
        <v>40</v>
      </c>
      <c r="G19" s="538"/>
      <c r="H19" s="539"/>
      <c r="K19" s="1"/>
      <c r="L19" s="1"/>
    </row>
    <row r="20" spans="1:12" ht="15.6" customHeight="1">
      <c r="A20" s="792" t="s">
        <v>4255</v>
      </c>
      <c r="B20" s="778">
        <v>14</v>
      </c>
      <c r="C20" s="537"/>
      <c r="D20" s="537"/>
      <c r="E20" s="807" t="s">
        <v>4281</v>
      </c>
      <c r="F20" s="778">
        <v>41</v>
      </c>
      <c r="G20" s="538"/>
      <c r="H20" s="539"/>
      <c r="K20" s="1"/>
      <c r="L20" s="1"/>
    </row>
    <row r="21" spans="1:12" ht="15.6" customHeight="1">
      <c r="A21" s="794" t="s">
        <v>4231</v>
      </c>
      <c r="B21" s="778">
        <v>15</v>
      </c>
      <c r="C21" s="537"/>
      <c r="D21" s="537"/>
      <c r="E21" s="807" t="s">
        <v>4282</v>
      </c>
      <c r="F21" s="778">
        <v>42</v>
      </c>
      <c r="G21" s="538"/>
      <c r="H21" s="539"/>
      <c r="K21" s="1"/>
      <c r="L21" s="1"/>
    </row>
    <row r="22" spans="1:12" ht="15.6" customHeight="1">
      <c r="A22" s="795" t="s">
        <v>4252</v>
      </c>
      <c r="B22" s="778">
        <v>16</v>
      </c>
      <c r="C22" s="537"/>
      <c r="D22" s="537"/>
      <c r="E22" s="780" t="s">
        <v>4229</v>
      </c>
      <c r="F22" s="778">
        <v>43</v>
      </c>
      <c r="G22" s="813">
        <f>SUM(G18:G21)</f>
        <v>0</v>
      </c>
      <c r="H22" s="814">
        <f>SUM(H18:H21)</f>
        <v>0</v>
      </c>
      <c r="K22" s="1"/>
      <c r="L22" s="1"/>
    </row>
    <row r="23" spans="1:12" ht="15.6" customHeight="1">
      <c r="A23" s="792" t="s">
        <v>4256</v>
      </c>
      <c r="B23" s="778">
        <v>17</v>
      </c>
      <c r="C23" s="812">
        <f>C20-C21-C22</f>
        <v>0</v>
      </c>
      <c r="D23" s="812">
        <f>D20-D21-D22</f>
        <v>0</v>
      </c>
      <c r="E23" s="780" t="s">
        <v>4230</v>
      </c>
      <c r="F23" s="778">
        <v>44</v>
      </c>
      <c r="G23" s="813">
        <f>SUM(G16,G22)</f>
        <v>0</v>
      </c>
      <c r="H23" s="814">
        <f>SUM(H16,H22)</f>
        <v>0</v>
      </c>
      <c r="K23" s="1"/>
      <c r="L23" s="1"/>
    </row>
    <row r="24" spans="1:12" ht="15.6" customHeight="1">
      <c r="A24" s="792" t="s">
        <v>4257</v>
      </c>
      <c r="B24" s="778">
        <v>18</v>
      </c>
      <c r="C24" s="537"/>
      <c r="D24" s="537"/>
      <c r="E24" s="809"/>
      <c r="F24" s="778"/>
      <c r="G24" s="815"/>
      <c r="H24" s="816"/>
      <c r="K24" s="1"/>
      <c r="L24" s="1"/>
    </row>
    <row r="25" spans="1:12" ht="15.6" customHeight="1">
      <c r="A25" s="792" t="s">
        <v>4258</v>
      </c>
      <c r="B25" s="778">
        <v>19</v>
      </c>
      <c r="C25" s="537"/>
      <c r="D25" s="537"/>
      <c r="E25" s="809"/>
      <c r="F25" s="778"/>
      <c r="G25" s="815"/>
      <c r="H25" s="816"/>
      <c r="K25" s="1"/>
      <c r="L25" s="1"/>
    </row>
    <row r="26" spans="1:12" ht="15.6" customHeight="1">
      <c r="A26" s="792" t="s">
        <v>4259</v>
      </c>
      <c r="B26" s="778">
        <v>20</v>
      </c>
      <c r="C26" s="537"/>
      <c r="D26" s="537"/>
      <c r="E26" s="809"/>
      <c r="F26" s="778"/>
      <c r="G26" s="815"/>
      <c r="H26" s="816"/>
    </row>
    <row r="27" spans="1:12" ht="15.6" customHeight="1">
      <c r="A27" s="792" t="s">
        <v>4260</v>
      </c>
      <c r="B27" s="778">
        <v>21</v>
      </c>
      <c r="C27" s="537"/>
      <c r="D27" s="537"/>
      <c r="E27" s="810" t="s">
        <v>4232</v>
      </c>
      <c r="F27" s="778"/>
      <c r="G27" s="812"/>
      <c r="H27" s="817"/>
    </row>
    <row r="28" spans="1:12" ht="15.6" customHeight="1">
      <c r="A28" s="796" t="s">
        <v>4261</v>
      </c>
      <c r="B28" s="778">
        <v>22</v>
      </c>
      <c r="C28" s="537"/>
      <c r="D28" s="537"/>
      <c r="E28" s="811" t="s">
        <v>4265</v>
      </c>
      <c r="F28" s="778">
        <v>45</v>
      </c>
      <c r="G28" s="537"/>
      <c r="H28" s="540"/>
    </row>
    <row r="29" spans="1:12" ht="15.6" customHeight="1">
      <c r="A29" s="796" t="s">
        <v>4262</v>
      </c>
      <c r="B29" s="778">
        <v>23</v>
      </c>
      <c r="C29" s="537"/>
      <c r="D29" s="537"/>
      <c r="E29" s="811" t="s">
        <v>4266</v>
      </c>
      <c r="F29" s="778">
        <v>46</v>
      </c>
      <c r="G29" s="537"/>
      <c r="H29" s="540"/>
    </row>
    <row r="30" spans="1:12" ht="15.6" customHeight="1">
      <c r="A30" s="796" t="s">
        <v>4263</v>
      </c>
      <c r="B30" s="778">
        <v>24</v>
      </c>
      <c r="C30" s="537"/>
      <c r="D30" s="537"/>
      <c r="E30" s="811" t="s">
        <v>4267</v>
      </c>
      <c r="F30" s="778">
        <v>47</v>
      </c>
      <c r="G30" s="537"/>
      <c r="H30" s="540"/>
    </row>
    <row r="31" spans="1:12" ht="15.6" customHeight="1">
      <c r="A31" s="796" t="s">
        <v>4264</v>
      </c>
      <c r="B31" s="778">
        <v>25</v>
      </c>
      <c r="C31" s="537"/>
      <c r="D31" s="537"/>
      <c r="E31" s="811" t="s">
        <v>4268</v>
      </c>
      <c r="F31" s="778">
        <v>48</v>
      </c>
      <c r="G31" s="537"/>
      <c r="H31" s="540"/>
    </row>
    <row r="32" spans="1:12" ht="15.6" customHeight="1">
      <c r="A32" s="777" t="s">
        <v>4233</v>
      </c>
      <c r="B32" s="778">
        <v>26</v>
      </c>
      <c r="C32" s="779">
        <f>SUM(C18:C19,C23:C31)</f>
        <v>0</v>
      </c>
      <c r="D32" s="779">
        <f>SUM(D18:D19,D23:D31)</f>
        <v>0</v>
      </c>
      <c r="E32" s="780" t="s">
        <v>4234</v>
      </c>
      <c r="F32" s="778">
        <v>49</v>
      </c>
      <c r="G32" s="779">
        <f>SUM(G28:G31)</f>
        <v>0</v>
      </c>
      <c r="H32" s="781">
        <f>SUM(H28:H31)</f>
        <v>0</v>
      </c>
    </row>
    <row r="33" spans="1:8" ht="15.6" customHeight="1" thickBot="1">
      <c r="A33" s="782" t="s">
        <v>4235</v>
      </c>
      <c r="B33" s="783">
        <v>27</v>
      </c>
      <c r="C33" s="784">
        <f>SUM(C16,C32)</f>
        <v>0</v>
      </c>
      <c r="D33" s="784">
        <f>SUM(D16,D32)</f>
        <v>0</v>
      </c>
      <c r="E33" s="785" t="s">
        <v>4236</v>
      </c>
      <c r="F33" s="783">
        <v>50</v>
      </c>
      <c r="G33" s="784">
        <f>SUM(G23,G32)</f>
        <v>0</v>
      </c>
      <c r="H33" s="786">
        <f>SUM(H23,H32)</f>
        <v>0</v>
      </c>
    </row>
    <row r="34" spans="1:8" s="1" customFormat="1" ht="27.6" customHeight="1" thickTop="1">
      <c r="A34" s="2884" t="str">
        <f>"第一季度平均资产："&amp;TEXT(M6,"#,##0.00")&amp;"；第二季度平均资产："&amp;TEXT(M7,"#,##0.00")&amp;"；第三季度平均资产："&amp;TEXT(M8,"#,##0.00")&amp;"；第四季度平均资产："&amp;TEXT(M9,"#,##0.00")&amp;"；"&amp;CHAR(10) &amp;"全年平均资产："&amp;TEXT(M10,"#,##0.00")</f>
        <v>第一季度平均资产：0.00；第二季度平均资产：0.00；第三季度平均资产：0.00；第四季度平均资产：0.00；
全年平均资产：0.00</v>
      </c>
      <c r="B34" s="2884"/>
      <c r="C34" s="2884"/>
      <c r="D34" s="2884"/>
      <c r="E34" s="2884"/>
      <c r="F34" s="2884"/>
      <c r="G34" s="2884"/>
      <c r="H34" s="2884"/>
    </row>
    <row r="35" spans="1:8" ht="15.6" customHeight="1">
      <c r="A35" s="2877" t="s">
        <v>4283</v>
      </c>
      <c r="B35" s="2877"/>
      <c r="C35" s="787" t="str">
        <f>IF(C33-G33=0,"正确",C33-G33)</f>
        <v>正确</v>
      </c>
      <c r="D35" s="787" t="str">
        <f>IF(D33-H33=0,"正确",D33-H33)</f>
        <v>正确</v>
      </c>
      <c r="E35" s="2877" t="s">
        <v>4284</v>
      </c>
      <c r="F35" s="2877"/>
      <c r="G35" s="2878" t="str">
        <f>IF(G31-利润表!C41=0,"正确",G31-利润表!C41)</f>
        <v>正确</v>
      </c>
      <c r="H35" s="2879"/>
    </row>
  </sheetData>
  <sheetProtection formatCells="0"/>
  <mergeCells count="8">
    <mergeCell ref="A35:B35"/>
    <mergeCell ref="E35:F35"/>
    <mergeCell ref="G35:H35"/>
    <mergeCell ref="A3:D3"/>
    <mergeCell ref="F1:H1"/>
    <mergeCell ref="F2:H2"/>
    <mergeCell ref="A1:E2"/>
    <mergeCell ref="A34:H34"/>
  </mergeCells>
  <phoneticPr fontId="135" type="noConversion"/>
  <hyperlinks>
    <hyperlink ref="A6" location="货币资金!A1" display="货币资金"/>
    <hyperlink ref="A9" location="应收!A1" display="应收账款"/>
    <hyperlink ref="A15" location="待摊预提!A1" display="其他流动资产"/>
  </hyperlinks>
  <printOptions horizontalCentered="1"/>
  <pageMargins left="0.59055118110236227" right="0.59055118110236227" top="0.39370078740157483" bottom="0.39370078740157483" header="0.31496062992125984" footer="0.31496062992125984"/>
  <pageSetup paperSize="9" fitToWidth="0" orientation="landscape" blackAndWhite="1"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7">
    <pageSetUpPr fitToPage="1"/>
  </sheetPr>
  <dimension ref="A1:F44"/>
  <sheetViews>
    <sheetView workbookViewId="0">
      <selection sqref="A1:C2"/>
    </sheetView>
  </sheetViews>
  <sheetFormatPr defaultRowHeight="16.5"/>
  <cols>
    <col min="1" max="1" width="35.75" bestFit="1" customWidth="1"/>
    <col min="2" max="2" width="4.75" bestFit="1" customWidth="1"/>
    <col min="3" max="3" width="10.5" customWidth="1"/>
    <col min="4" max="4" width="9.625" style="1" customWidth="1"/>
    <col min="5" max="5" width="11.375" style="1" customWidth="1"/>
    <col min="6" max="6" width="9.625" customWidth="1"/>
  </cols>
  <sheetData>
    <row r="1" spans="1:6" ht="25.9" customHeight="1">
      <c r="A1" s="2886" t="s">
        <v>4285</v>
      </c>
      <c r="B1" s="2886"/>
      <c r="C1" s="2886"/>
      <c r="D1" s="2881" t="str">
        <f>基本情况!F10</f>
        <v>厦中汇税审（2018）第DS0001号</v>
      </c>
      <c r="E1" s="2881"/>
      <c r="F1" s="2881"/>
    </row>
    <row r="2" spans="1:6" ht="37.15" customHeight="1">
      <c r="A2" s="2886"/>
      <c r="B2" s="2886"/>
      <c r="C2" s="2886"/>
      <c r="D2" s="2885" t="str">
        <f>"底稿编号："&amp;开始!D5</f>
        <v>底稿编号：BA-03</v>
      </c>
      <c r="E2" s="2885"/>
      <c r="F2" s="2885"/>
    </row>
    <row r="3" spans="1:6" ht="17.25" thickBot="1">
      <c r="A3" s="827" t="str">
        <f>资产负债表!A3</f>
        <v>编制单位：</v>
      </c>
      <c r="B3" s="2903" t="str">
        <f>基本情况!F6&amp;"年度"</f>
        <v>2017年度</v>
      </c>
      <c r="C3" s="2903"/>
      <c r="D3" s="797"/>
      <c r="E3" s="797"/>
      <c r="F3" s="828" t="s">
        <v>4216</v>
      </c>
    </row>
    <row r="4" spans="1:6" ht="15.6" customHeight="1" thickTop="1">
      <c r="A4" s="829" t="s">
        <v>4286</v>
      </c>
      <c r="B4" s="830" t="s">
        <v>4218</v>
      </c>
      <c r="C4" s="2899" t="s">
        <v>4287</v>
      </c>
      <c r="D4" s="2899"/>
      <c r="E4" s="2899" t="s">
        <v>4288</v>
      </c>
      <c r="F4" s="2900"/>
    </row>
    <row r="5" spans="1:6" ht="15.6" customHeight="1">
      <c r="A5" s="831" t="s">
        <v>4289</v>
      </c>
      <c r="B5" s="832">
        <v>1</v>
      </c>
      <c r="C5" s="2891">
        <f>C6+C7</f>
        <v>0</v>
      </c>
      <c r="D5" s="2891"/>
      <c r="E5" s="2891">
        <f>E6+E7</f>
        <v>0</v>
      </c>
      <c r="F5" s="2892"/>
    </row>
    <row r="6" spans="1:6" s="1" customFormat="1" ht="15.6" customHeight="1">
      <c r="A6" s="833" t="s">
        <v>4293</v>
      </c>
      <c r="B6" s="832">
        <v>2</v>
      </c>
      <c r="C6" s="2889"/>
      <c r="D6" s="2889"/>
      <c r="E6" s="2889"/>
      <c r="F6" s="2890"/>
    </row>
    <row r="7" spans="1:6" s="1" customFormat="1" ht="15.6" customHeight="1">
      <c r="A7" s="834" t="s">
        <v>4295</v>
      </c>
      <c r="B7" s="832">
        <v>3</v>
      </c>
      <c r="C7" s="2889"/>
      <c r="D7" s="2889"/>
      <c r="E7" s="2889"/>
      <c r="F7" s="2890"/>
    </row>
    <row r="8" spans="1:6" ht="15.6" customHeight="1">
      <c r="A8" s="835" t="s">
        <v>4298</v>
      </c>
      <c r="B8" s="832">
        <v>4</v>
      </c>
      <c r="C8" s="2901">
        <f>C9+C10</f>
        <v>0</v>
      </c>
      <c r="D8" s="2901"/>
      <c r="E8" s="2901">
        <f>E9+E10</f>
        <v>0</v>
      </c>
      <c r="F8" s="2902"/>
    </row>
    <row r="9" spans="1:6" s="1" customFormat="1" ht="15.6" customHeight="1">
      <c r="A9" s="836" t="s">
        <v>4296</v>
      </c>
      <c r="B9" s="832">
        <v>5</v>
      </c>
      <c r="C9" s="2889"/>
      <c r="D9" s="2889"/>
      <c r="E9" s="2889"/>
      <c r="F9" s="2890"/>
    </row>
    <row r="10" spans="1:6" s="1" customFormat="1" ht="15.6" customHeight="1">
      <c r="A10" s="837" t="s">
        <v>4297</v>
      </c>
      <c r="B10" s="832">
        <v>6</v>
      </c>
      <c r="C10" s="2889"/>
      <c r="D10" s="2889"/>
      <c r="E10" s="2889"/>
      <c r="F10" s="2890"/>
    </row>
    <row r="11" spans="1:6" ht="15.6" customHeight="1">
      <c r="A11" s="836" t="s">
        <v>6360</v>
      </c>
      <c r="B11" s="832">
        <v>7</v>
      </c>
      <c r="C11" s="2889"/>
      <c r="D11" s="2889"/>
      <c r="E11" s="2889"/>
      <c r="F11" s="2890"/>
    </row>
    <row r="12" spans="1:6" ht="15.6" customHeight="1">
      <c r="A12" s="836" t="s">
        <v>343</v>
      </c>
      <c r="B12" s="832">
        <v>8</v>
      </c>
      <c r="C12" s="2889"/>
      <c r="D12" s="2889"/>
      <c r="E12" s="2889"/>
      <c r="F12" s="2890"/>
    </row>
    <row r="13" spans="1:6" ht="15.6" customHeight="1">
      <c r="A13" s="836" t="s">
        <v>345</v>
      </c>
      <c r="B13" s="832">
        <v>9</v>
      </c>
      <c r="C13" s="2889"/>
      <c r="D13" s="2889"/>
      <c r="E13" s="2889"/>
      <c r="F13" s="2890"/>
    </row>
    <row r="14" spans="1:6" ht="15.6" customHeight="1">
      <c r="A14" s="836" t="s">
        <v>346</v>
      </c>
      <c r="B14" s="832">
        <v>10</v>
      </c>
      <c r="C14" s="2889"/>
      <c r="D14" s="2889"/>
      <c r="E14" s="2889"/>
      <c r="F14" s="2890"/>
    </row>
    <row r="15" spans="1:6" s="1850" customFormat="1" ht="15.6" customHeight="1">
      <c r="A15" s="836" t="s">
        <v>6361</v>
      </c>
      <c r="B15" s="832">
        <v>11</v>
      </c>
      <c r="C15" s="2889"/>
      <c r="D15" s="2889"/>
      <c r="E15" s="2889"/>
      <c r="F15" s="2890"/>
    </row>
    <row r="16" spans="1:6" s="1850" customFormat="1" ht="15.6" customHeight="1">
      <c r="A16" s="835" t="s">
        <v>6362</v>
      </c>
      <c r="B16" s="832">
        <v>12</v>
      </c>
      <c r="C16" s="2889"/>
      <c r="D16" s="2889"/>
      <c r="E16" s="2889"/>
      <c r="F16" s="2890"/>
    </row>
    <row r="17" spans="1:6" ht="15.6" customHeight="1">
      <c r="A17" s="836" t="s">
        <v>6363</v>
      </c>
      <c r="B17" s="832">
        <v>13</v>
      </c>
      <c r="C17" s="2889"/>
      <c r="D17" s="2889"/>
      <c r="E17" s="2889"/>
      <c r="F17" s="2890"/>
    </row>
    <row r="18" spans="1:6" ht="15.6" customHeight="1">
      <c r="A18" s="831" t="s">
        <v>4290</v>
      </c>
      <c r="B18" s="832">
        <v>14</v>
      </c>
      <c r="C18" s="2891">
        <f>C5-C8-C11-C12-C13-C14+C17</f>
        <v>0</v>
      </c>
      <c r="D18" s="2891"/>
      <c r="E18" s="2891">
        <f>F5-F8-F11-F12-F13-F14+F17</f>
        <v>0</v>
      </c>
      <c r="F18" s="2892"/>
    </row>
    <row r="19" spans="1:6" ht="15.6" customHeight="1">
      <c r="A19" s="835" t="s">
        <v>4299</v>
      </c>
      <c r="B19" s="832">
        <v>15</v>
      </c>
      <c r="C19" s="2893"/>
      <c r="D19" s="2893"/>
      <c r="E19" s="2893"/>
      <c r="F19" s="2894"/>
    </row>
    <row r="20" spans="1:6" ht="15.6" customHeight="1">
      <c r="A20" s="835" t="s">
        <v>4300</v>
      </c>
      <c r="B20" s="832">
        <v>16</v>
      </c>
      <c r="C20" s="2893"/>
      <c r="D20" s="2893"/>
      <c r="E20" s="2893"/>
      <c r="F20" s="2894"/>
    </row>
    <row r="21" spans="1:6" ht="15.6" customHeight="1">
      <c r="A21" s="831" t="s">
        <v>4291</v>
      </c>
      <c r="B21" s="832">
        <v>17</v>
      </c>
      <c r="C21" s="2895">
        <f>C18+C19-C20</f>
        <v>0</v>
      </c>
      <c r="D21" s="2895"/>
      <c r="E21" s="2895">
        <f>E18+F19-F20</f>
        <v>0</v>
      </c>
      <c r="F21" s="2896"/>
    </row>
    <row r="22" spans="1:6" ht="15.6" customHeight="1">
      <c r="A22" s="835" t="s">
        <v>4301</v>
      </c>
      <c r="B22" s="832">
        <v>18</v>
      </c>
      <c r="C22" s="2889"/>
      <c r="D22" s="2889"/>
      <c r="E22" s="2889"/>
      <c r="F22" s="2890"/>
    </row>
    <row r="23" spans="1:6" ht="15.6" customHeight="1">
      <c r="A23" s="831" t="s">
        <v>4292</v>
      </c>
      <c r="B23" s="832">
        <v>19</v>
      </c>
      <c r="C23" s="2891">
        <f>C21-C22</f>
        <v>0</v>
      </c>
      <c r="D23" s="2891"/>
      <c r="E23" s="2891">
        <f>E21-F22</f>
        <v>0</v>
      </c>
      <c r="F23" s="2892"/>
    </row>
    <row r="24" spans="1:6" s="1" customFormat="1" ht="15.6" customHeight="1">
      <c r="A24" s="835" t="s">
        <v>4302</v>
      </c>
      <c r="B24" s="832">
        <v>20</v>
      </c>
      <c r="C24" s="2901">
        <f>资产负债表!H31</f>
        <v>0</v>
      </c>
      <c r="D24" s="2901"/>
      <c r="E24" s="2889"/>
      <c r="F24" s="2890"/>
    </row>
    <row r="25" spans="1:6" s="1" customFormat="1" ht="15.6" customHeight="1">
      <c r="A25" s="836" t="s">
        <v>4303</v>
      </c>
      <c r="B25" s="832">
        <v>21</v>
      </c>
      <c r="C25" s="2889"/>
      <c r="D25" s="2889"/>
      <c r="E25" s="2889"/>
      <c r="F25" s="2890"/>
    </row>
    <row r="26" spans="1:6" s="1" customFormat="1" ht="15.6" customHeight="1">
      <c r="A26" s="836" t="s">
        <v>4304</v>
      </c>
      <c r="B26" s="832">
        <v>22</v>
      </c>
      <c r="C26" s="2889"/>
      <c r="D26" s="2889"/>
      <c r="E26" s="2889"/>
      <c r="F26" s="2890"/>
    </row>
    <row r="27" spans="1:6" s="1" customFormat="1" ht="15.6" customHeight="1">
      <c r="A27" s="831" t="s">
        <v>4317</v>
      </c>
      <c r="B27" s="832">
        <v>23</v>
      </c>
      <c r="C27" s="2891">
        <f>C23+C24+C25+C26</f>
        <v>0</v>
      </c>
      <c r="D27" s="2891"/>
      <c r="E27" s="2891">
        <f>E23+F24+F25+F26</f>
        <v>0</v>
      </c>
      <c r="F27" s="2892"/>
    </row>
    <row r="28" spans="1:6" s="1" customFormat="1" ht="15.6" customHeight="1">
      <c r="A28" s="835" t="s">
        <v>4305</v>
      </c>
      <c r="B28" s="832">
        <v>24</v>
      </c>
      <c r="C28" s="2889"/>
      <c r="D28" s="2889"/>
      <c r="E28" s="2889"/>
      <c r="F28" s="2890"/>
    </row>
    <row r="29" spans="1:6" s="1" customFormat="1" ht="15.6" customHeight="1">
      <c r="A29" s="836" t="s">
        <v>4306</v>
      </c>
      <c r="B29" s="832">
        <v>25</v>
      </c>
      <c r="C29" s="2889"/>
      <c r="D29" s="2889"/>
      <c r="E29" s="2889"/>
      <c r="F29" s="2890"/>
    </row>
    <row r="30" spans="1:6" s="1" customFormat="1" ht="15.6" customHeight="1">
      <c r="A30" s="836" t="s">
        <v>4307</v>
      </c>
      <c r="B30" s="832">
        <v>26</v>
      </c>
      <c r="C30" s="2889"/>
      <c r="D30" s="2889"/>
      <c r="E30" s="2889"/>
      <c r="F30" s="2890"/>
    </row>
    <row r="31" spans="1:6" s="1" customFormat="1" ht="15.6" customHeight="1">
      <c r="A31" s="836" t="s">
        <v>4308</v>
      </c>
      <c r="B31" s="832">
        <v>27</v>
      </c>
      <c r="C31" s="2889"/>
      <c r="D31" s="2889"/>
      <c r="E31" s="2889"/>
      <c r="F31" s="2890"/>
    </row>
    <row r="32" spans="1:6" s="1" customFormat="1" ht="15.6" customHeight="1">
      <c r="A32" s="836" t="s">
        <v>4309</v>
      </c>
      <c r="B32" s="832">
        <v>28</v>
      </c>
      <c r="C32" s="2889"/>
      <c r="D32" s="2889"/>
      <c r="E32" s="2889"/>
      <c r="F32" s="2890"/>
    </row>
    <row r="33" spans="1:6" s="1" customFormat="1" ht="15.6" customHeight="1">
      <c r="A33" s="836" t="s">
        <v>4310</v>
      </c>
      <c r="B33" s="832">
        <v>29</v>
      </c>
      <c r="C33" s="2889"/>
      <c r="D33" s="2889"/>
      <c r="E33" s="2889"/>
      <c r="F33" s="2890"/>
    </row>
    <row r="34" spans="1:6" s="1" customFormat="1" ht="15.6" customHeight="1">
      <c r="A34" s="831" t="s">
        <v>4318</v>
      </c>
      <c r="B34" s="832">
        <v>30</v>
      </c>
      <c r="C34" s="2891">
        <f>C27-C28-C29-C30-C31-C32-C33</f>
        <v>0</v>
      </c>
      <c r="D34" s="2891"/>
      <c r="E34" s="2891">
        <f>E27-F28-F29-F30-F31-F32-F33</f>
        <v>0</v>
      </c>
      <c r="F34" s="2892"/>
    </row>
    <row r="35" spans="1:6" ht="15.6" customHeight="1">
      <c r="A35" s="796" t="s">
        <v>4311</v>
      </c>
      <c r="B35" s="832">
        <v>31</v>
      </c>
      <c r="C35" s="2887"/>
      <c r="D35" s="2887"/>
      <c r="E35" s="2887"/>
      <c r="F35" s="2888"/>
    </row>
    <row r="36" spans="1:6" s="1" customFormat="1" ht="15.6" customHeight="1">
      <c r="A36" s="838" t="s">
        <v>4312</v>
      </c>
      <c r="B36" s="832">
        <v>32</v>
      </c>
      <c r="C36" s="2887"/>
      <c r="D36" s="2887"/>
      <c r="E36" s="2887"/>
      <c r="F36" s="2888"/>
    </row>
    <row r="37" spans="1:6" s="1" customFormat="1" ht="15.6" customHeight="1">
      <c r="A37" s="838" t="s">
        <v>4313</v>
      </c>
      <c r="B37" s="832">
        <v>33</v>
      </c>
      <c r="C37" s="2887"/>
      <c r="D37" s="2887"/>
      <c r="E37" s="2887"/>
      <c r="F37" s="2888"/>
    </row>
    <row r="38" spans="1:6" s="1" customFormat="1" ht="15.6" customHeight="1">
      <c r="A38" s="838" t="s">
        <v>4314</v>
      </c>
      <c r="B38" s="832">
        <v>34</v>
      </c>
      <c r="C38" s="2887"/>
      <c r="D38" s="2887"/>
      <c r="E38" s="2887"/>
      <c r="F38" s="2888"/>
    </row>
    <row r="39" spans="1:6" s="1" customFormat="1" ht="15.6" customHeight="1">
      <c r="A39" s="838" t="s">
        <v>4315</v>
      </c>
      <c r="B39" s="832">
        <v>35</v>
      </c>
      <c r="C39" s="2887"/>
      <c r="D39" s="2887"/>
      <c r="E39" s="2887"/>
      <c r="F39" s="2888"/>
    </row>
    <row r="40" spans="1:6" s="1" customFormat="1" ht="15.6" customHeight="1">
      <c r="A40" s="838" t="s">
        <v>4316</v>
      </c>
      <c r="B40" s="832">
        <v>36</v>
      </c>
      <c r="C40" s="2887"/>
      <c r="D40" s="2887"/>
      <c r="E40" s="2887"/>
      <c r="F40" s="2888"/>
    </row>
    <row r="41" spans="1:6" s="1" customFormat="1" ht="15.6" customHeight="1" thickBot="1">
      <c r="A41" s="839" t="s">
        <v>4319</v>
      </c>
      <c r="B41" s="840">
        <v>37</v>
      </c>
      <c r="C41" s="2897">
        <f>C34-C35-C36-C37-C38-C39-C40</f>
        <v>0</v>
      </c>
      <c r="D41" s="2897"/>
      <c r="E41" s="2897">
        <f>E34-F35-F36-F37-F38-F39-F40</f>
        <v>0</v>
      </c>
      <c r="F41" s="2898"/>
    </row>
    <row r="42" spans="1:6" s="1" customFormat="1" ht="17.25" thickTop="1">
      <c r="A42" s="535"/>
      <c r="B42" s="535"/>
      <c r="C42" s="536"/>
      <c r="D42" s="536"/>
      <c r="E42" s="536"/>
      <c r="F42" s="536"/>
    </row>
    <row r="43" spans="1:6" s="1" customFormat="1">
      <c r="A43" s="535"/>
      <c r="B43" s="535"/>
      <c r="C43" s="536"/>
      <c r="D43" s="536"/>
      <c r="E43" s="536"/>
      <c r="F43" s="536"/>
    </row>
    <row r="44" spans="1:6" s="1" customFormat="1">
      <c r="A44" s="535"/>
      <c r="B44" s="535"/>
      <c r="C44" s="536"/>
      <c r="D44" s="536"/>
      <c r="E44" s="536"/>
      <c r="F44" s="536"/>
    </row>
  </sheetData>
  <sheetProtection formatCells="0" selectLockedCells="1"/>
  <mergeCells count="80">
    <mergeCell ref="C15:D15"/>
    <mergeCell ref="C30:D30"/>
    <mergeCell ref="C19:D19"/>
    <mergeCell ref="B3:C3"/>
    <mergeCell ref="C4:D4"/>
    <mergeCell ref="C5:D5"/>
    <mergeCell ref="C6:D6"/>
    <mergeCell ref="C7:D7"/>
    <mergeCell ref="C8:D8"/>
    <mergeCell ref="C9:D9"/>
    <mergeCell ref="C10:D10"/>
    <mergeCell ref="C11:D11"/>
    <mergeCell ref="C12:D12"/>
    <mergeCell ref="C13:D13"/>
    <mergeCell ref="C14:D14"/>
    <mergeCell ref="C17:D17"/>
    <mergeCell ref="C18:D18"/>
    <mergeCell ref="C25:D25"/>
    <mergeCell ref="C26:D26"/>
    <mergeCell ref="C27:D27"/>
    <mergeCell ref="C28:D28"/>
    <mergeCell ref="C29:D29"/>
    <mergeCell ref="C20:D20"/>
    <mergeCell ref="C21:D21"/>
    <mergeCell ref="C22:D22"/>
    <mergeCell ref="C23:D23"/>
    <mergeCell ref="C24:D24"/>
    <mergeCell ref="C38:D38"/>
    <mergeCell ref="C39:D39"/>
    <mergeCell ref="C40:D40"/>
    <mergeCell ref="C41:D41"/>
    <mergeCell ref="C36:D36"/>
    <mergeCell ref="C37:D37"/>
    <mergeCell ref="E4:F4"/>
    <mergeCell ref="E5:F5"/>
    <mergeCell ref="E6:F6"/>
    <mergeCell ref="E7:F7"/>
    <mergeCell ref="E8:F8"/>
    <mergeCell ref="E9:F9"/>
    <mergeCell ref="C32:D32"/>
    <mergeCell ref="C33:D33"/>
    <mergeCell ref="C34:D34"/>
    <mergeCell ref="C35:D35"/>
    <mergeCell ref="E23:F23"/>
    <mergeCell ref="E10:F10"/>
    <mergeCell ref="E11:F11"/>
    <mergeCell ref="E12:F12"/>
    <mergeCell ref="E13:F13"/>
    <mergeCell ref="E14:F14"/>
    <mergeCell ref="E17:F17"/>
    <mergeCell ref="E15:F15"/>
    <mergeCell ref="E16:F16"/>
    <mergeCell ref="C16:D16"/>
    <mergeCell ref="C31:D31"/>
    <mergeCell ref="E38:F38"/>
    <mergeCell ref="E39:F39"/>
    <mergeCell ref="E40:F40"/>
    <mergeCell ref="E41:F41"/>
    <mergeCell ref="E30:F30"/>
    <mergeCell ref="E31:F31"/>
    <mergeCell ref="E32:F32"/>
    <mergeCell ref="E33:F33"/>
    <mergeCell ref="E34:F34"/>
    <mergeCell ref="E35:F35"/>
    <mergeCell ref="D1:F1"/>
    <mergeCell ref="D2:F2"/>
    <mergeCell ref="A1:C2"/>
    <mergeCell ref="E36:F36"/>
    <mergeCell ref="E37:F37"/>
    <mergeCell ref="E24:F24"/>
    <mergeCell ref="E25:F25"/>
    <mergeCell ref="E26:F26"/>
    <mergeCell ref="E27:F27"/>
    <mergeCell ref="E28:F28"/>
    <mergeCell ref="E29:F29"/>
    <mergeCell ref="E18:F18"/>
    <mergeCell ref="E19:F19"/>
    <mergeCell ref="E20:F20"/>
    <mergeCell ref="E21:F21"/>
    <mergeCell ref="E22:F22"/>
  </mergeCells>
  <phoneticPr fontId="135" type="noConversion"/>
  <printOptions horizontalCentered="1"/>
  <pageMargins left="0.39370078740157483" right="0.39370078740157483" top="0.59055118110236227" bottom="0.59055118110236227" header="0.31496062992125984" footer="0.31496062992125984"/>
  <pageSetup paperSize="9" fitToHeight="0" orientation="portrait" blackAndWhite="1"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pageSetUpPr fitToPage="1"/>
  </sheetPr>
  <dimension ref="A1:M72"/>
  <sheetViews>
    <sheetView topLeftCell="C1" workbookViewId="0">
      <selection activeCell="I1" sqref="I1"/>
    </sheetView>
  </sheetViews>
  <sheetFormatPr defaultRowHeight="16.5"/>
  <cols>
    <col min="1" max="1" width="12.875" customWidth="1"/>
    <col min="2" max="2" width="21.875" customWidth="1"/>
    <col min="3" max="8" width="16" customWidth="1"/>
    <col min="26" max="26" width="0" hidden="1" customWidth="1"/>
  </cols>
  <sheetData>
    <row r="1" spans="1:13" ht="25.9" customHeight="1">
      <c r="A1" s="2904" t="s">
        <v>4332</v>
      </c>
      <c r="B1" s="2904"/>
      <c r="C1" s="2904"/>
      <c r="D1" s="2904"/>
      <c r="E1" s="2904"/>
      <c r="F1" s="2904"/>
      <c r="G1" s="2834" t="str">
        <f>基本情况!$F$10</f>
        <v>厦中汇税审（2018）第DS0001号</v>
      </c>
      <c r="H1" s="2834"/>
      <c r="K1">
        <f>IFERROR(IFERROR(IFERROR(MATCH("营业费用",B:B,0)-3,MATCH("销售费用",B:B,0)-3),MATCH("经营费用",B:B,0)-3),0)</f>
        <v>0</v>
      </c>
      <c r="L1">
        <f>IFERROR(MATCH("管理费用",B:B,0)-3,0)</f>
        <v>0</v>
      </c>
      <c r="M1">
        <f>IFERROR(MATCH("财务费用",B:B,0)-3,0)</f>
        <v>0</v>
      </c>
    </row>
    <row r="2" spans="1:13" ht="37.15" customHeight="1">
      <c r="A2" s="2904"/>
      <c r="B2" s="2904"/>
      <c r="C2" s="2904"/>
      <c r="D2" s="2904"/>
      <c r="E2" s="2904"/>
      <c r="F2" s="2904"/>
      <c r="G2" s="2905" t="str">
        <f>"底稿编号："&amp;开始!$D$6</f>
        <v>底稿编号：BA-04</v>
      </c>
      <c r="H2" s="2905"/>
    </row>
    <row r="3" spans="1:13">
      <c r="A3" t="str">
        <f>利润表!A3</f>
        <v>编制单位：</v>
      </c>
      <c r="H3" t="s">
        <v>4333</v>
      </c>
    </row>
    <row r="4" spans="1:13">
      <c r="A4" s="558" t="s">
        <v>4326</v>
      </c>
      <c r="B4" s="558" t="s">
        <v>4327</v>
      </c>
      <c r="C4" s="523" t="s">
        <v>4328</v>
      </c>
      <c r="D4" s="523" t="s">
        <v>4329</v>
      </c>
      <c r="E4" s="523" t="s">
        <v>4334</v>
      </c>
      <c r="F4" s="523" t="s">
        <v>4335</v>
      </c>
      <c r="G4" s="523" t="s">
        <v>4330</v>
      </c>
      <c r="H4" s="523" t="s">
        <v>4331</v>
      </c>
    </row>
    <row r="5" spans="1:13" s="561" customFormat="1">
      <c r="A5" s="559"/>
      <c r="B5" s="559"/>
      <c r="C5" s="560"/>
      <c r="D5" s="560"/>
      <c r="E5" s="560"/>
      <c r="F5" s="560"/>
      <c r="G5" s="560"/>
      <c r="H5" s="560"/>
    </row>
    <row r="6" spans="1:13" s="561" customFormat="1">
      <c r="A6" s="559"/>
      <c r="B6" s="559"/>
      <c r="C6" s="560"/>
      <c r="D6" s="560"/>
      <c r="E6" s="560"/>
      <c r="F6" s="560"/>
      <c r="G6" s="560"/>
      <c r="H6" s="560"/>
    </row>
    <row r="7" spans="1:13" s="561" customFormat="1">
      <c r="A7" s="559"/>
      <c r="B7" s="559"/>
      <c r="C7" s="560"/>
      <c r="D7" s="560"/>
      <c r="E7" s="560"/>
      <c r="F7" s="560"/>
      <c r="G7" s="560"/>
      <c r="H7" s="560"/>
    </row>
    <row r="8" spans="1:13" s="561" customFormat="1">
      <c r="A8" s="559"/>
      <c r="B8" s="559"/>
      <c r="C8" s="560"/>
      <c r="D8" s="560"/>
      <c r="E8" s="560"/>
      <c r="F8" s="560"/>
      <c r="G8" s="560"/>
      <c r="H8" s="560"/>
    </row>
    <row r="9" spans="1:13" s="561" customFormat="1">
      <c r="A9" s="559"/>
      <c r="B9" s="559"/>
      <c r="C9" s="560"/>
      <c r="D9" s="560"/>
      <c r="E9" s="560"/>
      <c r="F9" s="560"/>
      <c r="G9" s="560"/>
      <c r="H9" s="560"/>
    </row>
    <row r="10" spans="1:13" s="561" customFormat="1">
      <c r="A10" s="559"/>
      <c r="B10" s="559"/>
      <c r="C10" s="560"/>
      <c r="D10" s="560"/>
      <c r="E10" s="560"/>
      <c r="F10" s="560"/>
      <c r="G10" s="560"/>
      <c r="H10" s="560"/>
    </row>
    <row r="11" spans="1:13" s="561" customFormat="1">
      <c r="A11" s="559"/>
      <c r="B11" s="559"/>
      <c r="C11" s="560"/>
      <c r="D11" s="560"/>
      <c r="E11" s="560"/>
      <c r="F11" s="560"/>
      <c r="G11" s="560"/>
      <c r="H11" s="560"/>
    </row>
    <row r="12" spans="1:13" s="561" customFormat="1">
      <c r="A12" s="559"/>
      <c r="B12" s="559"/>
      <c r="C12" s="560"/>
      <c r="D12" s="560"/>
      <c r="E12" s="560"/>
      <c r="F12" s="560"/>
      <c r="G12" s="560"/>
      <c r="H12" s="560"/>
    </row>
    <row r="13" spans="1:13" s="561" customFormat="1">
      <c r="A13" s="559"/>
      <c r="B13" s="559"/>
      <c r="C13" s="560"/>
      <c r="D13" s="560"/>
      <c r="E13" s="560"/>
      <c r="F13" s="560"/>
      <c r="G13" s="560"/>
      <c r="H13" s="560"/>
    </row>
    <row r="14" spans="1:13" s="561" customFormat="1">
      <c r="A14" s="559"/>
      <c r="B14" s="559"/>
      <c r="C14" s="560"/>
      <c r="D14" s="560"/>
      <c r="E14" s="560"/>
      <c r="F14" s="560"/>
      <c r="G14" s="560"/>
      <c r="H14" s="560"/>
    </row>
    <row r="15" spans="1:13" s="561" customFormat="1">
      <c r="A15" s="559"/>
      <c r="B15" s="559"/>
      <c r="C15" s="560"/>
      <c r="D15" s="560"/>
      <c r="E15" s="560"/>
      <c r="F15" s="560"/>
      <c r="G15" s="560"/>
      <c r="H15" s="560"/>
    </row>
    <row r="16" spans="1:13" s="561" customFormat="1">
      <c r="A16" s="559"/>
      <c r="B16" s="559"/>
      <c r="C16" s="560"/>
      <c r="D16" s="560"/>
      <c r="E16" s="560"/>
      <c r="F16" s="560"/>
      <c r="G16" s="560"/>
      <c r="H16" s="560"/>
    </row>
    <row r="17" spans="1:8" s="561" customFormat="1">
      <c r="A17" s="559"/>
      <c r="B17" s="559"/>
      <c r="C17" s="560"/>
      <c r="D17" s="560"/>
      <c r="E17" s="560"/>
      <c r="F17" s="560"/>
      <c r="G17" s="560"/>
      <c r="H17" s="560"/>
    </row>
    <row r="18" spans="1:8" s="561" customFormat="1">
      <c r="A18" s="559"/>
      <c r="B18" s="559"/>
      <c r="C18" s="560"/>
      <c r="D18" s="560"/>
      <c r="E18" s="560"/>
      <c r="F18" s="560"/>
      <c r="G18" s="560"/>
      <c r="H18" s="560"/>
    </row>
    <row r="19" spans="1:8" s="561" customFormat="1">
      <c r="A19" s="559"/>
      <c r="B19" s="559"/>
      <c r="C19" s="560"/>
      <c r="D19" s="560"/>
      <c r="E19" s="560"/>
      <c r="F19" s="560"/>
      <c r="G19" s="560"/>
      <c r="H19" s="560"/>
    </row>
    <row r="20" spans="1:8" s="561" customFormat="1">
      <c r="A20" s="559"/>
      <c r="B20" s="559"/>
      <c r="C20" s="560"/>
      <c r="D20" s="560"/>
      <c r="E20" s="560"/>
      <c r="F20" s="560"/>
      <c r="G20" s="560"/>
      <c r="H20" s="560"/>
    </row>
    <row r="21" spans="1:8" s="561" customFormat="1">
      <c r="A21" s="559"/>
      <c r="B21" s="559"/>
      <c r="C21" s="560"/>
      <c r="D21" s="560"/>
      <c r="E21" s="560"/>
      <c r="F21" s="560"/>
      <c r="G21" s="560"/>
      <c r="H21" s="560"/>
    </row>
    <row r="22" spans="1:8" s="561" customFormat="1">
      <c r="A22" s="559"/>
      <c r="B22" s="559"/>
      <c r="C22" s="560"/>
      <c r="D22" s="560"/>
      <c r="E22" s="560"/>
      <c r="F22" s="560"/>
      <c r="G22" s="560"/>
      <c r="H22" s="560"/>
    </row>
    <row r="23" spans="1:8" s="561" customFormat="1">
      <c r="A23" s="559"/>
      <c r="B23" s="559"/>
      <c r="C23" s="560"/>
      <c r="D23" s="560"/>
      <c r="E23" s="560"/>
      <c r="F23" s="560"/>
      <c r="G23" s="560"/>
      <c r="H23" s="560"/>
    </row>
    <row r="24" spans="1:8" s="561" customFormat="1">
      <c r="A24" s="559"/>
      <c r="B24" s="559"/>
      <c r="C24" s="560"/>
      <c r="D24" s="560"/>
      <c r="E24" s="560"/>
      <c r="F24" s="560"/>
      <c r="G24" s="560"/>
      <c r="H24" s="560"/>
    </row>
    <row r="25" spans="1:8" s="561" customFormat="1">
      <c r="A25" s="559"/>
      <c r="B25" s="559"/>
      <c r="C25" s="560"/>
      <c r="D25" s="560"/>
      <c r="E25" s="560"/>
      <c r="F25" s="560"/>
      <c r="G25" s="560"/>
      <c r="H25" s="560"/>
    </row>
    <row r="26" spans="1:8" s="561" customFormat="1">
      <c r="A26" s="559"/>
      <c r="B26" s="559"/>
      <c r="C26" s="560"/>
      <c r="D26" s="560"/>
      <c r="E26" s="560"/>
      <c r="F26" s="560"/>
      <c r="G26" s="560"/>
      <c r="H26" s="560"/>
    </row>
    <row r="27" spans="1:8" s="561" customFormat="1">
      <c r="A27" s="559"/>
      <c r="B27" s="559"/>
      <c r="C27" s="560"/>
      <c r="D27" s="560"/>
      <c r="E27" s="560"/>
      <c r="F27" s="560"/>
      <c r="G27" s="560"/>
      <c r="H27" s="560"/>
    </row>
    <row r="28" spans="1:8" s="561" customFormat="1">
      <c r="A28" s="559"/>
      <c r="B28" s="559"/>
      <c r="C28" s="560"/>
      <c r="D28" s="560"/>
      <c r="E28" s="560"/>
      <c r="F28" s="560"/>
      <c r="G28" s="560"/>
      <c r="H28" s="560"/>
    </row>
    <row r="29" spans="1:8" s="561" customFormat="1">
      <c r="A29" s="559"/>
      <c r="B29" s="559"/>
      <c r="C29" s="560"/>
      <c r="D29" s="560"/>
      <c r="E29" s="560"/>
      <c r="F29" s="560"/>
      <c r="G29" s="560"/>
      <c r="H29" s="560"/>
    </row>
    <row r="30" spans="1:8" s="561" customFormat="1">
      <c r="A30" s="559"/>
      <c r="B30" s="559"/>
      <c r="C30" s="560"/>
      <c r="D30" s="560"/>
      <c r="E30" s="560"/>
      <c r="F30" s="560"/>
      <c r="G30" s="560"/>
      <c r="H30" s="560"/>
    </row>
    <row r="31" spans="1:8" s="561" customFormat="1">
      <c r="A31" s="559"/>
      <c r="B31" s="559"/>
      <c r="C31" s="560"/>
      <c r="D31" s="560"/>
      <c r="E31" s="560"/>
      <c r="F31" s="560"/>
      <c r="G31" s="560"/>
      <c r="H31" s="560"/>
    </row>
    <row r="32" spans="1:8" s="561" customFormat="1">
      <c r="A32" s="559"/>
      <c r="B32" s="559"/>
      <c r="C32" s="560"/>
      <c r="D32" s="560"/>
      <c r="E32" s="560"/>
      <c r="F32" s="560"/>
      <c r="G32" s="560"/>
      <c r="H32" s="560"/>
    </row>
    <row r="33" spans="1:8" s="561" customFormat="1">
      <c r="A33" s="559"/>
      <c r="B33" s="559"/>
      <c r="C33" s="560"/>
      <c r="D33" s="560"/>
      <c r="E33" s="560"/>
      <c r="F33" s="560"/>
      <c r="G33" s="560"/>
      <c r="H33" s="560"/>
    </row>
    <row r="34" spans="1:8" s="561" customFormat="1">
      <c r="A34" s="559"/>
      <c r="B34" s="559"/>
      <c r="C34" s="560"/>
      <c r="D34" s="560"/>
      <c r="E34" s="560"/>
      <c r="F34" s="560"/>
      <c r="G34" s="560"/>
      <c r="H34" s="560"/>
    </row>
    <row r="35" spans="1:8" s="561" customFormat="1">
      <c r="A35" s="559"/>
      <c r="B35" s="559"/>
      <c r="C35" s="560"/>
      <c r="D35" s="560"/>
      <c r="E35" s="560"/>
      <c r="F35" s="560"/>
      <c r="G35" s="560"/>
      <c r="H35" s="560"/>
    </row>
    <row r="36" spans="1:8" s="561" customFormat="1">
      <c r="A36" s="559"/>
      <c r="B36" s="559"/>
      <c r="C36" s="560"/>
      <c r="D36" s="560"/>
      <c r="E36" s="560"/>
      <c r="F36" s="560"/>
      <c r="G36" s="560"/>
      <c r="H36" s="560"/>
    </row>
    <row r="37" spans="1:8" s="561" customFormat="1">
      <c r="A37" s="559"/>
      <c r="B37" s="559"/>
      <c r="C37" s="560"/>
      <c r="D37" s="560"/>
      <c r="E37" s="560"/>
      <c r="F37" s="560"/>
      <c r="G37" s="560"/>
      <c r="H37" s="560"/>
    </row>
    <row r="38" spans="1:8" s="561" customFormat="1">
      <c r="A38" s="559"/>
      <c r="B38" s="559"/>
      <c r="C38" s="560"/>
      <c r="D38" s="560"/>
      <c r="E38" s="560"/>
      <c r="F38" s="560"/>
      <c r="G38" s="560"/>
      <c r="H38" s="560"/>
    </row>
    <row r="39" spans="1:8" s="561" customFormat="1">
      <c r="A39" s="559"/>
      <c r="B39" s="559"/>
      <c r="C39" s="560"/>
      <c r="D39" s="560"/>
      <c r="E39" s="560"/>
      <c r="F39" s="560"/>
      <c r="G39" s="560"/>
      <c r="H39" s="560"/>
    </row>
    <row r="40" spans="1:8" s="561" customFormat="1">
      <c r="A40" s="559"/>
      <c r="B40" s="559"/>
      <c r="C40" s="560"/>
      <c r="D40" s="560"/>
      <c r="E40" s="560"/>
      <c r="F40" s="560"/>
      <c r="G40" s="560"/>
      <c r="H40" s="560"/>
    </row>
    <row r="41" spans="1:8" s="561" customFormat="1">
      <c r="A41" s="559"/>
      <c r="B41" s="559"/>
      <c r="C41" s="560"/>
      <c r="D41" s="560"/>
      <c r="E41" s="560"/>
      <c r="F41" s="560"/>
      <c r="G41" s="560"/>
      <c r="H41" s="560"/>
    </row>
    <row r="42" spans="1:8" s="561" customFormat="1">
      <c r="A42" s="559"/>
      <c r="B42" s="559"/>
      <c r="C42" s="560"/>
      <c r="D42" s="560"/>
      <c r="E42" s="560"/>
      <c r="F42" s="560"/>
      <c r="G42" s="560"/>
      <c r="H42" s="560"/>
    </row>
    <row r="43" spans="1:8" s="561" customFormat="1">
      <c r="A43" s="559"/>
      <c r="B43" s="559"/>
      <c r="C43" s="560"/>
      <c r="D43" s="560"/>
      <c r="E43" s="560"/>
      <c r="F43" s="560"/>
      <c r="G43" s="560"/>
      <c r="H43" s="560"/>
    </row>
    <row r="44" spans="1:8" s="561" customFormat="1">
      <c r="A44" s="559"/>
      <c r="B44" s="559"/>
      <c r="C44" s="560"/>
      <c r="D44" s="560"/>
      <c r="E44" s="560"/>
      <c r="F44" s="560"/>
      <c r="G44" s="560"/>
      <c r="H44" s="560"/>
    </row>
    <row r="45" spans="1:8" s="561" customFormat="1">
      <c r="A45" s="559"/>
      <c r="B45" s="559"/>
      <c r="C45" s="560"/>
      <c r="D45" s="560"/>
      <c r="E45" s="560"/>
      <c r="F45" s="560"/>
      <c r="G45" s="560"/>
      <c r="H45" s="560"/>
    </row>
    <row r="46" spans="1:8" s="561" customFormat="1">
      <c r="A46" s="559"/>
      <c r="B46" s="559"/>
      <c r="C46" s="560"/>
      <c r="D46" s="560"/>
      <c r="E46" s="560"/>
      <c r="F46" s="560"/>
      <c r="G46" s="560"/>
      <c r="H46" s="560"/>
    </row>
    <row r="47" spans="1:8" s="561" customFormat="1">
      <c r="A47" s="559"/>
      <c r="B47" s="559"/>
      <c r="C47" s="560"/>
      <c r="D47" s="560"/>
      <c r="E47" s="560"/>
      <c r="F47" s="560"/>
      <c r="G47" s="560"/>
      <c r="H47" s="560"/>
    </row>
    <row r="48" spans="1:8" s="561" customFormat="1">
      <c r="A48" s="559"/>
      <c r="B48" s="559"/>
      <c r="C48" s="560"/>
      <c r="D48" s="560"/>
      <c r="E48" s="560"/>
      <c r="F48" s="560"/>
      <c r="G48" s="560"/>
      <c r="H48" s="560"/>
    </row>
    <row r="49" spans="1:8" s="561" customFormat="1">
      <c r="A49" s="559"/>
      <c r="B49" s="559"/>
      <c r="C49" s="560"/>
      <c r="D49" s="560"/>
      <c r="E49" s="560"/>
      <c r="F49" s="560"/>
      <c r="G49" s="560"/>
      <c r="H49" s="560"/>
    </row>
    <row r="50" spans="1:8" s="561" customFormat="1">
      <c r="A50" s="559"/>
      <c r="B50" s="559"/>
      <c r="C50" s="560"/>
      <c r="D50" s="560"/>
      <c r="E50" s="560"/>
      <c r="F50" s="560"/>
      <c r="G50" s="560"/>
      <c r="H50" s="560"/>
    </row>
    <row r="51" spans="1:8" s="561" customFormat="1">
      <c r="A51" s="559"/>
      <c r="B51" s="559"/>
      <c r="C51" s="560"/>
      <c r="D51" s="560"/>
      <c r="E51" s="560"/>
      <c r="F51" s="560"/>
      <c r="G51" s="560"/>
      <c r="H51" s="560"/>
    </row>
    <row r="52" spans="1:8" s="561" customFormat="1">
      <c r="A52" s="559"/>
      <c r="B52" s="559"/>
      <c r="C52" s="560"/>
      <c r="D52" s="560"/>
      <c r="E52" s="560"/>
      <c r="F52" s="560"/>
      <c r="G52" s="560"/>
      <c r="H52" s="560"/>
    </row>
    <row r="53" spans="1:8" s="561" customFormat="1">
      <c r="A53" s="559"/>
      <c r="B53" s="559"/>
      <c r="C53" s="560"/>
      <c r="D53" s="560"/>
      <c r="E53" s="560"/>
      <c r="F53" s="560"/>
      <c r="G53" s="560"/>
      <c r="H53" s="560"/>
    </row>
    <row r="54" spans="1:8" s="561" customFormat="1">
      <c r="A54" s="559"/>
      <c r="B54" s="559"/>
      <c r="C54" s="560"/>
      <c r="D54" s="560"/>
      <c r="E54" s="560"/>
      <c r="F54" s="560"/>
      <c r="G54" s="560"/>
      <c r="H54" s="560"/>
    </row>
    <row r="55" spans="1:8" s="561" customFormat="1">
      <c r="A55" s="559"/>
      <c r="B55" s="559"/>
      <c r="C55" s="560"/>
      <c r="D55" s="560"/>
      <c r="E55" s="560"/>
      <c r="F55" s="560"/>
      <c r="G55" s="560"/>
      <c r="H55" s="560"/>
    </row>
    <row r="56" spans="1:8" s="561" customFormat="1">
      <c r="A56" s="559"/>
      <c r="B56" s="559"/>
      <c r="C56" s="560"/>
      <c r="D56" s="560"/>
      <c r="E56" s="560"/>
      <c r="F56" s="560"/>
      <c r="G56" s="560"/>
      <c r="H56" s="560"/>
    </row>
    <row r="57" spans="1:8" s="561" customFormat="1">
      <c r="A57" s="559"/>
      <c r="B57" s="559"/>
      <c r="C57" s="560"/>
      <c r="D57" s="560"/>
      <c r="E57" s="560"/>
      <c r="F57" s="560"/>
      <c r="G57" s="560"/>
      <c r="H57" s="560"/>
    </row>
    <row r="58" spans="1:8" s="561" customFormat="1">
      <c r="A58" s="559"/>
      <c r="B58" s="559"/>
      <c r="C58" s="560"/>
      <c r="D58" s="560"/>
      <c r="E58" s="560"/>
      <c r="F58" s="560"/>
      <c r="G58" s="560"/>
      <c r="H58" s="560"/>
    </row>
    <row r="59" spans="1:8" s="561" customFormat="1">
      <c r="A59" s="559"/>
      <c r="B59" s="559"/>
      <c r="C59" s="560"/>
      <c r="D59" s="560"/>
      <c r="E59" s="560"/>
      <c r="F59" s="560"/>
      <c r="G59" s="560"/>
      <c r="H59" s="560"/>
    </row>
    <row r="60" spans="1:8" s="561" customFormat="1">
      <c r="A60" s="559"/>
      <c r="B60" s="559"/>
      <c r="C60" s="560"/>
      <c r="D60" s="560"/>
      <c r="E60" s="560"/>
      <c r="F60" s="560"/>
      <c r="G60" s="560"/>
      <c r="H60" s="560"/>
    </row>
    <row r="61" spans="1:8" s="561" customFormat="1">
      <c r="A61" s="559"/>
      <c r="B61" s="559"/>
      <c r="C61" s="560"/>
      <c r="D61" s="560"/>
      <c r="E61" s="560"/>
      <c r="F61" s="560"/>
      <c r="G61" s="560"/>
      <c r="H61" s="560"/>
    </row>
    <row r="62" spans="1:8" s="561" customFormat="1">
      <c r="A62" s="559"/>
      <c r="B62" s="559"/>
      <c r="C62" s="560"/>
      <c r="D62" s="560"/>
      <c r="E62" s="560"/>
      <c r="F62" s="560"/>
      <c r="G62" s="560"/>
      <c r="H62" s="560"/>
    </row>
    <row r="63" spans="1:8" s="561" customFormat="1">
      <c r="A63" s="559"/>
      <c r="B63" s="559"/>
      <c r="C63" s="560"/>
      <c r="D63" s="560"/>
      <c r="E63" s="560"/>
      <c r="F63" s="560"/>
      <c r="G63" s="560"/>
      <c r="H63" s="560"/>
    </row>
    <row r="64" spans="1:8" s="561" customFormat="1">
      <c r="A64" s="559"/>
      <c r="B64" s="559"/>
      <c r="C64" s="560"/>
      <c r="D64" s="560"/>
      <c r="E64" s="560"/>
      <c r="F64" s="560"/>
      <c r="G64" s="560"/>
      <c r="H64" s="560"/>
    </row>
    <row r="65" spans="1:8" s="561" customFormat="1">
      <c r="A65" s="559"/>
      <c r="B65" s="559"/>
      <c r="C65" s="560"/>
      <c r="D65" s="560"/>
      <c r="E65" s="560"/>
      <c r="F65" s="560"/>
      <c r="G65" s="560"/>
      <c r="H65" s="560"/>
    </row>
    <row r="66" spans="1:8" s="561" customFormat="1">
      <c r="A66" s="559"/>
      <c r="B66" s="559"/>
      <c r="C66" s="560"/>
      <c r="D66" s="560"/>
      <c r="E66" s="560"/>
      <c r="F66" s="560"/>
      <c r="G66" s="560"/>
      <c r="H66" s="560"/>
    </row>
    <row r="67" spans="1:8" s="561" customFormat="1">
      <c r="A67" s="559"/>
      <c r="B67" s="559"/>
      <c r="C67" s="560"/>
      <c r="D67" s="560"/>
      <c r="E67" s="560"/>
      <c r="F67" s="560"/>
      <c r="G67" s="560"/>
      <c r="H67" s="560"/>
    </row>
    <row r="68" spans="1:8" s="561" customFormat="1">
      <c r="A68" s="559"/>
      <c r="B68" s="559"/>
      <c r="C68" s="560"/>
      <c r="D68" s="560"/>
      <c r="E68" s="560"/>
      <c r="F68" s="560"/>
      <c r="G68" s="560"/>
      <c r="H68" s="560"/>
    </row>
    <row r="69" spans="1:8" s="561" customFormat="1">
      <c r="A69" s="559"/>
      <c r="B69" s="559"/>
      <c r="C69" s="560"/>
      <c r="D69" s="560"/>
      <c r="E69" s="560"/>
      <c r="F69" s="560"/>
      <c r="G69" s="560"/>
      <c r="H69" s="560"/>
    </row>
    <row r="70" spans="1:8" s="561" customFormat="1">
      <c r="A70" s="559"/>
      <c r="B70" s="559"/>
      <c r="C70" s="560"/>
      <c r="D70" s="560"/>
      <c r="E70" s="560"/>
      <c r="F70" s="560"/>
      <c r="G70" s="560"/>
      <c r="H70" s="560"/>
    </row>
    <row r="71" spans="1:8" s="561" customFormat="1">
      <c r="A71" s="559"/>
      <c r="B71" s="559"/>
      <c r="C71" s="560"/>
      <c r="D71" s="560"/>
      <c r="E71" s="560"/>
      <c r="F71" s="560"/>
      <c r="G71" s="560"/>
      <c r="H71" s="560"/>
    </row>
    <row r="72" spans="1:8" s="561" customFormat="1">
      <c r="A72" s="559"/>
      <c r="B72" s="559"/>
      <c r="C72" s="560"/>
      <c r="D72" s="560"/>
      <c r="E72" s="560"/>
      <c r="F72" s="560"/>
      <c r="G72" s="560"/>
      <c r="H72" s="560"/>
    </row>
  </sheetData>
  <sheetProtection formatCells="0" insertRows="0" deleteRows="0" selectLockedCells="1" autoFilter="0"/>
  <mergeCells count="3">
    <mergeCell ref="A1:F2"/>
    <mergeCell ref="G2:H2"/>
    <mergeCell ref="G1:H1"/>
  </mergeCells>
  <phoneticPr fontId="135" type="noConversion"/>
  <pageMargins left="0.70866141732283472" right="0.70866141732283472" top="0.74803149606299213" bottom="0.74803149606299213" header="0.31496062992125984" footer="0.31496062992125984"/>
  <pageSetup paperSize="9" scale="64" fitToHeight="0" orientation="portrait" blackAndWhite="1" r:id="rId1"/>
  <drawing r:id="rId2"/>
  <legacyDrawing r:id="rId3"/>
  <tableParts count="1">
    <tablePart r:id="rId4"/>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H70"/>
  <sheetViews>
    <sheetView workbookViewId="0">
      <selection activeCell="C16" sqref="C16"/>
    </sheetView>
  </sheetViews>
  <sheetFormatPr defaultColWidth="9" defaultRowHeight="16.5"/>
  <cols>
    <col min="1" max="1" width="50.125" style="565" customWidth="1"/>
    <col min="2" max="2" width="5.5" style="565" bestFit="1" customWidth="1"/>
    <col min="3" max="3" width="17.25" style="2161" bestFit="1" customWidth="1"/>
    <col min="4" max="4" width="13.75" style="565" customWidth="1"/>
    <col min="5" max="5" width="14.625" style="565" customWidth="1"/>
    <col min="6" max="6" width="12.625" style="565" customWidth="1"/>
    <col min="7" max="7" width="33.875" style="565" bestFit="1" customWidth="1"/>
    <col min="8" max="10" width="9" style="565" customWidth="1"/>
    <col min="11" max="16384" width="9" style="565"/>
  </cols>
  <sheetData>
    <row r="1" spans="1:8" ht="58.5" customHeight="1">
      <c r="A1" s="1807" t="s">
        <v>5923</v>
      </c>
      <c r="B1" s="1808"/>
      <c r="C1" s="2157" t="s">
        <v>5924</v>
      </c>
      <c r="D1" s="1508"/>
      <c r="F1" s="1809" t="s">
        <v>5925</v>
      </c>
      <c r="G1" s="1810" t="s">
        <v>5926</v>
      </c>
      <c r="H1" s="577"/>
    </row>
    <row r="2" spans="1:8">
      <c r="A2" s="1811" t="s">
        <v>5222</v>
      </c>
      <c r="B2" s="1508" t="s">
        <v>5927</v>
      </c>
      <c r="C2" s="2158" t="s">
        <v>5928</v>
      </c>
      <c r="D2" s="1508" t="s">
        <v>5929</v>
      </c>
    </row>
    <row r="3" spans="1:8">
      <c r="A3" s="1811" t="s">
        <v>5930</v>
      </c>
      <c r="B3" s="1508" t="s">
        <v>5927</v>
      </c>
      <c r="C3" s="2158" t="s">
        <v>5928</v>
      </c>
      <c r="D3" s="1508" t="s">
        <v>5929</v>
      </c>
      <c r="E3" s="1812"/>
    </row>
    <row r="4" spans="1:8">
      <c r="A4" s="1811" t="s">
        <v>5905</v>
      </c>
      <c r="B4" s="1508" t="s">
        <v>5927</v>
      </c>
      <c r="C4" s="2159">
        <f>IF(OR(固资折旧!C30&lt;&gt;"固定资产原值账载数与报表数相符！",固资折旧!C31&lt;&gt;"累计折旧账载数与报表数相符！",固资折旧!C32&lt;&gt;"对应科目折旧发生额与本期折旧额相符！"),"不符",0)</f>
        <v>0</v>
      </c>
      <c r="D4" s="1508" t="s">
        <v>5929</v>
      </c>
      <c r="E4" s="1850"/>
    </row>
    <row r="5" spans="1:8">
      <c r="A5" s="1811" t="s">
        <v>5931</v>
      </c>
      <c r="B5" s="1508" t="s">
        <v>5927</v>
      </c>
      <c r="C5" s="2159">
        <f>C4</f>
        <v>0</v>
      </c>
      <c r="D5" s="1508" t="s">
        <v>5929</v>
      </c>
      <c r="E5" s="1850"/>
    </row>
    <row r="6" spans="1:8">
      <c r="A6" s="1811" t="s">
        <v>5932</v>
      </c>
      <c r="B6" s="1508" t="s">
        <v>5927</v>
      </c>
      <c r="C6" s="2159">
        <f>IF(OR(无形长摊!$K$7&lt;&gt;资产负债表!$C$30,无形长摊!$K$17&lt;&gt;资产负债表!$C$28),"不符",0)</f>
        <v>0</v>
      </c>
      <c r="D6" s="1508" t="s">
        <v>5929</v>
      </c>
      <c r="E6" s="1850"/>
    </row>
    <row r="7" spans="1:8">
      <c r="A7" s="1811" t="s">
        <v>5218</v>
      </c>
      <c r="B7" s="1508" t="s">
        <v>5927</v>
      </c>
      <c r="C7" s="2159">
        <f>IF(OR(社保!$G$24&lt;&gt;社保!$D$8,社保!$G$27&lt;&gt;社保!$D$17),"不符",0)</f>
        <v>0</v>
      </c>
      <c r="D7" s="1508" t="s">
        <v>5929</v>
      </c>
      <c r="E7" s="1850"/>
    </row>
    <row r="8" spans="1:8">
      <c r="A8" s="1811" t="s">
        <v>5009</v>
      </c>
      <c r="B8" s="1508" t="s">
        <v>5927</v>
      </c>
      <c r="C8" s="2159">
        <f>C7</f>
        <v>0</v>
      </c>
      <c r="D8" s="1508" t="s">
        <v>5929</v>
      </c>
      <c r="E8" s="1850"/>
    </row>
    <row r="9" spans="1:8">
      <c r="A9" s="1811" t="s">
        <v>5933</v>
      </c>
      <c r="B9" s="1508" t="s">
        <v>5927</v>
      </c>
      <c r="C9" s="2159">
        <f>IF(广宣!$J$27&lt;&gt;广宣!$E$22,"不符",0)</f>
        <v>0</v>
      </c>
      <c r="D9" s="1508" t="s">
        <v>5929</v>
      </c>
      <c r="E9" s="1850"/>
    </row>
    <row r="10" spans="1:8">
      <c r="A10" s="1811" t="s">
        <v>5884</v>
      </c>
      <c r="B10" s="1508" t="s">
        <v>5927</v>
      </c>
      <c r="C10" s="2159">
        <f>IF(捐赠!$J$18&lt;&gt;捐赠!$C$16+捐赠!$D$16+捐赠!$I$16,"不符",0)</f>
        <v>0</v>
      </c>
      <c r="D10" s="1508" t="s">
        <v>5929</v>
      </c>
      <c r="E10" s="1850"/>
    </row>
    <row r="11" spans="1:8">
      <c r="A11" s="1811" t="s">
        <v>5934</v>
      </c>
      <c r="B11" s="1508" t="s">
        <v>5927</v>
      </c>
      <c r="C11" s="2159">
        <f>IF(利息!$H$18&lt;&gt;利息!$J$21,"不符",0)</f>
        <v>0</v>
      </c>
      <c r="D11" s="1508" t="s">
        <v>5929</v>
      </c>
      <c r="E11" s="1850"/>
    </row>
    <row r="12" spans="1:8">
      <c r="A12" s="1811" t="s">
        <v>5827</v>
      </c>
      <c r="B12" s="1508" t="s">
        <v>5927</v>
      </c>
      <c r="C12" s="2159">
        <f>IF(租金!$I$21&lt;&gt;租金!$D$8+租金!$D$17,"不符",0)</f>
        <v>0</v>
      </c>
      <c r="D12" s="1508" t="s">
        <v>5929</v>
      </c>
      <c r="E12" s="1850"/>
    </row>
    <row r="13" spans="1:8">
      <c r="A13" s="1811" t="s">
        <v>5935</v>
      </c>
      <c r="B13" s="1508" t="s">
        <v>5927</v>
      </c>
      <c r="C13" s="2158" t="s">
        <v>5936</v>
      </c>
      <c r="D13" s="1508" t="s">
        <v>5929</v>
      </c>
      <c r="E13" s="1850"/>
    </row>
    <row r="14" spans="1:8">
      <c r="A14" s="1811" t="s">
        <v>5937</v>
      </c>
      <c r="B14" s="1508" t="s">
        <v>5927</v>
      </c>
      <c r="C14" s="2158" t="s">
        <v>5936</v>
      </c>
      <c r="D14" s="1508" t="s">
        <v>5929</v>
      </c>
      <c r="E14" s="1850"/>
    </row>
    <row r="15" spans="1:8">
      <c r="A15" s="2426" t="s">
        <v>5014</v>
      </c>
      <c r="B15" s="1508" t="s">
        <v>5927</v>
      </c>
      <c r="C15" s="2158" t="s">
        <v>5936</v>
      </c>
      <c r="D15" s="1508" t="s">
        <v>5929</v>
      </c>
      <c r="E15" s="1850"/>
    </row>
    <row r="16" spans="1:8">
      <c r="A16" s="1811" t="s">
        <v>5938</v>
      </c>
      <c r="B16" s="1508" t="s">
        <v>5927</v>
      </c>
      <c r="C16" s="2159">
        <f>IF(主营收支!$H$20-利润表!$C$6,"不符",0)</f>
        <v>0</v>
      </c>
      <c r="D16" s="1508" t="s">
        <v>5929</v>
      </c>
      <c r="E16" s="1850"/>
    </row>
    <row r="17" spans="1:5">
      <c r="A17" s="1811" t="s">
        <v>5939</v>
      </c>
      <c r="B17" s="1508" t="s">
        <v>5927</v>
      </c>
      <c r="C17" s="2159">
        <f>IF(OR(收入与申报核对表!D20&lt;&gt;利润表!C6,收入与申报核对表!E20&lt;&gt;利润表!C7),"不符",0)</f>
        <v>0</v>
      </c>
      <c r="D17" s="1508" t="s">
        <v>5929</v>
      </c>
      <c r="E17" s="1850"/>
    </row>
    <row r="18" spans="1:5">
      <c r="A18" s="1811" t="s">
        <v>5940</v>
      </c>
      <c r="B18" s="1508" t="s">
        <v>5927</v>
      </c>
      <c r="C18" s="2159">
        <f>C16</f>
        <v>0</v>
      </c>
      <c r="D18" s="1508" t="s">
        <v>5941</v>
      </c>
      <c r="E18" s="1850"/>
    </row>
    <row r="19" spans="1:5">
      <c r="A19" s="1811" t="s">
        <v>5942</v>
      </c>
      <c r="B19" s="1508" t="s">
        <v>5943</v>
      </c>
      <c r="C19" s="2159">
        <f>IF(制造费用、生产成本!$D$21&lt;&gt;制造费用、生产成本!$C$12+制造费用、生产成本!$C$16,"不符",0)</f>
        <v>0</v>
      </c>
      <c r="D19" s="1508" t="s">
        <v>5941</v>
      </c>
      <c r="E19" s="1850"/>
    </row>
    <row r="20" spans="1:5">
      <c r="A20" s="1811" t="s">
        <v>5944</v>
      </c>
      <c r="B20" s="1508" t="s">
        <v>5943</v>
      </c>
      <c r="C20" s="2159">
        <f>IF(成本倒轧!E40&lt;&gt;主营收支!C37,"不符",0)</f>
        <v>0</v>
      </c>
      <c r="D20" s="1508" t="s">
        <v>5941</v>
      </c>
      <c r="E20" s="1850"/>
    </row>
    <row r="21" spans="1:5">
      <c r="A21" s="1811" t="s">
        <v>5945</v>
      </c>
      <c r="B21" s="1508" t="s">
        <v>5943</v>
      </c>
      <c r="C21" s="2158" t="s">
        <v>5946</v>
      </c>
      <c r="D21" s="1508" t="s">
        <v>5941</v>
      </c>
      <c r="E21" s="1850"/>
    </row>
    <row r="22" spans="1:5">
      <c r="A22" s="2199" t="s">
        <v>6561</v>
      </c>
      <c r="B22" s="1508" t="s">
        <v>5943</v>
      </c>
      <c r="C22" s="2158">
        <f>IF(OR(税金附加!H20&lt;&gt;0,税金附加!G20&lt;&gt;利润表!C11),"不符",0)</f>
        <v>0</v>
      </c>
      <c r="D22" s="1508" t="s">
        <v>5941</v>
      </c>
      <c r="E22" s="1850"/>
    </row>
    <row r="23" spans="1:5">
      <c r="A23" s="1811" t="s">
        <v>5947</v>
      </c>
      <c r="B23" s="1508" t="s">
        <v>5943</v>
      </c>
      <c r="C23" s="2158">
        <f>IF(AND(税费缴纳测算!F57=0,税费缴纳测算!F25=0),0,"不符")</f>
        <v>0</v>
      </c>
      <c r="D23" s="1508" t="s">
        <v>5941</v>
      </c>
      <c r="E23" s="1850"/>
    </row>
    <row r="24" spans="1:5">
      <c r="A24" s="1814" t="s">
        <v>5948</v>
      </c>
      <c r="B24" s="1815" t="s">
        <v>5943</v>
      </c>
      <c r="C24" s="2160">
        <f>IF(OR(其他业务!C19&lt;&gt;利润表!$C$7,其他业务!H19&lt;&gt;利润表!C10),"不符",0)</f>
        <v>0</v>
      </c>
      <c r="D24" s="1815" t="s">
        <v>5941</v>
      </c>
      <c r="E24" s="1850"/>
    </row>
    <row r="25" spans="1:5">
      <c r="A25" s="2199" t="s">
        <v>6426</v>
      </c>
      <c r="B25" s="1508" t="s">
        <v>5943</v>
      </c>
      <c r="C25" s="2159">
        <f>IF(销售费用!D44&lt;&gt;利润表!C12,"不符",0)</f>
        <v>0</v>
      </c>
      <c r="D25" s="1508" t="s">
        <v>5941</v>
      </c>
      <c r="E25" s="1850"/>
    </row>
    <row r="26" spans="1:5">
      <c r="A26" s="1811" t="s">
        <v>345</v>
      </c>
      <c r="B26" s="1508" t="s">
        <v>5943</v>
      </c>
      <c r="C26" s="2159">
        <f>IF(管理费用!D45&lt;&gt;利润表!C13,"不符",0)</f>
        <v>0</v>
      </c>
      <c r="D26" s="1508" t="s">
        <v>5941</v>
      </c>
      <c r="E26" s="1850"/>
    </row>
    <row r="27" spans="1:5">
      <c r="A27" s="1811" t="s">
        <v>346</v>
      </c>
      <c r="B27" s="1508" t="s">
        <v>5943</v>
      </c>
      <c r="C27" s="2159">
        <f>IF(利润表!$C$14&lt;&gt;财务费用!$D$27,"不符",0)</f>
        <v>0</v>
      </c>
      <c r="D27" s="1508" t="s">
        <v>5941</v>
      </c>
      <c r="E27" s="1850"/>
    </row>
    <row r="28" spans="1:5">
      <c r="A28" s="1811" t="s">
        <v>5949</v>
      </c>
      <c r="B28" s="1508" t="s">
        <v>5943</v>
      </c>
      <c r="C28" s="2159">
        <f>IF(OR(营外收支!$C$22&lt;&gt;利润表!$C$19,营外收支!C37&lt;&gt;利润表!$C$20),"不符",0)</f>
        <v>0</v>
      </c>
      <c r="D28" s="1508" t="s">
        <v>5941</v>
      </c>
      <c r="E28" s="1850"/>
    </row>
    <row r="29" spans="1:5">
      <c r="A29" s="1811" t="s">
        <v>5950</v>
      </c>
      <c r="B29" s="1508" t="s">
        <v>5943</v>
      </c>
      <c r="C29" s="2159">
        <f>IF(货币资金!$D$25&lt;&gt;资产负债表!$C$6,"不符",0)</f>
        <v>0</v>
      </c>
      <c r="D29" s="1508" t="s">
        <v>5941</v>
      </c>
      <c r="E29" s="1850"/>
    </row>
    <row r="30" spans="1:5">
      <c r="A30" s="1811" t="s">
        <v>5951</v>
      </c>
      <c r="B30" s="1508" t="s">
        <v>5943</v>
      </c>
      <c r="C30" s="2159">
        <f>应收!B15-应收!C15-资产负债表!C9</f>
        <v>0</v>
      </c>
      <c r="D30" s="1508" t="s">
        <v>5941</v>
      </c>
      <c r="E30" s="1850"/>
    </row>
    <row r="31" spans="1:5">
      <c r="A31" s="1811" t="s">
        <v>5952</v>
      </c>
      <c r="B31" s="1508" t="s">
        <v>5943</v>
      </c>
      <c r="C31" s="2159">
        <f>预付!B15-预付!C15-资产负债表!C10</f>
        <v>0</v>
      </c>
      <c r="D31" s="1508" t="s">
        <v>5941</v>
      </c>
      <c r="E31" s="1850"/>
    </row>
    <row r="32" spans="1:5">
      <c r="A32" s="1811" t="s">
        <v>5953</v>
      </c>
      <c r="B32" s="1508" t="s">
        <v>5943</v>
      </c>
      <c r="C32" s="2159">
        <f>其他应收!B15-其他应收!C15-资产负债表!C13</f>
        <v>0</v>
      </c>
      <c r="D32" s="1508" t="s">
        <v>5941</v>
      </c>
      <c r="E32" s="1850"/>
    </row>
    <row r="33" spans="1:5">
      <c r="A33" s="1811" t="s">
        <v>4249</v>
      </c>
      <c r="B33" s="1508" t="s">
        <v>5943</v>
      </c>
      <c r="C33" s="2159">
        <f>存货!C28-资产负债表!C14</f>
        <v>0</v>
      </c>
      <c r="D33" s="1508" t="s">
        <v>5941</v>
      </c>
      <c r="E33" s="1850"/>
    </row>
    <row r="34" spans="1:5">
      <c r="A34" s="1814" t="s">
        <v>5954</v>
      </c>
      <c r="B34" s="1815" t="s">
        <v>5943</v>
      </c>
      <c r="C34" s="2160">
        <f>IF(OR(待摊预提!H13&lt;&gt;资产负债表!C15,待摊预提!H20&lt;&gt;资产负债表!G15),"不符",0)</f>
        <v>0</v>
      </c>
      <c r="D34" s="1815" t="s">
        <v>5941</v>
      </c>
      <c r="E34" s="1850"/>
    </row>
    <row r="35" spans="1:5">
      <c r="A35" s="1814" t="s">
        <v>1670</v>
      </c>
      <c r="B35" s="1815" t="s">
        <v>5943</v>
      </c>
      <c r="C35" s="2160">
        <f>在建工程!F16-资产负债表!C24</f>
        <v>0</v>
      </c>
      <c r="D35" s="1815" t="s">
        <v>5941</v>
      </c>
      <c r="E35" s="1850"/>
    </row>
    <row r="36" spans="1:5">
      <c r="A36" s="1811" t="s">
        <v>5955</v>
      </c>
      <c r="B36" s="1508" t="s">
        <v>5943</v>
      </c>
      <c r="C36" s="2159">
        <f>应付!C13-应付!B13-资产负债表!G8</f>
        <v>0</v>
      </c>
      <c r="D36" s="1508" t="s">
        <v>5941</v>
      </c>
      <c r="E36" s="1850"/>
    </row>
    <row r="37" spans="1:5">
      <c r="A37" s="1811" t="s">
        <v>5956</v>
      </c>
      <c r="B37" s="1508" t="s">
        <v>5943</v>
      </c>
      <c r="C37" s="2159">
        <f>IF(基本情况!$F$33="否",预收!C13-预收!B13,预收!C12)-资产负债表!$G$9</f>
        <v>0</v>
      </c>
      <c r="D37" s="1508" t="s">
        <v>5941</v>
      </c>
      <c r="E37" s="1850"/>
    </row>
    <row r="38" spans="1:5">
      <c r="A38" s="1811" t="s">
        <v>5957</v>
      </c>
      <c r="B38" s="1508" t="s">
        <v>5943</v>
      </c>
      <c r="C38" s="2159">
        <f>IF(基本情况!$F$33="否",其他应付!$C$13-其他应付!$B$13,其他应付!$C$12)-资产负债表!$G$14</f>
        <v>0</v>
      </c>
      <c r="D38" s="1508" t="s">
        <v>5941</v>
      </c>
      <c r="E38" s="1850"/>
    </row>
    <row r="39" spans="1:5">
      <c r="A39" s="1811" t="s">
        <v>5958</v>
      </c>
      <c r="B39" s="1508" t="s">
        <v>5943</v>
      </c>
      <c r="C39" s="2159">
        <f>IF(OR(实收公积!$C$32&lt;&gt;"实收资本账载数与报表数相符！",实收公积!C33&lt;&gt;"资本公积账载数与报表数相符！",实收公积!C34&lt;&gt;"盈余公积账载数与报表数相符！"),"不符",0)</f>
        <v>0</v>
      </c>
      <c r="D39" s="1508" t="s">
        <v>5941</v>
      </c>
      <c r="E39" s="1850"/>
    </row>
    <row r="40" spans="1:5">
      <c r="A40" s="1811" t="s">
        <v>5959</v>
      </c>
      <c r="B40" s="1508" t="s">
        <v>5943</v>
      </c>
      <c r="C40" s="2159">
        <f>未分利润!$C$24-资产负债表!$G$31</f>
        <v>0</v>
      </c>
      <c r="D40" s="1508" t="s">
        <v>5941</v>
      </c>
      <c r="E40" s="1850"/>
    </row>
    <row r="41" spans="1:5">
      <c r="A41" s="2395" t="s">
        <v>8887</v>
      </c>
      <c r="B41" s="1508" t="s">
        <v>5943</v>
      </c>
      <c r="C41" s="2158" t="s">
        <v>5960</v>
      </c>
      <c r="D41" s="1508" t="s">
        <v>5941</v>
      </c>
      <c r="E41" s="1850"/>
    </row>
    <row r="42" spans="1:5">
      <c r="A42" s="2395" t="s">
        <v>8888</v>
      </c>
      <c r="B42" s="1508" t="s">
        <v>5943</v>
      </c>
      <c r="C42" s="2158" t="s">
        <v>5960</v>
      </c>
      <c r="D42" s="1508" t="s">
        <v>5941</v>
      </c>
      <c r="E42" s="1850"/>
    </row>
    <row r="43" spans="1:5">
      <c r="A43" s="2395" t="s">
        <v>8889</v>
      </c>
      <c r="B43" s="1508" t="s">
        <v>5943</v>
      </c>
      <c r="C43" s="2158" t="s">
        <v>5960</v>
      </c>
      <c r="D43" s="1508" t="s">
        <v>5941</v>
      </c>
      <c r="E43" s="1850"/>
    </row>
    <row r="44" spans="1:5">
      <c r="A44" s="2395" t="s">
        <v>8890</v>
      </c>
      <c r="B44" s="1508" t="s">
        <v>5943</v>
      </c>
      <c r="C44" s="2158" t="s">
        <v>5960</v>
      </c>
      <c r="D44" s="1508" t="s">
        <v>5941</v>
      </c>
      <c r="E44" s="1850"/>
    </row>
    <row r="45" spans="1:5">
      <c r="A45" s="2395" t="s">
        <v>8891</v>
      </c>
      <c r="B45" s="1508" t="s">
        <v>5943</v>
      </c>
      <c r="C45" s="2158" t="s">
        <v>5960</v>
      </c>
      <c r="D45" s="1508" t="s">
        <v>5941</v>
      </c>
      <c r="E45" s="1850"/>
    </row>
    <row r="46" spans="1:5">
      <c r="A46" s="2395" t="s">
        <v>8892</v>
      </c>
      <c r="B46" s="1508" t="s">
        <v>5943</v>
      </c>
      <c r="C46" s="2158" t="s">
        <v>5960</v>
      </c>
      <c r="D46" s="1508" t="s">
        <v>5941</v>
      </c>
      <c r="E46" s="1850"/>
    </row>
    <row r="47" spans="1:5">
      <c r="A47" s="2395" t="s">
        <v>8893</v>
      </c>
      <c r="B47" s="1508" t="s">
        <v>5943</v>
      </c>
      <c r="C47" s="2158" t="s">
        <v>5960</v>
      </c>
      <c r="D47" s="1508" t="s">
        <v>5941</v>
      </c>
      <c r="E47" s="1850"/>
    </row>
    <row r="48" spans="1:5">
      <c r="A48" s="2395" t="s">
        <v>8894</v>
      </c>
      <c r="B48" s="1508" t="s">
        <v>5943</v>
      </c>
      <c r="C48" s="2158" t="s">
        <v>5960</v>
      </c>
      <c r="D48" s="1508" t="s">
        <v>5941</v>
      </c>
      <c r="E48" s="1850"/>
    </row>
    <row r="49" spans="1:7">
      <c r="A49" s="2395" t="s">
        <v>8895</v>
      </c>
      <c r="B49" s="1508" t="s">
        <v>5943</v>
      </c>
      <c r="C49" s="2158" t="s">
        <v>5960</v>
      </c>
      <c r="D49" s="1508" t="s">
        <v>5941</v>
      </c>
      <c r="E49" s="1850"/>
    </row>
    <row r="50" spans="1:7">
      <c r="A50" s="2395" t="s">
        <v>8896</v>
      </c>
      <c r="B50" s="1508" t="s">
        <v>5943</v>
      </c>
      <c r="C50" s="2158" t="s">
        <v>5960</v>
      </c>
      <c r="D50" s="1508" t="s">
        <v>5941</v>
      </c>
      <c r="E50" s="1850"/>
    </row>
    <row r="51" spans="1:7">
      <c r="A51" s="2395" t="s">
        <v>8897</v>
      </c>
      <c r="B51" s="1508" t="s">
        <v>5943</v>
      </c>
      <c r="C51" s="2158" t="s">
        <v>5960</v>
      </c>
      <c r="D51" s="1508" t="s">
        <v>5941</v>
      </c>
      <c r="E51" s="1850"/>
    </row>
    <row r="52" spans="1:7">
      <c r="A52" s="2395" t="s">
        <v>8898</v>
      </c>
      <c r="B52" s="1508" t="s">
        <v>5943</v>
      </c>
      <c r="C52" s="2158" t="s">
        <v>5960</v>
      </c>
      <c r="D52" s="1508" t="s">
        <v>5941</v>
      </c>
      <c r="E52" s="1850"/>
    </row>
    <row r="53" spans="1:7">
      <c r="A53" s="2395" t="s">
        <v>8899</v>
      </c>
      <c r="B53" s="1508" t="s">
        <v>5943</v>
      </c>
      <c r="C53" s="2158" t="s">
        <v>5960</v>
      </c>
      <c r="D53" s="1508" t="s">
        <v>5941</v>
      </c>
      <c r="E53" s="1850"/>
    </row>
    <row r="54" spans="1:7">
      <c r="A54" s="2395" t="s">
        <v>8900</v>
      </c>
      <c r="B54" s="1508" t="s">
        <v>5943</v>
      </c>
      <c r="C54" s="2158" t="s">
        <v>5960</v>
      </c>
      <c r="D54" s="1508" t="s">
        <v>5941</v>
      </c>
      <c r="E54" s="1850"/>
    </row>
    <row r="55" spans="1:7">
      <c r="A55" s="2395" t="s">
        <v>8901</v>
      </c>
      <c r="B55" s="1508" t="s">
        <v>5943</v>
      </c>
      <c r="C55" s="2158" t="s">
        <v>5960</v>
      </c>
      <c r="D55" s="1508" t="s">
        <v>5941</v>
      </c>
      <c r="E55" s="1850"/>
    </row>
    <row r="56" spans="1:7">
      <c r="A56" s="2395" t="s">
        <v>8902</v>
      </c>
      <c r="B56" s="1508" t="s">
        <v>5943</v>
      </c>
      <c r="C56" s="2158" t="s">
        <v>5960</v>
      </c>
      <c r="D56" s="1508" t="s">
        <v>5941</v>
      </c>
      <c r="E56" s="1850"/>
    </row>
    <row r="57" spans="1:7">
      <c r="A57" s="2395" t="s">
        <v>8903</v>
      </c>
      <c r="B57" s="1508" t="s">
        <v>5943</v>
      </c>
      <c r="C57" s="2158" t="s">
        <v>5960</v>
      </c>
      <c r="D57" s="1508" t="s">
        <v>5941</v>
      </c>
      <c r="E57" s="1850"/>
    </row>
    <row r="58" spans="1:7">
      <c r="A58" s="2395" t="s">
        <v>8904</v>
      </c>
      <c r="B58" s="1508" t="s">
        <v>5943</v>
      </c>
      <c r="C58" s="2158" t="s">
        <v>5960</v>
      </c>
      <c r="D58" s="1508" t="s">
        <v>5941</v>
      </c>
      <c r="E58" s="1850"/>
    </row>
    <row r="59" spans="1:7">
      <c r="A59" s="2395" t="s">
        <v>8905</v>
      </c>
      <c r="B59" s="1508" t="s">
        <v>5943</v>
      </c>
      <c r="C59" s="2158" t="s">
        <v>5960</v>
      </c>
      <c r="D59" s="1508" t="s">
        <v>5941</v>
      </c>
      <c r="E59" s="1850"/>
    </row>
    <row r="60" spans="1:7">
      <c r="A60" s="2395" t="s">
        <v>8906</v>
      </c>
      <c r="B60" s="1508" t="s">
        <v>5943</v>
      </c>
      <c r="C60" s="2158" t="s">
        <v>5960</v>
      </c>
      <c r="D60" s="1508" t="s">
        <v>5941</v>
      </c>
      <c r="E60" s="1850"/>
    </row>
    <row r="61" spans="1:7">
      <c r="A61" s="2395" t="s">
        <v>8907</v>
      </c>
      <c r="B61" s="1813" t="s">
        <v>5927</v>
      </c>
      <c r="C61" s="2158" t="s">
        <v>5928</v>
      </c>
      <c r="D61" s="1813" t="s">
        <v>5929</v>
      </c>
      <c r="E61" s="1850"/>
    </row>
    <row r="62" spans="1:7" ht="16.5" customHeight="1">
      <c r="A62" s="2199" t="s">
        <v>8908</v>
      </c>
      <c r="B62" s="1813" t="s">
        <v>5927</v>
      </c>
      <c r="C62" s="2158" t="s">
        <v>5928</v>
      </c>
      <c r="D62" s="1813" t="s">
        <v>5929</v>
      </c>
      <c r="E62" s="1850"/>
      <c r="F62" s="1517"/>
      <c r="G62" s="1817"/>
    </row>
    <row r="63" spans="1:7" ht="16.5" customHeight="1">
      <c r="A63" s="2199" t="s">
        <v>8909</v>
      </c>
      <c r="B63" s="1813" t="s">
        <v>5927</v>
      </c>
      <c r="C63" s="2158" t="s">
        <v>5928</v>
      </c>
      <c r="D63" s="1813" t="s">
        <v>5929</v>
      </c>
      <c r="E63" s="1850"/>
      <c r="F63" s="1517"/>
      <c r="G63" s="1817"/>
    </row>
    <row r="64" spans="1:7" ht="16.5" customHeight="1">
      <c r="A64" s="2199" t="s">
        <v>8910</v>
      </c>
      <c r="B64" s="1813" t="s">
        <v>5927</v>
      </c>
      <c r="C64" s="2158" t="s">
        <v>5928</v>
      </c>
      <c r="D64" s="1813" t="s">
        <v>5929</v>
      </c>
      <c r="E64" s="1850"/>
      <c r="F64" s="1517"/>
      <c r="G64" s="1817"/>
    </row>
    <row r="65" spans="1:7" ht="16.5" customHeight="1">
      <c r="A65" s="2199" t="s">
        <v>8911</v>
      </c>
      <c r="B65" s="1813" t="s">
        <v>5927</v>
      </c>
      <c r="C65" s="2158" t="s">
        <v>5928</v>
      </c>
      <c r="D65" s="1813" t="s">
        <v>5929</v>
      </c>
      <c r="E65" s="1850"/>
      <c r="F65" s="1517"/>
      <c r="G65" s="1817"/>
    </row>
    <row r="66" spans="1:7" ht="16.5" customHeight="1">
      <c r="A66" s="2199" t="s">
        <v>5588</v>
      </c>
      <c r="B66" s="1813" t="s">
        <v>5927</v>
      </c>
      <c r="C66" s="2158" t="s">
        <v>5928</v>
      </c>
      <c r="D66" s="1813" t="s">
        <v>5929</v>
      </c>
      <c r="E66" s="1850"/>
      <c r="F66" s="1517"/>
      <c r="G66" s="1817"/>
    </row>
    <row r="67" spans="1:7" ht="14.25" customHeight="1">
      <c r="E67" s="1816"/>
      <c r="F67" s="1517"/>
      <c r="G67" s="1817"/>
    </row>
    <row r="68" spans="1:7" ht="14.25" customHeight="1">
      <c r="E68" s="1816"/>
      <c r="F68" s="1517"/>
      <c r="G68" s="1817"/>
    </row>
    <row r="69" spans="1:7" ht="14.25" customHeight="1">
      <c r="E69" s="1816"/>
      <c r="F69" s="1517"/>
      <c r="G69" s="1817"/>
    </row>
    <row r="70" spans="1:7" ht="14.25" customHeight="1">
      <c r="E70" s="1816"/>
      <c r="F70" s="1517"/>
      <c r="G70" s="1817"/>
    </row>
  </sheetData>
  <phoneticPr fontId="135" type="noConversion"/>
  <dataValidations disablePrompts="1" count="1">
    <dataValidation type="list" allowBlank="1" showInputMessage="1" showErrorMessage="1" sqref="G1">
      <formula1>"停留本页面（方面打开多个页面）,跳转超链接所选页面"</formula1>
    </dataValidation>
  </dataValidations>
  <hyperlinks>
    <hyperlink ref="A2" location="工资福利!A1" display="工资福利"/>
    <hyperlink ref="A3" location="招待!A1" display="招待"/>
    <hyperlink ref="A4" location="固资折旧!A1" display="固资折旧"/>
    <hyperlink ref="A5" location="折旧测算!A1" display="折旧测算"/>
    <hyperlink ref="A6" location="无形长摊!A1" display="无形长摊"/>
    <hyperlink ref="A7" location="社保!A1" display="社保"/>
    <hyperlink ref="A8" location="社保明细工资人数!A1" display="社保明细工资人数"/>
    <hyperlink ref="A9" location="广宣!A1" display="广宣"/>
    <hyperlink ref="A10" location="捐赠!A1" display="捐赠"/>
    <hyperlink ref="A11" location="利息!A1" display="利息"/>
    <hyperlink ref="A12" location="租金!A1" display="租金"/>
    <hyperlink ref="A13" location="无限期结转扣除项目审核表!A1" display="无限期结转扣除项目审核表"/>
    <hyperlink ref="A14" location="跨年度确认所得情况表!A1" display="跨年度确认所得情况表"/>
    <hyperlink ref="A16" location="主营收支!A1" display="主营收支"/>
    <hyperlink ref="A18" location="毛利分析!A1" display="毛利分析"/>
    <hyperlink ref="A19" location="制造费用、生产成本!A1" display="制造费用、生产成本"/>
    <hyperlink ref="A20" location="成本倒轧!A1" display="成本倒轧"/>
    <hyperlink ref="A21" location="存货计价测试!A1" display="存货计价测试"/>
    <hyperlink ref="A24" location="其他业务!A1" display="其他业务"/>
    <hyperlink ref="A25" location="销售费用!A1" display="营业费用"/>
    <hyperlink ref="A26" location="管理费用!A1" display="管理费用"/>
    <hyperlink ref="A27" location="财务费用!A1" display="财务费用"/>
    <hyperlink ref="A28" location="营外收支!A1" display="营外收支"/>
    <hyperlink ref="A29" location="货币资金!A1" display="货币资金"/>
    <hyperlink ref="A30" location="应收!A1" display="应收"/>
    <hyperlink ref="A31" location="预付!A1" display="预付"/>
    <hyperlink ref="A32" location="其他应收!A1" display="其他应收"/>
    <hyperlink ref="A33" location="存货!A1" display="存货"/>
    <hyperlink ref="A34" location="待摊预提!A1" display="待摊预提"/>
    <hyperlink ref="A35" location="在建工程审核表!A1" display="在建工程审核表"/>
    <hyperlink ref="A36" location="应付!A1" display="应付"/>
    <hyperlink ref="A37" location="预收!A1" display="预收"/>
    <hyperlink ref="A38" location="其他应付!A1" display="其他应付"/>
    <hyperlink ref="A39" location="实收公积!A1" display="实收公积"/>
    <hyperlink ref="A40" location="未分利润!A1" display="未分利润"/>
    <hyperlink ref="A17" location="收入与申报核对表!A1" display="收入与申报核对表"/>
    <hyperlink ref="A22" location="税金附加!A1" display="营业税金及附加"/>
    <hyperlink ref="A23" location="税费缴纳测算!A1" display="税费缴纳测算"/>
    <hyperlink ref="A15" location="调整事项!A1" display="调整事项"/>
    <hyperlink ref="A66" location="企业所得税汇总纳税分支机构所得税分配表!A1" display="企业所得税汇总纳税分支机构所得税分配表"/>
    <hyperlink ref="A65" location="跨地区经营汇总纳税企业年度分摊企业所得税审核表!A1" display="跨地区经营汇总纳税企业年度分摊企业所得税审核表"/>
    <hyperlink ref="A64" location="跨年度结转抵免境外所得税审核表!A1" display="跨年度结转抵免境外所得税审核表"/>
    <hyperlink ref="A63" location="境外分支机构弥补亏损审核表!A1" display="境外分支机构弥补亏损审核表"/>
    <hyperlink ref="A62" location="境外所得纳税调整后所得审核表!A1" display="境外所得纳税调整后所得审核表"/>
    <hyperlink ref="A61" location="境外所得税收抵免审核表!A1" display="境外所得税收抵免审核表"/>
    <hyperlink ref="A60" location="税额抵免优惠审核表!A1" display="税额抵免优惠审核表"/>
    <hyperlink ref="A59" location="软件、集成电路企业优惠情况审核表!A1" display="软件、集成电路企业优惠情况审核表"/>
    <hyperlink ref="A58" location="高新技术企业优惠情况审核表!A1" display="高新技术企业优惠情况审核表"/>
    <hyperlink ref="A57" location="减免所得税优惠审核表!A1" display="减免所得税优惠审核表"/>
    <hyperlink ref="A56" location="抵扣应纳税所得额审核表!A1" display="抵扣应纳税所得额审核表"/>
    <hyperlink ref="A55" location="所得减免优惠审核表!A1" display="所得减免优惠审核表"/>
    <hyperlink ref="A54" location="研发费用加计扣除优惠审核表!A1" display="研发费用加计扣除优惠审核表"/>
    <hyperlink ref="A53" location="股息红利优惠审核表!A1" display="股息红利优惠审核表"/>
    <hyperlink ref="A52" location="免税、减计收入及加计扣除优惠审核表!A1" display="免税、减计收入及加计扣除优惠审核表"/>
    <hyperlink ref="A51" location="补亏!A1" display="补亏"/>
    <hyperlink ref="A50" location="特殊行业准备金审核表!A1" display="特殊行业准备金审核表"/>
    <hyperlink ref="A49" location="政策性搬迁审核表!A1" display="政策性搬迁审核表"/>
    <hyperlink ref="A48" location="企业重组审核表!A1" display="企业重组审核表"/>
    <hyperlink ref="A47" location="资产损失税前扣除审核表!A1" display="资产损失税前扣除审核表"/>
    <hyperlink ref="A46" location="固定资产加速折旧审核表!A1" display="固定资产加速折旧审核表"/>
    <hyperlink ref="A45" location="专项用途财政性资金审核表!A1" display="专项用途财政性资金审核表"/>
    <hyperlink ref="A44" location="投资收益审核表!A1" display="投资收益审核表"/>
    <hyperlink ref="A43" location="未按权责发生制确认收入审核表!A1" display="未按权责发生制确认收入审核表"/>
    <hyperlink ref="A42" location="视同销售和房地产开发企业特定业务审核表!A1" display="视同销售和房地产开发企业特定业务审核表"/>
    <hyperlink ref="A41" location="减值准备审核表!A1" display="减值准备审核表"/>
  </hyperlinks>
  <pageMargins left="0.78740157480314998" right="0.35433070866141703" top="0.511811023622047" bottom="0.11811023622047198" header="0.511811023622047" footer="0.511811023622047"/>
  <pageSetup paperSize="9"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4"/>
  <dimension ref="A1:U232"/>
  <sheetViews>
    <sheetView topLeftCell="E1" workbookViewId="0">
      <selection activeCell="N3" sqref="N3:O3"/>
    </sheetView>
  </sheetViews>
  <sheetFormatPr defaultColWidth="9" defaultRowHeight="16.5"/>
  <cols>
    <col min="1" max="2" width="4.375" style="565" customWidth="1"/>
    <col min="3" max="3" width="3.25" style="565" customWidth="1"/>
    <col min="4" max="4" width="3.5" style="565" customWidth="1"/>
    <col min="5" max="5" width="9.375" style="565" customWidth="1"/>
    <col min="6" max="6" width="11.625" style="565" customWidth="1"/>
    <col min="7" max="7" width="13.875" style="565" customWidth="1"/>
    <col min="8" max="8" width="8.75" style="565" customWidth="1"/>
    <col min="9" max="9" width="9.375" style="565" customWidth="1"/>
    <col min="10" max="10" width="3.25" style="565" customWidth="1"/>
    <col min="11" max="11" width="9.375" style="565" customWidth="1"/>
    <col min="12" max="12" width="3.125" style="565" customWidth="1"/>
    <col min="13" max="13" width="8.625" style="565" customWidth="1"/>
    <col min="14" max="14" width="8.5" style="565" customWidth="1"/>
    <col min="15" max="15" width="8.875" style="565" customWidth="1"/>
    <col min="16" max="16" width="7.25" style="565" customWidth="1"/>
    <col min="17" max="17" width="9" style="565"/>
    <col min="18" max="18" width="9.375" style="565" customWidth="1"/>
    <col min="19" max="19" width="9.375" style="1850" customWidth="1"/>
    <col min="20" max="20" width="37.625" style="565" bestFit="1" customWidth="1"/>
    <col min="21" max="16384" width="9" style="565"/>
  </cols>
  <sheetData>
    <row r="1" spans="1:21" ht="25.9" customHeight="1">
      <c r="A1" s="2915" t="s">
        <v>6545</v>
      </c>
      <c r="B1" s="2915"/>
      <c r="C1" s="2915"/>
      <c r="D1" s="2915"/>
      <c r="E1" s="2915"/>
      <c r="F1" s="2915"/>
      <c r="G1" s="2915"/>
      <c r="H1" s="2915"/>
      <c r="I1" s="2915"/>
      <c r="J1" s="2915"/>
      <c r="K1" s="2915"/>
      <c r="L1" s="2915"/>
      <c r="M1" s="2915"/>
      <c r="N1" s="2496" t="str">
        <f>基本情况!$F$1</f>
        <v>厦中汇税审（2018）第DS0001号</v>
      </c>
      <c r="O1" s="2496"/>
      <c r="P1" s="2496"/>
      <c r="Q1" s="2496"/>
      <c r="R1" s="1184"/>
      <c r="S1" s="1184"/>
      <c r="T1" s="1184"/>
    </row>
    <row r="2" spans="1:21" s="1850" customFormat="1" ht="37.15" customHeight="1">
      <c r="A2" s="2916"/>
      <c r="B2" s="2916"/>
      <c r="C2" s="2916"/>
      <c r="D2" s="2916"/>
      <c r="E2" s="2916"/>
      <c r="F2" s="2916"/>
      <c r="G2" s="2916"/>
      <c r="H2" s="2916"/>
      <c r="I2" s="2916"/>
      <c r="J2" s="2916"/>
      <c r="K2" s="2916"/>
      <c r="L2" s="2916"/>
      <c r="M2" s="2916"/>
      <c r="N2" s="2914" t="str">
        <f>"底稿编号："&amp;开始!D8</f>
        <v>底稿编号：BA-06</v>
      </c>
      <c r="O2" s="2914"/>
      <c r="P2" s="2914"/>
      <c r="Q2" s="2914"/>
      <c r="R2" s="1184"/>
      <c r="S2" s="1184"/>
      <c r="T2" s="1184"/>
    </row>
    <row r="3" spans="1:21" ht="19.5" customHeight="1">
      <c r="A3" s="2929" t="s">
        <v>4510</v>
      </c>
      <c r="B3" s="2929"/>
      <c r="C3" s="2929"/>
      <c r="D3" s="2929"/>
      <c r="E3" s="2930" t="str">
        <f>基本情况!$C$3</f>
        <v/>
      </c>
      <c r="F3" s="2930"/>
      <c r="G3" s="2930"/>
      <c r="H3" s="2930"/>
      <c r="I3" s="571" t="s">
        <v>4407</v>
      </c>
      <c r="J3" s="2931" t="str">
        <f>基本情况!$F$19&amp;""</f>
        <v/>
      </c>
      <c r="K3" s="2931"/>
      <c r="L3" s="2931"/>
      <c r="M3" s="1183" t="s">
        <v>4575</v>
      </c>
      <c r="N3" s="2932" t="str">
        <f>TEXT(基本情况!$F$27,"yyyy-mm-dd")</f>
        <v>2018-03-16</v>
      </c>
      <c r="O3" s="2932"/>
      <c r="P3" s="2927" t="s">
        <v>4409</v>
      </c>
      <c r="Q3" s="2933"/>
      <c r="R3" s="564"/>
      <c r="S3" s="2079"/>
      <c r="T3" s="564"/>
    </row>
    <row r="4" spans="1:21" ht="19.5" customHeight="1">
      <c r="A4" s="2658" t="s">
        <v>4512</v>
      </c>
      <c r="B4" s="2658"/>
      <c r="C4" s="2658"/>
      <c r="D4" s="2658"/>
      <c r="E4" s="2934" t="str">
        <f>基本情况!$F$9</f>
        <v>2017年01月01日至2017年12月31日</v>
      </c>
      <c r="F4" s="2934"/>
      <c r="G4" s="2934"/>
      <c r="H4" s="2934"/>
      <c r="I4" s="566" t="s">
        <v>4410</v>
      </c>
      <c r="J4" s="2926" t="str">
        <f>基本情况!$F$18&amp;""</f>
        <v/>
      </c>
      <c r="K4" s="2926"/>
      <c r="L4" s="2926"/>
      <c r="M4" s="1182" t="s">
        <v>4575</v>
      </c>
      <c r="N4" s="2926" t="str">
        <f>TEXT(基本情况!$F$28,"yyyy-mm-dd")</f>
        <v>2018-05-04</v>
      </c>
      <c r="O4" s="2926"/>
      <c r="P4" s="2927"/>
      <c r="Q4" s="2933"/>
      <c r="R4" s="564"/>
      <c r="S4" s="2079"/>
      <c r="T4" s="564"/>
    </row>
    <row r="5" spans="1:21" ht="16.5" customHeight="1">
      <c r="A5" s="2917" t="s">
        <v>5017</v>
      </c>
      <c r="B5" s="2927" t="s">
        <v>4807</v>
      </c>
      <c r="C5" s="2928" t="s">
        <v>5016</v>
      </c>
      <c r="D5" s="2928"/>
      <c r="E5" s="2664" t="s">
        <v>5015</v>
      </c>
      <c r="F5" s="2664"/>
      <c r="G5" s="2664"/>
      <c r="H5" s="2927" t="s">
        <v>5014</v>
      </c>
      <c r="I5" s="2927"/>
      <c r="J5" s="2927"/>
      <c r="K5" s="2927"/>
      <c r="L5" s="2927"/>
      <c r="M5" s="2928" t="s">
        <v>5013</v>
      </c>
      <c r="N5" s="2927" t="s">
        <v>5012</v>
      </c>
      <c r="O5" s="2927"/>
      <c r="P5" s="2927"/>
      <c r="Q5" s="2730" t="s">
        <v>4388</v>
      </c>
      <c r="R5" s="564"/>
      <c r="S5" s="2079"/>
      <c r="T5" s="564"/>
    </row>
    <row r="6" spans="1:21" ht="16.5" customHeight="1">
      <c r="A6" s="2917"/>
      <c r="B6" s="2927"/>
      <c r="C6" s="2928"/>
      <c r="D6" s="2928"/>
      <c r="E6" s="1181" t="s">
        <v>5011</v>
      </c>
      <c r="F6" s="566" t="s">
        <v>5010</v>
      </c>
      <c r="G6" s="566" t="s">
        <v>4378</v>
      </c>
      <c r="H6" s="2927"/>
      <c r="I6" s="2927"/>
      <c r="J6" s="2927"/>
      <c r="K6" s="2927"/>
      <c r="L6" s="2927"/>
      <c r="M6" s="2928"/>
      <c r="N6" s="2927"/>
      <c r="O6" s="2927"/>
      <c r="P6" s="2927"/>
      <c r="Q6" s="2730"/>
      <c r="R6" s="2078"/>
      <c r="S6" s="2428" t="s">
        <v>6177</v>
      </c>
      <c r="T6" s="2428" t="s">
        <v>6178</v>
      </c>
      <c r="U6" s="1813"/>
    </row>
    <row r="7" spans="1:21" ht="16.5" customHeight="1">
      <c r="A7" s="631"/>
      <c r="B7" s="709"/>
      <c r="C7" s="2924"/>
      <c r="D7" s="2924"/>
      <c r="E7" s="1180"/>
      <c r="F7" s="1179"/>
      <c r="G7" s="633"/>
      <c r="H7" s="2925"/>
      <c r="I7" s="2925"/>
      <c r="J7" s="2925"/>
      <c r="K7" s="2925"/>
      <c r="L7" s="2925"/>
      <c r="M7" s="1178">
        <v>1</v>
      </c>
      <c r="N7" s="2923" t="str">
        <f>IFERROR(VLOOKUP(M7,$S$7:$T$66,2,0),"")</f>
        <v>未取得合法有效票据的支出</v>
      </c>
      <c r="O7" s="2923"/>
      <c r="P7" s="2923"/>
      <c r="Q7" s="1177"/>
      <c r="R7" s="704"/>
      <c r="S7" s="2429">
        <v>1</v>
      </c>
      <c r="T7" s="2430" t="s">
        <v>5008</v>
      </c>
      <c r="U7" s="1813" t="s">
        <v>6206</v>
      </c>
    </row>
    <row r="8" spans="1:21" ht="16.5" customHeight="1">
      <c r="A8" s="636"/>
      <c r="B8" s="700"/>
      <c r="C8" s="2921"/>
      <c r="D8" s="2921"/>
      <c r="E8" s="1176"/>
      <c r="F8" s="700"/>
      <c r="G8" s="638"/>
      <c r="H8" s="2922"/>
      <c r="I8" s="2922"/>
      <c r="J8" s="2922"/>
      <c r="K8" s="2922"/>
      <c r="L8" s="2922"/>
      <c r="M8" s="1171">
        <v>2</v>
      </c>
      <c r="N8" s="2923" t="str">
        <f t="shared" ref="N8:N71" si="0">IFERROR(VLOOKUP(M8,$S$7:$T$66,2,0),"")</f>
        <v>跨期扣除项目</v>
      </c>
      <c r="O8" s="2923"/>
      <c r="P8" s="2923"/>
      <c r="Q8" s="1024"/>
      <c r="R8" s="704"/>
      <c r="S8" s="2429">
        <v>2</v>
      </c>
      <c r="T8" s="2430" t="s">
        <v>5007</v>
      </c>
      <c r="U8" s="1813" t="s">
        <v>2388</v>
      </c>
    </row>
    <row r="9" spans="1:21" ht="16.5" customHeight="1">
      <c r="A9" s="636"/>
      <c r="B9" s="700"/>
      <c r="C9" s="2921"/>
      <c r="D9" s="2921"/>
      <c r="E9" s="1176"/>
      <c r="F9" s="700"/>
      <c r="G9" s="638"/>
      <c r="H9" s="2922"/>
      <c r="I9" s="2922"/>
      <c r="J9" s="2922"/>
      <c r="K9" s="2922"/>
      <c r="L9" s="2922"/>
      <c r="M9" s="1171">
        <v>3</v>
      </c>
      <c r="N9" s="2923" t="str">
        <f t="shared" si="0"/>
        <v>与取得收入无关的支出</v>
      </c>
      <c r="O9" s="2923"/>
      <c r="P9" s="2923"/>
      <c r="Q9" s="1024"/>
      <c r="R9" s="704"/>
      <c r="S9" s="2431">
        <v>3</v>
      </c>
      <c r="T9" s="2432" t="s">
        <v>5006</v>
      </c>
      <c r="U9" s="1813" t="s">
        <v>6202</v>
      </c>
    </row>
    <row r="10" spans="1:21" ht="16.5" customHeight="1">
      <c r="A10" s="636"/>
      <c r="B10" s="700"/>
      <c r="C10" s="2921"/>
      <c r="D10" s="2921"/>
      <c r="E10" s="1176"/>
      <c r="F10" s="700"/>
      <c r="G10" s="638"/>
      <c r="H10" s="2922"/>
      <c r="I10" s="2922"/>
      <c r="J10" s="2922"/>
      <c r="K10" s="2922"/>
      <c r="L10" s="2922"/>
      <c r="M10" s="1171">
        <v>4</v>
      </c>
      <c r="N10" s="2923" t="str">
        <f t="shared" si="0"/>
        <v>非本公司费用</v>
      </c>
      <c r="O10" s="2923"/>
      <c r="P10" s="2923"/>
      <c r="Q10" s="1024"/>
      <c r="R10" s="704"/>
      <c r="S10" s="2429">
        <v>4</v>
      </c>
      <c r="T10" s="2430" t="s">
        <v>5005</v>
      </c>
      <c r="U10" s="1813" t="s">
        <v>6208</v>
      </c>
    </row>
    <row r="11" spans="1:21" ht="16.5" customHeight="1">
      <c r="A11" s="636"/>
      <c r="B11" s="700"/>
      <c r="C11" s="2921"/>
      <c r="D11" s="2921"/>
      <c r="E11" s="1176"/>
      <c r="F11" s="700"/>
      <c r="G11" s="638"/>
      <c r="H11" s="2922"/>
      <c r="I11" s="2922"/>
      <c r="J11" s="2922"/>
      <c r="K11" s="2922"/>
      <c r="L11" s="2922"/>
      <c r="M11" s="1171">
        <v>5</v>
      </c>
      <c r="N11" s="2923" t="str">
        <f t="shared" si="0"/>
        <v>产权不属于公司的汽车费用</v>
      </c>
      <c r="O11" s="2923"/>
      <c r="P11" s="2923"/>
      <c r="Q11" s="1024"/>
      <c r="R11" s="704"/>
      <c r="S11" s="2431">
        <v>5</v>
      </c>
      <c r="T11" s="2430" t="s">
        <v>5004</v>
      </c>
      <c r="U11" s="1813" t="s">
        <v>6209</v>
      </c>
    </row>
    <row r="12" spans="1:21" ht="16.5" customHeight="1">
      <c r="A12" s="636"/>
      <c r="B12" s="700"/>
      <c r="C12" s="2921"/>
      <c r="D12" s="2921"/>
      <c r="E12" s="1176"/>
      <c r="F12" s="700"/>
      <c r="G12" s="638"/>
      <c r="H12" s="2922"/>
      <c r="I12" s="2922"/>
      <c r="J12" s="2922"/>
      <c r="K12" s="2922"/>
      <c r="L12" s="2922"/>
      <c r="M12" s="1171">
        <v>6</v>
      </c>
      <c r="N12" s="2923" t="str">
        <f t="shared" si="0"/>
        <v>税收滞纳金</v>
      </c>
      <c r="O12" s="2923"/>
      <c r="P12" s="2923"/>
      <c r="Q12" s="1024"/>
      <c r="R12" s="704"/>
      <c r="S12" s="2429">
        <v>6</v>
      </c>
      <c r="T12" s="2432" t="s">
        <v>5003</v>
      </c>
      <c r="U12" s="1813" t="s">
        <v>6196</v>
      </c>
    </row>
    <row r="13" spans="1:21" ht="16.5" customHeight="1">
      <c r="A13" s="636"/>
      <c r="B13" s="700"/>
      <c r="C13" s="2921"/>
      <c r="D13" s="2921"/>
      <c r="E13" s="1176"/>
      <c r="F13" s="700"/>
      <c r="G13" s="638"/>
      <c r="H13" s="2922"/>
      <c r="I13" s="2922"/>
      <c r="J13" s="2922"/>
      <c r="K13" s="2922"/>
      <c r="L13" s="2922"/>
      <c r="M13" s="1171">
        <v>7</v>
      </c>
      <c r="N13" s="2923" t="str">
        <f t="shared" si="0"/>
        <v>大额购物未附清单</v>
      </c>
      <c r="O13" s="2923"/>
      <c r="P13" s="2923"/>
      <c r="Q13" s="1024"/>
      <c r="R13" s="2092"/>
      <c r="S13" s="2431">
        <v>7</v>
      </c>
      <c r="T13" s="2430" t="s">
        <v>5002</v>
      </c>
      <c r="U13" s="1813" t="s">
        <v>6210</v>
      </c>
    </row>
    <row r="14" spans="1:21" ht="16.5" customHeight="1">
      <c r="A14" s="636"/>
      <c r="B14" s="700"/>
      <c r="C14" s="2921"/>
      <c r="D14" s="2921"/>
      <c r="E14" s="1176"/>
      <c r="F14" s="700"/>
      <c r="G14" s="638"/>
      <c r="H14" s="2922"/>
      <c r="I14" s="2922"/>
      <c r="J14" s="2922"/>
      <c r="K14" s="2922"/>
      <c r="L14" s="2922"/>
      <c r="M14" s="1171">
        <v>8</v>
      </c>
      <c r="N14" s="2923" t="str">
        <f t="shared" si="0"/>
        <v>罚金、违法经营罚款和被没收财物损失</v>
      </c>
      <c r="O14" s="2923"/>
      <c r="P14" s="2923"/>
      <c r="Q14" s="1024"/>
      <c r="R14" s="2092"/>
      <c r="S14" s="2431">
        <v>8</v>
      </c>
      <c r="T14" s="2430" t="s">
        <v>5001</v>
      </c>
      <c r="U14" s="1813" t="s">
        <v>6195</v>
      </c>
    </row>
    <row r="15" spans="1:21" ht="16.5" customHeight="1">
      <c r="A15" s="636"/>
      <c r="B15" s="700"/>
      <c r="C15" s="2921"/>
      <c r="D15" s="2921"/>
      <c r="E15" s="1176"/>
      <c r="F15" s="700"/>
      <c r="G15" s="638"/>
      <c r="H15" s="2922"/>
      <c r="I15" s="2922"/>
      <c r="J15" s="2922"/>
      <c r="K15" s="2922"/>
      <c r="L15" s="2922"/>
      <c r="M15" s="1171">
        <v>9</v>
      </c>
      <c r="N15" s="2923" t="str">
        <f t="shared" si="0"/>
        <v>跨期扣除项目</v>
      </c>
      <c r="O15" s="2923"/>
      <c r="P15" s="2923"/>
      <c r="Q15" s="1024"/>
      <c r="R15" s="1493"/>
      <c r="S15" s="2429">
        <v>9</v>
      </c>
      <c r="T15" s="2430" t="s">
        <v>6146</v>
      </c>
      <c r="U15" s="1813" t="s">
        <v>2388</v>
      </c>
    </row>
    <row r="16" spans="1:21" ht="16.5" customHeight="1">
      <c r="A16" s="636"/>
      <c r="B16" s="700"/>
      <c r="C16" s="2921"/>
      <c r="D16" s="2921"/>
      <c r="E16" s="1176"/>
      <c r="F16" s="700"/>
      <c r="G16" s="638"/>
      <c r="H16" s="2922"/>
      <c r="I16" s="2922"/>
      <c r="J16" s="2922"/>
      <c r="K16" s="2922"/>
      <c r="L16" s="2922"/>
      <c r="M16" s="1171">
        <v>10</v>
      </c>
      <c r="N16" s="2923">
        <f t="shared" si="0"/>
        <v>0</v>
      </c>
      <c r="O16" s="2923"/>
      <c r="P16" s="2923"/>
      <c r="Q16" s="1024"/>
      <c r="R16" s="1493"/>
      <c r="S16" s="2429">
        <v>10</v>
      </c>
      <c r="T16" s="2430"/>
      <c r="U16" s="1813"/>
    </row>
    <row r="17" spans="1:21" ht="16.5" customHeight="1">
      <c r="A17" s="636"/>
      <c r="B17" s="700"/>
      <c r="C17" s="2921"/>
      <c r="D17" s="2921"/>
      <c r="E17" s="1176"/>
      <c r="F17" s="700"/>
      <c r="G17" s="638"/>
      <c r="H17" s="2922"/>
      <c r="I17" s="2922"/>
      <c r="J17" s="2922"/>
      <c r="K17" s="2922"/>
      <c r="L17" s="2922"/>
      <c r="M17" s="1171">
        <v>11</v>
      </c>
      <c r="N17" s="2923">
        <f t="shared" si="0"/>
        <v>0</v>
      </c>
      <c r="O17" s="2923"/>
      <c r="P17" s="2923"/>
      <c r="Q17" s="1024"/>
      <c r="R17" s="2118"/>
      <c r="S17" s="2429">
        <v>11</v>
      </c>
      <c r="T17" s="1815"/>
      <c r="U17" s="1813"/>
    </row>
    <row r="18" spans="1:21" ht="16.5" customHeight="1">
      <c r="A18" s="636"/>
      <c r="B18" s="700"/>
      <c r="C18" s="2921"/>
      <c r="D18" s="2921"/>
      <c r="E18" s="1176"/>
      <c r="F18" s="700"/>
      <c r="G18" s="638"/>
      <c r="H18" s="2922"/>
      <c r="I18" s="2922"/>
      <c r="J18" s="2922"/>
      <c r="K18" s="2922"/>
      <c r="L18" s="2922"/>
      <c r="M18" s="1171">
        <v>12</v>
      </c>
      <c r="N18" s="2923">
        <f t="shared" si="0"/>
        <v>0</v>
      </c>
      <c r="O18" s="2923"/>
      <c r="P18" s="2923"/>
      <c r="Q18" s="1024"/>
      <c r="R18" s="1493"/>
      <c r="S18" s="2429">
        <v>12</v>
      </c>
      <c r="T18" s="1815"/>
      <c r="U18" s="1813"/>
    </row>
    <row r="19" spans="1:21" ht="16.5" customHeight="1">
      <c r="A19" s="636"/>
      <c r="B19" s="700"/>
      <c r="C19" s="2921"/>
      <c r="D19" s="2921"/>
      <c r="E19" s="1176"/>
      <c r="F19" s="700"/>
      <c r="G19" s="638"/>
      <c r="H19" s="2922"/>
      <c r="I19" s="2922"/>
      <c r="J19" s="2922"/>
      <c r="K19" s="2922"/>
      <c r="L19" s="2922"/>
      <c r="M19" s="1171"/>
      <c r="N19" s="2923" t="str">
        <f t="shared" si="0"/>
        <v/>
      </c>
      <c r="O19" s="2923"/>
      <c r="P19" s="2923"/>
      <c r="Q19" s="1024"/>
      <c r="R19" s="2118"/>
      <c r="S19" s="2429">
        <v>13</v>
      </c>
      <c r="T19" s="2429"/>
      <c r="U19" s="1813"/>
    </row>
    <row r="20" spans="1:21" ht="16.5" customHeight="1">
      <c r="A20" s="636"/>
      <c r="B20" s="700"/>
      <c r="C20" s="2921"/>
      <c r="D20" s="2921"/>
      <c r="E20" s="1176"/>
      <c r="F20" s="700"/>
      <c r="G20" s="638"/>
      <c r="H20" s="2922"/>
      <c r="I20" s="2922"/>
      <c r="J20" s="2922"/>
      <c r="K20" s="2922"/>
      <c r="L20" s="2922"/>
      <c r="M20" s="1171"/>
      <c r="N20" s="2923" t="str">
        <f t="shared" si="0"/>
        <v/>
      </c>
      <c r="O20" s="2923"/>
      <c r="P20" s="2923"/>
      <c r="Q20" s="1024"/>
      <c r="R20" s="1493"/>
      <c r="S20" s="2429">
        <v>14</v>
      </c>
      <c r="T20" s="2429" t="s">
        <v>6230</v>
      </c>
      <c r="U20" s="1813"/>
    </row>
    <row r="21" spans="1:21" ht="16.5" customHeight="1">
      <c r="A21" s="636"/>
      <c r="B21" s="700"/>
      <c r="C21" s="2921"/>
      <c r="D21" s="2921"/>
      <c r="E21" s="1176"/>
      <c r="F21" s="700"/>
      <c r="G21" s="638"/>
      <c r="H21" s="2922"/>
      <c r="I21" s="2922"/>
      <c r="J21" s="2922"/>
      <c r="K21" s="2922"/>
      <c r="L21" s="2922"/>
      <c r="M21" s="1171"/>
      <c r="N21" s="2923" t="str">
        <f t="shared" si="0"/>
        <v/>
      </c>
      <c r="O21" s="2923"/>
      <c r="P21" s="2923"/>
      <c r="Q21" s="1024"/>
      <c r="R21" s="2118"/>
      <c r="S21" s="2429">
        <v>15</v>
      </c>
      <c r="T21" s="2429" t="s">
        <v>6231</v>
      </c>
      <c r="U21" s="1813"/>
    </row>
    <row r="22" spans="1:21" ht="16.5" customHeight="1">
      <c r="A22" s="636"/>
      <c r="B22" s="700"/>
      <c r="C22" s="2921"/>
      <c r="D22" s="2921"/>
      <c r="E22" s="1176"/>
      <c r="F22" s="700"/>
      <c r="G22" s="638"/>
      <c r="H22" s="2922"/>
      <c r="I22" s="2922"/>
      <c r="J22" s="2922"/>
      <c r="K22" s="2922"/>
      <c r="L22" s="2922"/>
      <c r="M22" s="1171"/>
      <c r="N22" s="2923" t="str">
        <f t="shared" si="0"/>
        <v/>
      </c>
      <c r="O22" s="2923"/>
      <c r="P22" s="2923"/>
      <c r="Q22" s="1024"/>
      <c r="R22" s="2118"/>
      <c r="S22" s="2429">
        <v>16</v>
      </c>
      <c r="T22" s="2429" t="s">
        <v>6672</v>
      </c>
      <c r="U22" s="1813"/>
    </row>
    <row r="23" spans="1:21" ht="16.5" customHeight="1">
      <c r="A23" s="636"/>
      <c r="B23" s="700"/>
      <c r="C23" s="2921"/>
      <c r="D23" s="2921"/>
      <c r="E23" s="1176"/>
      <c r="F23" s="700"/>
      <c r="G23" s="638"/>
      <c r="H23" s="2922"/>
      <c r="I23" s="2922"/>
      <c r="J23" s="2922"/>
      <c r="K23" s="2922"/>
      <c r="L23" s="2922"/>
      <c r="M23" s="1171"/>
      <c r="N23" s="2923" t="str">
        <f t="shared" si="0"/>
        <v/>
      </c>
      <c r="O23" s="2923"/>
      <c r="P23" s="2923"/>
      <c r="Q23" s="1024"/>
      <c r="R23" s="1493"/>
      <c r="S23" s="2429">
        <v>17</v>
      </c>
      <c r="T23" s="2433"/>
      <c r="U23" s="1813"/>
    </row>
    <row r="24" spans="1:21" ht="16.5" customHeight="1">
      <c r="A24" s="636"/>
      <c r="B24" s="700"/>
      <c r="C24" s="2921"/>
      <c r="D24" s="2921"/>
      <c r="E24" s="1176"/>
      <c r="F24" s="700"/>
      <c r="G24" s="638"/>
      <c r="H24" s="2922"/>
      <c r="I24" s="2922"/>
      <c r="J24" s="2922"/>
      <c r="K24" s="2922"/>
      <c r="L24" s="2922"/>
      <c r="M24" s="1171"/>
      <c r="N24" s="2923" t="str">
        <f t="shared" si="0"/>
        <v/>
      </c>
      <c r="O24" s="2923"/>
      <c r="P24" s="2923"/>
      <c r="Q24" s="1024"/>
      <c r="R24" s="1493"/>
      <c r="S24" s="2429">
        <v>18</v>
      </c>
      <c r="T24" s="2433"/>
      <c r="U24" s="1813"/>
    </row>
    <row r="25" spans="1:21" ht="16.5" customHeight="1">
      <c r="A25" s="636"/>
      <c r="B25" s="700"/>
      <c r="C25" s="2921"/>
      <c r="D25" s="2921"/>
      <c r="E25" s="1176"/>
      <c r="F25" s="700"/>
      <c r="G25" s="638"/>
      <c r="H25" s="2922"/>
      <c r="I25" s="2922"/>
      <c r="J25" s="2922"/>
      <c r="K25" s="2922"/>
      <c r="L25" s="2922"/>
      <c r="M25" s="1171"/>
      <c r="N25" s="2923" t="str">
        <f t="shared" si="0"/>
        <v/>
      </c>
      <c r="O25" s="2923"/>
      <c r="P25" s="2923"/>
      <c r="Q25" s="1024"/>
      <c r="R25" s="1493"/>
      <c r="S25" s="2429">
        <v>19</v>
      </c>
      <c r="T25" s="2433"/>
      <c r="U25" s="1813"/>
    </row>
    <row r="26" spans="1:21" ht="16.5" customHeight="1">
      <c r="A26" s="636"/>
      <c r="B26" s="700"/>
      <c r="C26" s="2921"/>
      <c r="D26" s="2921"/>
      <c r="E26" s="1172"/>
      <c r="F26" s="696"/>
      <c r="G26" s="638"/>
      <c r="H26" s="2922"/>
      <c r="I26" s="2922"/>
      <c r="J26" s="2922"/>
      <c r="K26" s="2922"/>
      <c r="L26" s="2922"/>
      <c r="M26" s="1171"/>
      <c r="N26" s="2923" t="str">
        <f t="shared" si="0"/>
        <v/>
      </c>
      <c r="O26" s="2923"/>
      <c r="P26" s="2923"/>
      <c r="Q26" s="1024"/>
      <c r="R26" s="1493"/>
      <c r="S26" s="2429">
        <v>20</v>
      </c>
      <c r="T26" s="2433"/>
      <c r="U26" s="1813"/>
    </row>
    <row r="27" spans="1:21" ht="16.5" customHeight="1">
      <c r="A27" s="636"/>
      <c r="B27" s="700"/>
      <c r="C27" s="2921"/>
      <c r="D27" s="2921"/>
      <c r="E27" s="1172"/>
      <c r="F27" s="696"/>
      <c r="G27" s="638"/>
      <c r="H27" s="2922"/>
      <c r="I27" s="2922"/>
      <c r="J27" s="2922"/>
      <c r="K27" s="2922"/>
      <c r="L27" s="2922"/>
      <c r="M27" s="1171"/>
      <c r="N27" s="2923" t="str">
        <f t="shared" si="0"/>
        <v/>
      </c>
      <c r="O27" s="2923"/>
      <c r="P27" s="2923"/>
      <c r="Q27" s="1024"/>
      <c r="R27" s="1493"/>
      <c r="S27" s="2429">
        <v>21</v>
      </c>
      <c r="T27" s="2433"/>
      <c r="U27" s="1813"/>
    </row>
    <row r="28" spans="1:21" ht="12.75" customHeight="1">
      <c r="A28" s="636"/>
      <c r="B28" s="700"/>
      <c r="C28" s="2921"/>
      <c r="D28" s="2921"/>
      <c r="E28" s="1172"/>
      <c r="F28" s="696"/>
      <c r="G28" s="638"/>
      <c r="H28" s="2922"/>
      <c r="I28" s="2922"/>
      <c r="J28" s="2922"/>
      <c r="K28" s="2922"/>
      <c r="L28" s="2922"/>
      <c r="M28" s="1171"/>
      <c r="N28" s="2923" t="str">
        <f t="shared" si="0"/>
        <v/>
      </c>
      <c r="O28" s="2923"/>
      <c r="P28" s="2923"/>
      <c r="Q28" s="1024"/>
      <c r="R28" s="1174"/>
      <c r="S28" s="2429">
        <v>22</v>
      </c>
      <c r="T28" s="2429"/>
      <c r="U28" s="1813"/>
    </row>
    <row r="29" spans="1:21" ht="12.75" customHeight="1">
      <c r="A29" s="636"/>
      <c r="B29" s="700"/>
      <c r="C29" s="2921"/>
      <c r="D29" s="2921"/>
      <c r="E29" s="1172"/>
      <c r="F29" s="696"/>
      <c r="G29" s="638"/>
      <c r="H29" s="2922"/>
      <c r="I29" s="2922"/>
      <c r="J29" s="2922"/>
      <c r="K29" s="2922"/>
      <c r="L29" s="2922"/>
      <c r="M29" s="1171"/>
      <c r="N29" s="2923" t="str">
        <f t="shared" si="0"/>
        <v/>
      </c>
      <c r="O29" s="2923"/>
      <c r="P29" s="2923"/>
      <c r="Q29" s="1024"/>
      <c r="R29" s="1174"/>
      <c r="S29" s="2429">
        <v>23</v>
      </c>
      <c r="T29" s="2429"/>
      <c r="U29" s="1813"/>
    </row>
    <row r="30" spans="1:21" ht="12.75" customHeight="1">
      <c r="A30" s="636"/>
      <c r="B30" s="700"/>
      <c r="C30" s="2921"/>
      <c r="D30" s="2921"/>
      <c r="E30" s="1172"/>
      <c r="F30" s="696"/>
      <c r="G30" s="638"/>
      <c r="H30" s="2922"/>
      <c r="I30" s="2922"/>
      <c r="J30" s="2922"/>
      <c r="K30" s="2922"/>
      <c r="L30" s="2922"/>
      <c r="M30" s="1171"/>
      <c r="N30" s="2923" t="str">
        <f t="shared" si="0"/>
        <v/>
      </c>
      <c r="O30" s="2923"/>
      <c r="P30" s="2923"/>
      <c r="Q30" s="1024"/>
      <c r="R30" s="1174"/>
      <c r="S30" s="2429">
        <v>24</v>
      </c>
      <c r="T30" s="2429"/>
      <c r="U30" s="1813"/>
    </row>
    <row r="31" spans="1:21" ht="12.75" customHeight="1">
      <c r="A31" s="636"/>
      <c r="B31" s="700"/>
      <c r="C31" s="2921"/>
      <c r="D31" s="2921"/>
      <c r="E31" s="1172"/>
      <c r="F31" s="696"/>
      <c r="G31" s="638"/>
      <c r="H31" s="2922"/>
      <c r="I31" s="2922"/>
      <c r="J31" s="2922"/>
      <c r="K31" s="2922"/>
      <c r="L31" s="2922"/>
      <c r="M31" s="1171"/>
      <c r="N31" s="2923" t="str">
        <f t="shared" si="0"/>
        <v/>
      </c>
      <c r="O31" s="2923"/>
      <c r="P31" s="2923"/>
      <c r="Q31" s="1024"/>
      <c r="R31" s="1174"/>
      <c r="S31" s="2429">
        <v>25</v>
      </c>
      <c r="T31" s="2429"/>
      <c r="U31" s="1813"/>
    </row>
    <row r="32" spans="1:21" ht="12.75" customHeight="1">
      <c r="A32" s="636"/>
      <c r="B32" s="700"/>
      <c r="C32" s="2921"/>
      <c r="D32" s="2921"/>
      <c r="E32" s="1172"/>
      <c r="F32" s="696"/>
      <c r="G32" s="638"/>
      <c r="H32" s="2922"/>
      <c r="I32" s="2922"/>
      <c r="J32" s="2922"/>
      <c r="K32" s="2922"/>
      <c r="L32" s="2922"/>
      <c r="M32" s="1171"/>
      <c r="N32" s="2923" t="str">
        <f t="shared" si="0"/>
        <v/>
      </c>
      <c r="O32" s="2923"/>
      <c r="P32" s="2923"/>
      <c r="Q32" s="1024"/>
      <c r="R32" s="1174"/>
      <c r="S32" s="1493"/>
      <c r="T32" s="1175"/>
    </row>
    <row r="33" spans="1:20" ht="12.75" hidden="1" customHeight="1">
      <c r="A33" s="636"/>
      <c r="B33" s="700"/>
      <c r="C33" s="2921"/>
      <c r="D33" s="2921"/>
      <c r="E33" s="1172"/>
      <c r="F33" s="696"/>
      <c r="G33" s="638"/>
      <c r="H33" s="2922"/>
      <c r="I33" s="2922"/>
      <c r="J33" s="2922"/>
      <c r="K33" s="2922"/>
      <c r="L33" s="2922"/>
      <c r="M33" s="1171"/>
      <c r="N33" s="2923" t="str">
        <f t="shared" si="0"/>
        <v/>
      </c>
      <c r="O33" s="2923"/>
      <c r="P33" s="2923"/>
      <c r="Q33" s="1024"/>
      <c r="R33" s="1174"/>
      <c r="S33" s="1493"/>
      <c r="T33" s="1175"/>
    </row>
    <row r="34" spans="1:20" ht="12.75" hidden="1" customHeight="1">
      <c r="A34" s="636"/>
      <c r="B34" s="700"/>
      <c r="C34" s="2921"/>
      <c r="D34" s="2921"/>
      <c r="E34" s="1172"/>
      <c r="F34" s="696"/>
      <c r="G34" s="638"/>
      <c r="H34" s="2922"/>
      <c r="I34" s="2922"/>
      <c r="J34" s="2922"/>
      <c r="K34" s="2922"/>
      <c r="L34" s="2922"/>
      <c r="M34" s="1171"/>
      <c r="N34" s="2923" t="str">
        <f t="shared" si="0"/>
        <v/>
      </c>
      <c r="O34" s="2923"/>
      <c r="P34" s="2923"/>
      <c r="Q34" s="1024"/>
      <c r="R34" s="1174"/>
      <c r="S34" s="1493"/>
      <c r="T34" s="1175"/>
    </row>
    <row r="35" spans="1:20" ht="12.75" hidden="1" customHeight="1">
      <c r="A35" s="636"/>
      <c r="B35" s="700"/>
      <c r="C35" s="2921"/>
      <c r="D35" s="2921"/>
      <c r="E35" s="1172"/>
      <c r="F35" s="696"/>
      <c r="G35" s="638"/>
      <c r="H35" s="2922"/>
      <c r="I35" s="2922"/>
      <c r="J35" s="2922"/>
      <c r="K35" s="2922"/>
      <c r="L35" s="2922"/>
      <c r="M35" s="1171"/>
      <c r="N35" s="2923" t="str">
        <f t="shared" si="0"/>
        <v/>
      </c>
      <c r="O35" s="2923"/>
      <c r="P35" s="2923"/>
      <c r="Q35" s="1024"/>
      <c r="R35" s="1174"/>
      <c r="S35" s="1493"/>
      <c r="T35" s="1175"/>
    </row>
    <row r="36" spans="1:20" ht="12.75" hidden="1" customHeight="1">
      <c r="A36" s="636"/>
      <c r="B36" s="700"/>
      <c r="C36" s="2921"/>
      <c r="D36" s="2921"/>
      <c r="E36" s="1172"/>
      <c r="F36" s="696"/>
      <c r="G36" s="638"/>
      <c r="H36" s="2922"/>
      <c r="I36" s="2922"/>
      <c r="J36" s="2922"/>
      <c r="K36" s="2922"/>
      <c r="L36" s="2922"/>
      <c r="M36" s="1171"/>
      <c r="N36" s="2923" t="str">
        <f t="shared" si="0"/>
        <v/>
      </c>
      <c r="O36" s="2923"/>
      <c r="P36" s="2923"/>
      <c r="Q36" s="1024"/>
      <c r="R36" s="1174"/>
      <c r="S36" s="1493"/>
      <c r="T36" s="1174"/>
    </row>
    <row r="37" spans="1:20" ht="12.75" hidden="1" customHeight="1">
      <c r="A37" s="636"/>
      <c r="B37" s="700"/>
      <c r="C37" s="2921"/>
      <c r="D37" s="2921"/>
      <c r="E37" s="1172"/>
      <c r="F37" s="696"/>
      <c r="G37" s="638"/>
      <c r="H37" s="2922"/>
      <c r="I37" s="2922"/>
      <c r="J37" s="2922"/>
      <c r="K37" s="2922"/>
      <c r="L37" s="2922"/>
      <c r="M37" s="1171"/>
      <c r="N37" s="2923" t="str">
        <f t="shared" si="0"/>
        <v/>
      </c>
      <c r="O37" s="2923"/>
      <c r="P37" s="2923"/>
      <c r="Q37" s="1024"/>
      <c r="R37" s="1174"/>
      <c r="S37" s="1493"/>
      <c r="T37" s="1174"/>
    </row>
    <row r="38" spans="1:20" ht="12.75" hidden="1" customHeight="1">
      <c r="A38" s="636"/>
      <c r="B38" s="700"/>
      <c r="C38" s="2921"/>
      <c r="D38" s="2921"/>
      <c r="E38" s="1172"/>
      <c r="F38" s="696"/>
      <c r="G38" s="638"/>
      <c r="H38" s="2922"/>
      <c r="I38" s="2922"/>
      <c r="J38" s="2922"/>
      <c r="K38" s="2922"/>
      <c r="L38" s="2922"/>
      <c r="M38" s="1171"/>
      <c r="N38" s="2923" t="str">
        <f t="shared" si="0"/>
        <v/>
      </c>
      <c r="O38" s="2923"/>
      <c r="P38" s="2923"/>
      <c r="Q38" s="1024"/>
      <c r="R38" s="1174"/>
      <c r="S38" s="1493"/>
      <c r="T38" s="1174"/>
    </row>
    <row r="39" spans="1:20" ht="12.75" hidden="1" customHeight="1">
      <c r="A39" s="636"/>
      <c r="B39" s="700"/>
      <c r="C39" s="2921"/>
      <c r="D39" s="2921"/>
      <c r="E39" s="1172"/>
      <c r="F39" s="696"/>
      <c r="G39" s="638"/>
      <c r="H39" s="2922"/>
      <c r="I39" s="2922"/>
      <c r="J39" s="2922"/>
      <c r="K39" s="2922"/>
      <c r="L39" s="2922"/>
      <c r="M39" s="1171"/>
      <c r="N39" s="2923" t="str">
        <f t="shared" si="0"/>
        <v/>
      </c>
      <c r="O39" s="2923"/>
      <c r="P39" s="2923"/>
      <c r="Q39" s="1024"/>
      <c r="R39" s="1174"/>
      <c r="S39" s="1493"/>
      <c r="T39" s="1174"/>
    </row>
    <row r="40" spans="1:20" ht="12.75" hidden="1" customHeight="1">
      <c r="A40" s="636"/>
      <c r="B40" s="700"/>
      <c r="C40" s="2921"/>
      <c r="D40" s="2921"/>
      <c r="E40" s="1172"/>
      <c r="F40" s="696"/>
      <c r="G40" s="638"/>
      <c r="H40" s="2922"/>
      <c r="I40" s="2922"/>
      <c r="J40" s="2922"/>
      <c r="K40" s="2922"/>
      <c r="L40" s="2922"/>
      <c r="M40" s="1171"/>
      <c r="N40" s="2923" t="str">
        <f t="shared" si="0"/>
        <v/>
      </c>
      <c r="O40" s="2923"/>
      <c r="P40" s="2923"/>
      <c r="Q40" s="1024"/>
      <c r="R40" s="1174"/>
      <c r="S40" s="1493"/>
      <c r="T40" s="1174"/>
    </row>
    <row r="41" spans="1:20" ht="12.75" hidden="1" customHeight="1">
      <c r="A41" s="636"/>
      <c r="B41" s="700"/>
      <c r="C41" s="2921"/>
      <c r="D41" s="2921"/>
      <c r="E41" s="1172"/>
      <c r="F41" s="696"/>
      <c r="G41" s="638"/>
      <c r="H41" s="2922"/>
      <c r="I41" s="2922"/>
      <c r="J41" s="2922"/>
      <c r="K41" s="2922"/>
      <c r="L41" s="2922"/>
      <c r="M41" s="1171"/>
      <c r="N41" s="2923" t="str">
        <f t="shared" si="0"/>
        <v/>
      </c>
      <c r="O41" s="2923"/>
      <c r="P41" s="2923"/>
      <c r="Q41" s="1024"/>
      <c r="R41" s="1174"/>
      <c r="S41" s="1493"/>
      <c r="T41" s="1173"/>
    </row>
    <row r="42" spans="1:20" ht="12.75" hidden="1" customHeight="1">
      <c r="A42" s="636"/>
      <c r="B42" s="700"/>
      <c r="C42" s="2921"/>
      <c r="D42" s="2921"/>
      <c r="E42" s="1172"/>
      <c r="F42" s="696"/>
      <c r="G42" s="638"/>
      <c r="H42" s="2922"/>
      <c r="I42" s="2922"/>
      <c r="J42" s="2922"/>
      <c r="K42" s="2922"/>
      <c r="L42" s="2922"/>
      <c r="M42" s="1171"/>
      <c r="N42" s="2923" t="str">
        <f t="shared" si="0"/>
        <v/>
      </c>
      <c r="O42" s="2923"/>
      <c r="P42" s="2923"/>
      <c r="Q42" s="1024"/>
      <c r="R42" s="1174"/>
      <c r="S42" s="1493"/>
      <c r="T42" s="1173"/>
    </row>
    <row r="43" spans="1:20" ht="12.75" hidden="1" customHeight="1">
      <c r="A43" s="636"/>
      <c r="B43" s="700"/>
      <c r="C43" s="2921"/>
      <c r="D43" s="2921"/>
      <c r="E43" s="1172"/>
      <c r="F43" s="696"/>
      <c r="G43" s="638"/>
      <c r="H43" s="2922"/>
      <c r="I43" s="2922"/>
      <c r="J43" s="2922"/>
      <c r="K43" s="2922"/>
      <c r="L43" s="2922"/>
      <c r="M43" s="1171"/>
      <c r="N43" s="2923" t="str">
        <f t="shared" si="0"/>
        <v/>
      </c>
      <c r="O43" s="2923"/>
      <c r="P43" s="2923"/>
      <c r="Q43" s="1024"/>
      <c r="R43" s="1174"/>
      <c r="S43" s="1493"/>
      <c r="T43" s="1173"/>
    </row>
    <row r="44" spans="1:20" ht="12.75" hidden="1" customHeight="1">
      <c r="A44" s="636"/>
      <c r="B44" s="700"/>
      <c r="C44" s="2921"/>
      <c r="D44" s="2921"/>
      <c r="E44" s="1172"/>
      <c r="F44" s="696"/>
      <c r="G44" s="638"/>
      <c r="H44" s="2922"/>
      <c r="I44" s="2922"/>
      <c r="J44" s="2922"/>
      <c r="K44" s="2922"/>
      <c r="L44" s="2922"/>
      <c r="M44" s="1171"/>
      <c r="N44" s="2923" t="str">
        <f t="shared" si="0"/>
        <v/>
      </c>
      <c r="O44" s="2923"/>
      <c r="P44" s="2923"/>
      <c r="Q44" s="1024"/>
      <c r="R44" s="1174"/>
      <c r="S44" s="1493"/>
      <c r="T44" s="1173"/>
    </row>
    <row r="45" spans="1:20" ht="12.75" hidden="1" customHeight="1">
      <c r="A45" s="636"/>
      <c r="B45" s="700"/>
      <c r="C45" s="2921"/>
      <c r="D45" s="2921"/>
      <c r="E45" s="1172"/>
      <c r="F45" s="696"/>
      <c r="G45" s="638"/>
      <c r="H45" s="2922"/>
      <c r="I45" s="2922"/>
      <c r="J45" s="2922"/>
      <c r="K45" s="2922"/>
      <c r="L45" s="2922"/>
      <c r="M45" s="1171"/>
      <c r="N45" s="2923" t="str">
        <f t="shared" si="0"/>
        <v/>
      </c>
      <c r="O45" s="2923"/>
      <c r="P45" s="2923"/>
      <c r="Q45" s="1024"/>
      <c r="R45" s="1174"/>
      <c r="S45" s="1493"/>
      <c r="T45" s="1173"/>
    </row>
    <row r="46" spans="1:20" ht="12.75" hidden="1" customHeight="1">
      <c r="A46" s="636"/>
      <c r="B46" s="700"/>
      <c r="C46" s="2921"/>
      <c r="D46" s="2921"/>
      <c r="E46" s="1172"/>
      <c r="F46" s="696"/>
      <c r="G46" s="638"/>
      <c r="H46" s="2922"/>
      <c r="I46" s="2922"/>
      <c r="J46" s="2922"/>
      <c r="K46" s="2922"/>
      <c r="L46" s="2922"/>
      <c r="M46" s="1171"/>
      <c r="N46" s="2923" t="str">
        <f t="shared" si="0"/>
        <v/>
      </c>
      <c r="O46" s="2923"/>
      <c r="P46" s="2923"/>
      <c r="Q46" s="1024"/>
      <c r="R46" s="1174"/>
      <c r="S46" s="1493"/>
      <c r="T46" s="1173"/>
    </row>
    <row r="47" spans="1:20" ht="12.75" hidden="1" customHeight="1">
      <c r="A47" s="636"/>
      <c r="B47" s="700"/>
      <c r="C47" s="2921"/>
      <c r="D47" s="2921"/>
      <c r="E47" s="1172"/>
      <c r="F47" s="696"/>
      <c r="G47" s="638"/>
      <c r="H47" s="2922"/>
      <c r="I47" s="2922"/>
      <c r="J47" s="2922"/>
      <c r="K47" s="2922"/>
      <c r="L47" s="2922"/>
      <c r="M47" s="1171"/>
      <c r="N47" s="2923" t="str">
        <f t="shared" si="0"/>
        <v/>
      </c>
      <c r="O47" s="2923"/>
      <c r="P47" s="2923"/>
      <c r="Q47" s="1024"/>
      <c r="R47" s="1174"/>
      <c r="S47" s="1493"/>
      <c r="T47" s="1173"/>
    </row>
    <row r="48" spans="1:20" ht="12.75" hidden="1" customHeight="1">
      <c r="A48" s="636"/>
      <c r="B48" s="700"/>
      <c r="C48" s="2921"/>
      <c r="D48" s="2921"/>
      <c r="E48" s="1172"/>
      <c r="F48" s="696"/>
      <c r="G48" s="638"/>
      <c r="H48" s="2922"/>
      <c r="I48" s="2922"/>
      <c r="J48" s="2922"/>
      <c r="K48" s="2922"/>
      <c r="L48" s="2922"/>
      <c r="M48" s="1171"/>
      <c r="N48" s="2923" t="str">
        <f t="shared" si="0"/>
        <v/>
      </c>
      <c r="O48" s="2923"/>
      <c r="P48" s="2923"/>
      <c r="Q48" s="1024"/>
      <c r="R48" s="1174"/>
      <c r="S48" s="1493"/>
      <c r="T48" s="1173"/>
    </row>
    <row r="49" spans="1:20" ht="12.75" hidden="1" customHeight="1">
      <c r="A49" s="636"/>
      <c r="B49" s="700"/>
      <c r="C49" s="2921"/>
      <c r="D49" s="2921"/>
      <c r="E49" s="1172"/>
      <c r="F49" s="696"/>
      <c r="G49" s="638"/>
      <c r="H49" s="2922"/>
      <c r="I49" s="2922"/>
      <c r="J49" s="2922"/>
      <c r="K49" s="2922"/>
      <c r="L49" s="2922"/>
      <c r="M49" s="1171"/>
      <c r="N49" s="2923" t="str">
        <f t="shared" si="0"/>
        <v/>
      </c>
      <c r="O49" s="2923"/>
      <c r="P49" s="2923"/>
      <c r="Q49" s="1024"/>
      <c r="R49" s="1174"/>
      <c r="S49" s="1493"/>
      <c r="T49" s="1173"/>
    </row>
    <row r="50" spans="1:20" ht="12.75" hidden="1" customHeight="1">
      <c r="A50" s="636"/>
      <c r="B50" s="700"/>
      <c r="C50" s="2921"/>
      <c r="D50" s="2921"/>
      <c r="E50" s="1172"/>
      <c r="F50" s="696"/>
      <c r="G50" s="638"/>
      <c r="H50" s="2922"/>
      <c r="I50" s="2922"/>
      <c r="J50" s="2922"/>
      <c r="K50" s="2922"/>
      <c r="L50" s="2922"/>
      <c r="M50" s="1171"/>
      <c r="N50" s="2923" t="str">
        <f t="shared" si="0"/>
        <v/>
      </c>
      <c r="O50" s="2923"/>
      <c r="P50" s="2923"/>
      <c r="Q50" s="1024"/>
      <c r="R50" s="1174"/>
      <c r="S50" s="1493"/>
      <c r="T50" s="1173"/>
    </row>
    <row r="51" spans="1:20" ht="12.75" hidden="1" customHeight="1">
      <c r="A51" s="636"/>
      <c r="B51" s="700"/>
      <c r="C51" s="2921"/>
      <c r="D51" s="2921"/>
      <c r="E51" s="1172"/>
      <c r="F51" s="696"/>
      <c r="G51" s="638"/>
      <c r="H51" s="2922"/>
      <c r="I51" s="2922"/>
      <c r="J51" s="2922"/>
      <c r="K51" s="2922"/>
      <c r="L51" s="2922"/>
      <c r="M51" s="1171"/>
      <c r="N51" s="2923" t="str">
        <f t="shared" si="0"/>
        <v/>
      </c>
      <c r="O51" s="2923"/>
      <c r="P51" s="2923"/>
      <c r="Q51" s="1024"/>
      <c r="R51" s="1174"/>
      <c r="S51" s="1493"/>
      <c r="T51" s="1173"/>
    </row>
    <row r="52" spans="1:20" ht="12.75" hidden="1" customHeight="1">
      <c r="A52" s="636"/>
      <c r="B52" s="700"/>
      <c r="C52" s="2921"/>
      <c r="D52" s="2921"/>
      <c r="E52" s="1172"/>
      <c r="F52" s="696"/>
      <c r="G52" s="638"/>
      <c r="H52" s="2922"/>
      <c r="I52" s="2922"/>
      <c r="J52" s="2922"/>
      <c r="K52" s="2922"/>
      <c r="L52" s="2922"/>
      <c r="M52" s="1171"/>
      <c r="N52" s="2923" t="str">
        <f t="shared" si="0"/>
        <v/>
      </c>
      <c r="O52" s="2923"/>
      <c r="P52" s="2923"/>
      <c r="Q52" s="1024"/>
      <c r="R52" s="1174"/>
      <c r="S52" s="1493"/>
      <c r="T52" s="1173"/>
    </row>
    <row r="53" spans="1:20" ht="12.75" hidden="1" customHeight="1">
      <c r="A53" s="636"/>
      <c r="B53" s="700"/>
      <c r="C53" s="2921"/>
      <c r="D53" s="2921"/>
      <c r="E53" s="1172"/>
      <c r="F53" s="696"/>
      <c r="G53" s="638"/>
      <c r="H53" s="2922"/>
      <c r="I53" s="2922"/>
      <c r="J53" s="2922"/>
      <c r="K53" s="2922"/>
      <c r="L53" s="2922"/>
      <c r="M53" s="1171"/>
      <c r="N53" s="2923" t="str">
        <f t="shared" si="0"/>
        <v/>
      </c>
      <c r="O53" s="2923"/>
      <c r="P53" s="2923"/>
      <c r="Q53" s="1024"/>
      <c r="R53" s="1174"/>
      <c r="S53" s="1493"/>
      <c r="T53" s="1173"/>
    </row>
    <row r="54" spans="1:20" ht="12.75" hidden="1" customHeight="1">
      <c r="A54" s="636"/>
      <c r="B54" s="700"/>
      <c r="C54" s="2921"/>
      <c r="D54" s="2921"/>
      <c r="E54" s="1172"/>
      <c r="F54" s="696"/>
      <c r="G54" s="638"/>
      <c r="H54" s="2922"/>
      <c r="I54" s="2922"/>
      <c r="J54" s="2922"/>
      <c r="K54" s="2922"/>
      <c r="L54" s="2922"/>
      <c r="M54" s="1171"/>
      <c r="N54" s="2923" t="str">
        <f t="shared" si="0"/>
        <v/>
      </c>
      <c r="O54" s="2923"/>
      <c r="P54" s="2923"/>
      <c r="Q54" s="1024"/>
      <c r="R54" s="1174"/>
      <c r="S54" s="1493"/>
      <c r="T54" s="1173"/>
    </row>
    <row r="55" spans="1:20" ht="12.75" hidden="1" customHeight="1">
      <c r="A55" s="636"/>
      <c r="B55" s="700"/>
      <c r="C55" s="2921"/>
      <c r="D55" s="2921"/>
      <c r="E55" s="1172"/>
      <c r="F55" s="696"/>
      <c r="G55" s="638"/>
      <c r="H55" s="2922"/>
      <c r="I55" s="2922"/>
      <c r="J55" s="2922"/>
      <c r="K55" s="2922"/>
      <c r="L55" s="2922"/>
      <c r="M55" s="1171"/>
      <c r="N55" s="2923" t="str">
        <f t="shared" si="0"/>
        <v/>
      </c>
      <c r="O55" s="2923"/>
      <c r="P55" s="2923"/>
      <c r="Q55" s="1024"/>
      <c r="R55" s="1174"/>
      <c r="S55" s="1493"/>
      <c r="T55" s="1173"/>
    </row>
    <row r="56" spans="1:20" ht="12.75" hidden="1" customHeight="1">
      <c r="A56" s="636"/>
      <c r="B56" s="700"/>
      <c r="C56" s="2921"/>
      <c r="D56" s="2921"/>
      <c r="E56" s="1172"/>
      <c r="F56" s="696"/>
      <c r="G56" s="638"/>
      <c r="H56" s="2922"/>
      <c r="I56" s="2922"/>
      <c r="J56" s="2922"/>
      <c r="K56" s="2922"/>
      <c r="L56" s="2922"/>
      <c r="M56" s="1171"/>
      <c r="N56" s="2923" t="str">
        <f t="shared" si="0"/>
        <v/>
      </c>
      <c r="O56" s="2923"/>
      <c r="P56" s="2923"/>
      <c r="Q56" s="1024"/>
      <c r="R56" s="1174"/>
      <c r="S56" s="1493"/>
      <c r="T56" s="1173"/>
    </row>
    <row r="57" spans="1:20" ht="12.75" hidden="1" customHeight="1">
      <c r="A57" s="636"/>
      <c r="B57" s="700"/>
      <c r="C57" s="2921"/>
      <c r="D57" s="2921"/>
      <c r="E57" s="1172"/>
      <c r="F57" s="696"/>
      <c r="G57" s="638"/>
      <c r="H57" s="2922"/>
      <c r="I57" s="2922"/>
      <c r="J57" s="2922"/>
      <c r="K57" s="2922"/>
      <c r="L57" s="2922"/>
      <c r="M57" s="1171"/>
      <c r="N57" s="2923" t="str">
        <f t="shared" si="0"/>
        <v/>
      </c>
      <c r="O57" s="2923"/>
      <c r="P57" s="2923"/>
      <c r="Q57" s="1024"/>
      <c r="R57" s="1174"/>
      <c r="S57" s="1493"/>
      <c r="T57" s="1173"/>
    </row>
    <row r="58" spans="1:20" ht="12.75" hidden="1" customHeight="1">
      <c r="A58" s="636"/>
      <c r="B58" s="700"/>
      <c r="C58" s="2921"/>
      <c r="D58" s="2921"/>
      <c r="E58" s="1172"/>
      <c r="F58" s="696"/>
      <c r="G58" s="638"/>
      <c r="H58" s="2922"/>
      <c r="I58" s="2922"/>
      <c r="J58" s="2922"/>
      <c r="K58" s="2922"/>
      <c r="L58" s="2922"/>
      <c r="M58" s="1171"/>
      <c r="N58" s="2923" t="str">
        <f t="shared" si="0"/>
        <v/>
      </c>
      <c r="O58" s="2923"/>
      <c r="P58" s="2923"/>
      <c r="Q58" s="1024"/>
      <c r="R58" s="1174"/>
      <c r="S58" s="1493"/>
      <c r="T58" s="1173"/>
    </row>
    <row r="59" spans="1:20" ht="12.75" hidden="1" customHeight="1">
      <c r="A59" s="636"/>
      <c r="B59" s="700"/>
      <c r="C59" s="2921"/>
      <c r="D59" s="2921"/>
      <c r="E59" s="1172"/>
      <c r="F59" s="696"/>
      <c r="G59" s="638"/>
      <c r="H59" s="2922"/>
      <c r="I59" s="2922"/>
      <c r="J59" s="2922"/>
      <c r="K59" s="2922"/>
      <c r="L59" s="2922"/>
      <c r="M59" s="1171"/>
      <c r="N59" s="2923" t="str">
        <f t="shared" si="0"/>
        <v/>
      </c>
      <c r="O59" s="2923"/>
      <c r="P59" s="2923"/>
      <c r="Q59" s="1024"/>
      <c r="R59" s="1174"/>
      <c r="S59" s="1493"/>
      <c r="T59" s="1173"/>
    </row>
    <row r="60" spans="1:20" ht="12.75" hidden="1" customHeight="1">
      <c r="A60" s="636"/>
      <c r="B60" s="700"/>
      <c r="C60" s="2921"/>
      <c r="D60" s="2921"/>
      <c r="E60" s="1172"/>
      <c r="F60" s="696"/>
      <c r="G60" s="638"/>
      <c r="H60" s="2922"/>
      <c r="I60" s="2922"/>
      <c r="J60" s="2922"/>
      <c r="K60" s="2922"/>
      <c r="L60" s="2922"/>
      <c r="M60" s="1171"/>
      <c r="N60" s="2923" t="str">
        <f t="shared" si="0"/>
        <v/>
      </c>
      <c r="O60" s="2923"/>
      <c r="P60" s="2923"/>
      <c r="Q60" s="1024"/>
      <c r="R60" s="1174"/>
      <c r="S60" s="1493"/>
      <c r="T60" s="1173"/>
    </row>
    <row r="61" spans="1:20" ht="12.75" hidden="1" customHeight="1">
      <c r="A61" s="636"/>
      <c r="B61" s="700"/>
      <c r="C61" s="2921"/>
      <c r="D61" s="2921"/>
      <c r="E61" s="1172"/>
      <c r="F61" s="696"/>
      <c r="G61" s="638"/>
      <c r="H61" s="2922"/>
      <c r="I61" s="2922"/>
      <c r="J61" s="2922"/>
      <c r="K61" s="2922"/>
      <c r="L61" s="2922"/>
      <c r="M61" s="1171"/>
      <c r="N61" s="2923" t="str">
        <f t="shared" si="0"/>
        <v/>
      </c>
      <c r="O61" s="2923"/>
      <c r="P61" s="2923"/>
      <c r="Q61" s="1024"/>
      <c r="R61" s="1174"/>
      <c r="S61" s="1493"/>
      <c r="T61" s="1173"/>
    </row>
    <row r="62" spans="1:20" ht="12.75" hidden="1" customHeight="1">
      <c r="A62" s="636"/>
      <c r="B62" s="700"/>
      <c r="C62" s="2921"/>
      <c r="D62" s="2921"/>
      <c r="E62" s="1172"/>
      <c r="F62" s="696"/>
      <c r="G62" s="638"/>
      <c r="H62" s="2922"/>
      <c r="I62" s="2922"/>
      <c r="J62" s="2922"/>
      <c r="K62" s="2922"/>
      <c r="L62" s="2922"/>
      <c r="M62" s="1171"/>
      <c r="N62" s="2923" t="str">
        <f t="shared" si="0"/>
        <v/>
      </c>
      <c r="O62" s="2923"/>
      <c r="P62" s="2923"/>
      <c r="Q62" s="1024"/>
      <c r="R62" s="1174"/>
      <c r="S62" s="1493"/>
      <c r="T62" s="1173"/>
    </row>
    <row r="63" spans="1:20" ht="12.75" hidden="1" customHeight="1">
      <c r="A63" s="636"/>
      <c r="B63" s="700"/>
      <c r="C63" s="2921"/>
      <c r="D63" s="2921"/>
      <c r="E63" s="1172"/>
      <c r="F63" s="696"/>
      <c r="G63" s="638"/>
      <c r="H63" s="2922"/>
      <c r="I63" s="2922"/>
      <c r="J63" s="2922"/>
      <c r="K63" s="2922"/>
      <c r="L63" s="2922"/>
      <c r="M63" s="1171"/>
      <c r="N63" s="2923" t="str">
        <f t="shared" si="0"/>
        <v/>
      </c>
      <c r="O63" s="2923"/>
      <c r="P63" s="2923"/>
      <c r="Q63" s="1024"/>
      <c r="R63" s="1174"/>
      <c r="S63" s="1493"/>
      <c r="T63" s="1173"/>
    </row>
    <row r="64" spans="1:20" ht="12.75" hidden="1" customHeight="1">
      <c r="A64" s="636"/>
      <c r="B64" s="700"/>
      <c r="C64" s="2921"/>
      <c r="D64" s="2921"/>
      <c r="E64" s="1172"/>
      <c r="F64" s="696"/>
      <c r="G64" s="638"/>
      <c r="H64" s="2922"/>
      <c r="I64" s="2922"/>
      <c r="J64" s="2922"/>
      <c r="K64" s="2922"/>
      <c r="L64" s="2922"/>
      <c r="M64" s="1171"/>
      <c r="N64" s="2923" t="str">
        <f t="shared" si="0"/>
        <v/>
      </c>
      <c r="O64" s="2923"/>
      <c r="P64" s="2923"/>
      <c r="Q64" s="1024"/>
      <c r="R64" s="1174"/>
      <c r="S64" s="1493"/>
      <c r="T64" s="1173"/>
    </row>
    <row r="65" spans="1:20" ht="12.75" hidden="1" customHeight="1">
      <c r="A65" s="636"/>
      <c r="B65" s="700"/>
      <c r="C65" s="2921"/>
      <c r="D65" s="2921"/>
      <c r="E65" s="1172"/>
      <c r="F65" s="696"/>
      <c r="G65" s="638"/>
      <c r="H65" s="2922"/>
      <c r="I65" s="2922"/>
      <c r="J65" s="2922"/>
      <c r="K65" s="2922"/>
      <c r="L65" s="2922"/>
      <c r="M65" s="1171"/>
      <c r="N65" s="2923" t="str">
        <f t="shared" si="0"/>
        <v/>
      </c>
      <c r="O65" s="2923"/>
      <c r="P65" s="2923"/>
      <c r="Q65" s="1024"/>
      <c r="R65" s="1174"/>
      <c r="S65" s="1493"/>
      <c r="T65" s="1173"/>
    </row>
    <row r="66" spans="1:20" ht="12.75" hidden="1" customHeight="1">
      <c r="A66" s="636"/>
      <c r="B66" s="700"/>
      <c r="C66" s="2921"/>
      <c r="D66" s="2921"/>
      <c r="E66" s="1172"/>
      <c r="F66" s="696"/>
      <c r="G66" s="638"/>
      <c r="H66" s="2922"/>
      <c r="I66" s="2922"/>
      <c r="J66" s="2922"/>
      <c r="K66" s="2922"/>
      <c r="L66" s="2922"/>
      <c r="M66" s="1171"/>
      <c r="N66" s="2923" t="str">
        <f t="shared" si="0"/>
        <v/>
      </c>
      <c r="O66" s="2923"/>
      <c r="P66" s="2923"/>
      <c r="Q66" s="1024"/>
      <c r="R66" s="1174"/>
      <c r="S66" s="1493"/>
      <c r="T66" s="1173"/>
    </row>
    <row r="67" spans="1:20" ht="12.75" hidden="1" customHeight="1">
      <c r="A67" s="636"/>
      <c r="B67" s="700"/>
      <c r="C67" s="2921"/>
      <c r="D67" s="2921"/>
      <c r="E67" s="1172"/>
      <c r="F67" s="696"/>
      <c r="G67" s="638"/>
      <c r="H67" s="2922"/>
      <c r="I67" s="2922"/>
      <c r="J67" s="2922"/>
      <c r="K67" s="2922"/>
      <c r="L67" s="2922"/>
      <c r="M67" s="1171"/>
      <c r="N67" s="2923" t="str">
        <f t="shared" si="0"/>
        <v/>
      </c>
      <c r="O67" s="2923"/>
      <c r="P67" s="2923"/>
      <c r="Q67" s="1024"/>
      <c r="R67" s="1174"/>
      <c r="S67" s="1493"/>
      <c r="T67" s="1173"/>
    </row>
    <row r="68" spans="1:20" ht="12.75" hidden="1" customHeight="1">
      <c r="A68" s="636"/>
      <c r="B68" s="700"/>
      <c r="C68" s="2921"/>
      <c r="D68" s="2921"/>
      <c r="E68" s="1172"/>
      <c r="F68" s="696"/>
      <c r="G68" s="638"/>
      <c r="H68" s="2922"/>
      <c r="I68" s="2922"/>
      <c r="J68" s="2922"/>
      <c r="K68" s="2922"/>
      <c r="L68" s="2922"/>
      <c r="M68" s="1171"/>
      <c r="N68" s="2923" t="str">
        <f t="shared" si="0"/>
        <v/>
      </c>
      <c r="O68" s="2923"/>
      <c r="P68" s="2923"/>
      <c r="Q68" s="1024"/>
      <c r="R68" s="1174"/>
      <c r="S68" s="1493"/>
      <c r="T68" s="1173"/>
    </row>
    <row r="69" spans="1:20" ht="12.75" hidden="1" customHeight="1">
      <c r="A69" s="636"/>
      <c r="B69" s="700"/>
      <c r="C69" s="2921"/>
      <c r="D69" s="2921"/>
      <c r="E69" s="1172"/>
      <c r="F69" s="696"/>
      <c r="G69" s="638"/>
      <c r="H69" s="2922"/>
      <c r="I69" s="2922"/>
      <c r="J69" s="2922"/>
      <c r="K69" s="2922"/>
      <c r="L69" s="2922"/>
      <c r="M69" s="1171"/>
      <c r="N69" s="2923" t="str">
        <f t="shared" si="0"/>
        <v/>
      </c>
      <c r="O69" s="2923"/>
      <c r="P69" s="2923"/>
      <c r="Q69" s="1024"/>
      <c r="R69" s="1174"/>
      <c r="S69" s="1493"/>
      <c r="T69" s="1173"/>
    </row>
    <row r="70" spans="1:20" ht="12.75" hidden="1" customHeight="1">
      <c r="A70" s="636"/>
      <c r="B70" s="700"/>
      <c r="C70" s="2921"/>
      <c r="D70" s="2921"/>
      <c r="E70" s="1172"/>
      <c r="F70" s="696"/>
      <c r="G70" s="638"/>
      <c r="H70" s="2922"/>
      <c r="I70" s="2922"/>
      <c r="J70" s="2922"/>
      <c r="K70" s="2922"/>
      <c r="L70" s="2922"/>
      <c r="M70" s="1171"/>
      <c r="N70" s="2923" t="str">
        <f t="shared" si="0"/>
        <v/>
      </c>
      <c r="O70" s="2923"/>
      <c r="P70" s="2923"/>
      <c r="Q70" s="1024"/>
      <c r="R70" s="1174"/>
      <c r="S70" s="1493"/>
      <c r="T70" s="1173"/>
    </row>
    <row r="71" spans="1:20" ht="12.75" hidden="1" customHeight="1">
      <c r="A71" s="636"/>
      <c r="B71" s="700"/>
      <c r="C71" s="2921"/>
      <c r="D71" s="2921"/>
      <c r="E71" s="1172"/>
      <c r="F71" s="696"/>
      <c r="G71" s="638"/>
      <c r="H71" s="2922"/>
      <c r="I71" s="2922"/>
      <c r="J71" s="2922"/>
      <c r="K71" s="2922"/>
      <c r="L71" s="2922"/>
      <c r="M71" s="1171"/>
      <c r="N71" s="2923" t="str">
        <f t="shared" si="0"/>
        <v/>
      </c>
      <c r="O71" s="2923"/>
      <c r="P71" s="2923"/>
      <c r="Q71" s="1024"/>
      <c r="R71" s="1174"/>
      <c r="S71" s="1493"/>
      <c r="T71" s="1173"/>
    </row>
    <row r="72" spans="1:20" ht="12.75" hidden="1" customHeight="1">
      <c r="A72" s="636"/>
      <c r="B72" s="700"/>
      <c r="C72" s="2921"/>
      <c r="D72" s="2921"/>
      <c r="E72" s="1172"/>
      <c r="F72" s="696"/>
      <c r="G72" s="638"/>
      <c r="H72" s="2922"/>
      <c r="I72" s="2922"/>
      <c r="J72" s="2922"/>
      <c r="K72" s="2922"/>
      <c r="L72" s="2922"/>
      <c r="M72" s="1171"/>
      <c r="N72" s="2923" t="str">
        <f t="shared" ref="N72:N135" si="1">IFERROR(VLOOKUP(M72,$S$7:$T$66,2,0),"")</f>
        <v/>
      </c>
      <c r="O72" s="2923"/>
      <c r="P72" s="2923"/>
      <c r="Q72" s="1024"/>
      <c r="R72" s="1174"/>
      <c r="S72" s="1493"/>
      <c r="T72" s="1173"/>
    </row>
    <row r="73" spans="1:20" ht="12.75" hidden="1" customHeight="1">
      <c r="A73" s="636"/>
      <c r="B73" s="700"/>
      <c r="C73" s="2921"/>
      <c r="D73" s="2921"/>
      <c r="E73" s="1172"/>
      <c r="F73" s="696"/>
      <c r="G73" s="638"/>
      <c r="H73" s="2922"/>
      <c r="I73" s="2922"/>
      <c r="J73" s="2922"/>
      <c r="K73" s="2922"/>
      <c r="L73" s="2922"/>
      <c r="M73" s="1171"/>
      <c r="N73" s="2923" t="str">
        <f t="shared" si="1"/>
        <v/>
      </c>
      <c r="O73" s="2923"/>
      <c r="P73" s="2923"/>
      <c r="Q73" s="1024"/>
      <c r="R73" s="1174"/>
      <c r="S73" s="1493"/>
      <c r="T73" s="1173"/>
    </row>
    <row r="74" spans="1:20" ht="12.75" hidden="1" customHeight="1">
      <c r="A74" s="636"/>
      <c r="B74" s="700"/>
      <c r="C74" s="2921"/>
      <c r="D74" s="2921"/>
      <c r="E74" s="1172"/>
      <c r="F74" s="696"/>
      <c r="G74" s="638"/>
      <c r="H74" s="2922"/>
      <c r="I74" s="2922"/>
      <c r="J74" s="2922"/>
      <c r="K74" s="2922"/>
      <c r="L74" s="2922"/>
      <c r="M74" s="1171"/>
      <c r="N74" s="2923" t="str">
        <f t="shared" si="1"/>
        <v/>
      </c>
      <c r="O74" s="2923"/>
      <c r="P74" s="2923"/>
      <c r="Q74" s="1024"/>
      <c r="R74" s="1174"/>
      <c r="S74" s="1493"/>
      <c r="T74" s="1173"/>
    </row>
    <row r="75" spans="1:20" ht="12.75" hidden="1" customHeight="1">
      <c r="A75" s="636"/>
      <c r="B75" s="700"/>
      <c r="C75" s="2921"/>
      <c r="D75" s="2921"/>
      <c r="E75" s="1172"/>
      <c r="F75" s="696"/>
      <c r="G75" s="638"/>
      <c r="H75" s="2922"/>
      <c r="I75" s="2922"/>
      <c r="J75" s="2922"/>
      <c r="K75" s="2922"/>
      <c r="L75" s="2922"/>
      <c r="M75" s="1171"/>
      <c r="N75" s="2923" t="str">
        <f t="shared" si="1"/>
        <v/>
      </c>
      <c r="O75" s="2923"/>
      <c r="P75" s="2923"/>
      <c r="Q75" s="1024"/>
      <c r="R75" s="1174"/>
      <c r="S75" s="1493"/>
      <c r="T75" s="1173"/>
    </row>
    <row r="76" spans="1:20" ht="12.75" hidden="1" customHeight="1">
      <c r="A76" s="636"/>
      <c r="B76" s="700"/>
      <c r="C76" s="2921"/>
      <c r="D76" s="2921"/>
      <c r="E76" s="1172"/>
      <c r="F76" s="696"/>
      <c r="G76" s="638"/>
      <c r="H76" s="2922"/>
      <c r="I76" s="2922"/>
      <c r="J76" s="2922"/>
      <c r="K76" s="2922"/>
      <c r="L76" s="2922"/>
      <c r="M76" s="1171"/>
      <c r="N76" s="2923" t="str">
        <f t="shared" si="1"/>
        <v/>
      </c>
      <c r="O76" s="2923"/>
      <c r="P76" s="2923"/>
      <c r="Q76" s="1024"/>
      <c r="R76" s="1174"/>
      <c r="S76" s="1493"/>
      <c r="T76" s="1173"/>
    </row>
    <row r="77" spans="1:20" ht="12.75" hidden="1" customHeight="1">
      <c r="A77" s="636"/>
      <c r="B77" s="700"/>
      <c r="C77" s="2921"/>
      <c r="D77" s="2921"/>
      <c r="E77" s="1172"/>
      <c r="F77" s="696"/>
      <c r="G77" s="638"/>
      <c r="H77" s="2922"/>
      <c r="I77" s="2922"/>
      <c r="J77" s="2922"/>
      <c r="K77" s="2922"/>
      <c r="L77" s="2922"/>
      <c r="M77" s="1171"/>
      <c r="N77" s="2923" t="str">
        <f t="shared" si="1"/>
        <v/>
      </c>
      <c r="O77" s="2923"/>
      <c r="P77" s="2923"/>
      <c r="Q77" s="1024"/>
      <c r="R77" s="1174"/>
      <c r="S77" s="1493"/>
      <c r="T77" s="1173"/>
    </row>
    <row r="78" spans="1:20" ht="12.75" hidden="1" customHeight="1">
      <c r="A78" s="636"/>
      <c r="B78" s="700"/>
      <c r="C78" s="2921"/>
      <c r="D78" s="2921"/>
      <c r="E78" s="1172"/>
      <c r="F78" s="696"/>
      <c r="G78" s="638"/>
      <c r="H78" s="2922"/>
      <c r="I78" s="2922"/>
      <c r="J78" s="2922"/>
      <c r="K78" s="2922"/>
      <c r="L78" s="2922"/>
      <c r="M78" s="1171"/>
      <c r="N78" s="2923" t="str">
        <f t="shared" si="1"/>
        <v/>
      </c>
      <c r="O78" s="2923"/>
      <c r="P78" s="2923"/>
      <c r="Q78" s="1024"/>
      <c r="R78" s="1174"/>
      <c r="S78" s="1493"/>
      <c r="T78" s="1173"/>
    </row>
    <row r="79" spans="1:20" ht="12.75" hidden="1" customHeight="1">
      <c r="A79" s="636"/>
      <c r="B79" s="700"/>
      <c r="C79" s="2921"/>
      <c r="D79" s="2921"/>
      <c r="E79" s="1172"/>
      <c r="F79" s="696"/>
      <c r="G79" s="638"/>
      <c r="H79" s="2922"/>
      <c r="I79" s="2922"/>
      <c r="J79" s="2922"/>
      <c r="K79" s="2922"/>
      <c r="L79" s="2922"/>
      <c r="M79" s="1171"/>
      <c r="N79" s="2923" t="str">
        <f t="shared" si="1"/>
        <v/>
      </c>
      <c r="O79" s="2923"/>
      <c r="P79" s="2923"/>
      <c r="Q79" s="1024"/>
      <c r="R79" s="1174"/>
      <c r="S79" s="1493"/>
      <c r="T79" s="1173"/>
    </row>
    <row r="80" spans="1:20" ht="12.75" hidden="1" customHeight="1">
      <c r="A80" s="636"/>
      <c r="B80" s="700"/>
      <c r="C80" s="2921"/>
      <c r="D80" s="2921"/>
      <c r="E80" s="1172"/>
      <c r="F80" s="696"/>
      <c r="G80" s="638"/>
      <c r="H80" s="2922"/>
      <c r="I80" s="2922"/>
      <c r="J80" s="2922"/>
      <c r="K80" s="2922"/>
      <c r="L80" s="2922"/>
      <c r="M80" s="1171"/>
      <c r="N80" s="2923" t="str">
        <f t="shared" si="1"/>
        <v/>
      </c>
      <c r="O80" s="2923"/>
      <c r="P80" s="2923"/>
      <c r="Q80" s="1024"/>
      <c r="R80" s="1174"/>
      <c r="S80" s="1493"/>
      <c r="T80" s="1173"/>
    </row>
    <row r="81" spans="1:20" ht="12.75" hidden="1" customHeight="1">
      <c r="A81" s="636"/>
      <c r="B81" s="700"/>
      <c r="C81" s="2921"/>
      <c r="D81" s="2921"/>
      <c r="E81" s="1172"/>
      <c r="F81" s="696"/>
      <c r="G81" s="638"/>
      <c r="H81" s="2922"/>
      <c r="I81" s="2922"/>
      <c r="J81" s="2922"/>
      <c r="K81" s="2922"/>
      <c r="L81" s="2922"/>
      <c r="M81" s="1171"/>
      <c r="N81" s="2923" t="str">
        <f t="shared" si="1"/>
        <v/>
      </c>
      <c r="O81" s="2923"/>
      <c r="P81" s="2923"/>
      <c r="Q81" s="1024"/>
      <c r="R81" s="1174"/>
      <c r="S81" s="1493"/>
      <c r="T81" s="1173"/>
    </row>
    <row r="82" spans="1:20" ht="12.75" hidden="1" customHeight="1">
      <c r="A82" s="636"/>
      <c r="B82" s="700"/>
      <c r="C82" s="2921"/>
      <c r="D82" s="2921"/>
      <c r="E82" s="1172"/>
      <c r="F82" s="696"/>
      <c r="G82" s="638"/>
      <c r="H82" s="2922"/>
      <c r="I82" s="2922"/>
      <c r="J82" s="2922"/>
      <c r="K82" s="2922"/>
      <c r="L82" s="2922"/>
      <c r="M82" s="1171"/>
      <c r="N82" s="2923" t="str">
        <f t="shared" si="1"/>
        <v/>
      </c>
      <c r="O82" s="2923"/>
      <c r="P82" s="2923"/>
      <c r="Q82" s="1024"/>
      <c r="R82" s="1174"/>
      <c r="S82" s="1493"/>
      <c r="T82" s="1173"/>
    </row>
    <row r="83" spans="1:20" ht="12.75" hidden="1" customHeight="1">
      <c r="A83" s="636"/>
      <c r="B83" s="700"/>
      <c r="C83" s="2921"/>
      <c r="D83" s="2921"/>
      <c r="E83" s="1172"/>
      <c r="F83" s="696"/>
      <c r="G83" s="638"/>
      <c r="H83" s="2922"/>
      <c r="I83" s="2922"/>
      <c r="J83" s="2922"/>
      <c r="K83" s="2922"/>
      <c r="L83" s="2922"/>
      <c r="M83" s="1171"/>
      <c r="N83" s="2923" t="str">
        <f t="shared" si="1"/>
        <v/>
      </c>
      <c r="O83" s="2923"/>
      <c r="P83" s="2923"/>
      <c r="Q83" s="1024"/>
      <c r="R83" s="1174"/>
      <c r="S83" s="1493"/>
      <c r="T83" s="1173"/>
    </row>
    <row r="84" spans="1:20" ht="12.75" hidden="1" customHeight="1">
      <c r="A84" s="636"/>
      <c r="B84" s="700"/>
      <c r="C84" s="2921"/>
      <c r="D84" s="2921"/>
      <c r="E84" s="1172"/>
      <c r="F84" s="696"/>
      <c r="G84" s="638"/>
      <c r="H84" s="2922"/>
      <c r="I84" s="2922"/>
      <c r="J84" s="2922"/>
      <c r="K84" s="2922"/>
      <c r="L84" s="2922"/>
      <c r="M84" s="1171"/>
      <c r="N84" s="2923" t="str">
        <f t="shared" si="1"/>
        <v/>
      </c>
      <c r="O84" s="2923"/>
      <c r="P84" s="2923"/>
      <c r="Q84" s="1024"/>
      <c r="R84" s="1174"/>
      <c r="S84" s="1493"/>
      <c r="T84" s="1173"/>
    </row>
    <row r="85" spans="1:20" ht="12.75" hidden="1" customHeight="1">
      <c r="A85" s="636"/>
      <c r="B85" s="700"/>
      <c r="C85" s="2921"/>
      <c r="D85" s="2921"/>
      <c r="E85" s="1172"/>
      <c r="F85" s="696"/>
      <c r="G85" s="638"/>
      <c r="H85" s="2922"/>
      <c r="I85" s="2922"/>
      <c r="J85" s="2922"/>
      <c r="K85" s="2922"/>
      <c r="L85" s="2922"/>
      <c r="M85" s="1171"/>
      <c r="N85" s="2923" t="str">
        <f t="shared" si="1"/>
        <v/>
      </c>
      <c r="O85" s="2923"/>
      <c r="P85" s="2923"/>
      <c r="Q85" s="1024"/>
      <c r="R85" s="1174"/>
      <c r="S85" s="1493"/>
      <c r="T85" s="1173"/>
    </row>
    <row r="86" spans="1:20" ht="12.75" hidden="1" customHeight="1">
      <c r="A86" s="636"/>
      <c r="B86" s="700"/>
      <c r="C86" s="2921"/>
      <c r="D86" s="2921"/>
      <c r="E86" s="1172"/>
      <c r="F86" s="696"/>
      <c r="G86" s="638"/>
      <c r="H86" s="2922"/>
      <c r="I86" s="2922"/>
      <c r="J86" s="2922"/>
      <c r="K86" s="2922"/>
      <c r="L86" s="2922"/>
      <c r="M86" s="1171"/>
      <c r="N86" s="2923" t="str">
        <f t="shared" si="1"/>
        <v/>
      </c>
      <c r="O86" s="2923"/>
      <c r="P86" s="2923"/>
      <c r="Q86" s="1024"/>
      <c r="R86" s="1174"/>
      <c r="S86" s="1493"/>
      <c r="T86" s="1173"/>
    </row>
    <row r="87" spans="1:20" ht="12.75" hidden="1" customHeight="1">
      <c r="A87" s="636"/>
      <c r="B87" s="700"/>
      <c r="C87" s="2921"/>
      <c r="D87" s="2921"/>
      <c r="E87" s="1172"/>
      <c r="F87" s="696"/>
      <c r="G87" s="638"/>
      <c r="H87" s="2922"/>
      <c r="I87" s="2922"/>
      <c r="J87" s="2922"/>
      <c r="K87" s="2922"/>
      <c r="L87" s="2922"/>
      <c r="M87" s="1171"/>
      <c r="N87" s="2923" t="str">
        <f t="shared" si="1"/>
        <v/>
      </c>
      <c r="O87" s="2923"/>
      <c r="P87" s="2923"/>
      <c r="Q87" s="1024"/>
      <c r="R87" s="1174"/>
      <c r="S87" s="1493"/>
      <c r="T87" s="1173"/>
    </row>
    <row r="88" spans="1:20" ht="12.75" hidden="1" customHeight="1">
      <c r="A88" s="636"/>
      <c r="B88" s="700"/>
      <c r="C88" s="2921"/>
      <c r="D88" s="2921"/>
      <c r="E88" s="1172"/>
      <c r="F88" s="696"/>
      <c r="G88" s="638"/>
      <c r="H88" s="2922"/>
      <c r="I88" s="2922"/>
      <c r="J88" s="2922"/>
      <c r="K88" s="2922"/>
      <c r="L88" s="2922"/>
      <c r="M88" s="1171"/>
      <c r="N88" s="2923" t="str">
        <f t="shared" si="1"/>
        <v/>
      </c>
      <c r="O88" s="2923"/>
      <c r="P88" s="2923"/>
      <c r="Q88" s="1024"/>
      <c r="R88" s="1174"/>
      <c r="S88" s="1493"/>
      <c r="T88" s="1173"/>
    </row>
    <row r="89" spans="1:20" ht="12.75" hidden="1" customHeight="1">
      <c r="A89" s="636"/>
      <c r="B89" s="700"/>
      <c r="C89" s="2921"/>
      <c r="D89" s="2921"/>
      <c r="E89" s="1172"/>
      <c r="F89" s="696"/>
      <c r="G89" s="638"/>
      <c r="H89" s="2922"/>
      <c r="I89" s="2922"/>
      <c r="J89" s="2922"/>
      <c r="K89" s="2922"/>
      <c r="L89" s="2922"/>
      <c r="M89" s="1171"/>
      <c r="N89" s="2923" t="str">
        <f t="shared" si="1"/>
        <v/>
      </c>
      <c r="O89" s="2923"/>
      <c r="P89" s="2923"/>
      <c r="Q89" s="1024"/>
      <c r="R89" s="1174"/>
      <c r="S89" s="1493"/>
      <c r="T89" s="1173"/>
    </row>
    <row r="90" spans="1:20" ht="12.75" hidden="1" customHeight="1">
      <c r="A90" s="636"/>
      <c r="B90" s="700"/>
      <c r="C90" s="2921"/>
      <c r="D90" s="2921"/>
      <c r="E90" s="1172"/>
      <c r="F90" s="696"/>
      <c r="G90" s="638"/>
      <c r="H90" s="2922"/>
      <c r="I90" s="2922"/>
      <c r="J90" s="2922"/>
      <c r="K90" s="2922"/>
      <c r="L90" s="2922"/>
      <c r="M90" s="1171"/>
      <c r="N90" s="2923" t="str">
        <f t="shared" si="1"/>
        <v/>
      </c>
      <c r="O90" s="2923"/>
      <c r="P90" s="2923"/>
      <c r="Q90" s="1024"/>
      <c r="R90" s="1174"/>
      <c r="S90" s="1493"/>
      <c r="T90" s="1173"/>
    </row>
    <row r="91" spans="1:20" ht="12.75" hidden="1" customHeight="1">
      <c r="A91" s="636"/>
      <c r="B91" s="700"/>
      <c r="C91" s="2921"/>
      <c r="D91" s="2921"/>
      <c r="E91" s="1172"/>
      <c r="F91" s="696"/>
      <c r="G91" s="638"/>
      <c r="H91" s="2922"/>
      <c r="I91" s="2922"/>
      <c r="J91" s="2922"/>
      <c r="K91" s="2922"/>
      <c r="L91" s="2922"/>
      <c r="M91" s="1171"/>
      <c r="N91" s="2923" t="str">
        <f t="shared" si="1"/>
        <v/>
      </c>
      <c r="O91" s="2923"/>
      <c r="P91" s="2923"/>
      <c r="Q91" s="1024"/>
      <c r="R91" s="1174"/>
      <c r="S91" s="1493"/>
      <c r="T91" s="1173"/>
    </row>
    <row r="92" spans="1:20" ht="12.75" hidden="1" customHeight="1">
      <c r="A92" s="636"/>
      <c r="B92" s="700"/>
      <c r="C92" s="2921"/>
      <c r="D92" s="2921"/>
      <c r="E92" s="1172"/>
      <c r="F92" s="696"/>
      <c r="G92" s="638"/>
      <c r="H92" s="2922"/>
      <c r="I92" s="2922"/>
      <c r="J92" s="2922"/>
      <c r="K92" s="2922"/>
      <c r="L92" s="2922"/>
      <c r="M92" s="1171"/>
      <c r="N92" s="2923" t="str">
        <f t="shared" si="1"/>
        <v/>
      </c>
      <c r="O92" s="2923"/>
      <c r="P92" s="2923"/>
      <c r="Q92" s="1024"/>
      <c r="R92" s="1174"/>
      <c r="S92" s="1493"/>
      <c r="T92" s="1173"/>
    </row>
    <row r="93" spans="1:20" ht="12.75" hidden="1" customHeight="1">
      <c r="A93" s="636"/>
      <c r="B93" s="700"/>
      <c r="C93" s="2921"/>
      <c r="D93" s="2921"/>
      <c r="E93" s="1172"/>
      <c r="F93" s="696"/>
      <c r="G93" s="638"/>
      <c r="H93" s="2922"/>
      <c r="I93" s="2922"/>
      <c r="J93" s="2922"/>
      <c r="K93" s="2922"/>
      <c r="L93" s="2922"/>
      <c r="M93" s="1171"/>
      <c r="N93" s="2923" t="str">
        <f t="shared" si="1"/>
        <v/>
      </c>
      <c r="O93" s="2923"/>
      <c r="P93" s="2923"/>
      <c r="Q93" s="1024"/>
      <c r="R93" s="1174"/>
      <c r="S93" s="1493"/>
      <c r="T93" s="1173"/>
    </row>
    <row r="94" spans="1:20" ht="12.75" hidden="1" customHeight="1">
      <c r="A94" s="636"/>
      <c r="B94" s="700"/>
      <c r="C94" s="2921"/>
      <c r="D94" s="2921"/>
      <c r="E94" s="1172"/>
      <c r="F94" s="696"/>
      <c r="G94" s="638"/>
      <c r="H94" s="2922"/>
      <c r="I94" s="2922"/>
      <c r="J94" s="2922"/>
      <c r="K94" s="2922"/>
      <c r="L94" s="2922"/>
      <c r="M94" s="1171"/>
      <c r="N94" s="2923" t="str">
        <f t="shared" si="1"/>
        <v/>
      </c>
      <c r="O94" s="2923"/>
      <c r="P94" s="2923"/>
      <c r="Q94" s="1024"/>
      <c r="R94" s="1174"/>
      <c r="S94" s="1493"/>
      <c r="T94" s="1173"/>
    </row>
    <row r="95" spans="1:20" ht="12.75" hidden="1" customHeight="1">
      <c r="A95" s="636"/>
      <c r="B95" s="700"/>
      <c r="C95" s="2921"/>
      <c r="D95" s="2921"/>
      <c r="E95" s="1172"/>
      <c r="F95" s="696"/>
      <c r="G95" s="638"/>
      <c r="H95" s="2922"/>
      <c r="I95" s="2922"/>
      <c r="J95" s="2922"/>
      <c r="K95" s="2922"/>
      <c r="L95" s="2922"/>
      <c r="M95" s="1171"/>
      <c r="N95" s="2923" t="str">
        <f t="shared" si="1"/>
        <v/>
      </c>
      <c r="O95" s="2923"/>
      <c r="P95" s="2923"/>
      <c r="Q95" s="1024"/>
      <c r="R95" s="1174"/>
      <c r="S95" s="1493"/>
      <c r="T95" s="1173"/>
    </row>
    <row r="96" spans="1:20" ht="12.75" hidden="1" customHeight="1">
      <c r="A96" s="636"/>
      <c r="B96" s="700"/>
      <c r="C96" s="2921"/>
      <c r="D96" s="2921"/>
      <c r="E96" s="1172"/>
      <c r="F96" s="696"/>
      <c r="G96" s="638"/>
      <c r="H96" s="2922"/>
      <c r="I96" s="2922"/>
      <c r="J96" s="2922"/>
      <c r="K96" s="2922"/>
      <c r="L96" s="2922"/>
      <c r="M96" s="1171"/>
      <c r="N96" s="2923" t="str">
        <f t="shared" si="1"/>
        <v/>
      </c>
      <c r="O96" s="2923"/>
      <c r="P96" s="2923"/>
      <c r="Q96" s="1024"/>
      <c r="R96" s="1174"/>
      <c r="S96" s="1493"/>
      <c r="T96" s="1173"/>
    </row>
    <row r="97" spans="1:20" ht="12.75" hidden="1" customHeight="1">
      <c r="A97" s="636"/>
      <c r="B97" s="700"/>
      <c r="C97" s="2921"/>
      <c r="D97" s="2921"/>
      <c r="E97" s="1172"/>
      <c r="F97" s="696"/>
      <c r="G97" s="638"/>
      <c r="H97" s="2922"/>
      <c r="I97" s="2922"/>
      <c r="J97" s="2922"/>
      <c r="K97" s="2922"/>
      <c r="L97" s="2922"/>
      <c r="M97" s="1171"/>
      <c r="N97" s="2923" t="str">
        <f t="shared" si="1"/>
        <v/>
      </c>
      <c r="O97" s="2923"/>
      <c r="P97" s="2923"/>
      <c r="Q97" s="1024"/>
      <c r="R97" s="1174"/>
      <c r="S97" s="1493"/>
      <c r="T97" s="1173"/>
    </row>
    <row r="98" spans="1:20" ht="12.75" hidden="1" customHeight="1">
      <c r="A98" s="636"/>
      <c r="B98" s="700"/>
      <c r="C98" s="2921"/>
      <c r="D98" s="2921"/>
      <c r="E98" s="1172"/>
      <c r="F98" s="696"/>
      <c r="G98" s="638"/>
      <c r="H98" s="2922"/>
      <c r="I98" s="2922"/>
      <c r="J98" s="2922"/>
      <c r="K98" s="2922"/>
      <c r="L98" s="2922"/>
      <c r="M98" s="1171"/>
      <c r="N98" s="2923" t="str">
        <f t="shared" si="1"/>
        <v/>
      </c>
      <c r="O98" s="2923"/>
      <c r="P98" s="2923"/>
      <c r="Q98" s="1024"/>
      <c r="R98" s="1174"/>
      <c r="S98" s="1493"/>
      <c r="T98" s="1173"/>
    </row>
    <row r="99" spans="1:20" ht="12.75" hidden="1" customHeight="1">
      <c r="A99" s="636"/>
      <c r="B99" s="700"/>
      <c r="C99" s="2921"/>
      <c r="D99" s="2921"/>
      <c r="E99" s="1172"/>
      <c r="F99" s="696"/>
      <c r="G99" s="638"/>
      <c r="H99" s="2922"/>
      <c r="I99" s="2922"/>
      <c r="J99" s="2922"/>
      <c r="K99" s="2922"/>
      <c r="L99" s="2922"/>
      <c r="M99" s="1171"/>
      <c r="N99" s="2923" t="str">
        <f t="shared" si="1"/>
        <v/>
      </c>
      <c r="O99" s="2923"/>
      <c r="P99" s="2923"/>
      <c r="Q99" s="1024"/>
      <c r="R99" s="1174"/>
      <c r="S99" s="1493"/>
      <c r="T99" s="1173"/>
    </row>
    <row r="100" spans="1:20" ht="12.75" hidden="1" customHeight="1">
      <c r="A100" s="636"/>
      <c r="B100" s="700"/>
      <c r="C100" s="2921"/>
      <c r="D100" s="2921"/>
      <c r="E100" s="1172"/>
      <c r="F100" s="696"/>
      <c r="G100" s="638"/>
      <c r="H100" s="2922"/>
      <c r="I100" s="2922"/>
      <c r="J100" s="2922"/>
      <c r="K100" s="2922"/>
      <c r="L100" s="2922"/>
      <c r="M100" s="1171"/>
      <c r="N100" s="2923" t="str">
        <f t="shared" si="1"/>
        <v/>
      </c>
      <c r="O100" s="2923"/>
      <c r="P100" s="2923"/>
      <c r="Q100" s="1024"/>
      <c r="R100" s="1174"/>
      <c r="S100" s="1493"/>
      <c r="T100" s="1173"/>
    </row>
    <row r="101" spans="1:20" ht="12.75" hidden="1" customHeight="1">
      <c r="A101" s="636"/>
      <c r="B101" s="700"/>
      <c r="C101" s="2921"/>
      <c r="D101" s="2921"/>
      <c r="E101" s="1172"/>
      <c r="F101" s="696"/>
      <c r="G101" s="638"/>
      <c r="H101" s="2922"/>
      <c r="I101" s="2922"/>
      <c r="J101" s="2922"/>
      <c r="K101" s="2922"/>
      <c r="L101" s="2922"/>
      <c r="M101" s="1171"/>
      <c r="N101" s="2923" t="str">
        <f t="shared" si="1"/>
        <v/>
      </c>
      <c r="O101" s="2923"/>
      <c r="P101" s="2923"/>
      <c r="Q101" s="1024"/>
      <c r="R101" s="1174"/>
      <c r="S101" s="1493"/>
      <c r="T101" s="1173"/>
    </row>
    <row r="102" spans="1:20" ht="12.75" hidden="1" customHeight="1">
      <c r="A102" s="636"/>
      <c r="B102" s="700"/>
      <c r="C102" s="2921"/>
      <c r="D102" s="2921"/>
      <c r="E102" s="1172"/>
      <c r="F102" s="696"/>
      <c r="G102" s="638"/>
      <c r="H102" s="2922"/>
      <c r="I102" s="2922"/>
      <c r="J102" s="2922"/>
      <c r="K102" s="2922"/>
      <c r="L102" s="2922"/>
      <c r="M102" s="1171"/>
      <c r="N102" s="2923" t="str">
        <f t="shared" si="1"/>
        <v/>
      </c>
      <c r="O102" s="2923"/>
      <c r="P102" s="2923"/>
      <c r="Q102" s="1024"/>
      <c r="R102" s="1174"/>
      <c r="S102" s="1493"/>
      <c r="T102" s="1173"/>
    </row>
    <row r="103" spans="1:20" ht="12.75" hidden="1" customHeight="1">
      <c r="A103" s="636"/>
      <c r="B103" s="700"/>
      <c r="C103" s="2921"/>
      <c r="D103" s="2921"/>
      <c r="E103" s="1172"/>
      <c r="F103" s="696"/>
      <c r="G103" s="638"/>
      <c r="H103" s="2922"/>
      <c r="I103" s="2922"/>
      <c r="J103" s="2922"/>
      <c r="K103" s="2922"/>
      <c r="L103" s="2922"/>
      <c r="M103" s="1171"/>
      <c r="N103" s="2923" t="str">
        <f t="shared" si="1"/>
        <v/>
      </c>
      <c r="O103" s="2923"/>
      <c r="P103" s="2923"/>
      <c r="Q103" s="1024"/>
      <c r="R103" s="1174"/>
      <c r="S103" s="1493"/>
      <c r="T103" s="1173"/>
    </row>
    <row r="104" spans="1:20" ht="12.75" hidden="1" customHeight="1">
      <c r="A104" s="636"/>
      <c r="B104" s="700"/>
      <c r="C104" s="2921"/>
      <c r="D104" s="2921"/>
      <c r="E104" s="1172"/>
      <c r="F104" s="696"/>
      <c r="G104" s="638"/>
      <c r="H104" s="2922"/>
      <c r="I104" s="2922"/>
      <c r="J104" s="2922"/>
      <c r="K104" s="2922"/>
      <c r="L104" s="2922"/>
      <c r="M104" s="1171"/>
      <c r="N104" s="2923" t="str">
        <f t="shared" si="1"/>
        <v/>
      </c>
      <c r="O104" s="2923"/>
      <c r="P104" s="2923"/>
      <c r="Q104" s="1024"/>
      <c r="R104" s="1174"/>
      <c r="S104" s="1493"/>
      <c r="T104" s="1173"/>
    </row>
    <row r="105" spans="1:20" ht="12.75" hidden="1" customHeight="1">
      <c r="A105" s="636"/>
      <c r="B105" s="700"/>
      <c r="C105" s="2921"/>
      <c r="D105" s="2921"/>
      <c r="E105" s="1172"/>
      <c r="F105" s="696"/>
      <c r="G105" s="638"/>
      <c r="H105" s="2922"/>
      <c r="I105" s="2922"/>
      <c r="J105" s="2922"/>
      <c r="K105" s="2922"/>
      <c r="L105" s="2922"/>
      <c r="M105" s="1171"/>
      <c r="N105" s="2923" t="str">
        <f t="shared" si="1"/>
        <v/>
      </c>
      <c r="O105" s="2923"/>
      <c r="P105" s="2923"/>
      <c r="Q105" s="1024"/>
      <c r="R105" s="1174"/>
      <c r="S105" s="1493"/>
      <c r="T105" s="1173"/>
    </row>
    <row r="106" spans="1:20" ht="12.75" hidden="1" customHeight="1">
      <c r="A106" s="636"/>
      <c r="B106" s="700"/>
      <c r="C106" s="2921"/>
      <c r="D106" s="2921"/>
      <c r="E106" s="1172"/>
      <c r="F106" s="696"/>
      <c r="G106" s="638"/>
      <c r="H106" s="2922"/>
      <c r="I106" s="2922"/>
      <c r="J106" s="2922"/>
      <c r="K106" s="2922"/>
      <c r="L106" s="2922"/>
      <c r="M106" s="1171"/>
      <c r="N106" s="2923" t="str">
        <f t="shared" si="1"/>
        <v/>
      </c>
      <c r="O106" s="2923"/>
      <c r="P106" s="2923"/>
      <c r="Q106" s="1024"/>
      <c r="R106" s="1174"/>
      <c r="S106" s="1493"/>
      <c r="T106" s="1173"/>
    </row>
    <row r="107" spans="1:20" ht="12.75" hidden="1" customHeight="1">
      <c r="A107" s="636"/>
      <c r="B107" s="700"/>
      <c r="C107" s="2921"/>
      <c r="D107" s="2921"/>
      <c r="E107" s="1172"/>
      <c r="F107" s="696"/>
      <c r="G107" s="638"/>
      <c r="H107" s="2922"/>
      <c r="I107" s="2922"/>
      <c r="J107" s="2922"/>
      <c r="K107" s="2922"/>
      <c r="L107" s="2922"/>
      <c r="M107" s="1171"/>
      <c r="N107" s="2923" t="str">
        <f t="shared" si="1"/>
        <v/>
      </c>
      <c r="O107" s="2923"/>
      <c r="P107" s="2923"/>
      <c r="Q107" s="1024"/>
      <c r="R107" s="1174"/>
      <c r="S107" s="1493"/>
      <c r="T107" s="1173"/>
    </row>
    <row r="108" spans="1:20" ht="12.75" hidden="1" customHeight="1">
      <c r="A108" s="636"/>
      <c r="B108" s="700"/>
      <c r="C108" s="2921"/>
      <c r="D108" s="2921"/>
      <c r="E108" s="1172"/>
      <c r="F108" s="696"/>
      <c r="G108" s="638"/>
      <c r="H108" s="2922"/>
      <c r="I108" s="2922"/>
      <c r="J108" s="2922"/>
      <c r="K108" s="2922"/>
      <c r="L108" s="2922"/>
      <c r="M108" s="1171"/>
      <c r="N108" s="2923" t="str">
        <f t="shared" si="1"/>
        <v/>
      </c>
      <c r="O108" s="2923"/>
      <c r="P108" s="2923"/>
      <c r="Q108" s="1024"/>
      <c r="R108" s="1174"/>
      <c r="S108" s="1493"/>
      <c r="T108" s="1173"/>
    </row>
    <row r="109" spans="1:20" ht="12.75" hidden="1" customHeight="1">
      <c r="A109" s="636"/>
      <c r="B109" s="700"/>
      <c r="C109" s="2921"/>
      <c r="D109" s="2921"/>
      <c r="E109" s="1172"/>
      <c r="F109" s="696"/>
      <c r="G109" s="638"/>
      <c r="H109" s="2922"/>
      <c r="I109" s="2922"/>
      <c r="J109" s="2922"/>
      <c r="K109" s="2922"/>
      <c r="L109" s="2922"/>
      <c r="M109" s="1171"/>
      <c r="N109" s="2923" t="str">
        <f t="shared" si="1"/>
        <v/>
      </c>
      <c r="O109" s="2923"/>
      <c r="P109" s="2923"/>
      <c r="Q109" s="1024"/>
      <c r="R109" s="1174"/>
      <c r="S109" s="1493"/>
      <c r="T109" s="1173"/>
    </row>
    <row r="110" spans="1:20" ht="12.75" hidden="1" customHeight="1">
      <c r="A110" s="636"/>
      <c r="B110" s="700"/>
      <c r="C110" s="2921"/>
      <c r="D110" s="2921"/>
      <c r="E110" s="1172"/>
      <c r="F110" s="696"/>
      <c r="G110" s="638"/>
      <c r="H110" s="2922"/>
      <c r="I110" s="2922"/>
      <c r="J110" s="2922"/>
      <c r="K110" s="2922"/>
      <c r="L110" s="2922"/>
      <c r="M110" s="1171"/>
      <c r="N110" s="2923" t="str">
        <f t="shared" si="1"/>
        <v/>
      </c>
      <c r="O110" s="2923"/>
      <c r="P110" s="2923"/>
      <c r="Q110" s="1024"/>
      <c r="R110" s="1174"/>
      <c r="S110" s="1493"/>
      <c r="T110" s="1173"/>
    </row>
    <row r="111" spans="1:20" ht="12.75" hidden="1" customHeight="1">
      <c r="A111" s="636"/>
      <c r="B111" s="700"/>
      <c r="C111" s="2921"/>
      <c r="D111" s="2921"/>
      <c r="E111" s="1172"/>
      <c r="F111" s="696"/>
      <c r="G111" s="638"/>
      <c r="H111" s="2922"/>
      <c r="I111" s="2922"/>
      <c r="J111" s="2922"/>
      <c r="K111" s="2922"/>
      <c r="L111" s="2922"/>
      <c r="M111" s="1171"/>
      <c r="N111" s="2923" t="str">
        <f t="shared" si="1"/>
        <v/>
      </c>
      <c r="O111" s="2923"/>
      <c r="P111" s="2923"/>
      <c r="Q111" s="1024"/>
      <c r="R111" s="1174"/>
      <c r="S111" s="1493"/>
      <c r="T111" s="1173"/>
    </row>
    <row r="112" spans="1:20" ht="12.75" hidden="1" customHeight="1">
      <c r="A112" s="636"/>
      <c r="B112" s="700"/>
      <c r="C112" s="2921"/>
      <c r="D112" s="2921"/>
      <c r="E112" s="1172"/>
      <c r="F112" s="696"/>
      <c r="G112" s="638"/>
      <c r="H112" s="2922"/>
      <c r="I112" s="2922"/>
      <c r="J112" s="2922"/>
      <c r="K112" s="2922"/>
      <c r="L112" s="2922"/>
      <c r="M112" s="1171"/>
      <c r="N112" s="2923" t="str">
        <f t="shared" si="1"/>
        <v/>
      </c>
      <c r="O112" s="2923"/>
      <c r="P112" s="2923"/>
      <c r="Q112" s="1024"/>
      <c r="R112" s="1174"/>
      <c r="S112" s="1493"/>
      <c r="T112" s="1173"/>
    </row>
    <row r="113" spans="1:20" ht="12.75" hidden="1" customHeight="1">
      <c r="A113" s="636"/>
      <c r="B113" s="700"/>
      <c r="C113" s="2921"/>
      <c r="D113" s="2921"/>
      <c r="E113" s="1172"/>
      <c r="F113" s="696"/>
      <c r="G113" s="638"/>
      <c r="H113" s="2922"/>
      <c r="I113" s="2922"/>
      <c r="J113" s="2922"/>
      <c r="K113" s="2922"/>
      <c r="L113" s="2922"/>
      <c r="M113" s="1171"/>
      <c r="N113" s="2923" t="str">
        <f t="shared" si="1"/>
        <v/>
      </c>
      <c r="O113" s="2923"/>
      <c r="P113" s="2923"/>
      <c r="Q113" s="1024"/>
      <c r="R113" s="1174"/>
      <c r="S113" s="1493"/>
      <c r="T113" s="1173"/>
    </row>
    <row r="114" spans="1:20" ht="12.75" hidden="1" customHeight="1">
      <c r="A114" s="636"/>
      <c r="B114" s="700"/>
      <c r="C114" s="2921"/>
      <c r="D114" s="2921"/>
      <c r="E114" s="1172"/>
      <c r="F114" s="696"/>
      <c r="G114" s="638"/>
      <c r="H114" s="2922"/>
      <c r="I114" s="2922"/>
      <c r="J114" s="2922"/>
      <c r="K114" s="2922"/>
      <c r="L114" s="2922"/>
      <c r="M114" s="1171"/>
      <c r="N114" s="2923" t="str">
        <f t="shared" si="1"/>
        <v/>
      </c>
      <c r="O114" s="2923"/>
      <c r="P114" s="2923"/>
      <c r="Q114" s="1024"/>
      <c r="R114" s="1174"/>
      <c r="S114" s="1493"/>
      <c r="T114" s="1173"/>
    </row>
    <row r="115" spans="1:20" ht="12.75" hidden="1" customHeight="1">
      <c r="A115" s="636"/>
      <c r="B115" s="700"/>
      <c r="C115" s="2921"/>
      <c r="D115" s="2921"/>
      <c r="E115" s="1172"/>
      <c r="F115" s="696"/>
      <c r="G115" s="638"/>
      <c r="H115" s="2922"/>
      <c r="I115" s="2922"/>
      <c r="J115" s="2922"/>
      <c r="K115" s="2922"/>
      <c r="L115" s="2922"/>
      <c r="M115" s="1171"/>
      <c r="N115" s="2923" t="str">
        <f t="shared" si="1"/>
        <v/>
      </c>
      <c r="O115" s="2923"/>
      <c r="P115" s="2923"/>
      <c r="Q115" s="1024"/>
      <c r="R115" s="1174"/>
      <c r="S115" s="1493"/>
      <c r="T115" s="1173"/>
    </row>
    <row r="116" spans="1:20" ht="12.75" hidden="1" customHeight="1">
      <c r="A116" s="636"/>
      <c r="B116" s="700"/>
      <c r="C116" s="2921"/>
      <c r="D116" s="2921"/>
      <c r="E116" s="1172"/>
      <c r="F116" s="696"/>
      <c r="G116" s="638"/>
      <c r="H116" s="2922"/>
      <c r="I116" s="2922"/>
      <c r="J116" s="2922"/>
      <c r="K116" s="2922"/>
      <c r="L116" s="2922"/>
      <c r="M116" s="1171"/>
      <c r="N116" s="2923" t="str">
        <f t="shared" si="1"/>
        <v/>
      </c>
      <c r="O116" s="2923"/>
      <c r="P116" s="2923"/>
      <c r="Q116" s="1024"/>
      <c r="R116" s="1174"/>
      <c r="S116" s="1493"/>
      <c r="T116" s="1173"/>
    </row>
    <row r="117" spans="1:20" ht="12.75" hidden="1" customHeight="1">
      <c r="A117" s="636"/>
      <c r="B117" s="700"/>
      <c r="C117" s="2921"/>
      <c r="D117" s="2921"/>
      <c r="E117" s="1172"/>
      <c r="F117" s="696"/>
      <c r="G117" s="638"/>
      <c r="H117" s="2922"/>
      <c r="I117" s="2922"/>
      <c r="J117" s="2922"/>
      <c r="K117" s="2922"/>
      <c r="L117" s="2922"/>
      <c r="M117" s="1171"/>
      <c r="N117" s="2923" t="str">
        <f t="shared" si="1"/>
        <v/>
      </c>
      <c r="O117" s="2923"/>
      <c r="P117" s="2923"/>
      <c r="Q117" s="1024"/>
      <c r="R117" s="1174"/>
      <c r="S117" s="1493"/>
      <c r="T117" s="1173"/>
    </row>
    <row r="118" spans="1:20" ht="12.75" hidden="1" customHeight="1">
      <c r="A118" s="636"/>
      <c r="B118" s="700"/>
      <c r="C118" s="2921"/>
      <c r="D118" s="2921"/>
      <c r="E118" s="1172"/>
      <c r="F118" s="696"/>
      <c r="G118" s="638"/>
      <c r="H118" s="2922"/>
      <c r="I118" s="2922"/>
      <c r="J118" s="2922"/>
      <c r="K118" s="2922"/>
      <c r="L118" s="2922"/>
      <c r="M118" s="1171"/>
      <c r="N118" s="2923" t="str">
        <f t="shared" si="1"/>
        <v/>
      </c>
      <c r="O118" s="2923"/>
      <c r="P118" s="2923"/>
      <c r="Q118" s="1024"/>
      <c r="R118" s="1174"/>
      <c r="S118" s="1493"/>
      <c r="T118" s="1173"/>
    </row>
    <row r="119" spans="1:20" ht="12.75" hidden="1" customHeight="1">
      <c r="A119" s="636"/>
      <c r="B119" s="700"/>
      <c r="C119" s="2921"/>
      <c r="D119" s="2921"/>
      <c r="E119" s="1172"/>
      <c r="F119" s="696"/>
      <c r="G119" s="638"/>
      <c r="H119" s="2922"/>
      <c r="I119" s="2922"/>
      <c r="J119" s="2922"/>
      <c r="K119" s="2922"/>
      <c r="L119" s="2922"/>
      <c r="M119" s="1171"/>
      <c r="N119" s="2923" t="str">
        <f t="shared" si="1"/>
        <v/>
      </c>
      <c r="O119" s="2923"/>
      <c r="P119" s="2923"/>
      <c r="Q119" s="1024"/>
      <c r="R119" s="1174"/>
      <c r="S119" s="1493"/>
      <c r="T119" s="1173"/>
    </row>
    <row r="120" spans="1:20" ht="12.75" hidden="1" customHeight="1">
      <c r="A120" s="636"/>
      <c r="B120" s="700"/>
      <c r="C120" s="2921"/>
      <c r="D120" s="2921"/>
      <c r="E120" s="1172"/>
      <c r="F120" s="696"/>
      <c r="G120" s="638"/>
      <c r="H120" s="2922"/>
      <c r="I120" s="2922"/>
      <c r="J120" s="2922"/>
      <c r="K120" s="2922"/>
      <c r="L120" s="2922"/>
      <c r="M120" s="1171"/>
      <c r="N120" s="2923" t="str">
        <f t="shared" si="1"/>
        <v/>
      </c>
      <c r="O120" s="2923"/>
      <c r="P120" s="2923"/>
      <c r="Q120" s="1024"/>
      <c r="R120" s="1174"/>
      <c r="S120" s="1493"/>
      <c r="T120" s="1173"/>
    </row>
    <row r="121" spans="1:20" ht="12.75" hidden="1" customHeight="1">
      <c r="A121" s="636"/>
      <c r="B121" s="700"/>
      <c r="C121" s="2921"/>
      <c r="D121" s="2921"/>
      <c r="E121" s="1172"/>
      <c r="F121" s="696"/>
      <c r="G121" s="638"/>
      <c r="H121" s="2922"/>
      <c r="I121" s="2922"/>
      <c r="J121" s="2922"/>
      <c r="K121" s="2922"/>
      <c r="L121" s="2922"/>
      <c r="M121" s="1171"/>
      <c r="N121" s="2923" t="str">
        <f t="shared" si="1"/>
        <v/>
      </c>
      <c r="O121" s="2923"/>
      <c r="P121" s="2923"/>
      <c r="Q121" s="1024"/>
      <c r="R121" s="1174"/>
      <c r="S121" s="1493"/>
      <c r="T121" s="1173"/>
    </row>
    <row r="122" spans="1:20" ht="12.75" hidden="1" customHeight="1">
      <c r="A122" s="636"/>
      <c r="B122" s="700"/>
      <c r="C122" s="2921"/>
      <c r="D122" s="2921"/>
      <c r="E122" s="1172"/>
      <c r="F122" s="696"/>
      <c r="G122" s="638"/>
      <c r="H122" s="2922"/>
      <c r="I122" s="2922"/>
      <c r="J122" s="2922"/>
      <c r="K122" s="2922"/>
      <c r="L122" s="2922"/>
      <c r="M122" s="1171"/>
      <c r="N122" s="2923" t="str">
        <f t="shared" si="1"/>
        <v/>
      </c>
      <c r="O122" s="2923"/>
      <c r="P122" s="2923"/>
      <c r="Q122" s="1024"/>
      <c r="R122" s="1174"/>
      <c r="S122" s="1493"/>
      <c r="T122" s="1173"/>
    </row>
    <row r="123" spans="1:20" ht="12.75" hidden="1" customHeight="1">
      <c r="A123" s="636"/>
      <c r="B123" s="700"/>
      <c r="C123" s="2921"/>
      <c r="D123" s="2921"/>
      <c r="E123" s="1172"/>
      <c r="F123" s="696"/>
      <c r="G123" s="638"/>
      <c r="H123" s="2922"/>
      <c r="I123" s="2922"/>
      <c r="J123" s="2922"/>
      <c r="K123" s="2922"/>
      <c r="L123" s="2922"/>
      <c r="M123" s="1171"/>
      <c r="N123" s="2923" t="str">
        <f t="shared" si="1"/>
        <v/>
      </c>
      <c r="O123" s="2923"/>
      <c r="P123" s="2923"/>
      <c r="Q123" s="1024"/>
      <c r="R123" s="1174"/>
      <c r="S123" s="1493"/>
      <c r="T123" s="1173"/>
    </row>
    <row r="124" spans="1:20" ht="12.75" hidden="1" customHeight="1">
      <c r="A124" s="636"/>
      <c r="B124" s="700"/>
      <c r="C124" s="2921"/>
      <c r="D124" s="2921"/>
      <c r="E124" s="1172"/>
      <c r="F124" s="696"/>
      <c r="G124" s="638"/>
      <c r="H124" s="2922"/>
      <c r="I124" s="2922"/>
      <c r="J124" s="2922"/>
      <c r="K124" s="2922"/>
      <c r="L124" s="2922"/>
      <c r="M124" s="1171"/>
      <c r="N124" s="2923" t="str">
        <f t="shared" si="1"/>
        <v/>
      </c>
      <c r="O124" s="2923"/>
      <c r="P124" s="2923"/>
      <c r="Q124" s="1024"/>
      <c r="R124" s="1174"/>
      <c r="S124" s="1493"/>
      <c r="T124" s="1173"/>
    </row>
    <row r="125" spans="1:20" ht="12.75" hidden="1" customHeight="1">
      <c r="A125" s="636"/>
      <c r="B125" s="700"/>
      <c r="C125" s="2921"/>
      <c r="D125" s="2921"/>
      <c r="E125" s="1172"/>
      <c r="F125" s="696"/>
      <c r="G125" s="638"/>
      <c r="H125" s="2922"/>
      <c r="I125" s="2922"/>
      <c r="J125" s="2922"/>
      <c r="K125" s="2922"/>
      <c r="L125" s="2922"/>
      <c r="M125" s="1171"/>
      <c r="N125" s="2923" t="str">
        <f t="shared" si="1"/>
        <v/>
      </c>
      <c r="O125" s="2923"/>
      <c r="P125" s="2923"/>
      <c r="Q125" s="1024"/>
      <c r="R125" s="1174"/>
      <c r="S125" s="1493"/>
      <c r="T125" s="1173"/>
    </row>
    <row r="126" spans="1:20" ht="12.75" hidden="1" customHeight="1">
      <c r="A126" s="636"/>
      <c r="B126" s="700"/>
      <c r="C126" s="2921"/>
      <c r="D126" s="2921"/>
      <c r="E126" s="1172"/>
      <c r="F126" s="696"/>
      <c r="G126" s="638"/>
      <c r="H126" s="2922"/>
      <c r="I126" s="2922"/>
      <c r="J126" s="2922"/>
      <c r="K126" s="2922"/>
      <c r="L126" s="2922"/>
      <c r="M126" s="1171"/>
      <c r="N126" s="2923" t="str">
        <f t="shared" si="1"/>
        <v/>
      </c>
      <c r="O126" s="2923"/>
      <c r="P126" s="2923"/>
      <c r="Q126" s="1024"/>
      <c r="R126" s="1174"/>
      <c r="S126" s="1493"/>
      <c r="T126" s="1173"/>
    </row>
    <row r="127" spans="1:20" ht="12.75" hidden="1" customHeight="1">
      <c r="A127" s="636"/>
      <c r="B127" s="700"/>
      <c r="C127" s="2921"/>
      <c r="D127" s="2921"/>
      <c r="E127" s="1172"/>
      <c r="F127" s="696"/>
      <c r="G127" s="638"/>
      <c r="H127" s="2922"/>
      <c r="I127" s="2922"/>
      <c r="J127" s="2922"/>
      <c r="K127" s="2922"/>
      <c r="L127" s="2922"/>
      <c r="M127" s="1171"/>
      <c r="N127" s="2923" t="str">
        <f t="shared" si="1"/>
        <v/>
      </c>
      <c r="O127" s="2923"/>
      <c r="P127" s="2923"/>
      <c r="Q127" s="1024"/>
      <c r="R127" s="1174"/>
      <c r="S127" s="1493"/>
      <c r="T127" s="1173"/>
    </row>
    <row r="128" spans="1:20" ht="12.75" hidden="1" customHeight="1">
      <c r="A128" s="636"/>
      <c r="B128" s="700"/>
      <c r="C128" s="2921"/>
      <c r="D128" s="2921"/>
      <c r="E128" s="1172"/>
      <c r="F128" s="696"/>
      <c r="G128" s="638"/>
      <c r="H128" s="2922"/>
      <c r="I128" s="2922"/>
      <c r="J128" s="2922"/>
      <c r="K128" s="2922"/>
      <c r="L128" s="2922"/>
      <c r="M128" s="1171"/>
      <c r="N128" s="2923" t="str">
        <f t="shared" si="1"/>
        <v/>
      </c>
      <c r="O128" s="2923"/>
      <c r="P128" s="2923"/>
      <c r="Q128" s="1024"/>
      <c r="R128" s="1174"/>
      <c r="S128" s="1493"/>
      <c r="T128" s="1173"/>
    </row>
    <row r="129" spans="1:20" ht="12.75" hidden="1" customHeight="1">
      <c r="A129" s="636"/>
      <c r="B129" s="700"/>
      <c r="C129" s="2921"/>
      <c r="D129" s="2921"/>
      <c r="E129" s="1172"/>
      <c r="F129" s="696"/>
      <c r="G129" s="638"/>
      <c r="H129" s="2922"/>
      <c r="I129" s="2922"/>
      <c r="J129" s="2922"/>
      <c r="K129" s="2922"/>
      <c r="L129" s="2922"/>
      <c r="M129" s="1171"/>
      <c r="N129" s="2923" t="str">
        <f t="shared" si="1"/>
        <v/>
      </c>
      <c r="O129" s="2923"/>
      <c r="P129" s="2923"/>
      <c r="Q129" s="1024"/>
      <c r="R129" s="1174"/>
      <c r="S129" s="1493"/>
      <c r="T129" s="1173"/>
    </row>
    <row r="130" spans="1:20" ht="12.75" hidden="1" customHeight="1">
      <c r="A130" s="636"/>
      <c r="B130" s="700"/>
      <c r="C130" s="2921"/>
      <c r="D130" s="2921"/>
      <c r="E130" s="1172"/>
      <c r="F130" s="696"/>
      <c r="G130" s="638"/>
      <c r="H130" s="2922"/>
      <c r="I130" s="2922"/>
      <c r="J130" s="2922"/>
      <c r="K130" s="2922"/>
      <c r="L130" s="2922"/>
      <c r="M130" s="1171"/>
      <c r="N130" s="2923" t="str">
        <f t="shared" si="1"/>
        <v/>
      </c>
      <c r="O130" s="2923"/>
      <c r="P130" s="2923"/>
      <c r="Q130" s="1024"/>
      <c r="R130" s="1174"/>
      <c r="S130" s="1493"/>
      <c r="T130" s="1173"/>
    </row>
    <row r="131" spans="1:20" ht="12.75" hidden="1" customHeight="1">
      <c r="A131" s="636"/>
      <c r="B131" s="700"/>
      <c r="C131" s="2921"/>
      <c r="D131" s="2921"/>
      <c r="E131" s="1172"/>
      <c r="F131" s="696"/>
      <c r="G131" s="638"/>
      <c r="H131" s="2922"/>
      <c r="I131" s="2922"/>
      <c r="J131" s="2922"/>
      <c r="K131" s="2922"/>
      <c r="L131" s="2922"/>
      <c r="M131" s="1171"/>
      <c r="N131" s="2923" t="str">
        <f t="shared" si="1"/>
        <v/>
      </c>
      <c r="O131" s="2923"/>
      <c r="P131" s="2923"/>
      <c r="Q131" s="1024"/>
      <c r="R131" s="1174"/>
      <c r="S131" s="1493"/>
      <c r="T131" s="1173"/>
    </row>
    <row r="132" spans="1:20" ht="12.75" hidden="1" customHeight="1">
      <c r="A132" s="636"/>
      <c r="B132" s="700"/>
      <c r="C132" s="2921"/>
      <c r="D132" s="2921"/>
      <c r="E132" s="1172"/>
      <c r="F132" s="696"/>
      <c r="G132" s="638"/>
      <c r="H132" s="2922"/>
      <c r="I132" s="2922"/>
      <c r="J132" s="2922"/>
      <c r="K132" s="2922"/>
      <c r="L132" s="2922"/>
      <c r="M132" s="1171"/>
      <c r="N132" s="2923" t="str">
        <f t="shared" si="1"/>
        <v/>
      </c>
      <c r="O132" s="2923"/>
      <c r="P132" s="2923"/>
      <c r="Q132" s="1024"/>
      <c r="R132" s="1174"/>
      <c r="S132" s="1493"/>
      <c r="T132" s="1173"/>
    </row>
    <row r="133" spans="1:20" ht="12.75" hidden="1" customHeight="1">
      <c r="A133" s="636"/>
      <c r="B133" s="700"/>
      <c r="C133" s="2921"/>
      <c r="D133" s="2921"/>
      <c r="E133" s="1172"/>
      <c r="F133" s="696"/>
      <c r="G133" s="638"/>
      <c r="H133" s="2922"/>
      <c r="I133" s="2922"/>
      <c r="J133" s="2922"/>
      <c r="K133" s="2922"/>
      <c r="L133" s="2922"/>
      <c r="M133" s="1171"/>
      <c r="N133" s="2923" t="str">
        <f t="shared" si="1"/>
        <v/>
      </c>
      <c r="O133" s="2923"/>
      <c r="P133" s="2923"/>
      <c r="Q133" s="1024"/>
      <c r="R133" s="1174"/>
      <c r="S133" s="1493"/>
      <c r="T133" s="1173"/>
    </row>
    <row r="134" spans="1:20" ht="12.75" hidden="1" customHeight="1">
      <c r="A134" s="636"/>
      <c r="B134" s="700"/>
      <c r="C134" s="2921"/>
      <c r="D134" s="2921"/>
      <c r="E134" s="1172"/>
      <c r="F134" s="696"/>
      <c r="G134" s="638"/>
      <c r="H134" s="2922"/>
      <c r="I134" s="2922"/>
      <c r="J134" s="2922"/>
      <c r="K134" s="2922"/>
      <c r="L134" s="2922"/>
      <c r="M134" s="1171"/>
      <c r="N134" s="2923" t="str">
        <f t="shared" si="1"/>
        <v/>
      </c>
      <c r="O134" s="2923"/>
      <c r="P134" s="2923"/>
      <c r="Q134" s="1024"/>
      <c r="R134" s="1174"/>
      <c r="S134" s="1493"/>
      <c r="T134" s="1173"/>
    </row>
    <row r="135" spans="1:20" ht="12.75" hidden="1" customHeight="1">
      <c r="A135" s="636"/>
      <c r="B135" s="700"/>
      <c r="C135" s="2921"/>
      <c r="D135" s="2921"/>
      <c r="E135" s="1172"/>
      <c r="F135" s="696"/>
      <c r="G135" s="638"/>
      <c r="H135" s="2922"/>
      <c r="I135" s="2922"/>
      <c r="J135" s="2922"/>
      <c r="K135" s="2922"/>
      <c r="L135" s="2922"/>
      <c r="M135" s="1171"/>
      <c r="N135" s="2923" t="str">
        <f t="shared" si="1"/>
        <v/>
      </c>
      <c r="O135" s="2923"/>
      <c r="P135" s="2923"/>
      <c r="Q135" s="1024"/>
      <c r="R135" s="1174"/>
      <c r="S135" s="1493"/>
      <c r="T135" s="1173"/>
    </row>
    <row r="136" spans="1:20" ht="12.75" hidden="1" customHeight="1">
      <c r="A136" s="636"/>
      <c r="B136" s="700"/>
      <c r="C136" s="2921"/>
      <c r="D136" s="2921"/>
      <c r="E136" s="1172"/>
      <c r="F136" s="696"/>
      <c r="G136" s="638"/>
      <c r="H136" s="2922"/>
      <c r="I136" s="2922"/>
      <c r="J136" s="2922"/>
      <c r="K136" s="2922"/>
      <c r="L136" s="2922"/>
      <c r="M136" s="1171"/>
      <c r="N136" s="2923" t="str">
        <f t="shared" ref="N136:N199" si="2">IFERROR(VLOOKUP(M136,$S$7:$T$66,2,0),"")</f>
        <v/>
      </c>
      <c r="O136" s="2923"/>
      <c r="P136" s="2923"/>
      <c r="Q136" s="1024"/>
      <c r="R136" s="1174"/>
      <c r="S136" s="1493"/>
      <c r="T136" s="1173"/>
    </row>
    <row r="137" spans="1:20" ht="12.75" hidden="1" customHeight="1">
      <c r="A137" s="636"/>
      <c r="B137" s="700"/>
      <c r="C137" s="2921"/>
      <c r="D137" s="2921"/>
      <c r="E137" s="1172"/>
      <c r="F137" s="696"/>
      <c r="G137" s="638"/>
      <c r="H137" s="2922"/>
      <c r="I137" s="2922"/>
      <c r="J137" s="2922"/>
      <c r="K137" s="2922"/>
      <c r="L137" s="2922"/>
      <c r="M137" s="1171"/>
      <c r="N137" s="2923" t="str">
        <f t="shared" si="2"/>
        <v/>
      </c>
      <c r="O137" s="2923"/>
      <c r="P137" s="2923"/>
      <c r="Q137" s="1024"/>
      <c r="R137" s="1174"/>
      <c r="S137" s="1493"/>
      <c r="T137" s="1173"/>
    </row>
    <row r="138" spans="1:20" ht="12.75" hidden="1" customHeight="1">
      <c r="A138" s="636"/>
      <c r="B138" s="700"/>
      <c r="C138" s="2921"/>
      <c r="D138" s="2921"/>
      <c r="E138" s="1172"/>
      <c r="F138" s="696"/>
      <c r="G138" s="638"/>
      <c r="H138" s="2922"/>
      <c r="I138" s="2922"/>
      <c r="J138" s="2922"/>
      <c r="K138" s="2922"/>
      <c r="L138" s="2922"/>
      <c r="M138" s="1171"/>
      <c r="N138" s="2923" t="str">
        <f t="shared" si="2"/>
        <v/>
      </c>
      <c r="O138" s="2923"/>
      <c r="P138" s="2923"/>
      <c r="Q138" s="1024"/>
      <c r="R138" s="1174"/>
      <c r="S138" s="1493"/>
      <c r="T138" s="1173"/>
    </row>
    <row r="139" spans="1:20" ht="12.75" hidden="1" customHeight="1">
      <c r="A139" s="636"/>
      <c r="B139" s="700"/>
      <c r="C139" s="2921"/>
      <c r="D139" s="2921"/>
      <c r="E139" s="1172"/>
      <c r="F139" s="696"/>
      <c r="G139" s="638"/>
      <c r="H139" s="2922"/>
      <c r="I139" s="2922"/>
      <c r="J139" s="2922"/>
      <c r="K139" s="2922"/>
      <c r="L139" s="2922"/>
      <c r="M139" s="1171"/>
      <c r="N139" s="2923" t="str">
        <f t="shared" si="2"/>
        <v/>
      </c>
      <c r="O139" s="2923"/>
      <c r="P139" s="2923"/>
      <c r="Q139" s="1024"/>
      <c r="R139" s="1174"/>
      <c r="S139" s="1493"/>
      <c r="T139" s="1173"/>
    </row>
    <row r="140" spans="1:20" ht="12.75" hidden="1" customHeight="1">
      <c r="A140" s="636"/>
      <c r="B140" s="700"/>
      <c r="C140" s="2921"/>
      <c r="D140" s="2921"/>
      <c r="E140" s="1172"/>
      <c r="F140" s="696"/>
      <c r="G140" s="638"/>
      <c r="H140" s="2922"/>
      <c r="I140" s="2922"/>
      <c r="J140" s="2922"/>
      <c r="K140" s="2922"/>
      <c r="L140" s="2922"/>
      <c r="M140" s="1171"/>
      <c r="N140" s="2923" t="str">
        <f t="shared" si="2"/>
        <v/>
      </c>
      <c r="O140" s="2923"/>
      <c r="P140" s="2923"/>
      <c r="Q140" s="1024"/>
      <c r="R140" s="1174"/>
      <c r="S140" s="1493"/>
      <c r="T140" s="1173"/>
    </row>
    <row r="141" spans="1:20" ht="12.75" hidden="1" customHeight="1">
      <c r="A141" s="636"/>
      <c r="B141" s="700"/>
      <c r="C141" s="2921"/>
      <c r="D141" s="2921"/>
      <c r="E141" s="1172"/>
      <c r="F141" s="696"/>
      <c r="G141" s="638"/>
      <c r="H141" s="2922"/>
      <c r="I141" s="2922"/>
      <c r="J141" s="2922"/>
      <c r="K141" s="2922"/>
      <c r="L141" s="2922"/>
      <c r="M141" s="1171"/>
      <c r="N141" s="2923" t="str">
        <f t="shared" si="2"/>
        <v/>
      </c>
      <c r="O141" s="2923"/>
      <c r="P141" s="2923"/>
      <c r="Q141" s="1024"/>
      <c r="R141" s="1174"/>
      <c r="S141" s="1493"/>
      <c r="T141" s="1173"/>
    </row>
    <row r="142" spans="1:20" ht="12.75" hidden="1" customHeight="1">
      <c r="A142" s="636"/>
      <c r="B142" s="700"/>
      <c r="C142" s="2921"/>
      <c r="D142" s="2921"/>
      <c r="E142" s="1172"/>
      <c r="F142" s="696"/>
      <c r="G142" s="638"/>
      <c r="H142" s="2922"/>
      <c r="I142" s="2922"/>
      <c r="J142" s="2922"/>
      <c r="K142" s="2922"/>
      <c r="L142" s="2922"/>
      <c r="M142" s="1171"/>
      <c r="N142" s="2923" t="str">
        <f t="shared" si="2"/>
        <v/>
      </c>
      <c r="O142" s="2923"/>
      <c r="P142" s="2923"/>
      <c r="Q142" s="1024"/>
      <c r="R142" s="1174"/>
      <c r="S142" s="1493"/>
      <c r="T142" s="1173"/>
    </row>
    <row r="143" spans="1:20" ht="12.75" hidden="1" customHeight="1">
      <c r="A143" s="636"/>
      <c r="B143" s="700"/>
      <c r="C143" s="2921"/>
      <c r="D143" s="2921"/>
      <c r="E143" s="1172"/>
      <c r="F143" s="696"/>
      <c r="G143" s="638"/>
      <c r="H143" s="2922"/>
      <c r="I143" s="2922"/>
      <c r="J143" s="2922"/>
      <c r="K143" s="2922"/>
      <c r="L143" s="2922"/>
      <c r="M143" s="1171"/>
      <c r="N143" s="2923" t="str">
        <f t="shared" si="2"/>
        <v/>
      </c>
      <c r="O143" s="2923"/>
      <c r="P143" s="2923"/>
      <c r="Q143" s="1024"/>
      <c r="R143" s="1174"/>
      <c r="S143" s="1493"/>
      <c r="T143" s="1173"/>
    </row>
    <row r="144" spans="1:20" ht="12.75" hidden="1" customHeight="1">
      <c r="A144" s="636"/>
      <c r="B144" s="700"/>
      <c r="C144" s="2921"/>
      <c r="D144" s="2921"/>
      <c r="E144" s="1172"/>
      <c r="F144" s="696"/>
      <c r="G144" s="638"/>
      <c r="H144" s="2922"/>
      <c r="I144" s="2922"/>
      <c r="J144" s="2922"/>
      <c r="K144" s="2922"/>
      <c r="L144" s="2922"/>
      <c r="M144" s="1171"/>
      <c r="N144" s="2923" t="str">
        <f t="shared" si="2"/>
        <v/>
      </c>
      <c r="O144" s="2923"/>
      <c r="P144" s="2923"/>
      <c r="Q144" s="1024"/>
      <c r="R144" s="1174"/>
      <c r="S144" s="1493"/>
      <c r="T144" s="1173"/>
    </row>
    <row r="145" spans="1:20" ht="12.75" hidden="1" customHeight="1">
      <c r="A145" s="636"/>
      <c r="B145" s="700"/>
      <c r="C145" s="2921"/>
      <c r="D145" s="2921"/>
      <c r="E145" s="1172"/>
      <c r="F145" s="696"/>
      <c r="G145" s="638"/>
      <c r="H145" s="2922"/>
      <c r="I145" s="2922"/>
      <c r="J145" s="2922"/>
      <c r="K145" s="2922"/>
      <c r="L145" s="2922"/>
      <c r="M145" s="1171"/>
      <c r="N145" s="2923" t="str">
        <f t="shared" si="2"/>
        <v/>
      </c>
      <c r="O145" s="2923"/>
      <c r="P145" s="2923"/>
      <c r="Q145" s="1024"/>
      <c r="R145" s="1174"/>
      <c r="S145" s="1493"/>
      <c r="T145" s="1173"/>
    </row>
    <row r="146" spans="1:20" ht="12.75" hidden="1" customHeight="1">
      <c r="A146" s="636"/>
      <c r="B146" s="700"/>
      <c r="C146" s="2921"/>
      <c r="D146" s="2921"/>
      <c r="E146" s="1172"/>
      <c r="F146" s="696"/>
      <c r="G146" s="638"/>
      <c r="H146" s="2922"/>
      <c r="I146" s="2922"/>
      <c r="J146" s="2922"/>
      <c r="K146" s="2922"/>
      <c r="L146" s="2922"/>
      <c r="M146" s="1171"/>
      <c r="N146" s="2923" t="str">
        <f t="shared" si="2"/>
        <v/>
      </c>
      <c r="O146" s="2923"/>
      <c r="P146" s="2923"/>
      <c r="Q146" s="1024"/>
      <c r="R146" s="1174"/>
      <c r="S146" s="1493"/>
      <c r="T146" s="1173"/>
    </row>
    <row r="147" spans="1:20" ht="12.75" hidden="1" customHeight="1">
      <c r="A147" s="636"/>
      <c r="B147" s="700"/>
      <c r="C147" s="2921"/>
      <c r="D147" s="2921"/>
      <c r="E147" s="1172"/>
      <c r="F147" s="696"/>
      <c r="G147" s="638"/>
      <c r="H147" s="2922"/>
      <c r="I147" s="2922"/>
      <c r="J147" s="2922"/>
      <c r="K147" s="2922"/>
      <c r="L147" s="2922"/>
      <c r="M147" s="1171"/>
      <c r="N147" s="2923" t="str">
        <f t="shared" si="2"/>
        <v/>
      </c>
      <c r="O147" s="2923"/>
      <c r="P147" s="2923"/>
      <c r="Q147" s="1024"/>
      <c r="R147" s="1174"/>
      <c r="S147" s="1493"/>
      <c r="T147" s="1173"/>
    </row>
    <row r="148" spans="1:20" ht="12.75" hidden="1" customHeight="1">
      <c r="A148" s="636"/>
      <c r="B148" s="700"/>
      <c r="C148" s="2921"/>
      <c r="D148" s="2921"/>
      <c r="E148" s="1172"/>
      <c r="F148" s="696"/>
      <c r="G148" s="638"/>
      <c r="H148" s="2922"/>
      <c r="I148" s="2922"/>
      <c r="J148" s="2922"/>
      <c r="K148" s="2922"/>
      <c r="L148" s="2922"/>
      <c r="M148" s="1171"/>
      <c r="N148" s="2923" t="str">
        <f t="shared" si="2"/>
        <v/>
      </c>
      <c r="O148" s="2923"/>
      <c r="P148" s="2923"/>
      <c r="Q148" s="1024"/>
      <c r="R148" s="1174"/>
      <c r="S148" s="1493"/>
      <c r="T148" s="1173"/>
    </row>
    <row r="149" spans="1:20" ht="12.75" hidden="1" customHeight="1">
      <c r="A149" s="636"/>
      <c r="B149" s="700"/>
      <c r="C149" s="2921"/>
      <c r="D149" s="2921"/>
      <c r="E149" s="1172"/>
      <c r="F149" s="696"/>
      <c r="G149" s="638"/>
      <c r="H149" s="2922"/>
      <c r="I149" s="2922"/>
      <c r="J149" s="2922"/>
      <c r="K149" s="2922"/>
      <c r="L149" s="2922"/>
      <c r="M149" s="1171"/>
      <c r="N149" s="2923" t="str">
        <f t="shared" si="2"/>
        <v/>
      </c>
      <c r="O149" s="2923"/>
      <c r="P149" s="2923"/>
      <c r="Q149" s="1024"/>
      <c r="R149" s="1174"/>
      <c r="S149" s="1493"/>
      <c r="T149" s="1173"/>
    </row>
    <row r="150" spans="1:20" ht="12.75" hidden="1" customHeight="1">
      <c r="A150" s="636"/>
      <c r="B150" s="700"/>
      <c r="C150" s="2921"/>
      <c r="D150" s="2921"/>
      <c r="E150" s="1172"/>
      <c r="F150" s="696"/>
      <c r="G150" s="638"/>
      <c r="H150" s="2922"/>
      <c r="I150" s="2922"/>
      <c r="J150" s="2922"/>
      <c r="K150" s="2922"/>
      <c r="L150" s="2922"/>
      <c r="M150" s="1171"/>
      <c r="N150" s="2923" t="str">
        <f t="shared" si="2"/>
        <v/>
      </c>
      <c r="O150" s="2923"/>
      <c r="P150" s="2923"/>
      <c r="Q150" s="1024"/>
      <c r="R150" s="1174"/>
      <c r="S150" s="1493"/>
      <c r="T150" s="1173"/>
    </row>
    <row r="151" spans="1:20" ht="12.75" hidden="1" customHeight="1">
      <c r="A151" s="636"/>
      <c r="B151" s="700"/>
      <c r="C151" s="2921"/>
      <c r="D151" s="2921"/>
      <c r="E151" s="1172"/>
      <c r="F151" s="696"/>
      <c r="G151" s="638"/>
      <c r="H151" s="2922"/>
      <c r="I151" s="2922"/>
      <c r="J151" s="2922"/>
      <c r="K151" s="2922"/>
      <c r="L151" s="2922"/>
      <c r="M151" s="1171"/>
      <c r="N151" s="2923" t="str">
        <f t="shared" si="2"/>
        <v/>
      </c>
      <c r="O151" s="2923"/>
      <c r="P151" s="2923"/>
      <c r="Q151" s="1024"/>
      <c r="R151" s="1174"/>
      <c r="S151" s="1493"/>
      <c r="T151" s="1173"/>
    </row>
    <row r="152" spans="1:20" ht="12.75" hidden="1" customHeight="1">
      <c r="A152" s="636"/>
      <c r="B152" s="700"/>
      <c r="C152" s="2921"/>
      <c r="D152" s="2921"/>
      <c r="E152" s="1172"/>
      <c r="F152" s="696"/>
      <c r="G152" s="638"/>
      <c r="H152" s="2922"/>
      <c r="I152" s="2922"/>
      <c r="J152" s="2922"/>
      <c r="K152" s="2922"/>
      <c r="L152" s="2922"/>
      <c r="M152" s="1171"/>
      <c r="N152" s="2923" t="str">
        <f t="shared" si="2"/>
        <v/>
      </c>
      <c r="O152" s="2923"/>
      <c r="P152" s="2923"/>
      <c r="Q152" s="1024"/>
      <c r="R152" s="1174"/>
      <c r="S152" s="1493"/>
      <c r="T152" s="1173"/>
    </row>
    <row r="153" spans="1:20" ht="12.75" hidden="1" customHeight="1">
      <c r="A153" s="636"/>
      <c r="B153" s="700"/>
      <c r="C153" s="2921"/>
      <c r="D153" s="2921"/>
      <c r="E153" s="1172"/>
      <c r="F153" s="696"/>
      <c r="G153" s="638"/>
      <c r="H153" s="2922"/>
      <c r="I153" s="2922"/>
      <c r="J153" s="2922"/>
      <c r="K153" s="2922"/>
      <c r="L153" s="2922"/>
      <c r="M153" s="1171"/>
      <c r="N153" s="2923" t="str">
        <f t="shared" si="2"/>
        <v/>
      </c>
      <c r="O153" s="2923"/>
      <c r="P153" s="2923"/>
      <c r="Q153" s="1024"/>
      <c r="R153" s="1174"/>
      <c r="S153" s="1493"/>
      <c r="T153" s="1173"/>
    </row>
    <row r="154" spans="1:20" ht="12.75" hidden="1" customHeight="1">
      <c r="A154" s="636"/>
      <c r="B154" s="700"/>
      <c r="C154" s="2921"/>
      <c r="D154" s="2921"/>
      <c r="E154" s="1172"/>
      <c r="F154" s="696"/>
      <c r="G154" s="638"/>
      <c r="H154" s="2922"/>
      <c r="I154" s="2922"/>
      <c r="J154" s="2922"/>
      <c r="K154" s="2922"/>
      <c r="L154" s="2922"/>
      <c r="M154" s="1171"/>
      <c r="N154" s="2923" t="str">
        <f t="shared" si="2"/>
        <v/>
      </c>
      <c r="O154" s="2923"/>
      <c r="P154" s="2923"/>
      <c r="Q154" s="1024"/>
      <c r="R154" s="1174"/>
      <c r="S154" s="1493"/>
      <c r="T154" s="1173"/>
    </row>
    <row r="155" spans="1:20" ht="12.75" hidden="1" customHeight="1">
      <c r="A155" s="636"/>
      <c r="B155" s="700"/>
      <c r="C155" s="2921"/>
      <c r="D155" s="2921"/>
      <c r="E155" s="1172"/>
      <c r="F155" s="696"/>
      <c r="G155" s="638"/>
      <c r="H155" s="2922"/>
      <c r="I155" s="2922"/>
      <c r="J155" s="2922"/>
      <c r="K155" s="2922"/>
      <c r="L155" s="2922"/>
      <c r="M155" s="1171"/>
      <c r="N155" s="2923" t="str">
        <f t="shared" si="2"/>
        <v/>
      </c>
      <c r="O155" s="2923"/>
      <c r="P155" s="2923"/>
      <c r="Q155" s="1024"/>
      <c r="R155" s="1174"/>
      <c r="S155" s="1493"/>
      <c r="T155" s="1173"/>
    </row>
    <row r="156" spans="1:20" ht="12.75" hidden="1" customHeight="1">
      <c r="A156" s="636"/>
      <c r="B156" s="700"/>
      <c r="C156" s="2921"/>
      <c r="D156" s="2921"/>
      <c r="E156" s="1172"/>
      <c r="F156" s="696"/>
      <c r="G156" s="638"/>
      <c r="H156" s="2922"/>
      <c r="I156" s="2922"/>
      <c r="J156" s="2922"/>
      <c r="K156" s="2922"/>
      <c r="L156" s="2922"/>
      <c r="M156" s="1171"/>
      <c r="N156" s="2923" t="str">
        <f t="shared" si="2"/>
        <v/>
      </c>
      <c r="O156" s="2923"/>
      <c r="P156" s="2923"/>
      <c r="Q156" s="1024"/>
      <c r="R156" s="1174"/>
      <c r="S156" s="1493"/>
      <c r="T156" s="1173"/>
    </row>
    <row r="157" spans="1:20" ht="12.75" hidden="1" customHeight="1">
      <c r="A157" s="636"/>
      <c r="B157" s="700"/>
      <c r="C157" s="2921"/>
      <c r="D157" s="2921"/>
      <c r="E157" s="1172"/>
      <c r="F157" s="696"/>
      <c r="G157" s="638"/>
      <c r="H157" s="2922"/>
      <c r="I157" s="2922"/>
      <c r="J157" s="2922"/>
      <c r="K157" s="2922"/>
      <c r="L157" s="2922"/>
      <c r="M157" s="1171"/>
      <c r="N157" s="2923" t="str">
        <f t="shared" si="2"/>
        <v/>
      </c>
      <c r="O157" s="2923"/>
      <c r="P157" s="2923"/>
      <c r="Q157" s="1024"/>
      <c r="R157" s="1174"/>
      <c r="S157" s="1493"/>
      <c r="T157" s="1173"/>
    </row>
    <row r="158" spans="1:20" ht="12.75" hidden="1" customHeight="1">
      <c r="A158" s="636"/>
      <c r="B158" s="700"/>
      <c r="C158" s="2921"/>
      <c r="D158" s="2921"/>
      <c r="E158" s="1172"/>
      <c r="F158" s="696"/>
      <c r="G158" s="638"/>
      <c r="H158" s="2922"/>
      <c r="I158" s="2922"/>
      <c r="J158" s="2922"/>
      <c r="K158" s="2922"/>
      <c r="L158" s="2922"/>
      <c r="M158" s="1171"/>
      <c r="N158" s="2923" t="str">
        <f t="shared" si="2"/>
        <v/>
      </c>
      <c r="O158" s="2923"/>
      <c r="P158" s="2923"/>
      <c r="Q158" s="1024"/>
      <c r="R158" s="1174"/>
      <c r="S158" s="1493"/>
      <c r="T158" s="1173"/>
    </row>
    <row r="159" spans="1:20" ht="12.75" hidden="1" customHeight="1">
      <c r="A159" s="636"/>
      <c r="B159" s="700"/>
      <c r="C159" s="2921"/>
      <c r="D159" s="2921"/>
      <c r="E159" s="1172"/>
      <c r="F159" s="696"/>
      <c r="G159" s="638"/>
      <c r="H159" s="2922"/>
      <c r="I159" s="2922"/>
      <c r="J159" s="2922"/>
      <c r="K159" s="2922"/>
      <c r="L159" s="2922"/>
      <c r="M159" s="1171"/>
      <c r="N159" s="2923" t="str">
        <f t="shared" si="2"/>
        <v/>
      </c>
      <c r="O159" s="2923"/>
      <c r="P159" s="2923"/>
      <c r="Q159" s="1024"/>
      <c r="R159" s="1174"/>
      <c r="S159" s="1493"/>
      <c r="T159" s="1173"/>
    </row>
    <row r="160" spans="1:20" ht="12.75" hidden="1" customHeight="1">
      <c r="A160" s="636"/>
      <c r="B160" s="700"/>
      <c r="C160" s="2921"/>
      <c r="D160" s="2921"/>
      <c r="E160" s="1172"/>
      <c r="F160" s="696"/>
      <c r="G160" s="638"/>
      <c r="H160" s="2922"/>
      <c r="I160" s="2922"/>
      <c r="J160" s="2922"/>
      <c r="K160" s="2922"/>
      <c r="L160" s="2922"/>
      <c r="M160" s="1171"/>
      <c r="N160" s="2923" t="str">
        <f t="shared" si="2"/>
        <v/>
      </c>
      <c r="O160" s="2923"/>
      <c r="P160" s="2923"/>
      <c r="Q160" s="1024"/>
      <c r="R160" s="1174"/>
      <c r="S160" s="1493"/>
      <c r="T160" s="1173"/>
    </row>
    <row r="161" spans="1:20" ht="12.75" hidden="1" customHeight="1">
      <c r="A161" s="636"/>
      <c r="B161" s="700"/>
      <c r="C161" s="2921"/>
      <c r="D161" s="2921"/>
      <c r="E161" s="1172"/>
      <c r="F161" s="696"/>
      <c r="G161" s="638"/>
      <c r="H161" s="2922"/>
      <c r="I161" s="2922"/>
      <c r="J161" s="2922"/>
      <c r="K161" s="2922"/>
      <c r="L161" s="2922"/>
      <c r="M161" s="1171"/>
      <c r="N161" s="2923" t="str">
        <f t="shared" si="2"/>
        <v/>
      </c>
      <c r="O161" s="2923"/>
      <c r="P161" s="2923"/>
      <c r="Q161" s="1024"/>
      <c r="R161" s="1174"/>
      <c r="S161" s="1493"/>
      <c r="T161" s="1173"/>
    </row>
    <row r="162" spans="1:20" ht="12.75" hidden="1" customHeight="1">
      <c r="A162" s="636"/>
      <c r="B162" s="700"/>
      <c r="C162" s="2921"/>
      <c r="D162" s="2921"/>
      <c r="E162" s="1172"/>
      <c r="F162" s="696"/>
      <c r="G162" s="638"/>
      <c r="H162" s="2922"/>
      <c r="I162" s="2922"/>
      <c r="J162" s="2922"/>
      <c r="K162" s="2922"/>
      <c r="L162" s="2922"/>
      <c r="M162" s="1171"/>
      <c r="N162" s="2923" t="str">
        <f t="shared" si="2"/>
        <v/>
      </c>
      <c r="O162" s="2923"/>
      <c r="P162" s="2923"/>
      <c r="Q162" s="1024"/>
      <c r="R162" s="1174"/>
      <c r="S162" s="1493"/>
      <c r="T162" s="1173"/>
    </row>
    <row r="163" spans="1:20" ht="12.75" hidden="1" customHeight="1">
      <c r="A163" s="636"/>
      <c r="B163" s="700"/>
      <c r="C163" s="2921"/>
      <c r="D163" s="2921"/>
      <c r="E163" s="1172"/>
      <c r="F163" s="696"/>
      <c r="G163" s="638"/>
      <c r="H163" s="2922"/>
      <c r="I163" s="2922"/>
      <c r="J163" s="2922"/>
      <c r="K163" s="2922"/>
      <c r="L163" s="2922"/>
      <c r="M163" s="1171"/>
      <c r="N163" s="2923" t="str">
        <f t="shared" si="2"/>
        <v/>
      </c>
      <c r="O163" s="2923"/>
      <c r="P163" s="2923"/>
      <c r="Q163" s="1024"/>
      <c r="R163" s="1174"/>
      <c r="S163" s="1493"/>
      <c r="T163" s="1173"/>
    </row>
    <row r="164" spans="1:20" ht="12.75" hidden="1" customHeight="1">
      <c r="A164" s="636"/>
      <c r="B164" s="700"/>
      <c r="C164" s="2921"/>
      <c r="D164" s="2921"/>
      <c r="E164" s="1172"/>
      <c r="F164" s="696"/>
      <c r="G164" s="638"/>
      <c r="H164" s="2922"/>
      <c r="I164" s="2922"/>
      <c r="J164" s="2922"/>
      <c r="K164" s="2922"/>
      <c r="L164" s="2922"/>
      <c r="M164" s="1171"/>
      <c r="N164" s="2923" t="str">
        <f t="shared" si="2"/>
        <v/>
      </c>
      <c r="O164" s="2923"/>
      <c r="P164" s="2923"/>
      <c r="Q164" s="1024"/>
      <c r="R164" s="1174"/>
      <c r="S164" s="1493"/>
      <c r="T164" s="1173"/>
    </row>
    <row r="165" spans="1:20" ht="12.75" hidden="1" customHeight="1">
      <c r="A165" s="636"/>
      <c r="B165" s="700"/>
      <c r="C165" s="2921"/>
      <c r="D165" s="2921"/>
      <c r="E165" s="1172"/>
      <c r="F165" s="696"/>
      <c r="G165" s="638"/>
      <c r="H165" s="2922"/>
      <c r="I165" s="2922"/>
      <c r="J165" s="2922"/>
      <c r="K165" s="2922"/>
      <c r="L165" s="2922"/>
      <c r="M165" s="1171"/>
      <c r="N165" s="2923" t="str">
        <f t="shared" si="2"/>
        <v/>
      </c>
      <c r="O165" s="2923"/>
      <c r="P165" s="2923"/>
      <c r="Q165" s="1024"/>
      <c r="R165" s="1174"/>
      <c r="S165" s="1493"/>
      <c r="T165" s="1173"/>
    </row>
    <row r="166" spans="1:20" ht="12.75" hidden="1" customHeight="1">
      <c r="A166" s="636"/>
      <c r="B166" s="700"/>
      <c r="C166" s="2921"/>
      <c r="D166" s="2921"/>
      <c r="E166" s="1172"/>
      <c r="F166" s="696"/>
      <c r="G166" s="638"/>
      <c r="H166" s="2922"/>
      <c r="I166" s="2922"/>
      <c r="J166" s="2922"/>
      <c r="K166" s="2922"/>
      <c r="L166" s="2922"/>
      <c r="M166" s="1171"/>
      <c r="N166" s="2923" t="str">
        <f t="shared" si="2"/>
        <v/>
      </c>
      <c r="O166" s="2923"/>
      <c r="P166" s="2923"/>
      <c r="Q166" s="1024"/>
      <c r="R166" s="1174"/>
      <c r="S166" s="1493"/>
      <c r="T166" s="1173"/>
    </row>
    <row r="167" spans="1:20" ht="12.75" hidden="1" customHeight="1">
      <c r="A167" s="636"/>
      <c r="B167" s="700"/>
      <c r="C167" s="2921"/>
      <c r="D167" s="2921"/>
      <c r="E167" s="1172"/>
      <c r="F167" s="696"/>
      <c r="G167" s="638"/>
      <c r="H167" s="2922"/>
      <c r="I167" s="2922"/>
      <c r="J167" s="2922"/>
      <c r="K167" s="2922"/>
      <c r="L167" s="2922"/>
      <c r="M167" s="1171"/>
      <c r="N167" s="2923" t="str">
        <f t="shared" si="2"/>
        <v/>
      </c>
      <c r="O167" s="2923"/>
      <c r="P167" s="2923"/>
      <c r="Q167" s="1024"/>
      <c r="R167" s="1174"/>
      <c r="S167" s="1493"/>
      <c r="T167" s="1173"/>
    </row>
    <row r="168" spans="1:20" ht="12.75" hidden="1" customHeight="1">
      <c r="A168" s="636"/>
      <c r="B168" s="700"/>
      <c r="C168" s="2921"/>
      <c r="D168" s="2921"/>
      <c r="E168" s="1172"/>
      <c r="F168" s="696"/>
      <c r="G168" s="638"/>
      <c r="H168" s="2922"/>
      <c r="I168" s="2922"/>
      <c r="J168" s="2922"/>
      <c r="K168" s="2922"/>
      <c r="L168" s="2922"/>
      <c r="M168" s="1171"/>
      <c r="N168" s="2923" t="str">
        <f t="shared" si="2"/>
        <v/>
      </c>
      <c r="O168" s="2923"/>
      <c r="P168" s="2923"/>
      <c r="Q168" s="1024"/>
      <c r="R168" s="1174"/>
      <c r="S168" s="1493"/>
      <c r="T168" s="1173"/>
    </row>
    <row r="169" spans="1:20" ht="12.75" hidden="1" customHeight="1">
      <c r="A169" s="636"/>
      <c r="B169" s="700"/>
      <c r="C169" s="2921"/>
      <c r="D169" s="2921"/>
      <c r="E169" s="1172"/>
      <c r="F169" s="696"/>
      <c r="G169" s="638"/>
      <c r="H169" s="2922"/>
      <c r="I169" s="2922"/>
      <c r="J169" s="2922"/>
      <c r="K169" s="2922"/>
      <c r="L169" s="2922"/>
      <c r="M169" s="1171"/>
      <c r="N169" s="2923" t="str">
        <f t="shared" si="2"/>
        <v/>
      </c>
      <c r="O169" s="2923"/>
      <c r="P169" s="2923"/>
      <c r="Q169" s="1024"/>
      <c r="R169" s="1174"/>
      <c r="S169" s="1493"/>
      <c r="T169" s="1173"/>
    </row>
    <row r="170" spans="1:20" ht="12.75" hidden="1" customHeight="1">
      <c r="A170" s="636"/>
      <c r="B170" s="700"/>
      <c r="C170" s="2921"/>
      <c r="D170" s="2921"/>
      <c r="E170" s="1172"/>
      <c r="F170" s="696"/>
      <c r="G170" s="638"/>
      <c r="H170" s="2922"/>
      <c r="I170" s="2922"/>
      <c r="J170" s="2922"/>
      <c r="K170" s="2922"/>
      <c r="L170" s="2922"/>
      <c r="M170" s="1171"/>
      <c r="N170" s="2923" t="str">
        <f t="shared" si="2"/>
        <v/>
      </c>
      <c r="O170" s="2923"/>
      <c r="P170" s="2923"/>
      <c r="Q170" s="1024"/>
      <c r="R170" s="1174"/>
      <c r="S170" s="1493"/>
      <c r="T170" s="1173"/>
    </row>
    <row r="171" spans="1:20" ht="12.75" hidden="1" customHeight="1">
      <c r="A171" s="636"/>
      <c r="B171" s="700"/>
      <c r="C171" s="2921"/>
      <c r="D171" s="2921"/>
      <c r="E171" s="1172"/>
      <c r="F171" s="696"/>
      <c r="G171" s="638"/>
      <c r="H171" s="2922"/>
      <c r="I171" s="2922"/>
      <c r="J171" s="2922"/>
      <c r="K171" s="2922"/>
      <c r="L171" s="2922"/>
      <c r="M171" s="1171"/>
      <c r="N171" s="2923" t="str">
        <f t="shared" si="2"/>
        <v/>
      </c>
      <c r="O171" s="2923"/>
      <c r="P171" s="2923"/>
      <c r="Q171" s="1024"/>
      <c r="R171" s="1174"/>
      <c r="S171" s="1493"/>
      <c r="T171" s="1173"/>
    </row>
    <row r="172" spans="1:20" ht="12.75" hidden="1" customHeight="1">
      <c r="A172" s="636"/>
      <c r="B172" s="700"/>
      <c r="C172" s="2921"/>
      <c r="D172" s="2921"/>
      <c r="E172" s="1172"/>
      <c r="F172" s="696"/>
      <c r="G172" s="638"/>
      <c r="H172" s="2922"/>
      <c r="I172" s="2922"/>
      <c r="J172" s="2922"/>
      <c r="K172" s="2922"/>
      <c r="L172" s="2922"/>
      <c r="M172" s="1171"/>
      <c r="N172" s="2923" t="str">
        <f t="shared" si="2"/>
        <v/>
      </c>
      <c r="O172" s="2923"/>
      <c r="P172" s="2923"/>
      <c r="Q172" s="1024"/>
      <c r="R172" s="1174"/>
      <c r="S172" s="1493"/>
      <c r="T172" s="1173"/>
    </row>
    <row r="173" spans="1:20" ht="12.75" hidden="1" customHeight="1">
      <c r="A173" s="636"/>
      <c r="B173" s="700"/>
      <c r="C173" s="2921"/>
      <c r="D173" s="2921"/>
      <c r="E173" s="1172"/>
      <c r="F173" s="696"/>
      <c r="G173" s="638"/>
      <c r="H173" s="2922"/>
      <c r="I173" s="2922"/>
      <c r="J173" s="2922"/>
      <c r="K173" s="2922"/>
      <c r="L173" s="2922"/>
      <c r="M173" s="1171"/>
      <c r="N173" s="2923" t="str">
        <f t="shared" si="2"/>
        <v/>
      </c>
      <c r="O173" s="2923"/>
      <c r="P173" s="2923"/>
      <c r="Q173" s="1024"/>
      <c r="R173" s="1174"/>
      <c r="S173" s="1493"/>
      <c r="T173" s="1173"/>
    </row>
    <row r="174" spans="1:20" ht="12.75" hidden="1" customHeight="1">
      <c r="A174" s="636"/>
      <c r="B174" s="700"/>
      <c r="C174" s="2921"/>
      <c r="D174" s="2921"/>
      <c r="E174" s="1172"/>
      <c r="F174" s="696"/>
      <c r="G174" s="638"/>
      <c r="H174" s="2922"/>
      <c r="I174" s="2922"/>
      <c r="J174" s="2922"/>
      <c r="K174" s="2922"/>
      <c r="L174" s="2922"/>
      <c r="M174" s="1171"/>
      <c r="N174" s="2923" t="str">
        <f t="shared" si="2"/>
        <v/>
      </c>
      <c r="O174" s="2923"/>
      <c r="P174" s="2923"/>
      <c r="Q174" s="1024"/>
      <c r="R174" s="1174"/>
      <c r="S174" s="1493"/>
      <c r="T174" s="1173"/>
    </row>
    <row r="175" spans="1:20" ht="12.75" hidden="1" customHeight="1">
      <c r="A175" s="636"/>
      <c r="B175" s="700"/>
      <c r="C175" s="2921"/>
      <c r="D175" s="2921"/>
      <c r="E175" s="1172"/>
      <c r="F175" s="696"/>
      <c r="G175" s="638"/>
      <c r="H175" s="2922"/>
      <c r="I175" s="2922"/>
      <c r="J175" s="2922"/>
      <c r="K175" s="2922"/>
      <c r="L175" s="2922"/>
      <c r="M175" s="1171"/>
      <c r="N175" s="2923" t="str">
        <f t="shared" si="2"/>
        <v/>
      </c>
      <c r="O175" s="2923"/>
      <c r="P175" s="2923"/>
      <c r="Q175" s="1024"/>
      <c r="R175" s="1174"/>
      <c r="S175" s="1493"/>
      <c r="T175" s="1173"/>
    </row>
    <row r="176" spans="1:20" ht="12.75" hidden="1" customHeight="1">
      <c r="A176" s="636"/>
      <c r="B176" s="700"/>
      <c r="C176" s="2921"/>
      <c r="D176" s="2921"/>
      <c r="E176" s="1172"/>
      <c r="F176" s="696"/>
      <c r="G176" s="638"/>
      <c r="H176" s="2922"/>
      <c r="I176" s="2922"/>
      <c r="J176" s="2922"/>
      <c r="K176" s="2922"/>
      <c r="L176" s="2922"/>
      <c r="M176" s="1171"/>
      <c r="N176" s="2923" t="str">
        <f t="shared" si="2"/>
        <v/>
      </c>
      <c r="O176" s="2923"/>
      <c r="P176" s="2923"/>
      <c r="Q176" s="1024"/>
      <c r="R176" s="1174"/>
      <c r="S176" s="1493"/>
      <c r="T176" s="1173"/>
    </row>
    <row r="177" spans="1:20" ht="12.75" hidden="1" customHeight="1">
      <c r="A177" s="636"/>
      <c r="B177" s="700"/>
      <c r="C177" s="2921"/>
      <c r="D177" s="2921"/>
      <c r="E177" s="1172"/>
      <c r="F177" s="696"/>
      <c r="G177" s="638"/>
      <c r="H177" s="2922"/>
      <c r="I177" s="2922"/>
      <c r="J177" s="2922"/>
      <c r="K177" s="2922"/>
      <c r="L177" s="2922"/>
      <c r="M177" s="1171"/>
      <c r="N177" s="2923" t="str">
        <f t="shared" si="2"/>
        <v/>
      </c>
      <c r="O177" s="2923"/>
      <c r="P177" s="2923"/>
      <c r="Q177" s="1024"/>
      <c r="R177" s="1174"/>
      <c r="S177" s="1493"/>
      <c r="T177" s="1173"/>
    </row>
    <row r="178" spans="1:20" ht="12.75" hidden="1" customHeight="1">
      <c r="A178" s="636"/>
      <c r="B178" s="700"/>
      <c r="C178" s="2921"/>
      <c r="D178" s="2921"/>
      <c r="E178" s="1172"/>
      <c r="F178" s="696"/>
      <c r="G178" s="638"/>
      <c r="H178" s="2922"/>
      <c r="I178" s="2922"/>
      <c r="J178" s="2922"/>
      <c r="K178" s="2922"/>
      <c r="L178" s="2922"/>
      <c r="M178" s="1171"/>
      <c r="N178" s="2923" t="str">
        <f t="shared" si="2"/>
        <v/>
      </c>
      <c r="O178" s="2923"/>
      <c r="P178" s="2923"/>
      <c r="Q178" s="1024"/>
      <c r="R178" s="1174"/>
      <c r="S178" s="1493"/>
      <c r="T178" s="1173"/>
    </row>
    <row r="179" spans="1:20" ht="12.75" hidden="1" customHeight="1">
      <c r="A179" s="636"/>
      <c r="B179" s="700"/>
      <c r="C179" s="2921"/>
      <c r="D179" s="2921"/>
      <c r="E179" s="1172"/>
      <c r="F179" s="696"/>
      <c r="G179" s="638"/>
      <c r="H179" s="2922"/>
      <c r="I179" s="2922"/>
      <c r="J179" s="2922"/>
      <c r="K179" s="2922"/>
      <c r="L179" s="2922"/>
      <c r="M179" s="1171"/>
      <c r="N179" s="2923" t="str">
        <f t="shared" si="2"/>
        <v/>
      </c>
      <c r="O179" s="2923"/>
      <c r="P179" s="2923"/>
      <c r="Q179" s="1024"/>
      <c r="R179" s="1174"/>
      <c r="S179" s="1493"/>
      <c r="T179" s="1173"/>
    </row>
    <row r="180" spans="1:20" ht="12.75" hidden="1" customHeight="1">
      <c r="A180" s="636"/>
      <c r="B180" s="700"/>
      <c r="C180" s="2921"/>
      <c r="D180" s="2921"/>
      <c r="E180" s="1172"/>
      <c r="F180" s="696"/>
      <c r="G180" s="638"/>
      <c r="H180" s="2922"/>
      <c r="I180" s="2922"/>
      <c r="J180" s="2922"/>
      <c r="K180" s="2922"/>
      <c r="L180" s="2922"/>
      <c r="M180" s="1171"/>
      <c r="N180" s="2923" t="str">
        <f t="shared" si="2"/>
        <v/>
      </c>
      <c r="O180" s="2923"/>
      <c r="P180" s="2923"/>
      <c r="Q180" s="1024"/>
      <c r="R180" s="1174"/>
      <c r="S180" s="1493"/>
      <c r="T180" s="1173"/>
    </row>
    <row r="181" spans="1:20" ht="12.75" hidden="1" customHeight="1">
      <c r="A181" s="636"/>
      <c r="B181" s="700"/>
      <c r="C181" s="2921"/>
      <c r="D181" s="2921"/>
      <c r="E181" s="1172"/>
      <c r="F181" s="696"/>
      <c r="G181" s="638"/>
      <c r="H181" s="2922"/>
      <c r="I181" s="2922"/>
      <c r="J181" s="2922"/>
      <c r="K181" s="2922"/>
      <c r="L181" s="2922"/>
      <c r="M181" s="1171"/>
      <c r="N181" s="2923" t="str">
        <f t="shared" si="2"/>
        <v/>
      </c>
      <c r="O181" s="2923"/>
      <c r="P181" s="2923"/>
      <c r="Q181" s="1024"/>
      <c r="R181" s="1174"/>
      <c r="S181" s="1493"/>
      <c r="T181" s="1173"/>
    </row>
    <row r="182" spans="1:20" ht="12.75" hidden="1" customHeight="1">
      <c r="A182" s="636"/>
      <c r="B182" s="700"/>
      <c r="C182" s="2921"/>
      <c r="D182" s="2921"/>
      <c r="E182" s="1172"/>
      <c r="F182" s="696"/>
      <c r="G182" s="638"/>
      <c r="H182" s="2922"/>
      <c r="I182" s="2922"/>
      <c r="J182" s="2922"/>
      <c r="K182" s="2922"/>
      <c r="L182" s="2922"/>
      <c r="M182" s="1171"/>
      <c r="N182" s="2923" t="str">
        <f t="shared" si="2"/>
        <v/>
      </c>
      <c r="O182" s="2923"/>
      <c r="P182" s="2923"/>
      <c r="Q182" s="1024"/>
      <c r="R182" s="1174"/>
      <c r="S182" s="1493"/>
      <c r="T182" s="1173"/>
    </row>
    <row r="183" spans="1:20" ht="12.75" hidden="1" customHeight="1">
      <c r="A183" s="636"/>
      <c r="B183" s="700"/>
      <c r="C183" s="2921"/>
      <c r="D183" s="2921"/>
      <c r="E183" s="1172"/>
      <c r="F183" s="696"/>
      <c r="G183" s="638"/>
      <c r="H183" s="2922"/>
      <c r="I183" s="2922"/>
      <c r="J183" s="2922"/>
      <c r="K183" s="2922"/>
      <c r="L183" s="2922"/>
      <c r="M183" s="1171"/>
      <c r="N183" s="2923" t="str">
        <f t="shared" si="2"/>
        <v/>
      </c>
      <c r="O183" s="2923"/>
      <c r="P183" s="2923"/>
      <c r="Q183" s="1024"/>
      <c r="R183" s="1174"/>
      <c r="S183" s="1493"/>
      <c r="T183" s="1173"/>
    </row>
    <row r="184" spans="1:20" ht="12.75" hidden="1" customHeight="1">
      <c r="A184" s="636"/>
      <c r="B184" s="700"/>
      <c r="C184" s="2921"/>
      <c r="D184" s="2921"/>
      <c r="E184" s="1172"/>
      <c r="F184" s="696"/>
      <c r="G184" s="638"/>
      <c r="H184" s="2922"/>
      <c r="I184" s="2922"/>
      <c r="J184" s="2922"/>
      <c r="K184" s="2922"/>
      <c r="L184" s="2922"/>
      <c r="M184" s="1171"/>
      <c r="N184" s="2923" t="str">
        <f t="shared" si="2"/>
        <v/>
      </c>
      <c r="O184" s="2923"/>
      <c r="P184" s="2923"/>
      <c r="Q184" s="1024"/>
      <c r="R184" s="1174"/>
      <c r="S184" s="1493"/>
      <c r="T184" s="1173"/>
    </row>
    <row r="185" spans="1:20" ht="12.75" hidden="1" customHeight="1">
      <c r="A185" s="636"/>
      <c r="B185" s="700"/>
      <c r="C185" s="2921"/>
      <c r="D185" s="2921"/>
      <c r="E185" s="1172"/>
      <c r="F185" s="696"/>
      <c r="G185" s="638"/>
      <c r="H185" s="2922"/>
      <c r="I185" s="2922"/>
      <c r="J185" s="2922"/>
      <c r="K185" s="2922"/>
      <c r="L185" s="2922"/>
      <c r="M185" s="1171"/>
      <c r="N185" s="2923" t="str">
        <f t="shared" si="2"/>
        <v/>
      </c>
      <c r="O185" s="2923"/>
      <c r="P185" s="2923"/>
      <c r="Q185" s="1024"/>
      <c r="R185" s="1174"/>
      <c r="S185" s="1493"/>
      <c r="T185" s="1173"/>
    </row>
    <row r="186" spans="1:20" ht="12.75" hidden="1" customHeight="1">
      <c r="A186" s="636"/>
      <c r="B186" s="700"/>
      <c r="C186" s="2921"/>
      <c r="D186" s="2921"/>
      <c r="E186" s="1172"/>
      <c r="F186" s="696"/>
      <c r="G186" s="638"/>
      <c r="H186" s="2922"/>
      <c r="I186" s="2922"/>
      <c r="J186" s="2922"/>
      <c r="K186" s="2922"/>
      <c r="L186" s="2922"/>
      <c r="M186" s="1171"/>
      <c r="N186" s="2923" t="str">
        <f t="shared" si="2"/>
        <v/>
      </c>
      <c r="O186" s="2923"/>
      <c r="P186" s="2923"/>
      <c r="Q186" s="1024"/>
      <c r="R186" s="1174"/>
      <c r="S186" s="1493"/>
      <c r="T186" s="1173"/>
    </row>
    <row r="187" spans="1:20" ht="12.75" hidden="1" customHeight="1">
      <c r="A187" s="636"/>
      <c r="B187" s="700"/>
      <c r="C187" s="2921"/>
      <c r="D187" s="2921"/>
      <c r="E187" s="1172"/>
      <c r="F187" s="696"/>
      <c r="G187" s="638"/>
      <c r="H187" s="2922"/>
      <c r="I187" s="2922"/>
      <c r="J187" s="2922"/>
      <c r="K187" s="2922"/>
      <c r="L187" s="2922"/>
      <c r="M187" s="1171"/>
      <c r="N187" s="2923" t="str">
        <f t="shared" si="2"/>
        <v/>
      </c>
      <c r="O187" s="2923"/>
      <c r="P187" s="2923"/>
      <c r="Q187" s="1024"/>
      <c r="R187" s="1174"/>
      <c r="S187" s="1493"/>
      <c r="T187" s="1173"/>
    </row>
    <row r="188" spans="1:20" ht="12.75" hidden="1" customHeight="1">
      <c r="A188" s="636"/>
      <c r="B188" s="700"/>
      <c r="C188" s="2921"/>
      <c r="D188" s="2921"/>
      <c r="E188" s="1172"/>
      <c r="F188" s="696"/>
      <c r="G188" s="638"/>
      <c r="H188" s="2922"/>
      <c r="I188" s="2922"/>
      <c r="J188" s="2922"/>
      <c r="K188" s="2922"/>
      <c r="L188" s="2922"/>
      <c r="M188" s="1171"/>
      <c r="N188" s="2923" t="str">
        <f t="shared" si="2"/>
        <v/>
      </c>
      <c r="O188" s="2923"/>
      <c r="P188" s="2923"/>
      <c r="Q188" s="1024"/>
      <c r="R188" s="1174"/>
      <c r="S188" s="1493"/>
      <c r="T188" s="1173"/>
    </row>
    <row r="189" spans="1:20" ht="12.75" hidden="1" customHeight="1">
      <c r="A189" s="636"/>
      <c r="B189" s="700"/>
      <c r="C189" s="2921"/>
      <c r="D189" s="2921"/>
      <c r="E189" s="1172"/>
      <c r="F189" s="696"/>
      <c r="G189" s="638"/>
      <c r="H189" s="2922"/>
      <c r="I189" s="2922"/>
      <c r="J189" s="2922"/>
      <c r="K189" s="2922"/>
      <c r="L189" s="2922"/>
      <c r="M189" s="1171"/>
      <c r="N189" s="2923" t="str">
        <f t="shared" si="2"/>
        <v/>
      </c>
      <c r="O189" s="2923"/>
      <c r="P189" s="2923"/>
      <c r="Q189" s="1024"/>
      <c r="R189" s="1174"/>
      <c r="S189" s="1493"/>
      <c r="T189" s="1173"/>
    </row>
    <row r="190" spans="1:20" ht="12.75" hidden="1" customHeight="1">
      <c r="A190" s="636"/>
      <c r="B190" s="700"/>
      <c r="C190" s="2921"/>
      <c r="D190" s="2921"/>
      <c r="E190" s="1172"/>
      <c r="F190" s="696"/>
      <c r="G190" s="638"/>
      <c r="H190" s="2922"/>
      <c r="I190" s="2922"/>
      <c r="J190" s="2922"/>
      <c r="K190" s="2922"/>
      <c r="L190" s="2922"/>
      <c r="M190" s="1171"/>
      <c r="N190" s="2923" t="str">
        <f t="shared" si="2"/>
        <v/>
      </c>
      <c r="O190" s="2923"/>
      <c r="P190" s="2923"/>
      <c r="Q190" s="1024"/>
      <c r="R190" s="1174"/>
      <c r="S190" s="1493"/>
      <c r="T190" s="1173"/>
    </row>
    <row r="191" spans="1:20" ht="12.75" hidden="1" customHeight="1">
      <c r="A191" s="636"/>
      <c r="B191" s="700"/>
      <c r="C191" s="2921"/>
      <c r="D191" s="2921"/>
      <c r="E191" s="1172"/>
      <c r="F191" s="696"/>
      <c r="G191" s="638"/>
      <c r="H191" s="2922"/>
      <c r="I191" s="2922"/>
      <c r="J191" s="2922"/>
      <c r="K191" s="2922"/>
      <c r="L191" s="2922"/>
      <c r="M191" s="1171"/>
      <c r="N191" s="2923" t="str">
        <f t="shared" si="2"/>
        <v/>
      </c>
      <c r="O191" s="2923"/>
      <c r="P191" s="2923"/>
      <c r="Q191" s="1024"/>
      <c r="R191" s="1174"/>
      <c r="S191" s="1493"/>
      <c r="T191" s="1173"/>
    </row>
    <row r="192" spans="1:20" ht="12.75" hidden="1" customHeight="1">
      <c r="A192" s="636"/>
      <c r="B192" s="700"/>
      <c r="C192" s="2921"/>
      <c r="D192" s="2921"/>
      <c r="E192" s="1172"/>
      <c r="F192" s="696"/>
      <c r="G192" s="638"/>
      <c r="H192" s="2922"/>
      <c r="I192" s="2922"/>
      <c r="J192" s="2922"/>
      <c r="K192" s="2922"/>
      <c r="L192" s="2922"/>
      <c r="M192" s="1171"/>
      <c r="N192" s="2923" t="str">
        <f t="shared" si="2"/>
        <v/>
      </c>
      <c r="O192" s="2923"/>
      <c r="P192" s="2923"/>
      <c r="Q192" s="1024"/>
      <c r="R192" s="1174"/>
      <c r="S192" s="1493"/>
      <c r="T192" s="1173"/>
    </row>
    <row r="193" spans="1:20" ht="12.75" hidden="1" customHeight="1">
      <c r="A193" s="636"/>
      <c r="B193" s="700"/>
      <c r="C193" s="2921"/>
      <c r="D193" s="2921"/>
      <c r="E193" s="1172"/>
      <c r="F193" s="696"/>
      <c r="G193" s="638"/>
      <c r="H193" s="2922"/>
      <c r="I193" s="2922"/>
      <c r="J193" s="2922"/>
      <c r="K193" s="2922"/>
      <c r="L193" s="2922"/>
      <c r="M193" s="1171"/>
      <c r="N193" s="2923" t="str">
        <f t="shared" si="2"/>
        <v/>
      </c>
      <c r="O193" s="2923"/>
      <c r="P193" s="2923"/>
      <c r="Q193" s="1024"/>
      <c r="R193" s="1174"/>
      <c r="S193" s="1493"/>
      <c r="T193" s="1173"/>
    </row>
    <row r="194" spans="1:20" ht="12.75" hidden="1" customHeight="1">
      <c r="A194" s="636"/>
      <c r="B194" s="700"/>
      <c r="C194" s="2921"/>
      <c r="D194" s="2921"/>
      <c r="E194" s="1172"/>
      <c r="F194" s="696"/>
      <c r="G194" s="638"/>
      <c r="H194" s="2922"/>
      <c r="I194" s="2922"/>
      <c r="J194" s="2922"/>
      <c r="K194" s="2922"/>
      <c r="L194" s="2922"/>
      <c r="M194" s="1171"/>
      <c r="N194" s="2923" t="str">
        <f t="shared" si="2"/>
        <v/>
      </c>
      <c r="O194" s="2923"/>
      <c r="P194" s="2923"/>
      <c r="Q194" s="1024"/>
      <c r="R194" s="1174"/>
      <c r="S194" s="1493"/>
      <c r="T194" s="1173"/>
    </row>
    <row r="195" spans="1:20" ht="12.75" hidden="1" customHeight="1">
      <c r="A195" s="636"/>
      <c r="B195" s="700"/>
      <c r="C195" s="2921"/>
      <c r="D195" s="2921"/>
      <c r="E195" s="1172"/>
      <c r="F195" s="696"/>
      <c r="G195" s="638"/>
      <c r="H195" s="2922"/>
      <c r="I195" s="2922"/>
      <c r="J195" s="2922"/>
      <c r="K195" s="2922"/>
      <c r="L195" s="2922"/>
      <c r="M195" s="1171"/>
      <c r="N195" s="2923" t="str">
        <f t="shared" si="2"/>
        <v/>
      </c>
      <c r="O195" s="2923"/>
      <c r="P195" s="2923"/>
      <c r="Q195" s="1024"/>
      <c r="R195" s="1174"/>
      <c r="S195" s="1493"/>
      <c r="T195" s="1173"/>
    </row>
    <row r="196" spans="1:20" ht="12.75" hidden="1" customHeight="1">
      <c r="A196" s="636"/>
      <c r="B196" s="700"/>
      <c r="C196" s="2921"/>
      <c r="D196" s="2921"/>
      <c r="E196" s="1172"/>
      <c r="F196" s="696"/>
      <c r="G196" s="638"/>
      <c r="H196" s="2922"/>
      <c r="I196" s="2922"/>
      <c r="J196" s="2922"/>
      <c r="K196" s="2922"/>
      <c r="L196" s="2922"/>
      <c r="M196" s="1171"/>
      <c r="N196" s="2923" t="str">
        <f t="shared" si="2"/>
        <v/>
      </c>
      <c r="O196" s="2923"/>
      <c r="P196" s="2923"/>
      <c r="Q196" s="1024"/>
      <c r="R196" s="1174"/>
      <c r="S196" s="1493"/>
      <c r="T196" s="1173"/>
    </row>
    <row r="197" spans="1:20" ht="12.75" hidden="1" customHeight="1">
      <c r="A197" s="636"/>
      <c r="B197" s="700"/>
      <c r="C197" s="2921"/>
      <c r="D197" s="2921"/>
      <c r="E197" s="1172"/>
      <c r="F197" s="696"/>
      <c r="G197" s="638"/>
      <c r="H197" s="2922"/>
      <c r="I197" s="2922"/>
      <c r="J197" s="2922"/>
      <c r="K197" s="2922"/>
      <c r="L197" s="2922"/>
      <c r="M197" s="1171"/>
      <c r="N197" s="2923" t="str">
        <f t="shared" si="2"/>
        <v/>
      </c>
      <c r="O197" s="2923"/>
      <c r="P197" s="2923"/>
      <c r="Q197" s="1024"/>
      <c r="R197" s="564"/>
      <c r="S197" s="2079"/>
      <c r="T197" s="564"/>
    </row>
    <row r="198" spans="1:20" ht="12.75" hidden="1" customHeight="1">
      <c r="A198" s="636"/>
      <c r="B198" s="700"/>
      <c r="C198" s="2921"/>
      <c r="D198" s="2921"/>
      <c r="E198" s="1172"/>
      <c r="F198" s="696"/>
      <c r="G198" s="638"/>
      <c r="H198" s="2922"/>
      <c r="I198" s="2922"/>
      <c r="J198" s="2922"/>
      <c r="K198" s="2922"/>
      <c r="L198" s="2922"/>
      <c r="M198" s="1171"/>
      <c r="N198" s="2923" t="str">
        <f t="shared" si="2"/>
        <v/>
      </c>
      <c r="O198" s="2923"/>
      <c r="P198" s="2923"/>
      <c r="Q198" s="1024"/>
      <c r="R198" s="564"/>
      <c r="S198" s="2079"/>
      <c r="T198" s="564"/>
    </row>
    <row r="199" spans="1:20" ht="12.75" hidden="1" customHeight="1">
      <c r="A199" s="636"/>
      <c r="B199" s="700"/>
      <c r="C199" s="2921"/>
      <c r="D199" s="2921"/>
      <c r="E199" s="1172"/>
      <c r="F199" s="696"/>
      <c r="G199" s="638"/>
      <c r="H199" s="2922"/>
      <c r="I199" s="2922"/>
      <c r="J199" s="2922"/>
      <c r="K199" s="2922"/>
      <c r="L199" s="2922"/>
      <c r="M199" s="1171"/>
      <c r="N199" s="2923" t="str">
        <f t="shared" si="2"/>
        <v/>
      </c>
      <c r="O199" s="2923"/>
      <c r="P199" s="2923"/>
      <c r="Q199" s="1024"/>
      <c r="R199" s="564"/>
      <c r="S199" s="2079"/>
      <c r="T199" s="564"/>
    </row>
    <row r="200" spans="1:20" ht="12.75" hidden="1" customHeight="1">
      <c r="A200" s="636"/>
      <c r="B200" s="700"/>
      <c r="C200" s="2921"/>
      <c r="D200" s="2921"/>
      <c r="E200" s="1172"/>
      <c r="F200" s="696"/>
      <c r="G200" s="638"/>
      <c r="H200" s="2922"/>
      <c r="I200" s="2922"/>
      <c r="J200" s="2922"/>
      <c r="K200" s="2922"/>
      <c r="L200" s="2922"/>
      <c r="M200" s="1171"/>
      <c r="N200" s="2923" t="str">
        <f t="shared" ref="N200:N206" si="3">IFERROR(VLOOKUP(M200,$S$7:$T$66,2,0),"")</f>
        <v/>
      </c>
      <c r="O200" s="2923"/>
      <c r="P200" s="2923"/>
      <c r="Q200" s="1024"/>
      <c r="R200" s="564"/>
      <c r="S200" s="2079"/>
      <c r="T200" s="564"/>
    </row>
    <row r="201" spans="1:20" ht="12.75" hidden="1" customHeight="1">
      <c r="A201" s="636"/>
      <c r="B201" s="700"/>
      <c r="C201" s="2921"/>
      <c r="D201" s="2921"/>
      <c r="E201" s="1172"/>
      <c r="F201" s="696"/>
      <c r="G201" s="638"/>
      <c r="H201" s="2922"/>
      <c r="I201" s="2922"/>
      <c r="J201" s="2922"/>
      <c r="K201" s="2922"/>
      <c r="L201" s="2922"/>
      <c r="M201" s="1171"/>
      <c r="N201" s="2923" t="str">
        <f t="shared" si="3"/>
        <v/>
      </c>
      <c r="O201" s="2923"/>
      <c r="P201" s="2923"/>
      <c r="Q201" s="1024"/>
      <c r="R201" s="564"/>
      <c r="S201" s="2079"/>
      <c r="T201" s="564"/>
    </row>
    <row r="202" spans="1:20" ht="12.75" hidden="1" customHeight="1">
      <c r="A202" s="636"/>
      <c r="B202" s="700"/>
      <c r="C202" s="2921"/>
      <c r="D202" s="2921"/>
      <c r="E202" s="1172"/>
      <c r="F202" s="696"/>
      <c r="G202" s="638"/>
      <c r="H202" s="2922"/>
      <c r="I202" s="2922"/>
      <c r="J202" s="2922"/>
      <c r="K202" s="2922"/>
      <c r="L202" s="2922"/>
      <c r="M202" s="1171"/>
      <c r="N202" s="2923" t="str">
        <f t="shared" si="3"/>
        <v/>
      </c>
      <c r="O202" s="2923"/>
      <c r="P202" s="2923"/>
      <c r="Q202" s="1024"/>
      <c r="R202" s="564"/>
      <c r="S202" s="2079"/>
      <c r="T202" s="564"/>
    </row>
    <row r="203" spans="1:20" ht="12.75" hidden="1" customHeight="1">
      <c r="A203" s="636"/>
      <c r="B203" s="700"/>
      <c r="C203" s="2921"/>
      <c r="D203" s="2921"/>
      <c r="E203" s="1172"/>
      <c r="F203" s="696"/>
      <c r="G203" s="638"/>
      <c r="H203" s="2922"/>
      <c r="I203" s="2922"/>
      <c r="J203" s="2922"/>
      <c r="K203" s="2922"/>
      <c r="L203" s="2922"/>
      <c r="M203" s="1171"/>
      <c r="N203" s="2923" t="str">
        <f t="shared" si="3"/>
        <v/>
      </c>
      <c r="O203" s="2923"/>
      <c r="P203" s="2923"/>
      <c r="Q203" s="1024"/>
      <c r="R203" s="564"/>
      <c r="S203" s="2079"/>
      <c r="T203" s="564"/>
    </row>
    <row r="204" spans="1:20" ht="12.75" hidden="1" customHeight="1">
      <c r="A204" s="636"/>
      <c r="B204" s="700"/>
      <c r="C204" s="2921"/>
      <c r="D204" s="2921"/>
      <c r="E204" s="1172"/>
      <c r="F204" s="696"/>
      <c r="G204" s="638"/>
      <c r="H204" s="2922"/>
      <c r="I204" s="2922"/>
      <c r="J204" s="2922"/>
      <c r="K204" s="2922"/>
      <c r="L204" s="2922"/>
      <c r="M204" s="1171"/>
      <c r="N204" s="2923" t="str">
        <f t="shared" si="3"/>
        <v/>
      </c>
      <c r="O204" s="2923"/>
      <c r="P204" s="2923"/>
      <c r="Q204" s="1024"/>
      <c r="R204" s="564"/>
      <c r="S204" s="2079"/>
      <c r="T204" s="564"/>
    </row>
    <row r="205" spans="1:20" ht="12.75" hidden="1" customHeight="1">
      <c r="A205" s="636"/>
      <c r="B205" s="700"/>
      <c r="C205" s="2921"/>
      <c r="D205" s="2921"/>
      <c r="E205" s="1172"/>
      <c r="F205" s="696"/>
      <c r="G205" s="638"/>
      <c r="H205" s="2922"/>
      <c r="I205" s="2922"/>
      <c r="J205" s="2922"/>
      <c r="K205" s="2922"/>
      <c r="L205" s="2922"/>
      <c r="M205" s="1171"/>
      <c r="N205" s="2923" t="str">
        <f t="shared" si="3"/>
        <v/>
      </c>
      <c r="O205" s="2923"/>
      <c r="P205" s="2923"/>
      <c r="Q205" s="1024"/>
      <c r="R205" s="564"/>
      <c r="S205" s="2079"/>
      <c r="T205" s="564"/>
    </row>
    <row r="206" spans="1:20" ht="12.75" hidden="1" customHeight="1">
      <c r="A206" s="636"/>
      <c r="B206" s="700"/>
      <c r="C206" s="2921"/>
      <c r="D206" s="2921"/>
      <c r="E206" s="1172"/>
      <c r="F206" s="696"/>
      <c r="G206" s="638"/>
      <c r="H206" s="2922"/>
      <c r="I206" s="2922"/>
      <c r="J206" s="2922"/>
      <c r="K206" s="2922"/>
      <c r="L206" s="2922"/>
      <c r="M206" s="1171"/>
      <c r="N206" s="2923" t="str">
        <f t="shared" si="3"/>
        <v/>
      </c>
      <c r="O206" s="2923"/>
      <c r="P206" s="2923"/>
      <c r="Q206" s="1021"/>
      <c r="R206" s="564"/>
      <c r="S206" s="2079"/>
      <c r="T206" s="564"/>
    </row>
    <row r="207" spans="1:20" ht="16.5" customHeight="1">
      <c r="A207" s="2917" t="s">
        <v>4433</v>
      </c>
      <c r="B207" s="2917"/>
      <c r="C207" s="1170">
        <v>1</v>
      </c>
      <c r="D207" s="2918" t="str">
        <f>IF(T7&lt;&gt;"",T7&amp;"："&amp;DOLLAR(SUMIF($M$7:$M$206,S7,$G$7:$G$206),2),"")</f>
        <v>未取得合法有效票据的支出：¥0.00</v>
      </c>
      <c r="E207" s="2918"/>
      <c r="F207" s="2918"/>
      <c r="G207" s="2918"/>
      <c r="H207" s="2918"/>
      <c r="I207" s="2918"/>
      <c r="J207" s="1170">
        <v>7</v>
      </c>
      <c r="K207" s="2919" t="str">
        <f>IF(T14&lt;&gt;"",T14&amp;"："&amp;DOLLAR(SUMIF($M$7:$M$206,S14,$G$7:$G$206),2),"")</f>
        <v>罚金、违法经营罚款和被没收财物损失：¥0.00</v>
      </c>
      <c r="L207" s="2919"/>
      <c r="M207" s="2919"/>
      <c r="N207" s="2919"/>
      <c r="O207" s="2919"/>
      <c r="P207" s="2919"/>
      <c r="Q207" s="2919"/>
      <c r="R207" s="2920" t="s">
        <v>4606</v>
      </c>
      <c r="S207" s="2920"/>
      <c r="T207" s="2920"/>
    </row>
    <row r="208" spans="1:20" ht="16.5" customHeight="1">
      <c r="A208" s="2917"/>
      <c r="B208" s="2917"/>
      <c r="C208" s="1169">
        <v>2</v>
      </c>
      <c r="D208" s="2911" t="str">
        <f t="shared" ref="D208:D212" si="4">IF(T8&lt;&gt;"",T8&amp;"："&amp;DOLLAR(SUMIF($M$7:$M$206,S8,$G$7:$G$206),2),"")</f>
        <v>跨期扣除项目：¥0.00</v>
      </c>
      <c r="E208" s="2911"/>
      <c r="F208" s="2911"/>
      <c r="G208" s="2911"/>
      <c r="H208" s="2911"/>
      <c r="I208" s="2911"/>
      <c r="J208" s="1169">
        <v>8</v>
      </c>
      <c r="K208" s="2912" t="str">
        <f t="shared" ref="K208:K212" si="5">IF(T15&lt;&gt;"",T15&amp;"："&amp;DOLLAR(SUMIF($M$7:$M$206,S15,$G$7:$G$206),2),"")</f>
        <v>跨期扣除项目：¥0.00</v>
      </c>
      <c r="L208" s="2912"/>
      <c r="M208" s="2912"/>
      <c r="N208" s="2912"/>
      <c r="O208" s="2912"/>
      <c r="P208" s="2912"/>
      <c r="Q208" s="2912"/>
      <c r="R208" s="2495" t="s">
        <v>4999</v>
      </c>
      <c r="S208" s="2495"/>
      <c r="T208" s="2495"/>
    </row>
    <row r="209" spans="1:20" ht="16.5" customHeight="1">
      <c r="A209" s="2917"/>
      <c r="B209" s="2917"/>
      <c r="C209" s="1169">
        <v>3</v>
      </c>
      <c r="D209" s="2911" t="str">
        <f t="shared" si="4"/>
        <v>与取得收入无关的支出：¥0.00</v>
      </c>
      <c r="E209" s="2911"/>
      <c r="F209" s="2911"/>
      <c r="G209" s="2911"/>
      <c r="H209" s="2911"/>
      <c r="I209" s="2911"/>
      <c r="J209" s="1169">
        <v>9</v>
      </c>
      <c r="K209" s="2912" t="str">
        <f t="shared" si="5"/>
        <v/>
      </c>
      <c r="L209" s="2912"/>
      <c r="M209" s="2912"/>
      <c r="N209" s="2912"/>
      <c r="O209" s="2912"/>
      <c r="P209" s="2912"/>
      <c r="Q209" s="2912"/>
      <c r="R209" s="2920" t="s">
        <v>4998</v>
      </c>
      <c r="S209" s="2920"/>
      <c r="T209" s="2920"/>
    </row>
    <row r="210" spans="1:20" ht="16.5" customHeight="1">
      <c r="A210" s="2917"/>
      <c r="B210" s="2917"/>
      <c r="C210" s="1169">
        <v>4</v>
      </c>
      <c r="D210" s="2911" t="str">
        <f t="shared" si="4"/>
        <v>非本公司费用：¥0.00</v>
      </c>
      <c r="E210" s="2911"/>
      <c r="F210" s="2911"/>
      <c r="G210" s="2911"/>
      <c r="H210" s="2911"/>
      <c r="I210" s="2911"/>
      <c r="J210" s="1169">
        <v>10</v>
      </c>
      <c r="K210" s="2912" t="str">
        <f t="shared" si="5"/>
        <v/>
      </c>
      <c r="L210" s="2912"/>
      <c r="M210" s="2912"/>
      <c r="N210" s="2912"/>
      <c r="O210" s="2912"/>
      <c r="P210" s="2912"/>
      <c r="Q210" s="2912"/>
      <c r="R210" s="2913" t="s">
        <v>4997</v>
      </c>
      <c r="S210" s="2913"/>
      <c r="T210" s="2913"/>
    </row>
    <row r="211" spans="1:20" ht="16.5" customHeight="1">
      <c r="A211" s="2917"/>
      <c r="B211" s="2917"/>
      <c r="C211" s="1169">
        <v>5</v>
      </c>
      <c r="D211" s="2911" t="str">
        <f t="shared" si="4"/>
        <v>产权不属于公司的汽车费用：¥0.00</v>
      </c>
      <c r="E211" s="2911"/>
      <c r="F211" s="2911"/>
      <c r="G211" s="2911"/>
      <c r="H211" s="2911"/>
      <c r="I211" s="2911"/>
      <c r="J211" s="1169">
        <v>11</v>
      </c>
      <c r="K211" s="2912" t="str">
        <f t="shared" si="5"/>
        <v/>
      </c>
      <c r="L211" s="2912"/>
      <c r="M211" s="2912"/>
      <c r="N211" s="2912"/>
      <c r="O211" s="2912"/>
      <c r="P211" s="2912"/>
      <c r="Q211" s="2912"/>
      <c r="R211" s="2913" t="s">
        <v>4996</v>
      </c>
      <c r="S211" s="2913"/>
      <c r="T211" s="2913"/>
    </row>
    <row r="212" spans="1:20" ht="16.5" customHeight="1">
      <c r="A212" s="2917"/>
      <c r="B212" s="2917"/>
      <c r="C212" s="1168">
        <v>6</v>
      </c>
      <c r="D212" s="2909" t="str">
        <f t="shared" si="4"/>
        <v>税收滞纳金：¥0.00</v>
      </c>
      <c r="E212" s="2909"/>
      <c r="F212" s="2909"/>
      <c r="G212" s="2909"/>
      <c r="H212" s="2909"/>
      <c r="I212" s="2909"/>
      <c r="J212" s="1168">
        <v>12</v>
      </c>
      <c r="K212" s="2910" t="str">
        <f t="shared" si="5"/>
        <v/>
      </c>
      <c r="L212" s="2910"/>
      <c r="M212" s="2910"/>
      <c r="N212" s="2910"/>
      <c r="O212" s="2910"/>
      <c r="P212" s="2910"/>
      <c r="Q212" s="2910"/>
      <c r="R212" s="2495" t="s">
        <v>4995</v>
      </c>
      <c r="S212" s="2495"/>
      <c r="T212" s="2495"/>
    </row>
    <row r="213" spans="1:20">
      <c r="A213" s="577"/>
      <c r="Q213" s="1167"/>
      <c r="R213" s="2907" t="s">
        <v>4994</v>
      </c>
      <c r="S213" s="2907"/>
      <c r="T213" s="2907"/>
    </row>
    <row r="214" spans="1:20">
      <c r="A214" s="577" t="s">
        <v>4993</v>
      </c>
      <c r="Q214" s="755"/>
      <c r="R214" s="2907" t="s">
        <v>4992</v>
      </c>
      <c r="S214" s="2907"/>
      <c r="T214" s="2907"/>
    </row>
    <row r="215" spans="1:20">
      <c r="Q215" s="755"/>
      <c r="R215" s="2907" t="s">
        <v>4991</v>
      </c>
      <c r="S215" s="2907"/>
      <c r="T215" s="2907"/>
    </row>
    <row r="216" spans="1:20">
      <c r="Q216" s="755"/>
      <c r="R216" s="2907" t="s">
        <v>4990</v>
      </c>
      <c r="S216" s="2907"/>
      <c r="T216" s="2907"/>
    </row>
    <row r="217" spans="1:20">
      <c r="Q217" s="755"/>
      <c r="R217" s="2907" t="s">
        <v>4989</v>
      </c>
      <c r="S217" s="2907"/>
      <c r="T217" s="2907"/>
    </row>
    <row r="218" spans="1:20">
      <c r="Q218" s="755"/>
      <c r="R218" s="2907" t="s">
        <v>4988</v>
      </c>
      <c r="S218" s="2907"/>
      <c r="T218" s="2907"/>
    </row>
    <row r="219" spans="1:20">
      <c r="Q219" s="755"/>
      <c r="R219" s="2907" t="s">
        <v>4987</v>
      </c>
      <c r="S219" s="2907"/>
      <c r="T219" s="2907"/>
    </row>
    <row r="220" spans="1:20">
      <c r="Q220" s="755"/>
      <c r="R220" s="2907" t="s">
        <v>4986</v>
      </c>
      <c r="S220" s="2907"/>
      <c r="T220" s="2907"/>
    </row>
    <row r="221" spans="1:20">
      <c r="R221" s="2907" t="s">
        <v>4985</v>
      </c>
      <c r="S221" s="2907"/>
      <c r="T221" s="2907"/>
    </row>
    <row r="222" spans="1:20">
      <c r="R222" s="2907" t="s">
        <v>4984</v>
      </c>
      <c r="S222" s="2907"/>
      <c r="T222" s="2907"/>
    </row>
    <row r="223" spans="1:20">
      <c r="R223" s="2907" t="s">
        <v>4983</v>
      </c>
      <c r="S223" s="2907"/>
      <c r="T223" s="2907"/>
    </row>
    <row r="224" spans="1:20" ht="14.25" customHeight="1">
      <c r="R224" s="2908" t="s">
        <v>4982</v>
      </c>
      <c r="S224" s="2908"/>
      <c r="T224" s="2908"/>
    </row>
    <row r="225" spans="18:20">
      <c r="R225" s="2908"/>
      <c r="S225" s="2908"/>
      <c r="T225" s="2908"/>
    </row>
    <row r="226" spans="18:20">
      <c r="R226" s="2908"/>
      <c r="S226" s="2908"/>
      <c r="T226" s="2908"/>
    </row>
    <row r="227" spans="18:20">
      <c r="R227" s="2908"/>
      <c r="S227" s="2908"/>
      <c r="T227" s="2908"/>
    </row>
    <row r="228" spans="18:20">
      <c r="R228" s="2908"/>
      <c r="S228" s="2908"/>
      <c r="T228" s="2908"/>
    </row>
    <row r="229" spans="18:20">
      <c r="R229" s="1166"/>
      <c r="S229" s="1166"/>
      <c r="T229" s="1166"/>
    </row>
    <row r="230" spans="18:20">
      <c r="R230" s="2906"/>
      <c r="S230" s="2906"/>
      <c r="T230" s="2906"/>
    </row>
    <row r="231" spans="18:20">
      <c r="R231" s="2906"/>
      <c r="S231" s="2906"/>
      <c r="T231" s="2906"/>
    </row>
    <row r="232" spans="18:20">
      <c r="R232" s="2906"/>
      <c r="S232" s="2906"/>
      <c r="T232" s="2906"/>
    </row>
  </sheetData>
  <sheetProtection selectLockedCells="1" selectUnlockedCells="1"/>
  <autoFilter ref="A6:T6">
    <filterColumn colId="2" showButton="0"/>
    <filterColumn colId="7" showButton="0"/>
    <filterColumn colId="8" showButton="0"/>
    <filterColumn colId="9" showButton="0"/>
    <filterColumn colId="10" showButton="0"/>
    <filterColumn colId="13" showButton="0"/>
    <filterColumn colId="14" showButton="0"/>
    <filterColumn colId="17" showButton="0"/>
    <filterColumn colId="18" showButton="0"/>
    <filterColumn colId="19" showButton="0"/>
  </autoFilter>
  <mergeCells count="655">
    <mergeCell ref="A3:D3"/>
    <mergeCell ref="E3:H3"/>
    <mergeCell ref="J3:L3"/>
    <mergeCell ref="N3:O3"/>
    <mergeCell ref="P3:P4"/>
    <mergeCell ref="M5:M6"/>
    <mergeCell ref="Q5:Q6"/>
    <mergeCell ref="Q3:Q4"/>
    <mergeCell ref="A4:D4"/>
    <mergeCell ref="E4:H4"/>
    <mergeCell ref="J4:L4"/>
    <mergeCell ref="C7:D7"/>
    <mergeCell ref="H7:L7"/>
    <mergeCell ref="N7:P7"/>
    <mergeCell ref="N4:O4"/>
    <mergeCell ref="N5:P6"/>
    <mergeCell ref="H5:L6"/>
    <mergeCell ref="A5:A6"/>
    <mergeCell ref="B5:B6"/>
    <mergeCell ref="C5:D6"/>
    <mergeCell ref="E5:G5"/>
    <mergeCell ref="C11:D11"/>
    <mergeCell ref="H11:L11"/>
    <mergeCell ref="N11:P11"/>
    <mergeCell ref="C8:D8"/>
    <mergeCell ref="H8:L8"/>
    <mergeCell ref="N8:P8"/>
    <mergeCell ref="C9:D9"/>
    <mergeCell ref="H9:L9"/>
    <mergeCell ref="N9:P9"/>
    <mergeCell ref="C10:D10"/>
    <mergeCell ref="H10:L10"/>
    <mergeCell ref="N10:P10"/>
    <mergeCell ref="H21:L21"/>
    <mergeCell ref="N21:P21"/>
    <mergeCell ref="C12:D12"/>
    <mergeCell ref="H12:L12"/>
    <mergeCell ref="N12:P12"/>
    <mergeCell ref="C13:D13"/>
    <mergeCell ref="H13:L13"/>
    <mergeCell ref="N13:P13"/>
    <mergeCell ref="C15:D15"/>
    <mergeCell ref="H15:L15"/>
    <mergeCell ref="N15:P15"/>
    <mergeCell ref="H27:L27"/>
    <mergeCell ref="N27:P27"/>
    <mergeCell ref="C29:D29"/>
    <mergeCell ref="H29:L29"/>
    <mergeCell ref="N29:P29"/>
    <mergeCell ref="C22:D22"/>
    <mergeCell ref="H22:L22"/>
    <mergeCell ref="N22:P22"/>
    <mergeCell ref="C14:D14"/>
    <mergeCell ref="H14:L14"/>
    <mergeCell ref="N14:P14"/>
    <mergeCell ref="C17:D17"/>
    <mergeCell ref="H17:L17"/>
    <mergeCell ref="N17:P17"/>
    <mergeCell ref="C16:D16"/>
    <mergeCell ref="H16:L16"/>
    <mergeCell ref="N16:P16"/>
    <mergeCell ref="C18:D18"/>
    <mergeCell ref="H18:L18"/>
    <mergeCell ref="N18:P18"/>
    <mergeCell ref="C20:D20"/>
    <mergeCell ref="H20:L20"/>
    <mergeCell ref="N20:P20"/>
    <mergeCell ref="C21:D21"/>
    <mergeCell ref="H35:L35"/>
    <mergeCell ref="N35:P35"/>
    <mergeCell ref="C19:D19"/>
    <mergeCell ref="H19:L19"/>
    <mergeCell ref="N19:P19"/>
    <mergeCell ref="C37:D37"/>
    <mergeCell ref="H37:L37"/>
    <mergeCell ref="N37:P37"/>
    <mergeCell ref="C30:D30"/>
    <mergeCell ref="H30:L30"/>
    <mergeCell ref="N30:P30"/>
    <mergeCell ref="C23:D23"/>
    <mergeCell ref="H23:L23"/>
    <mergeCell ref="N23:P23"/>
    <mergeCell ref="C24:D24"/>
    <mergeCell ref="H24:L24"/>
    <mergeCell ref="N24:P24"/>
    <mergeCell ref="C25:D25"/>
    <mergeCell ref="H25:L25"/>
    <mergeCell ref="N25:P25"/>
    <mergeCell ref="C26:D26"/>
    <mergeCell ref="H26:L26"/>
    <mergeCell ref="N26:P26"/>
    <mergeCell ref="C27:D27"/>
    <mergeCell ref="H43:L43"/>
    <mergeCell ref="N43:P43"/>
    <mergeCell ref="C28:D28"/>
    <mergeCell ref="H28:L28"/>
    <mergeCell ref="N28:P28"/>
    <mergeCell ref="C45:D45"/>
    <mergeCell ref="H45:L45"/>
    <mergeCell ref="N45:P45"/>
    <mergeCell ref="C38:D38"/>
    <mergeCell ref="H38:L38"/>
    <mergeCell ref="N38:P38"/>
    <mergeCell ref="C31:D31"/>
    <mergeCell ref="H31:L31"/>
    <mergeCell ref="N31:P31"/>
    <mergeCell ref="C32:D32"/>
    <mergeCell ref="H32:L32"/>
    <mergeCell ref="N32:P32"/>
    <mergeCell ref="C33:D33"/>
    <mergeCell ref="H33:L33"/>
    <mergeCell ref="N33:P33"/>
    <mergeCell ref="C34:D34"/>
    <mergeCell ref="H34:L34"/>
    <mergeCell ref="N34:P34"/>
    <mergeCell ref="C35:D35"/>
    <mergeCell ref="H51:L51"/>
    <mergeCell ref="N51:P51"/>
    <mergeCell ref="C36:D36"/>
    <mergeCell ref="H36:L36"/>
    <mergeCell ref="N36:P36"/>
    <mergeCell ref="C53:D53"/>
    <mergeCell ref="H53:L53"/>
    <mergeCell ref="N53:P53"/>
    <mergeCell ref="C46:D46"/>
    <mergeCell ref="H46:L46"/>
    <mergeCell ref="N46:P46"/>
    <mergeCell ref="C39:D39"/>
    <mergeCell ref="H39:L39"/>
    <mergeCell ref="N39:P39"/>
    <mergeCell ref="C40:D40"/>
    <mergeCell ref="H40:L40"/>
    <mergeCell ref="N40:P40"/>
    <mergeCell ref="C41:D41"/>
    <mergeCell ref="H41:L41"/>
    <mergeCell ref="N41:P41"/>
    <mergeCell ref="C42:D42"/>
    <mergeCell ref="H42:L42"/>
    <mergeCell ref="N42:P42"/>
    <mergeCell ref="C43:D43"/>
    <mergeCell ref="H59:L59"/>
    <mergeCell ref="N59:P59"/>
    <mergeCell ref="C44:D44"/>
    <mergeCell ref="H44:L44"/>
    <mergeCell ref="N44:P44"/>
    <mergeCell ref="C61:D61"/>
    <mergeCell ref="H61:L61"/>
    <mergeCell ref="N61:P61"/>
    <mergeCell ref="C54:D54"/>
    <mergeCell ref="H54:L54"/>
    <mergeCell ref="N54:P54"/>
    <mergeCell ref="C47:D47"/>
    <mergeCell ref="H47:L47"/>
    <mergeCell ref="N47:P47"/>
    <mergeCell ref="C48:D48"/>
    <mergeCell ref="H48:L48"/>
    <mergeCell ref="N48:P48"/>
    <mergeCell ref="C49:D49"/>
    <mergeCell ref="H49:L49"/>
    <mergeCell ref="N49:P49"/>
    <mergeCell ref="C50:D50"/>
    <mergeCell ref="H50:L50"/>
    <mergeCell ref="N50:P50"/>
    <mergeCell ref="C51:D51"/>
    <mergeCell ref="H67:L67"/>
    <mergeCell ref="N67:P67"/>
    <mergeCell ref="C52:D52"/>
    <mergeCell ref="H52:L52"/>
    <mergeCell ref="N52:P52"/>
    <mergeCell ref="C69:D69"/>
    <mergeCell ref="H69:L69"/>
    <mergeCell ref="N69:P69"/>
    <mergeCell ref="C62:D62"/>
    <mergeCell ref="H62:L62"/>
    <mergeCell ref="N62:P62"/>
    <mergeCell ref="C55:D55"/>
    <mergeCell ref="H55:L55"/>
    <mergeCell ref="N55:P55"/>
    <mergeCell ref="C56:D56"/>
    <mergeCell ref="H56:L56"/>
    <mergeCell ref="N56:P56"/>
    <mergeCell ref="C57:D57"/>
    <mergeCell ref="H57:L57"/>
    <mergeCell ref="N57:P57"/>
    <mergeCell ref="C58:D58"/>
    <mergeCell ref="H58:L58"/>
    <mergeCell ref="N58:P58"/>
    <mergeCell ref="C59:D59"/>
    <mergeCell ref="H75:L75"/>
    <mergeCell ref="N75:P75"/>
    <mergeCell ref="C60:D60"/>
    <mergeCell ref="H60:L60"/>
    <mergeCell ref="N60:P60"/>
    <mergeCell ref="C77:D77"/>
    <mergeCell ref="H77:L77"/>
    <mergeCell ref="N77:P77"/>
    <mergeCell ref="C70:D70"/>
    <mergeCell ref="H70:L70"/>
    <mergeCell ref="N70:P70"/>
    <mergeCell ref="C63:D63"/>
    <mergeCell ref="H63:L63"/>
    <mergeCell ref="N63:P63"/>
    <mergeCell ref="C64:D64"/>
    <mergeCell ref="H64:L64"/>
    <mergeCell ref="N64:P64"/>
    <mergeCell ref="C65:D65"/>
    <mergeCell ref="H65:L65"/>
    <mergeCell ref="N65:P65"/>
    <mergeCell ref="C66:D66"/>
    <mergeCell ref="H66:L66"/>
    <mergeCell ref="N66:P66"/>
    <mergeCell ref="C67:D67"/>
    <mergeCell ref="H83:L83"/>
    <mergeCell ref="N83:P83"/>
    <mergeCell ref="C68:D68"/>
    <mergeCell ref="H68:L68"/>
    <mergeCell ref="N68:P68"/>
    <mergeCell ref="C85:D85"/>
    <mergeCell ref="H85:L85"/>
    <mergeCell ref="N85:P85"/>
    <mergeCell ref="C78:D78"/>
    <mergeCell ref="H78:L78"/>
    <mergeCell ref="N78:P78"/>
    <mergeCell ref="C71:D71"/>
    <mergeCell ref="H71:L71"/>
    <mergeCell ref="N71:P71"/>
    <mergeCell ref="C72:D72"/>
    <mergeCell ref="H72:L72"/>
    <mergeCell ref="N72:P72"/>
    <mergeCell ref="C73:D73"/>
    <mergeCell ref="H73:L73"/>
    <mergeCell ref="N73:P73"/>
    <mergeCell ref="C74:D74"/>
    <mergeCell ref="H74:L74"/>
    <mergeCell ref="N74:P74"/>
    <mergeCell ref="C75:D75"/>
    <mergeCell ref="H91:L91"/>
    <mergeCell ref="N91:P91"/>
    <mergeCell ref="C76:D76"/>
    <mergeCell ref="H76:L76"/>
    <mergeCell ref="N76:P76"/>
    <mergeCell ref="C93:D93"/>
    <mergeCell ref="H93:L93"/>
    <mergeCell ref="N93:P93"/>
    <mergeCell ref="C86:D86"/>
    <mergeCell ref="H86:L86"/>
    <mergeCell ref="N86:P86"/>
    <mergeCell ref="C79:D79"/>
    <mergeCell ref="H79:L79"/>
    <mergeCell ref="N79:P79"/>
    <mergeCell ref="C80:D80"/>
    <mergeCell ref="H80:L80"/>
    <mergeCell ref="N80:P80"/>
    <mergeCell ref="C81:D81"/>
    <mergeCell ref="H81:L81"/>
    <mergeCell ref="N81:P81"/>
    <mergeCell ref="C82:D82"/>
    <mergeCell ref="H82:L82"/>
    <mergeCell ref="N82:P82"/>
    <mergeCell ref="C83:D83"/>
    <mergeCell ref="H99:L99"/>
    <mergeCell ref="N99:P99"/>
    <mergeCell ref="C84:D84"/>
    <mergeCell ref="H84:L84"/>
    <mergeCell ref="N84:P84"/>
    <mergeCell ref="C101:D101"/>
    <mergeCell ref="H101:L101"/>
    <mergeCell ref="N101:P101"/>
    <mergeCell ref="C94:D94"/>
    <mergeCell ref="H94:L94"/>
    <mergeCell ref="N94:P94"/>
    <mergeCell ref="C87:D87"/>
    <mergeCell ref="H87:L87"/>
    <mergeCell ref="N87:P87"/>
    <mergeCell ref="C88:D88"/>
    <mergeCell ref="H88:L88"/>
    <mergeCell ref="N88:P88"/>
    <mergeCell ref="C89:D89"/>
    <mergeCell ref="H89:L89"/>
    <mergeCell ref="N89:P89"/>
    <mergeCell ref="C90:D90"/>
    <mergeCell ref="H90:L90"/>
    <mergeCell ref="N90:P90"/>
    <mergeCell ref="C91:D91"/>
    <mergeCell ref="H107:L107"/>
    <mergeCell ref="N107:P107"/>
    <mergeCell ref="C92:D92"/>
    <mergeCell ref="H92:L92"/>
    <mergeCell ref="N92:P92"/>
    <mergeCell ref="C109:D109"/>
    <mergeCell ref="H109:L109"/>
    <mergeCell ref="N109:P109"/>
    <mergeCell ref="C102:D102"/>
    <mergeCell ref="H102:L102"/>
    <mergeCell ref="N102:P102"/>
    <mergeCell ref="C95:D95"/>
    <mergeCell ref="H95:L95"/>
    <mergeCell ref="N95:P95"/>
    <mergeCell ref="C96:D96"/>
    <mergeCell ref="H96:L96"/>
    <mergeCell ref="N96:P96"/>
    <mergeCell ref="C97:D97"/>
    <mergeCell ref="H97:L97"/>
    <mergeCell ref="N97:P97"/>
    <mergeCell ref="C98:D98"/>
    <mergeCell ref="H98:L98"/>
    <mergeCell ref="N98:P98"/>
    <mergeCell ref="C99:D99"/>
    <mergeCell ref="H115:L115"/>
    <mergeCell ref="N115:P115"/>
    <mergeCell ref="C100:D100"/>
    <mergeCell ref="H100:L100"/>
    <mergeCell ref="N100:P100"/>
    <mergeCell ref="C117:D117"/>
    <mergeCell ref="H117:L117"/>
    <mergeCell ref="N117:P117"/>
    <mergeCell ref="C110:D110"/>
    <mergeCell ref="H110:L110"/>
    <mergeCell ref="N110:P110"/>
    <mergeCell ref="C103:D103"/>
    <mergeCell ref="H103:L103"/>
    <mergeCell ref="N103:P103"/>
    <mergeCell ref="C104:D104"/>
    <mergeCell ref="H104:L104"/>
    <mergeCell ref="N104:P104"/>
    <mergeCell ref="C105:D105"/>
    <mergeCell ref="H105:L105"/>
    <mergeCell ref="N105:P105"/>
    <mergeCell ref="C106:D106"/>
    <mergeCell ref="H106:L106"/>
    <mergeCell ref="N106:P106"/>
    <mergeCell ref="C107:D107"/>
    <mergeCell ref="H123:L123"/>
    <mergeCell ref="N123:P123"/>
    <mergeCell ref="C108:D108"/>
    <mergeCell ref="H108:L108"/>
    <mergeCell ref="N108:P108"/>
    <mergeCell ref="C125:D125"/>
    <mergeCell ref="H125:L125"/>
    <mergeCell ref="N125:P125"/>
    <mergeCell ref="C118:D118"/>
    <mergeCell ref="H118:L118"/>
    <mergeCell ref="N118:P118"/>
    <mergeCell ref="C111:D111"/>
    <mergeCell ref="H111:L111"/>
    <mergeCell ref="N111:P111"/>
    <mergeCell ref="C112:D112"/>
    <mergeCell ref="H112:L112"/>
    <mergeCell ref="N112:P112"/>
    <mergeCell ref="C113:D113"/>
    <mergeCell ref="H113:L113"/>
    <mergeCell ref="N113:P113"/>
    <mergeCell ref="C114:D114"/>
    <mergeCell ref="H114:L114"/>
    <mergeCell ref="N114:P114"/>
    <mergeCell ref="C115:D115"/>
    <mergeCell ref="H131:L131"/>
    <mergeCell ref="N131:P131"/>
    <mergeCell ref="C116:D116"/>
    <mergeCell ref="H116:L116"/>
    <mergeCell ref="N116:P116"/>
    <mergeCell ref="C133:D133"/>
    <mergeCell ref="H133:L133"/>
    <mergeCell ref="N133:P133"/>
    <mergeCell ref="C126:D126"/>
    <mergeCell ref="H126:L126"/>
    <mergeCell ref="N126:P126"/>
    <mergeCell ref="C119:D119"/>
    <mergeCell ref="H119:L119"/>
    <mergeCell ref="N119:P119"/>
    <mergeCell ref="C120:D120"/>
    <mergeCell ref="H120:L120"/>
    <mergeCell ref="N120:P120"/>
    <mergeCell ref="C121:D121"/>
    <mergeCell ref="H121:L121"/>
    <mergeCell ref="N121:P121"/>
    <mergeCell ref="C122:D122"/>
    <mergeCell ref="H122:L122"/>
    <mergeCell ref="N122:P122"/>
    <mergeCell ref="C123:D123"/>
    <mergeCell ref="H139:L139"/>
    <mergeCell ref="N139:P139"/>
    <mergeCell ref="C124:D124"/>
    <mergeCell ref="H124:L124"/>
    <mergeCell ref="N124:P124"/>
    <mergeCell ref="C141:D141"/>
    <mergeCell ref="H141:L141"/>
    <mergeCell ref="N141:P141"/>
    <mergeCell ref="C134:D134"/>
    <mergeCell ref="H134:L134"/>
    <mergeCell ref="N134:P134"/>
    <mergeCell ref="C127:D127"/>
    <mergeCell ref="H127:L127"/>
    <mergeCell ref="N127:P127"/>
    <mergeCell ref="C128:D128"/>
    <mergeCell ref="H128:L128"/>
    <mergeCell ref="N128:P128"/>
    <mergeCell ref="C129:D129"/>
    <mergeCell ref="H129:L129"/>
    <mergeCell ref="N129:P129"/>
    <mergeCell ref="C130:D130"/>
    <mergeCell ref="H130:L130"/>
    <mergeCell ref="N130:P130"/>
    <mergeCell ref="C131:D131"/>
    <mergeCell ref="H147:L147"/>
    <mergeCell ref="N147:P147"/>
    <mergeCell ref="C132:D132"/>
    <mergeCell ref="H132:L132"/>
    <mergeCell ref="N132:P132"/>
    <mergeCell ref="C149:D149"/>
    <mergeCell ref="H149:L149"/>
    <mergeCell ref="N149:P149"/>
    <mergeCell ref="C142:D142"/>
    <mergeCell ref="H142:L142"/>
    <mergeCell ref="N142:P142"/>
    <mergeCell ref="C135:D135"/>
    <mergeCell ref="H135:L135"/>
    <mergeCell ref="N135:P135"/>
    <mergeCell ref="C136:D136"/>
    <mergeCell ref="H136:L136"/>
    <mergeCell ref="N136:P136"/>
    <mergeCell ref="C137:D137"/>
    <mergeCell ref="H137:L137"/>
    <mergeCell ref="N137:P137"/>
    <mergeCell ref="C138:D138"/>
    <mergeCell ref="H138:L138"/>
    <mergeCell ref="N138:P138"/>
    <mergeCell ref="C139:D139"/>
    <mergeCell ref="H155:L155"/>
    <mergeCell ref="N155:P155"/>
    <mergeCell ref="C140:D140"/>
    <mergeCell ref="H140:L140"/>
    <mergeCell ref="N140:P140"/>
    <mergeCell ref="C157:D157"/>
    <mergeCell ref="H157:L157"/>
    <mergeCell ref="N157:P157"/>
    <mergeCell ref="C150:D150"/>
    <mergeCell ref="H150:L150"/>
    <mergeCell ref="N150:P150"/>
    <mergeCell ref="C143:D143"/>
    <mergeCell ref="H143:L143"/>
    <mergeCell ref="N143:P143"/>
    <mergeCell ref="C144:D144"/>
    <mergeCell ref="H144:L144"/>
    <mergeCell ref="N144:P144"/>
    <mergeCell ref="C145:D145"/>
    <mergeCell ref="H145:L145"/>
    <mergeCell ref="N145:P145"/>
    <mergeCell ref="C146:D146"/>
    <mergeCell ref="H146:L146"/>
    <mergeCell ref="N146:P146"/>
    <mergeCell ref="C147:D147"/>
    <mergeCell ref="H163:L163"/>
    <mergeCell ref="N163:P163"/>
    <mergeCell ref="C148:D148"/>
    <mergeCell ref="H148:L148"/>
    <mergeCell ref="N148:P148"/>
    <mergeCell ref="C165:D165"/>
    <mergeCell ref="H165:L165"/>
    <mergeCell ref="N165:P165"/>
    <mergeCell ref="C158:D158"/>
    <mergeCell ref="H158:L158"/>
    <mergeCell ref="N158:P158"/>
    <mergeCell ref="C151:D151"/>
    <mergeCell ref="H151:L151"/>
    <mergeCell ref="N151:P151"/>
    <mergeCell ref="C152:D152"/>
    <mergeCell ref="H152:L152"/>
    <mergeCell ref="N152:P152"/>
    <mergeCell ref="C153:D153"/>
    <mergeCell ref="H153:L153"/>
    <mergeCell ref="N153:P153"/>
    <mergeCell ref="C154:D154"/>
    <mergeCell ref="H154:L154"/>
    <mergeCell ref="N154:P154"/>
    <mergeCell ref="C155:D155"/>
    <mergeCell ref="H171:L171"/>
    <mergeCell ref="N171:P171"/>
    <mergeCell ref="C156:D156"/>
    <mergeCell ref="H156:L156"/>
    <mergeCell ref="N156:P156"/>
    <mergeCell ref="C173:D173"/>
    <mergeCell ref="H173:L173"/>
    <mergeCell ref="N173:P173"/>
    <mergeCell ref="C166:D166"/>
    <mergeCell ref="H166:L166"/>
    <mergeCell ref="N166:P166"/>
    <mergeCell ref="C159:D159"/>
    <mergeCell ref="H159:L159"/>
    <mergeCell ref="N159:P159"/>
    <mergeCell ref="C160:D160"/>
    <mergeCell ref="H160:L160"/>
    <mergeCell ref="N160:P160"/>
    <mergeCell ref="C161:D161"/>
    <mergeCell ref="H161:L161"/>
    <mergeCell ref="N161:P161"/>
    <mergeCell ref="C162:D162"/>
    <mergeCell ref="H162:L162"/>
    <mergeCell ref="N162:P162"/>
    <mergeCell ref="C163:D163"/>
    <mergeCell ref="H179:L179"/>
    <mergeCell ref="N179:P179"/>
    <mergeCell ref="C164:D164"/>
    <mergeCell ref="H164:L164"/>
    <mergeCell ref="N164:P164"/>
    <mergeCell ref="C181:D181"/>
    <mergeCell ref="H181:L181"/>
    <mergeCell ref="N181:P181"/>
    <mergeCell ref="C174:D174"/>
    <mergeCell ref="H174:L174"/>
    <mergeCell ref="N174:P174"/>
    <mergeCell ref="C167:D167"/>
    <mergeCell ref="H167:L167"/>
    <mergeCell ref="N167:P167"/>
    <mergeCell ref="C168:D168"/>
    <mergeCell ref="H168:L168"/>
    <mergeCell ref="N168:P168"/>
    <mergeCell ref="C169:D169"/>
    <mergeCell ref="H169:L169"/>
    <mergeCell ref="N169:P169"/>
    <mergeCell ref="C170:D170"/>
    <mergeCell ref="H170:L170"/>
    <mergeCell ref="N170:P170"/>
    <mergeCell ref="C171:D171"/>
    <mergeCell ref="H187:L187"/>
    <mergeCell ref="N187:P187"/>
    <mergeCell ref="C172:D172"/>
    <mergeCell ref="H172:L172"/>
    <mergeCell ref="N172:P172"/>
    <mergeCell ref="C189:D189"/>
    <mergeCell ref="H189:L189"/>
    <mergeCell ref="N189:P189"/>
    <mergeCell ref="C182:D182"/>
    <mergeCell ref="H182:L182"/>
    <mergeCell ref="N182:P182"/>
    <mergeCell ref="C175:D175"/>
    <mergeCell ref="H175:L175"/>
    <mergeCell ref="N175:P175"/>
    <mergeCell ref="C176:D176"/>
    <mergeCell ref="H176:L176"/>
    <mergeCell ref="N176:P176"/>
    <mergeCell ref="C177:D177"/>
    <mergeCell ref="H177:L177"/>
    <mergeCell ref="N177:P177"/>
    <mergeCell ref="C178:D178"/>
    <mergeCell ref="H178:L178"/>
    <mergeCell ref="N178:P178"/>
    <mergeCell ref="C179:D179"/>
    <mergeCell ref="H195:L195"/>
    <mergeCell ref="N195:P195"/>
    <mergeCell ref="C180:D180"/>
    <mergeCell ref="H180:L180"/>
    <mergeCell ref="N180:P180"/>
    <mergeCell ref="C197:D197"/>
    <mergeCell ref="H197:L197"/>
    <mergeCell ref="N197:P197"/>
    <mergeCell ref="C190:D190"/>
    <mergeCell ref="H190:L190"/>
    <mergeCell ref="N190:P190"/>
    <mergeCell ref="C183:D183"/>
    <mergeCell ref="H183:L183"/>
    <mergeCell ref="N183:P183"/>
    <mergeCell ref="C184:D184"/>
    <mergeCell ref="H184:L184"/>
    <mergeCell ref="N184:P184"/>
    <mergeCell ref="C185:D185"/>
    <mergeCell ref="H185:L185"/>
    <mergeCell ref="N185:P185"/>
    <mergeCell ref="C186:D186"/>
    <mergeCell ref="H186:L186"/>
    <mergeCell ref="N186:P186"/>
    <mergeCell ref="C187:D187"/>
    <mergeCell ref="H203:L203"/>
    <mergeCell ref="N203:P203"/>
    <mergeCell ref="C188:D188"/>
    <mergeCell ref="H188:L188"/>
    <mergeCell ref="N188:P188"/>
    <mergeCell ref="C205:D205"/>
    <mergeCell ref="H205:L205"/>
    <mergeCell ref="N205:P205"/>
    <mergeCell ref="C198:D198"/>
    <mergeCell ref="H198:L198"/>
    <mergeCell ref="N198:P198"/>
    <mergeCell ref="C191:D191"/>
    <mergeCell ref="H191:L191"/>
    <mergeCell ref="N191:P191"/>
    <mergeCell ref="C192:D192"/>
    <mergeCell ref="H192:L192"/>
    <mergeCell ref="N192:P192"/>
    <mergeCell ref="C193:D193"/>
    <mergeCell ref="H193:L193"/>
    <mergeCell ref="N193:P193"/>
    <mergeCell ref="C194:D194"/>
    <mergeCell ref="H194:L194"/>
    <mergeCell ref="N194:P194"/>
    <mergeCell ref="C195:D195"/>
    <mergeCell ref="K210:Q210"/>
    <mergeCell ref="R210:T210"/>
    <mergeCell ref="C196:D196"/>
    <mergeCell ref="H196:L196"/>
    <mergeCell ref="N196:P196"/>
    <mergeCell ref="R214:T214"/>
    <mergeCell ref="R215:T215"/>
    <mergeCell ref="R216:T216"/>
    <mergeCell ref="C206:D206"/>
    <mergeCell ref="H206:L206"/>
    <mergeCell ref="N206:P206"/>
    <mergeCell ref="C199:D199"/>
    <mergeCell ref="H199:L199"/>
    <mergeCell ref="N199:P199"/>
    <mergeCell ref="C200:D200"/>
    <mergeCell ref="H200:L200"/>
    <mergeCell ref="N200:P200"/>
    <mergeCell ref="C201:D201"/>
    <mergeCell ref="H201:L201"/>
    <mergeCell ref="N201:P201"/>
    <mergeCell ref="C202:D202"/>
    <mergeCell ref="H202:L202"/>
    <mergeCell ref="N202:P202"/>
    <mergeCell ref="C203:D203"/>
    <mergeCell ref="D211:I211"/>
    <mergeCell ref="K211:Q211"/>
    <mergeCell ref="R211:T211"/>
    <mergeCell ref="N1:Q1"/>
    <mergeCell ref="N2:Q2"/>
    <mergeCell ref="A1:M2"/>
    <mergeCell ref="R220:T220"/>
    <mergeCell ref="R221:T221"/>
    <mergeCell ref="R218:T218"/>
    <mergeCell ref="R219:T219"/>
    <mergeCell ref="A207:B212"/>
    <mergeCell ref="D207:I207"/>
    <mergeCell ref="K207:Q207"/>
    <mergeCell ref="R207:T207"/>
    <mergeCell ref="D208:I208"/>
    <mergeCell ref="K208:Q208"/>
    <mergeCell ref="C204:D204"/>
    <mergeCell ref="H204:L204"/>
    <mergeCell ref="N204:P204"/>
    <mergeCell ref="R208:T208"/>
    <mergeCell ref="D209:I209"/>
    <mergeCell ref="K209:Q209"/>
    <mergeCell ref="R209:T209"/>
    <mergeCell ref="D210:I210"/>
    <mergeCell ref="R231:T231"/>
    <mergeCell ref="R232:T232"/>
    <mergeCell ref="R222:T222"/>
    <mergeCell ref="R223:T223"/>
    <mergeCell ref="R224:T228"/>
    <mergeCell ref="R230:T230"/>
    <mergeCell ref="R217:T217"/>
    <mergeCell ref="D212:I212"/>
    <mergeCell ref="K212:Q212"/>
    <mergeCell ref="R212:T212"/>
    <mergeCell ref="R213:T213"/>
  </mergeCells>
  <phoneticPr fontId="135" type="noConversion"/>
  <dataValidations count="3">
    <dataValidation allowBlank="1" showErrorMessage="1" sqref="J3:L3">
      <formula1>0</formula1>
      <formula2>0</formula2>
    </dataValidation>
    <dataValidation type="list" allowBlank="1" showInputMessage="1" sqref="E7:E206">
      <formula1>凭证检查</formula1>
    </dataValidation>
    <dataValidation type="list" allowBlank="1" showInputMessage="1" showErrorMessage="1" sqref="F7:F206">
      <formula1>INDIRECT(E7)</formula1>
    </dataValidation>
  </dataValidations>
  <printOptions horizontalCentered="1"/>
  <pageMargins left="0.59055118110236215" right="0.59055118110236215" top="0.39370078740157477" bottom="0.39370078740157477" header="0.511811023622047" footer="0.511811023622047"/>
  <pageSetup paperSize="9" scale="95" firstPageNumber="0" orientation="landscape" blackAndWhite="1" r:id="rId1"/>
  <headerFooter alignWithMargins="0"/>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1:M29"/>
  <sheetViews>
    <sheetView workbookViewId="0">
      <selection activeCell="D7" sqref="D7"/>
    </sheetView>
  </sheetViews>
  <sheetFormatPr defaultColWidth="8.75" defaultRowHeight="17.25"/>
  <cols>
    <col min="1" max="1" width="3.5" style="774" customWidth="1"/>
    <col min="2" max="2" width="23.375" style="774" customWidth="1"/>
    <col min="3" max="3" width="18.5" style="774" customWidth="1"/>
    <col min="4" max="5" width="14.375" style="774" customWidth="1"/>
    <col min="6" max="6" width="12.125" style="774" customWidth="1"/>
    <col min="7" max="8" width="14.375" style="774" customWidth="1"/>
    <col min="9" max="9" width="30.375" style="756" customWidth="1"/>
    <col min="10" max="16384" width="8.75" style="757"/>
  </cols>
  <sheetData>
    <row r="1" spans="1:13" ht="25.9" customHeight="1">
      <c r="A1" s="2950" t="s">
        <v>1665</v>
      </c>
      <c r="B1" s="2950"/>
      <c r="C1" s="2950"/>
      <c r="D1" s="2950"/>
      <c r="E1" s="2950"/>
      <c r="F1" s="2754" t="str">
        <f>基本情况!$F$10</f>
        <v>厦中汇税审（2018）第DS0001号</v>
      </c>
      <c r="G1" s="2754"/>
      <c r="H1" s="2754"/>
      <c r="J1" s="756"/>
      <c r="K1" s="756"/>
      <c r="L1" s="756"/>
      <c r="M1" s="756"/>
    </row>
    <row r="2" spans="1:13" ht="37.15" customHeight="1">
      <c r="A2" s="2951"/>
      <c r="B2" s="2951"/>
      <c r="C2" s="2951"/>
      <c r="D2" s="2951"/>
      <c r="E2" s="2951"/>
      <c r="F2" s="2949" t="str">
        <f>"底稿编号："&amp;开始!$F$3</f>
        <v>底稿编号：AS-01</v>
      </c>
      <c r="G2" s="2949"/>
      <c r="H2" s="2949"/>
      <c r="I2" s="2961"/>
      <c r="J2" s="756"/>
      <c r="K2" s="756"/>
      <c r="L2" s="756"/>
      <c r="M2" s="756"/>
    </row>
    <row r="3" spans="1:13" ht="15.75" customHeight="1">
      <c r="A3" s="2965" t="str">
        <f>"委托单位："&amp;基本情况!$C$3</f>
        <v>委托单位：</v>
      </c>
      <c r="B3" s="2966"/>
      <c r="C3" s="2966"/>
      <c r="D3" s="2967"/>
      <c r="E3" s="758" t="s">
        <v>4407</v>
      </c>
      <c r="F3" s="759" t="str">
        <f>基本情况!$F$19&amp;""</f>
        <v/>
      </c>
      <c r="G3" s="760" t="s">
        <v>4408</v>
      </c>
      <c r="H3" s="602" t="str">
        <f>TEXT(基本情况!$F$27,"yyyy-mm-dd")</f>
        <v>2018-03-16</v>
      </c>
      <c r="I3" s="2961"/>
      <c r="J3" s="756"/>
      <c r="K3" s="756"/>
      <c r="L3" s="756"/>
      <c r="M3" s="756"/>
    </row>
    <row r="4" spans="1:13" ht="15.75" customHeight="1">
      <c r="A4" s="2968" t="str">
        <f>"会计期间："&amp;基本情况!$F$9</f>
        <v>会计期间：2017年01月01日至2017年12月31日</v>
      </c>
      <c r="B4" s="2969"/>
      <c r="C4" s="2969"/>
      <c r="D4" s="2970"/>
      <c r="E4" s="761" t="s">
        <v>4410</v>
      </c>
      <c r="F4" s="603" t="str">
        <f>基本情况!$F$18&amp;""</f>
        <v/>
      </c>
      <c r="G4" s="761" t="s">
        <v>4408</v>
      </c>
      <c r="H4" s="604" t="str">
        <f>TEXT(基本情况!$F$28,"yyyy-mm-dd")</f>
        <v>2018-05-04</v>
      </c>
      <c r="I4" s="2961"/>
      <c r="J4" s="756"/>
      <c r="K4" s="756"/>
      <c r="L4" s="756"/>
      <c r="M4" s="756"/>
    </row>
    <row r="5" spans="1:13" ht="7.5" customHeight="1">
      <c r="A5" s="2962"/>
      <c r="B5" s="2962"/>
      <c r="C5" s="2962"/>
      <c r="D5" s="2962"/>
      <c r="E5" s="2962"/>
      <c r="F5" s="2962"/>
      <c r="G5" s="2962"/>
      <c r="H5" s="2962"/>
      <c r="I5" s="2961"/>
      <c r="J5" s="756"/>
      <c r="K5" s="756"/>
      <c r="L5" s="756"/>
      <c r="M5" s="756"/>
    </row>
    <row r="6" spans="1:13" ht="15.75" customHeight="1">
      <c r="A6" s="2963" t="s">
        <v>4411</v>
      </c>
      <c r="B6" s="2963"/>
      <c r="C6" s="2963"/>
      <c r="D6" s="762" t="s">
        <v>4412</v>
      </c>
      <c r="E6" s="2964" t="s">
        <v>4413</v>
      </c>
      <c r="F6" s="2964"/>
      <c r="G6" s="762" t="s">
        <v>4414</v>
      </c>
      <c r="H6" s="763" t="s">
        <v>4415</v>
      </c>
      <c r="I6" s="2961"/>
      <c r="J6" s="756"/>
      <c r="K6" s="756"/>
      <c r="L6" s="756"/>
      <c r="M6" s="756"/>
    </row>
    <row r="7" spans="1:13" ht="15.75" customHeight="1">
      <c r="A7" s="2938" t="s">
        <v>4416</v>
      </c>
      <c r="B7" s="2939" t="s">
        <v>4417</v>
      </c>
      <c r="C7" s="2939"/>
      <c r="D7" s="580"/>
      <c r="E7" s="2940">
        <f>D7</f>
        <v>0</v>
      </c>
      <c r="F7" s="2940"/>
      <c r="G7" s="581">
        <f>E7-D7</f>
        <v>0</v>
      </c>
      <c r="H7" s="582">
        <f>IF(D7-E7=0,D7,E7)</f>
        <v>0</v>
      </c>
      <c r="I7" s="756" t="s">
        <v>1724</v>
      </c>
      <c r="J7" s="756"/>
      <c r="K7" s="756"/>
      <c r="L7" s="756"/>
      <c r="M7" s="756"/>
    </row>
    <row r="8" spans="1:13" ht="15.75" customHeight="1">
      <c r="A8" s="2938"/>
      <c r="B8" s="2941" t="s">
        <v>4418</v>
      </c>
      <c r="C8" s="2941"/>
      <c r="D8" s="583"/>
      <c r="E8" s="2942">
        <f>D8</f>
        <v>0</v>
      </c>
      <c r="F8" s="2942"/>
      <c r="G8" s="584">
        <f>E8-D8</f>
        <v>0</v>
      </c>
      <c r="H8" s="585">
        <f>IF(D8-E8=0,D8,E8)</f>
        <v>0</v>
      </c>
      <c r="I8" s="764"/>
      <c r="J8" s="756"/>
      <c r="K8" s="756"/>
      <c r="L8" s="756"/>
      <c r="M8" s="756"/>
    </row>
    <row r="9" spans="1:13" ht="15.75" customHeight="1">
      <c r="A9" s="2938"/>
      <c r="B9" s="2943" t="s">
        <v>4419</v>
      </c>
      <c r="C9" s="2943"/>
      <c r="D9" s="586"/>
      <c r="E9" s="2942">
        <f>D9</f>
        <v>0</v>
      </c>
      <c r="F9" s="2942"/>
      <c r="G9" s="584">
        <f>E9-D9</f>
        <v>0</v>
      </c>
      <c r="H9" s="585">
        <f>IF(D9-E9=0,D9,E9)</f>
        <v>0</v>
      </c>
      <c r="I9" s="601" t="s">
        <v>6080</v>
      </c>
      <c r="J9" s="756"/>
      <c r="K9" s="756"/>
      <c r="L9" s="756"/>
      <c r="M9" s="756"/>
    </row>
    <row r="10" spans="1:13" ht="15.75" customHeight="1">
      <c r="A10" s="2938"/>
      <c r="B10" s="587"/>
      <c r="C10" s="588"/>
      <c r="D10" s="586"/>
      <c r="E10" s="2944"/>
      <c r="F10" s="2944"/>
      <c r="G10" s="584">
        <f>E10-D10</f>
        <v>0</v>
      </c>
      <c r="H10" s="585">
        <f>IF(D10-E10=0,D10,E10)</f>
        <v>0</v>
      </c>
      <c r="I10" s="765"/>
      <c r="J10" s="756"/>
      <c r="K10" s="756"/>
      <c r="L10" s="756"/>
      <c r="M10" s="756"/>
    </row>
    <row r="11" spans="1:13" ht="15.75" customHeight="1">
      <c r="A11" s="2938"/>
      <c r="B11" s="2945" t="s">
        <v>4420</v>
      </c>
      <c r="C11" s="2945"/>
      <c r="D11" s="589">
        <f>SUM(D7:D10)</f>
        <v>0</v>
      </c>
      <c r="E11" s="2946">
        <f>SUM(E7:E10)</f>
        <v>0</v>
      </c>
      <c r="F11" s="2946"/>
      <c r="G11" s="589">
        <f>SUM(G7:G10)</f>
        <v>0</v>
      </c>
      <c r="H11" s="590">
        <f>SUM(H7:H10)</f>
        <v>0</v>
      </c>
      <c r="I11" s="1892" t="s">
        <v>4623</v>
      </c>
      <c r="J11" s="756"/>
      <c r="K11" s="756"/>
      <c r="L11" s="756"/>
      <c r="M11" s="756"/>
    </row>
    <row r="12" spans="1:13" ht="26.25" customHeight="1">
      <c r="A12" s="2938" t="s">
        <v>4337</v>
      </c>
      <c r="B12" s="766" t="s">
        <v>4421</v>
      </c>
      <c r="C12" s="766" t="s">
        <v>4422</v>
      </c>
      <c r="D12" s="767" t="s">
        <v>4412</v>
      </c>
      <c r="E12" s="767" t="s">
        <v>4423</v>
      </c>
      <c r="F12" s="768" t="s">
        <v>4424</v>
      </c>
      <c r="G12" s="767" t="s">
        <v>4414</v>
      </c>
      <c r="H12" s="769" t="s">
        <v>4415</v>
      </c>
      <c r="I12" s="770"/>
      <c r="J12" s="756"/>
      <c r="K12" s="756"/>
      <c r="L12" s="756"/>
      <c r="M12" s="756"/>
    </row>
    <row r="13" spans="1:13" ht="15.75" customHeight="1">
      <c r="A13" s="2938"/>
      <c r="B13" s="775"/>
      <c r="C13" s="776" t="str">
        <f>IFERROR(基本情况!$C$20,"")</f>
        <v/>
      </c>
      <c r="D13" s="591"/>
      <c r="E13" s="592">
        <f t="shared" ref="E13:E19" si="0">D13</f>
        <v>0</v>
      </c>
      <c r="F13" s="593"/>
      <c r="G13" s="584">
        <f>H13-D13</f>
        <v>0</v>
      </c>
      <c r="H13" s="585">
        <f>IF(F13="是",D13,E13)</f>
        <v>0</v>
      </c>
      <c r="J13" s="756"/>
      <c r="K13" s="756"/>
      <c r="L13" s="756"/>
      <c r="M13" s="756"/>
    </row>
    <row r="14" spans="1:13" ht="15.75" customHeight="1">
      <c r="A14" s="2938"/>
      <c r="B14" s="594"/>
      <c r="C14" s="595"/>
      <c r="D14" s="591"/>
      <c r="E14" s="592">
        <f t="shared" si="0"/>
        <v>0</v>
      </c>
      <c r="F14" s="593"/>
      <c r="G14" s="584">
        <f t="shared" ref="G14:G19" si="1">H14-D14</f>
        <v>0</v>
      </c>
      <c r="H14" s="585">
        <f t="shared" ref="H14:H19" si="2">IF(F14="是",D14,E14)</f>
        <v>0</v>
      </c>
      <c r="J14" s="756"/>
      <c r="K14" s="756"/>
      <c r="L14" s="756"/>
      <c r="M14" s="756"/>
    </row>
    <row r="15" spans="1:13" ht="15.75" customHeight="1">
      <c r="A15" s="2938"/>
      <c r="B15" s="594"/>
      <c r="C15" s="595"/>
      <c r="D15" s="591"/>
      <c r="E15" s="592">
        <f t="shared" si="0"/>
        <v>0</v>
      </c>
      <c r="F15" s="593"/>
      <c r="G15" s="584">
        <f t="shared" si="1"/>
        <v>0</v>
      </c>
      <c r="H15" s="585">
        <f t="shared" si="2"/>
        <v>0</v>
      </c>
      <c r="I15" s="2947" t="s">
        <v>4460</v>
      </c>
      <c r="J15" s="2948"/>
      <c r="K15" s="2948"/>
      <c r="L15" s="2948"/>
      <c r="M15" s="2948"/>
    </row>
    <row r="16" spans="1:13" ht="15.75" customHeight="1">
      <c r="A16" s="2938"/>
      <c r="B16" s="594"/>
      <c r="C16" s="595"/>
      <c r="D16" s="591"/>
      <c r="E16" s="592">
        <f t="shared" si="0"/>
        <v>0</v>
      </c>
      <c r="F16" s="593"/>
      <c r="G16" s="584">
        <f t="shared" si="1"/>
        <v>0</v>
      </c>
      <c r="H16" s="585">
        <f t="shared" si="2"/>
        <v>0</v>
      </c>
      <c r="I16" s="2947"/>
      <c r="J16" s="2948"/>
      <c r="K16" s="2948"/>
      <c r="L16" s="2948"/>
      <c r="M16" s="2948"/>
    </row>
    <row r="17" spans="1:13" ht="15.75" customHeight="1">
      <c r="A17" s="2938"/>
      <c r="B17" s="594"/>
      <c r="C17" s="595"/>
      <c r="D17" s="591"/>
      <c r="E17" s="592">
        <f t="shared" si="0"/>
        <v>0</v>
      </c>
      <c r="F17" s="593"/>
      <c r="G17" s="584">
        <f t="shared" si="1"/>
        <v>0</v>
      </c>
      <c r="H17" s="585">
        <f t="shared" si="2"/>
        <v>0</v>
      </c>
      <c r="I17" s="2947"/>
      <c r="J17" s="2948"/>
      <c r="K17" s="2948"/>
      <c r="L17" s="2948"/>
      <c r="M17" s="2948"/>
    </row>
    <row r="18" spans="1:13" ht="15.75" customHeight="1">
      <c r="A18" s="2938"/>
      <c r="B18" s="594"/>
      <c r="C18" s="595"/>
      <c r="D18" s="591"/>
      <c r="E18" s="592">
        <f t="shared" si="0"/>
        <v>0</v>
      </c>
      <c r="F18" s="593"/>
      <c r="G18" s="584">
        <f t="shared" si="1"/>
        <v>0</v>
      </c>
      <c r="H18" s="585">
        <f t="shared" si="2"/>
        <v>0</v>
      </c>
      <c r="I18" s="2947"/>
      <c r="J18" s="2948"/>
      <c r="K18" s="2948"/>
      <c r="L18" s="2948"/>
      <c r="M18" s="2948"/>
    </row>
    <row r="19" spans="1:13" ht="15.75" customHeight="1">
      <c r="A19" s="2938"/>
      <c r="B19" s="594" t="s">
        <v>4425</v>
      </c>
      <c r="C19" s="595"/>
      <c r="D19" s="591"/>
      <c r="E19" s="592">
        <f t="shared" si="0"/>
        <v>0</v>
      </c>
      <c r="F19" s="593"/>
      <c r="G19" s="584">
        <f t="shared" si="1"/>
        <v>0</v>
      </c>
      <c r="H19" s="585">
        <f t="shared" si="2"/>
        <v>0</v>
      </c>
      <c r="I19" s="2947"/>
      <c r="J19" s="2948"/>
      <c r="K19" s="2948"/>
      <c r="L19" s="2948"/>
      <c r="M19" s="2948"/>
    </row>
    <row r="20" spans="1:13" ht="15.75" customHeight="1">
      <c r="A20" s="2938"/>
      <c r="B20" s="2954" t="s">
        <v>4426</v>
      </c>
      <c r="C20" s="2954"/>
      <c r="D20" s="589">
        <f>SUM(D13:D19)</f>
        <v>0</v>
      </c>
      <c r="E20" s="589">
        <f>SUM(E13:E19)</f>
        <v>0</v>
      </c>
      <c r="F20" s="771"/>
      <c r="G20" s="589">
        <f>SUM(G13:G19)</f>
        <v>0</v>
      </c>
      <c r="H20" s="590">
        <f>SUM(H13:H19)</f>
        <v>0</v>
      </c>
      <c r="I20" s="2947"/>
      <c r="J20" s="2948"/>
      <c r="K20" s="2948"/>
      <c r="L20" s="2948"/>
      <c r="M20" s="2948"/>
    </row>
    <row r="21" spans="1:13" ht="15.75" customHeight="1">
      <c r="A21" s="2938" t="s">
        <v>4427</v>
      </c>
      <c r="B21" s="2955"/>
      <c r="C21" s="2955"/>
      <c r="D21" s="596"/>
      <c r="E21" s="597"/>
      <c r="F21" s="597"/>
      <c r="G21" s="596"/>
      <c r="H21" s="582">
        <f>D21+G21</f>
        <v>0</v>
      </c>
      <c r="I21" s="2947"/>
      <c r="J21" s="2948"/>
      <c r="K21" s="2948"/>
      <c r="L21" s="2948"/>
      <c r="M21" s="2948"/>
    </row>
    <row r="22" spans="1:13" ht="15.75" customHeight="1">
      <c r="A22" s="2938"/>
      <c r="B22" s="2956"/>
      <c r="C22" s="2956"/>
      <c r="D22" s="591"/>
      <c r="E22" s="598"/>
      <c r="F22" s="598"/>
      <c r="G22" s="591"/>
      <c r="H22" s="585">
        <f>D22+G22</f>
        <v>0</v>
      </c>
      <c r="I22" s="2947"/>
      <c r="J22" s="2948"/>
      <c r="K22" s="2948"/>
      <c r="L22" s="2948"/>
      <c r="M22" s="2948"/>
    </row>
    <row r="23" spans="1:13" ht="15.75" customHeight="1">
      <c r="A23" s="2938"/>
      <c r="B23" s="2956"/>
      <c r="C23" s="2956"/>
      <c r="D23" s="591"/>
      <c r="E23" s="598"/>
      <c r="F23" s="598"/>
      <c r="G23" s="591"/>
      <c r="H23" s="585">
        <f>D23+G23</f>
        <v>0</v>
      </c>
      <c r="I23" s="2947"/>
      <c r="J23" s="2948"/>
      <c r="K23" s="2948"/>
      <c r="L23" s="2948"/>
      <c r="M23" s="2948"/>
    </row>
    <row r="24" spans="1:13" ht="15.75" customHeight="1">
      <c r="A24" s="2938"/>
      <c r="B24" s="2954" t="s">
        <v>4428</v>
      </c>
      <c r="C24" s="2954"/>
      <c r="D24" s="589">
        <f>SUM(D21:D23)</f>
        <v>0</v>
      </c>
      <c r="E24" s="589">
        <f>SUM(E21:E23)</f>
        <v>0</v>
      </c>
      <c r="F24" s="589">
        <f>SUM(F21:F23)</f>
        <v>0</v>
      </c>
      <c r="G24" s="589">
        <f>SUM(G21:G23)</f>
        <v>0</v>
      </c>
      <c r="H24" s="590">
        <f>SUM(H21:H23)</f>
        <v>0</v>
      </c>
      <c r="I24" s="2947"/>
      <c r="J24" s="2948"/>
      <c r="K24" s="2948"/>
      <c r="L24" s="2948"/>
      <c r="M24" s="2948"/>
    </row>
    <row r="25" spans="1:13" ht="15.75" customHeight="1">
      <c r="A25" s="2937" t="s">
        <v>4429</v>
      </c>
      <c r="B25" s="2937"/>
      <c r="C25" s="2937"/>
      <c r="D25" s="599">
        <f>D11+D20+D24</f>
        <v>0</v>
      </c>
      <c r="E25" s="772"/>
      <c r="F25" s="772"/>
      <c r="G25" s="599">
        <f>G11+G20+G24</f>
        <v>0</v>
      </c>
      <c r="H25" s="600">
        <f>H11+H20+H24</f>
        <v>0</v>
      </c>
      <c r="I25" s="2947"/>
      <c r="J25" s="2948"/>
      <c r="K25" s="2948"/>
      <c r="L25" s="2948"/>
      <c r="M25" s="2948"/>
    </row>
    <row r="26" spans="1:13" ht="27.75" customHeight="1">
      <c r="A26" s="2957" t="s">
        <v>4430</v>
      </c>
      <c r="B26" s="2957"/>
      <c r="C26" s="2958" t="str">
        <f>IF(D25&lt;&gt;资产负债表!$C$6,"货币资金账载数与报表数相差"&amp;DOLLAR(D25-资产负债表!$C$6,2)&amp;"元，请查明原因！","货币资金账载数与报表数相符！")</f>
        <v>货币资金账载数与报表数相符！</v>
      </c>
      <c r="D26" s="2958"/>
      <c r="E26" s="2958"/>
      <c r="F26" s="2958"/>
      <c r="G26" s="2958"/>
      <c r="H26" s="2958"/>
      <c r="I26" s="2936" t="s">
        <v>4461</v>
      </c>
      <c r="J26" s="2936"/>
      <c r="K26" s="2936"/>
      <c r="L26" s="2936"/>
      <c r="M26" s="2936"/>
    </row>
    <row r="27" spans="1:13" ht="15" customHeight="1">
      <c r="A27" s="2959" t="s">
        <v>4431</v>
      </c>
      <c r="B27" s="2959"/>
      <c r="C27" s="773" t="s">
        <v>4432</v>
      </c>
      <c r="D27" s="2960" t="str">
        <f>IF(G25&lt;&gt;0,"、E","")</f>
        <v/>
      </c>
      <c r="E27" s="2960"/>
      <c r="F27" s="2960"/>
      <c r="G27" s="2960"/>
      <c r="H27" s="2960"/>
      <c r="I27" s="2936"/>
      <c r="J27" s="2936"/>
      <c r="K27" s="2936"/>
      <c r="L27" s="2936"/>
      <c r="M27" s="2936"/>
    </row>
    <row r="28" spans="1:13" ht="25.5" customHeight="1">
      <c r="A28" s="2959"/>
      <c r="B28" s="2959"/>
      <c r="C28" s="2935"/>
      <c r="D28" s="2935"/>
      <c r="E28" s="2935"/>
      <c r="F28" s="2935"/>
      <c r="G28" s="2935"/>
      <c r="H28" s="2935"/>
      <c r="I28" s="2936"/>
      <c r="J28" s="2936"/>
      <c r="K28" s="2936"/>
      <c r="L28" s="2936"/>
      <c r="M28" s="2936"/>
    </row>
    <row r="29" spans="1:13" ht="21" customHeight="1">
      <c r="A29" s="2952" t="s">
        <v>4433</v>
      </c>
      <c r="B29" s="2952"/>
      <c r="C29" s="2953" t="str">
        <f>IF(H25&lt;&gt;D25,"货币资金调整后认可！","货币资金与相关文件相符,认可！")</f>
        <v>货币资金与相关文件相符,认可！</v>
      </c>
      <c r="D29" s="2953"/>
      <c r="E29" s="2953"/>
      <c r="F29" s="2953"/>
      <c r="G29" s="2953"/>
      <c r="H29" s="2953"/>
      <c r="J29" s="756"/>
      <c r="K29" s="756"/>
      <c r="L29" s="756"/>
      <c r="M29" s="756"/>
    </row>
  </sheetData>
  <sheetProtection selectLockedCells="1"/>
  <mergeCells count="36">
    <mergeCell ref="I2:I6"/>
    <mergeCell ref="A5:H5"/>
    <mergeCell ref="A6:C6"/>
    <mergeCell ref="E6:F6"/>
    <mergeCell ref="A3:D3"/>
    <mergeCell ref="A4:D4"/>
    <mergeCell ref="F1:H1"/>
    <mergeCell ref="F2:H2"/>
    <mergeCell ref="A1:E2"/>
    <mergeCell ref="A29:B29"/>
    <mergeCell ref="C29:H29"/>
    <mergeCell ref="A12:A20"/>
    <mergeCell ref="B20:C20"/>
    <mergeCell ref="A21:A24"/>
    <mergeCell ref="B21:C21"/>
    <mergeCell ref="B22:C22"/>
    <mergeCell ref="B23:C23"/>
    <mergeCell ref="B24:C24"/>
    <mergeCell ref="A26:B26"/>
    <mergeCell ref="C26:H26"/>
    <mergeCell ref="A27:B28"/>
    <mergeCell ref="D27:H27"/>
    <mergeCell ref="C28:H28"/>
    <mergeCell ref="I26:M28"/>
    <mergeCell ref="A25:C25"/>
    <mergeCell ref="A7:A11"/>
    <mergeCell ref="B7:C7"/>
    <mergeCell ref="E7:F7"/>
    <mergeCell ref="B8:C8"/>
    <mergeCell ref="E8:F8"/>
    <mergeCell ref="B9:C9"/>
    <mergeCell ref="E9:F9"/>
    <mergeCell ref="E10:F10"/>
    <mergeCell ref="B11:C11"/>
    <mergeCell ref="E11:F11"/>
    <mergeCell ref="I15:M25"/>
  </mergeCells>
  <phoneticPr fontId="135" type="noConversion"/>
  <dataValidations count="2">
    <dataValidation type="list" allowBlank="1" showErrorMessage="1" sqref="F13:F19">
      <formula1>"是,否"</formula1>
      <formula2>0</formula2>
    </dataValidation>
    <dataValidation allowBlank="1" showErrorMessage="1" promptTitle="存在调整事项时" prompt="_x000a_选择 “E”" sqref="D27:H27">
      <formula1>0</formula1>
      <formula2>0</formula2>
    </dataValidation>
  </dataValidations>
  <hyperlinks>
    <hyperlink ref="I9" location="资产负债表!A1" display="资产负债表"/>
    <hyperlink ref="I11" location="现金证明!A1" display="现金证明"/>
  </hyperlinks>
  <pageMargins left="0.78740157480314998" right="0.35433070866141703" top="0.511811023622047" bottom="0.11811023622047198" header="0.511811023622047" footer="0.511811023622047"/>
  <pageSetup paperSize="9" firstPageNumber="0" orientation="landscape" blackAndWhite="1" r:id="rId1"/>
  <headerFooter alignWithMargins="0"/>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I26"/>
  <sheetViews>
    <sheetView workbookViewId="0">
      <selection sqref="A1:E1"/>
    </sheetView>
  </sheetViews>
  <sheetFormatPr defaultColWidth="9" defaultRowHeight="14.25"/>
  <cols>
    <col min="1" max="1" width="14.75" style="1894" customWidth="1"/>
    <col min="2" max="2" width="35" style="1894" customWidth="1"/>
    <col min="3" max="3" width="8.25" style="1894" bestFit="1" customWidth="1"/>
    <col min="4" max="4" width="17.625" style="1894" customWidth="1"/>
    <col min="5" max="5" width="2.25" style="1894" customWidth="1"/>
    <col min="6" max="16384" width="9" style="1894"/>
  </cols>
  <sheetData>
    <row r="1" spans="1:9" ht="25.9" customHeight="1">
      <c r="A1" s="2754" t="str">
        <f>基本情况!$F$10</f>
        <v>厦中汇税审（2018）第DS0001号</v>
      </c>
      <c r="B1" s="2754"/>
      <c r="C1" s="2754"/>
      <c r="D1" s="2754"/>
      <c r="E1" s="2754"/>
    </row>
    <row r="2" spans="1:9" ht="37.15" customHeight="1">
      <c r="A2" s="2949" t="str">
        <f>"底稿编号："&amp;开始!$F$4</f>
        <v>底稿编号：AS-02</v>
      </c>
      <c r="B2" s="2949"/>
      <c r="C2" s="2949"/>
      <c r="D2" s="2949"/>
      <c r="E2" s="2949"/>
    </row>
    <row r="3" spans="1:9" s="841" customFormat="1" ht="44.25" customHeight="1">
      <c r="A3" s="2972" t="s">
        <v>4434</v>
      </c>
      <c r="B3" s="2972"/>
      <c r="C3" s="2972"/>
      <c r="D3" s="2972"/>
      <c r="E3" s="2972"/>
      <c r="F3" s="847"/>
      <c r="G3" s="847"/>
    </row>
    <row r="4" spans="1:9" ht="18.75" customHeight="1">
      <c r="A4" s="849"/>
      <c r="B4" s="2977"/>
      <c r="C4" s="2977"/>
      <c r="D4" s="2977"/>
      <c r="E4" s="2977"/>
      <c r="F4" s="756"/>
      <c r="G4" s="756"/>
    </row>
    <row r="5" spans="1:9" ht="33" customHeight="1">
      <c r="A5" s="850" t="s">
        <v>4464</v>
      </c>
      <c r="B5" s="2978" t="str">
        <f>基本情况!$C$3&amp;""</f>
        <v/>
      </c>
      <c r="C5" s="2978"/>
      <c r="D5" s="2978"/>
      <c r="E5" s="2978"/>
      <c r="F5" s="756"/>
      <c r="G5" s="756"/>
    </row>
    <row r="6" spans="1:9" ht="33" customHeight="1">
      <c r="A6" s="851"/>
      <c r="B6" s="2979"/>
      <c r="C6" s="2979"/>
      <c r="D6" s="2979"/>
      <c r="E6" s="2979"/>
      <c r="F6" s="756"/>
      <c r="G6" s="756"/>
    </row>
    <row r="7" spans="1:9" ht="33" customHeight="1">
      <c r="A7" s="2980" t="str">
        <f>"兹证明上述公司在以下结算日  "&amp;TEXT(辅助表!$B$15,"yyyy年mm月dd日") &amp;"  持有现金额为："</f>
        <v>兹证明上述公司在以下结算日  2017年12月31日  持有现金额为：</v>
      </c>
      <c r="B7" s="2980"/>
      <c r="C7" s="2980"/>
      <c r="D7" s="2980"/>
      <c r="E7" s="2980"/>
      <c r="F7" s="2981" t="s">
        <v>1724</v>
      </c>
      <c r="G7" s="2981"/>
      <c r="I7" s="1895"/>
    </row>
    <row r="8" spans="1:9" ht="33" customHeight="1">
      <c r="A8" s="1899" t="s">
        <v>4435</v>
      </c>
      <c r="B8" s="1900" t="str">
        <f>IF(D8&lt;0,"負","")&amp;TEXT(TRUNC(ABS(ROUND(D8,2))),"[DBNum2]")&amp;"元"&amp;IF(ISERR(FIND(".",ROUND(D8,2))),"",TEXT(RIGHT(TRUNC(ROUND(D8,2)*10)),"[DBNum2]"))&amp;IF(ISERR(FIND(".0",TEXT(D8,"0.00"))),"角","")&amp;IF(LEFT(RIGHT(ROUND(D8,2),3))=".",TEXT(RIGHT(ROUND(D8,2)),"[DBNum2]")&amp;"分","整")</f>
        <v>零元整</v>
      </c>
      <c r="C8" s="1899" t="s">
        <v>4436</v>
      </c>
      <c r="D8" s="1901">
        <f>货币资金!E7</f>
        <v>0</v>
      </c>
      <c r="E8" s="1905" t="s">
        <v>4465</v>
      </c>
      <c r="F8" s="2973" t="s">
        <v>6081</v>
      </c>
      <c r="G8" s="2973"/>
    </row>
    <row r="9" spans="1:9" ht="33" customHeight="1">
      <c r="A9" s="1899" t="s">
        <v>4437</v>
      </c>
      <c r="B9" s="1900" t="str">
        <f>IF(D9&lt;0,"負","")&amp;TEXT(TRUNC(ABS(ROUND(D9,2))),"[DBNum2]")&amp;"元"&amp;IF(ISERR(FIND(".",ROUND(D9,2))),"",TEXT(RIGHT(TRUNC(ROUND(D9,2)*10)),"[DBNum2]"))&amp;IF(ISERR(FIND(".0",TEXT(D9,"0.00"))),"角","")&amp;IF(LEFT(RIGHT(ROUND(D9,2),3))=".",TEXT(RIGHT(ROUND(D9,2)),"[DBNum2]")&amp;"分","整")</f>
        <v>零元整</v>
      </c>
      <c r="C9" s="1899" t="s">
        <v>4438</v>
      </c>
      <c r="D9" s="1901">
        <f>货币资金!E8</f>
        <v>0</v>
      </c>
      <c r="E9" s="1905" t="s">
        <v>4465</v>
      </c>
      <c r="F9" s="756"/>
      <c r="G9" s="756"/>
    </row>
    <row r="10" spans="1:9" ht="33" customHeight="1">
      <c r="A10" s="1899" t="s">
        <v>4439</v>
      </c>
      <c r="B10" s="1900" t="str">
        <f>IF(D10&lt;0,"負","")&amp;TEXT(TRUNC(ABS(ROUND(D10,2))),"[DBNum2]")&amp;"元"&amp;IF(ISERR(FIND(".",ROUND(D10,2))),"",TEXT(RIGHT(TRUNC(ROUND(D10,2)*10)),"[DBNum2]"))&amp;IF(ISERR(FIND(".0",TEXT(D10,"0.00"))),"角","")&amp;IF(LEFT(RIGHT(ROUND(D10,2),3))=".",TEXT(RIGHT(ROUND(D10,2)),"[DBNum2]")&amp;"分","整")</f>
        <v>零元整</v>
      </c>
      <c r="C10" s="1899" t="s">
        <v>4440</v>
      </c>
      <c r="D10" s="1901">
        <f>货币资金!E9</f>
        <v>0</v>
      </c>
      <c r="E10" s="1905" t="s">
        <v>4466</v>
      </c>
      <c r="F10" s="756"/>
      <c r="G10" s="756"/>
    </row>
    <row r="11" spans="1:9" ht="33" customHeight="1">
      <c r="A11" s="1902"/>
      <c r="B11" s="1903"/>
      <c r="C11" s="1902"/>
      <c r="D11" s="1904"/>
      <c r="E11" s="1906"/>
      <c r="F11" s="756"/>
      <c r="G11" s="756"/>
    </row>
    <row r="12" spans="1:9" ht="33" customHeight="1">
      <c r="A12" s="1902"/>
      <c r="B12" s="1903"/>
      <c r="C12" s="1902"/>
      <c r="D12" s="1904"/>
      <c r="E12" s="1906"/>
      <c r="F12" s="756"/>
      <c r="G12" s="756"/>
    </row>
    <row r="13" spans="1:9" ht="33" customHeight="1">
      <c r="A13" s="849"/>
      <c r="B13" s="849" t="s">
        <v>4441</v>
      </c>
      <c r="C13" s="2974" t="s">
        <v>4467</v>
      </c>
      <c r="D13" s="2974"/>
      <c r="E13" s="2974"/>
      <c r="F13" s="756"/>
      <c r="G13" s="756"/>
    </row>
    <row r="14" spans="1:9" ht="40.5" customHeight="1">
      <c r="A14" s="849"/>
      <c r="B14" s="849"/>
      <c r="C14" s="2975"/>
      <c r="D14" s="2975"/>
      <c r="E14" s="2975"/>
      <c r="F14" s="756"/>
      <c r="G14" s="756"/>
    </row>
    <row r="15" spans="1:9" s="1897" customFormat="1" ht="33" customHeight="1">
      <c r="A15" s="852"/>
      <c r="B15" s="853" t="s">
        <v>4468</v>
      </c>
      <c r="C15" s="2976"/>
      <c r="D15" s="2976"/>
      <c r="E15" s="2976"/>
      <c r="F15" s="1896"/>
      <c r="G15" s="1896"/>
    </row>
    <row r="16" spans="1:9" s="1897" customFormat="1" ht="40.5" customHeight="1">
      <c r="A16" s="852"/>
      <c r="B16" s="853" t="s">
        <v>4469</v>
      </c>
      <c r="C16" s="2976"/>
      <c r="D16" s="2976"/>
      <c r="E16" s="2976"/>
      <c r="F16" s="1896"/>
      <c r="G16" s="1896"/>
    </row>
    <row r="17" spans="1:7" s="1897" customFormat="1" ht="40.5" customHeight="1">
      <c r="A17" s="852"/>
      <c r="B17" s="853" t="s">
        <v>4470</v>
      </c>
      <c r="C17" s="2976"/>
      <c r="D17" s="2976"/>
      <c r="E17" s="2976"/>
      <c r="F17" s="1896"/>
      <c r="G17" s="1896"/>
    </row>
    <row r="18" spans="1:7" s="1897" customFormat="1" ht="33" customHeight="1">
      <c r="A18" s="852"/>
      <c r="B18" s="853" t="s">
        <v>4408</v>
      </c>
      <c r="C18" s="2971" t="str">
        <f>基本情况!$F$27</f>
        <v>2018年3月16日</v>
      </c>
      <c r="D18" s="2971"/>
      <c r="E18" s="2971"/>
      <c r="F18" s="1896"/>
      <c r="G18" s="1896"/>
    </row>
    <row r="19" spans="1:7">
      <c r="E19" s="1898"/>
    </row>
    <row r="20" spans="1:7">
      <c r="E20" s="1898"/>
    </row>
    <row r="21" spans="1:7">
      <c r="E21" s="1898"/>
    </row>
    <row r="22" spans="1:7">
      <c r="E22" s="1898"/>
    </row>
    <row r="23" spans="1:7">
      <c r="E23" s="1898"/>
    </row>
    <row r="24" spans="1:7">
      <c r="E24" s="1898"/>
    </row>
    <row r="25" spans="1:7">
      <c r="E25" s="1898"/>
    </row>
    <row r="26" spans="1:7">
      <c r="E26" s="1898"/>
    </row>
  </sheetData>
  <sheetProtection selectLockedCells="1"/>
  <mergeCells count="15">
    <mergeCell ref="C18:E18"/>
    <mergeCell ref="A1:E1"/>
    <mergeCell ref="A2:E2"/>
    <mergeCell ref="A3:E3"/>
    <mergeCell ref="F8:G8"/>
    <mergeCell ref="C13:E13"/>
    <mergeCell ref="C14:E14"/>
    <mergeCell ref="C15:E15"/>
    <mergeCell ref="C16:E16"/>
    <mergeCell ref="C17:E17"/>
    <mergeCell ref="B4:E4"/>
    <mergeCell ref="B5:E5"/>
    <mergeCell ref="B6:E6"/>
    <mergeCell ref="A7:E7"/>
    <mergeCell ref="F7:G7"/>
  </mergeCells>
  <phoneticPr fontId="135" type="noConversion"/>
  <hyperlinks>
    <hyperlink ref="F8:G8" location="货币资金!A1" display="货币资金审定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1:B36"/>
  <sheetViews>
    <sheetView workbookViewId="0">
      <selection sqref="A1:B1"/>
    </sheetView>
  </sheetViews>
  <sheetFormatPr defaultColWidth="9" defaultRowHeight="14.25"/>
  <cols>
    <col min="1" max="1" width="44.25" style="841" customWidth="1"/>
    <col min="2" max="2" width="40.5" style="841" customWidth="1"/>
    <col min="3" max="16384" width="9" style="841"/>
  </cols>
  <sheetData>
    <row r="1" spans="1:2" ht="25.9" customHeight="1">
      <c r="A1" s="2754" t="str">
        <f>基本情况!$F$10</f>
        <v>厦中汇税审（2018）第DS0001号</v>
      </c>
      <c r="B1" s="2754"/>
    </row>
    <row r="2" spans="1:2" ht="37.15" customHeight="1">
      <c r="A2" s="2949" t="str">
        <f>"底稿编号："&amp;开始!$F$5</f>
        <v>底稿编号：AS-03</v>
      </c>
      <c r="B2" s="2949"/>
    </row>
    <row r="3" spans="1:2" ht="36.75">
      <c r="A3" s="2972" t="s">
        <v>1666</v>
      </c>
      <c r="B3" s="2972"/>
    </row>
    <row r="4" spans="1:2" ht="17.25">
      <c r="A4" s="2984"/>
      <c r="B4" s="2984"/>
    </row>
    <row r="5" spans="1:2" ht="17.25">
      <c r="A5" s="842" t="s">
        <v>4442</v>
      </c>
      <c r="B5" s="611">
        <f>辅助表!$B$15</f>
        <v>43100</v>
      </c>
    </row>
    <row r="6" spans="1:2" ht="17.25">
      <c r="A6" s="2984"/>
      <c r="B6" s="2984"/>
    </row>
    <row r="7" spans="1:2" ht="21" customHeight="1">
      <c r="A7" s="612" t="str">
        <f>"编制单位："&amp;基本情况!$C$3</f>
        <v>编制单位：</v>
      </c>
      <c r="B7" s="842" t="s">
        <v>4443</v>
      </c>
    </row>
    <row r="8" spans="1:2" ht="21" customHeight="1">
      <c r="A8" s="843" t="s">
        <v>4444</v>
      </c>
      <c r="B8" s="843" t="s">
        <v>4445</v>
      </c>
    </row>
    <row r="9" spans="1:2" ht="21" customHeight="1">
      <c r="A9" s="844" t="s">
        <v>4446</v>
      </c>
      <c r="B9" s="844" t="s">
        <v>4447</v>
      </c>
    </row>
    <row r="10" spans="1:2" s="574" customFormat="1" ht="18" customHeight="1">
      <c r="A10" s="607" t="s">
        <v>4448</v>
      </c>
      <c r="B10" s="607" t="s">
        <v>4448</v>
      </c>
    </row>
    <row r="11" spans="1:2" s="574" customFormat="1" ht="18" customHeight="1">
      <c r="A11" s="607" t="s">
        <v>4449</v>
      </c>
      <c r="B11" s="607" t="s">
        <v>4449</v>
      </c>
    </row>
    <row r="12" spans="1:2" s="574" customFormat="1" ht="18" customHeight="1">
      <c r="A12" s="607" t="s">
        <v>4450</v>
      </c>
      <c r="B12" s="607" t="s">
        <v>4450</v>
      </c>
    </row>
    <row r="13" spans="1:2" s="574" customFormat="1" ht="18" customHeight="1">
      <c r="A13" s="607" t="s">
        <v>4449</v>
      </c>
      <c r="B13" s="607" t="s">
        <v>4449</v>
      </c>
    </row>
    <row r="14" spans="1:2" s="574" customFormat="1" ht="18" customHeight="1">
      <c r="A14" s="607" t="s">
        <v>4451</v>
      </c>
      <c r="B14" s="607" t="s">
        <v>4451</v>
      </c>
    </row>
    <row r="15" spans="1:2" s="574" customFormat="1" ht="18" customHeight="1">
      <c r="A15" s="607" t="s">
        <v>4449</v>
      </c>
      <c r="B15" s="607" t="s">
        <v>4449</v>
      </c>
    </row>
    <row r="16" spans="1:2" s="574" customFormat="1" ht="18" customHeight="1">
      <c r="A16" s="607" t="s">
        <v>4452</v>
      </c>
      <c r="B16" s="607" t="s">
        <v>4452</v>
      </c>
    </row>
    <row r="17" spans="1:2" s="574" customFormat="1" ht="18" customHeight="1">
      <c r="A17" s="607" t="s">
        <v>4449</v>
      </c>
      <c r="B17" s="607" t="s">
        <v>4449</v>
      </c>
    </row>
    <row r="18" spans="1:2" s="574" customFormat="1" ht="18" customHeight="1">
      <c r="A18" s="608"/>
      <c r="B18" s="608"/>
    </row>
    <row r="19" spans="1:2" s="574" customFormat="1" ht="18" customHeight="1">
      <c r="A19" s="608"/>
      <c r="B19" s="608"/>
    </row>
    <row r="20" spans="1:2" ht="21" customHeight="1">
      <c r="A20" s="845" t="s">
        <v>4453</v>
      </c>
      <c r="B20" s="845" t="s">
        <v>4454</v>
      </c>
    </row>
    <row r="21" spans="1:2" s="574" customFormat="1" ht="18" customHeight="1">
      <c r="A21" s="607" t="s">
        <v>4448</v>
      </c>
      <c r="B21" s="607" t="s">
        <v>4448</v>
      </c>
    </row>
    <row r="22" spans="1:2" s="574" customFormat="1" ht="18" customHeight="1">
      <c r="A22" s="607" t="s">
        <v>4449</v>
      </c>
      <c r="B22" s="607" t="s">
        <v>4449</v>
      </c>
    </row>
    <row r="23" spans="1:2" s="574" customFormat="1" ht="18" customHeight="1">
      <c r="A23" s="607" t="s">
        <v>4450</v>
      </c>
      <c r="B23" s="607" t="s">
        <v>4450</v>
      </c>
    </row>
    <row r="24" spans="1:2" s="574" customFormat="1" ht="18" customHeight="1">
      <c r="A24" s="607" t="s">
        <v>4449</v>
      </c>
      <c r="B24" s="607" t="s">
        <v>4449</v>
      </c>
    </row>
    <row r="25" spans="1:2" s="574" customFormat="1" ht="18" customHeight="1">
      <c r="A25" s="607" t="s">
        <v>4451</v>
      </c>
      <c r="B25" s="607" t="s">
        <v>4451</v>
      </c>
    </row>
    <row r="26" spans="1:2" s="574" customFormat="1" ht="18" customHeight="1">
      <c r="A26" s="607" t="s">
        <v>4449</v>
      </c>
      <c r="B26" s="607" t="s">
        <v>4449</v>
      </c>
    </row>
    <row r="27" spans="1:2" s="574" customFormat="1" ht="18" customHeight="1">
      <c r="A27" s="607" t="s">
        <v>4452</v>
      </c>
      <c r="B27" s="607" t="s">
        <v>4452</v>
      </c>
    </row>
    <row r="28" spans="1:2" s="574" customFormat="1" ht="18" customHeight="1">
      <c r="A28" s="607" t="s">
        <v>4449</v>
      </c>
      <c r="B28" s="607" t="s">
        <v>4449</v>
      </c>
    </row>
    <row r="29" spans="1:2" s="574" customFormat="1" ht="18" customHeight="1">
      <c r="A29" s="608"/>
      <c r="B29" s="608"/>
    </row>
    <row r="30" spans="1:2" s="574" customFormat="1" ht="18" customHeight="1">
      <c r="A30" s="608"/>
      <c r="B30" s="608"/>
    </row>
    <row r="31" spans="1:2" ht="21" customHeight="1">
      <c r="A31" s="609" t="s">
        <v>4455</v>
      </c>
      <c r="B31" s="610" t="s">
        <v>4456</v>
      </c>
    </row>
    <row r="32" spans="1:2" ht="17.25">
      <c r="A32" s="846" t="s">
        <v>4457</v>
      </c>
      <c r="B32" s="847"/>
    </row>
    <row r="33" spans="1:2" ht="17.25">
      <c r="A33" s="848" t="s">
        <v>4458</v>
      </c>
      <c r="B33" s="847"/>
    </row>
    <row r="34" spans="1:2" ht="21" customHeight="1">
      <c r="A34" s="2982" t="s">
        <v>4614</v>
      </c>
      <c r="B34" s="2982"/>
    </row>
    <row r="35" spans="1:2" ht="21" customHeight="1">
      <c r="A35" s="846" t="s">
        <v>4459</v>
      </c>
      <c r="B35" s="847"/>
    </row>
    <row r="36" spans="1:2" ht="21" customHeight="1">
      <c r="A36" s="2983" t="str">
        <f>基本情况!$F$27</f>
        <v>2018年3月16日</v>
      </c>
      <c r="B36" s="2983"/>
    </row>
  </sheetData>
  <sheetProtection formatCells="0" insertRows="0" deleteRows="0" selectLockedCells="1"/>
  <mergeCells count="7">
    <mergeCell ref="A34:B34"/>
    <mergeCell ref="A36:B36"/>
    <mergeCell ref="A1:B1"/>
    <mergeCell ref="A2:B2"/>
    <mergeCell ref="A3:B3"/>
    <mergeCell ref="A4:B4"/>
    <mergeCell ref="A6:B6"/>
  </mergeCells>
  <phoneticPr fontId="135" type="noConversion"/>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5"/>
  <dimension ref="A1:H306"/>
  <sheetViews>
    <sheetView workbookViewId="0">
      <selection activeCell="B16" sqref="B16"/>
    </sheetView>
  </sheetViews>
  <sheetFormatPr defaultColWidth="9" defaultRowHeight="17.25"/>
  <cols>
    <col min="1" max="1" width="23.125" style="579" customWidth="1"/>
    <col min="2" max="3" width="13.75" style="579" customWidth="1"/>
    <col min="4" max="4" width="9.125" style="579" customWidth="1"/>
    <col min="5" max="5" width="13.75" style="579" customWidth="1"/>
    <col min="6" max="6" width="9.75" style="579" customWidth="1"/>
    <col min="7" max="7" width="65.125" style="854" customWidth="1"/>
    <col min="8" max="16384" width="9" style="577"/>
  </cols>
  <sheetData>
    <row r="1" spans="1:8" ht="25.9" customHeight="1">
      <c r="A1" s="2994" t="s">
        <v>1667</v>
      </c>
      <c r="B1" s="2994"/>
      <c r="C1" s="2994"/>
      <c r="D1" s="2993" t="str">
        <f>基本情况!$F$10</f>
        <v>厦中汇税审（2018）第DS0001号</v>
      </c>
      <c r="E1" s="2993"/>
      <c r="F1" s="2993"/>
    </row>
    <row r="2" spans="1:8" ht="37.15" customHeight="1">
      <c r="A2" s="2994"/>
      <c r="B2" s="2994"/>
      <c r="C2" s="2994"/>
      <c r="D2" s="2949" t="str">
        <f>"底稿编号："&amp;开始!$F$6</f>
        <v>底稿编号：AS-04</v>
      </c>
      <c r="E2" s="2949"/>
      <c r="F2" s="2949"/>
      <c r="G2" s="2985"/>
    </row>
    <row r="3" spans="1:8" s="615" customFormat="1" ht="20.25" customHeight="1">
      <c r="A3" s="2995" t="str">
        <f>"委托单位："&amp;基本情况!$C$3</f>
        <v>委托单位：</v>
      </c>
      <c r="B3" s="2996"/>
      <c r="C3" s="2997"/>
      <c r="D3" s="860"/>
      <c r="E3" s="760" t="s">
        <v>4472</v>
      </c>
      <c r="F3" s="861" t="s">
        <v>4473</v>
      </c>
      <c r="G3" s="2985"/>
    </row>
    <row r="4" spans="1:8" s="615" customFormat="1" ht="20.25" customHeight="1">
      <c r="A4" s="2998"/>
      <c r="B4" s="2999"/>
      <c r="C4" s="3000"/>
      <c r="D4" s="895" t="s">
        <v>4407</v>
      </c>
      <c r="E4" s="863" t="str">
        <f>基本情况!$F$19&amp;""</f>
        <v/>
      </c>
      <c r="F4" s="864" t="str">
        <f>TEXT(基本情况!$F$27,"yyyy-mm-dd")</f>
        <v>2018-03-16</v>
      </c>
      <c r="G4" s="2985"/>
    </row>
    <row r="5" spans="1:8" s="615" customFormat="1" ht="20.25" customHeight="1">
      <c r="A5" s="2968" t="str">
        <f>"会计期间："&amp;基本情况!$F$9</f>
        <v>会计期间：2017年01月01日至2017年12月31日</v>
      </c>
      <c r="B5" s="2969"/>
      <c r="C5" s="2970"/>
      <c r="D5" s="894" t="s">
        <v>4410</v>
      </c>
      <c r="E5" s="865" t="str">
        <f>基本情况!$F$18&amp;""</f>
        <v/>
      </c>
      <c r="F5" s="604" t="str">
        <f>TEXT(基本情况!$F$28,"yyyy-mm-dd")</f>
        <v>2018-05-04</v>
      </c>
      <c r="G5" s="2985"/>
    </row>
    <row r="6" spans="1:8" s="619" customFormat="1" ht="7.5" customHeight="1">
      <c r="A6" s="2962"/>
      <c r="B6" s="2962"/>
      <c r="C6" s="2962"/>
      <c r="D6" s="2962"/>
      <c r="E6" s="2962"/>
      <c r="F6" s="2962"/>
      <c r="G6" s="855"/>
    </row>
    <row r="7" spans="1:8" s="622" customFormat="1" ht="20.25" customHeight="1">
      <c r="A7" s="866" t="s">
        <v>4430</v>
      </c>
      <c r="B7" s="2987" t="str">
        <f>IF(基本情况!$F$33="否",IF(B15-C15-F12&lt;&gt;资产负债表!$C$9,"账载数与报表数相差"&amp;DOLLAR(B15-C15-F12-资产负债表!$C$9,2)&amp;"元！","账载数与报表数相符！"),IF(B14-F12&lt;&gt;资产负债表!$C$9,"账载数与报表数相差"&amp;DOLLAR(B14-F12-资产负债表!$C$9,2)&amp;"元！","账载数与报表数相符！"))</f>
        <v>账载数与报表数相符！</v>
      </c>
      <c r="C7" s="2987"/>
      <c r="D7" s="2987"/>
      <c r="E7" s="2987"/>
      <c r="F7" s="2987"/>
      <c r="G7" s="856" t="s">
        <v>1724</v>
      </c>
      <c r="H7" s="621"/>
    </row>
    <row r="8" spans="1:8" s="622" customFormat="1" ht="15" customHeight="1">
      <c r="A8" s="2959" t="s">
        <v>4431</v>
      </c>
      <c r="B8" s="2988" t="s">
        <v>4474</v>
      </c>
      <c r="C8" s="2988"/>
      <c r="D8" s="2988"/>
      <c r="E8" s="2960" t="str">
        <f>IF(OR(D15&lt;&gt;0,D14&lt;&gt;0),"、E","")</f>
        <v/>
      </c>
      <c r="F8" s="2960"/>
      <c r="G8" s="854"/>
      <c r="H8" s="621"/>
    </row>
    <row r="9" spans="1:8" s="622" customFormat="1" ht="61.5" customHeight="1">
      <c r="A9" s="2959"/>
      <c r="B9" s="2989"/>
      <c r="C9" s="2989"/>
      <c r="D9" s="2989"/>
      <c r="E9" s="2989"/>
      <c r="F9" s="2989"/>
      <c r="G9" s="601" t="s">
        <v>6080</v>
      </c>
      <c r="H9" s="621"/>
    </row>
    <row r="10" spans="1:8" s="622" customFormat="1" ht="20.25" customHeight="1">
      <c r="A10" s="867" t="s">
        <v>4433</v>
      </c>
      <c r="B10" s="2953" t="str">
        <f>IF(OR(D15&lt;&gt;0,D14&lt;&gt;0),"调整后认可！","不存在调整事项,认可！")</f>
        <v>不存在调整事项,认可！</v>
      </c>
      <c r="C10" s="2953"/>
      <c r="D10" s="2953"/>
      <c r="E10" s="2953"/>
      <c r="F10" s="2953"/>
      <c r="G10" s="2986"/>
      <c r="H10" s="621"/>
    </row>
    <row r="11" spans="1:8" s="622" customFormat="1" ht="20.25" customHeight="1">
      <c r="A11" s="2938" t="s">
        <v>4338</v>
      </c>
      <c r="B11" s="868" t="s">
        <v>4475</v>
      </c>
      <c r="C11" s="2990" t="s">
        <v>4476</v>
      </c>
      <c r="D11" s="2990"/>
      <c r="E11" s="766" t="s">
        <v>4477</v>
      </c>
      <c r="F11" s="869" t="s">
        <v>4478</v>
      </c>
      <c r="G11" s="2986"/>
    </row>
    <row r="12" spans="1:8" s="622" customFormat="1" ht="20.25" customHeight="1">
      <c r="A12" s="2938"/>
      <c r="B12" s="870"/>
      <c r="C12" s="2991"/>
      <c r="D12" s="2991"/>
      <c r="E12" s="871"/>
      <c r="F12" s="872">
        <f>B12+C12-E12</f>
        <v>0</v>
      </c>
      <c r="G12" s="858"/>
    </row>
    <row r="13" spans="1:8" s="622" customFormat="1" ht="20.25" customHeight="1">
      <c r="A13" s="873" t="s">
        <v>750</v>
      </c>
      <c r="B13" s="868" t="s">
        <v>4479</v>
      </c>
      <c r="C13" s="766" t="s">
        <v>4480</v>
      </c>
      <c r="D13" s="766" t="s">
        <v>4414</v>
      </c>
      <c r="E13" s="766" t="s">
        <v>4415</v>
      </c>
      <c r="F13" s="869" t="s">
        <v>4481</v>
      </c>
      <c r="G13" s="858"/>
    </row>
    <row r="14" spans="1:8" s="622" customFormat="1" ht="20.25" customHeight="1">
      <c r="A14" s="874" t="s">
        <v>4482</v>
      </c>
      <c r="B14" s="875">
        <f>IF(基本情况!$F$33="否",0,B15+预收!B13)</f>
        <v>0</v>
      </c>
      <c r="C14" s="875">
        <f>IF(基本情况!$F$33="否",0,C15+预收!C13)</f>
        <v>0</v>
      </c>
      <c r="D14" s="876"/>
      <c r="E14" s="877">
        <f>B14+D14</f>
        <v>0</v>
      </c>
      <c r="F14" s="878">
        <f>IF(基本情况!$F$33="否",0,F15+预收!F13)</f>
        <v>0</v>
      </c>
      <c r="G14" s="858"/>
    </row>
    <row r="15" spans="1:8" s="622" customFormat="1" ht="20.25" customHeight="1">
      <c r="A15" s="867" t="s">
        <v>4483</v>
      </c>
      <c r="B15" s="879">
        <f>SUM(B16:B306)</f>
        <v>0</v>
      </c>
      <c r="C15" s="879">
        <f>SUM(C16:C306)</f>
        <v>0</v>
      </c>
      <c r="D15" s="589">
        <f>SUM(D16:D305)</f>
        <v>0</v>
      </c>
      <c r="E15" s="589">
        <f>SUM(E16:E305)</f>
        <v>0</v>
      </c>
      <c r="F15" s="590">
        <f>SUM(F16:F305)</f>
        <v>0</v>
      </c>
      <c r="G15" s="859"/>
    </row>
    <row r="16" spans="1:8" s="615" customFormat="1" ht="15" customHeight="1">
      <c r="A16" s="880"/>
      <c r="B16" s="881"/>
      <c r="C16" s="882"/>
      <c r="D16" s="882"/>
      <c r="E16" s="883">
        <f>B16-C16+D16</f>
        <v>0</v>
      </c>
      <c r="F16" s="884"/>
      <c r="G16" s="2992" t="s">
        <v>4484</v>
      </c>
    </row>
    <row r="17" spans="1:7" s="615" customFormat="1" ht="15" customHeight="1">
      <c r="A17" s="885"/>
      <c r="B17" s="886"/>
      <c r="C17" s="887"/>
      <c r="D17" s="887"/>
      <c r="E17" s="877">
        <f>B17-C17+D17</f>
        <v>0</v>
      </c>
      <c r="F17" s="888"/>
      <c r="G17" s="2992"/>
    </row>
    <row r="18" spans="1:7" s="615" customFormat="1" ht="15" customHeight="1">
      <c r="A18" s="885"/>
      <c r="B18" s="886"/>
      <c r="C18" s="887"/>
      <c r="D18" s="887"/>
      <c r="E18" s="877">
        <f t="shared" ref="E18:E81" si="0">B18-C18+D18</f>
        <v>0</v>
      </c>
      <c r="F18" s="888"/>
      <c r="G18" s="2992"/>
    </row>
    <row r="19" spans="1:7" s="615" customFormat="1" ht="15" customHeight="1">
      <c r="A19" s="885"/>
      <c r="B19" s="886"/>
      <c r="C19" s="887"/>
      <c r="D19" s="887"/>
      <c r="E19" s="877">
        <f t="shared" si="0"/>
        <v>0</v>
      </c>
      <c r="F19" s="888"/>
      <c r="G19" s="2992"/>
    </row>
    <row r="20" spans="1:7" s="615" customFormat="1" ht="15" customHeight="1">
      <c r="A20" s="885"/>
      <c r="B20" s="886"/>
      <c r="C20" s="887"/>
      <c r="D20" s="887"/>
      <c r="E20" s="877">
        <f t="shared" si="0"/>
        <v>0</v>
      </c>
      <c r="F20" s="888"/>
      <c r="G20" s="2992"/>
    </row>
    <row r="21" spans="1:7" s="615" customFormat="1" ht="15" customHeight="1">
      <c r="A21" s="885"/>
      <c r="B21" s="886"/>
      <c r="C21" s="887"/>
      <c r="D21" s="887"/>
      <c r="E21" s="877">
        <f t="shared" si="0"/>
        <v>0</v>
      </c>
      <c r="F21" s="888"/>
      <c r="G21" s="2992"/>
    </row>
    <row r="22" spans="1:7" s="615" customFormat="1" ht="15" customHeight="1">
      <c r="A22" s="885"/>
      <c r="B22" s="886"/>
      <c r="C22" s="887"/>
      <c r="D22" s="887"/>
      <c r="E22" s="877">
        <f t="shared" si="0"/>
        <v>0</v>
      </c>
      <c r="F22" s="888"/>
      <c r="G22" s="2992"/>
    </row>
    <row r="23" spans="1:7" s="615" customFormat="1" ht="15" customHeight="1">
      <c r="A23" s="885"/>
      <c r="B23" s="886"/>
      <c r="C23" s="887"/>
      <c r="D23" s="887"/>
      <c r="E23" s="877">
        <f t="shared" si="0"/>
        <v>0</v>
      </c>
      <c r="F23" s="888"/>
      <c r="G23" s="2992"/>
    </row>
    <row r="24" spans="1:7" s="615" customFormat="1" ht="15" customHeight="1">
      <c r="A24" s="885"/>
      <c r="B24" s="886"/>
      <c r="C24" s="887"/>
      <c r="D24" s="887"/>
      <c r="E24" s="877">
        <f t="shared" si="0"/>
        <v>0</v>
      </c>
      <c r="F24" s="888"/>
      <c r="G24" s="2986" t="s">
        <v>4485</v>
      </c>
    </row>
    <row r="25" spans="1:7" s="615" customFormat="1" ht="15" customHeight="1">
      <c r="A25" s="885"/>
      <c r="B25" s="886"/>
      <c r="C25" s="887"/>
      <c r="D25" s="887"/>
      <c r="E25" s="877">
        <f t="shared" si="0"/>
        <v>0</v>
      </c>
      <c r="F25" s="888"/>
      <c r="G25" s="2986"/>
    </row>
    <row r="26" spans="1:7" s="615" customFormat="1" ht="15" customHeight="1">
      <c r="A26" s="885"/>
      <c r="B26" s="886"/>
      <c r="C26" s="887"/>
      <c r="D26" s="887"/>
      <c r="E26" s="877">
        <f t="shared" si="0"/>
        <v>0</v>
      </c>
      <c r="F26" s="888"/>
      <c r="G26" s="858" t="s">
        <v>4486</v>
      </c>
    </row>
    <row r="27" spans="1:7" s="615" customFormat="1" ht="15" customHeight="1">
      <c r="A27" s="885"/>
      <c r="B27" s="886"/>
      <c r="C27" s="887"/>
      <c r="D27" s="887"/>
      <c r="E27" s="877">
        <f t="shared" si="0"/>
        <v>0</v>
      </c>
      <c r="F27" s="888"/>
      <c r="G27" s="854"/>
    </row>
    <row r="28" spans="1:7" s="615" customFormat="1" ht="15" customHeight="1">
      <c r="A28" s="885"/>
      <c r="B28" s="886"/>
      <c r="C28" s="887"/>
      <c r="D28" s="887"/>
      <c r="E28" s="877">
        <f t="shared" si="0"/>
        <v>0</v>
      </c>
      <c r="F28" s="888"/>
      <c r="G28" s="854"/>
    </row>
    <row r="29" spans="1:7" s="615" customFormat="1" ht="15" customHeight="1">
      <c r="A29" s="885"/>
      <c r="B29" s="886"/>
      <c r="C29" s="887"/>
      <c r="D29" s="887"/>
      <c r="E29" s="877">
        <f t="shared" si="0"/>
        <v>0</v>
      </c>
      <c r="F29" s="888"/>
      <c r="G29" s="854"/>
    </row>
    <row r="30" spans="1:7" s="615" customFormat="1" ht="15" customHeight="1">
      <c r="A30" s="885"/>
      <c r="B30" s="886"/>
      <c r="C30" s="887"/>
      <c r="D30" s="887"/>
      <c r="E30" s="877">
        <f t="shared" si="0"/>
        <v>0</v>
      </c>
      <c r="F30" s="888"/>
      <c r="G30" s="854"/>
    </row>
    <row r="31" spans="1:7" s="615" customFormat="1" ht="15" customHeight="1">
      <c r="A31" s="885"/>
      <c r="B31" s="886"/>
      <c r="C31" s="887"/>
      <c r="D31" s="887"/>
      <c r="E31" s="877">
        <f t="shared" si="0"/>
        <v>0</v>
      </c>
      <c r="F31" s="888"/>
      <c r="G31" s="854"/>
    </row>
    <row r="32" spans="1:7" s="615" customFormat="1" ht="15" customHeight="1">
      <c r="A32" s="885"/>
      <c r="B32" s="886"/>
      <c r="C32" s="887"/>
      <c r="D32" s="887"/>
      <c r="E32" s="877">
        <f t="shared" si="0"/>
        <v>0</v>
      </c>
      <c r="F32" s="888"/>
      <c r="G32" s="854"/>
    </row>
    <row r="33" spans="1:7" s="615" customFormat="1" ht="15" customHeight="1">
      <c r="A33" s="885"/>
      <c r="B33" s="886"/>
      <c r="C33" s="887"/>
      <c r="D33" s="887"/>
      <c r="E33" s="877">
        <f t="shared" si="0"/>
        <v>0</v>
      </c>
      <c r="F33" s="888"/>
      <c r="G33" s="854"/>
    </row>
    <row r="34" spans="1:7" s="615" customFormat="1" ht="15" customHeight="1">
      <c r="A34" s="885"/>
      <c r="B34" s="886"/>
      <c r="C34" s="887"/>
      <c r="D34" s="887"/>
      <c r="E34" s="877">
        <f t="shared" si="0"/>
        <v>0</v>
      </c>
      <c r="F34" s="888"/>
      <c r="G34" s="854"/>
    </row>
    <row r="35" spans="1:7" s="615" customFormat="1" ht="15" customHeight="1">
      <c r="A35" s="885"/>
      <c r="B35" s="886"/>
      <c r="C35" s="887"/>
      <c r="D35" s="887"/>
      <c r="E35" s="877">
        <f t="shared" si="0"/>
        <v>0</v>
      </c>
      <c r="F35" s="888"/>
      <c r="G35" s="854"/>
    </row>
    <row r="36" spans="1:7" s="615" customFormat="1" ht="15" customHeight="1">
      <c r="A36" s="885"/>
      <c r="B36" s="886"/>
      <c r="C36" s="887"/>
      <c r="D36" s="887"/>
      <c r="E36" s="877">
        <f t="shared" si="0"/>
        <v>0</v>
      </c>
      <c r="F36" s="888"/>
      <c r="G36" s="854"/>
    </row>
    <row r="37" spans="1:7" s="615" customFormat="1" ht="15" customHeight="1">
      <c r="A37" s="885"/>
      <c r="B37" s="886"/>
      <c r="C37" s="887"/>
      <c r="D37" s="887"/>
      <c r="E37" s="877">
        <f t="shared" si="0"/>
        <v>0</v>
      </c>
      <c r="F37" s="888"/>
      <c r="G37" s="854"/>
    </row>
    <row r="38" spans="1:7" s="615" customFormat="1" ht="15" customHeight="1">
      <c r="A38" s="885"/>
      <c r="B38" s="886"/>
      <c r="C38" s="887"/>
      <c r="D38" s="887"/>
      <c r="E38" s="877">
        <f t="shared" si="0"/>
        <v>0</v>
      </c>
      <c r="F38" s="888"/>
      <c r="G38" s="854"/>
    </row>
    <row r="39" spans="1:7" s="615" customFormat="1" ht="15" customHeight="1">
      <c r="A39" s="885"/>
      <c r="B39" s="886"/>
      <c r="C39" s="887"/>
      <c r="D39" s="887"/>
      <c r="E39" s="877">
        <f t="shared" si="0"/>
        <v>0</v>
      </c>
      <c r="F39" s="888"/>
      <c r="G39" s="854"/>
    </row>
    <row r="40" spans="1:7" s="615" customFormat="1" ht="15" customHeight="1">
      <c r="A40" s="885"/>
      <c r="B40" s="886"/>
      <c r="C40" s="887"/>
      <c r="D40" s="887"/>
      <c r="E40" s="877">
        <f t="shared" si="0"/>
        <v>0</v>
      </c>
      <c r="F40" s="888"/>
      <c r="G40" s="854"/>
    </row>
    <row r="41" spans="1:7" s="615" customFormat="1" ht="15" customHeight="1">
      <c r="A41" s="885"/>
      <c r="B41" s="886"/>
      <c r="C41" s="887"/>
      <c r="D41" s="887"/>
      <c r="E41" s="877">
        <f t="shared" si="0"/>
        <v>0</v>
      </c>
      <c r="F41" s="888"/>
      <c r="G41" s="854"/>
    </row>
    <row r="42" spans="1:7" s="615" customFormat="1" ht="15" customHeight="1">
      <c r="A42" s="885"/>
      <c r="B42" s="886"/>
      <c r="C42" s="887"/>
      <c r="D42" s="887"/>
      <c r="E42" s="877">
        <f t="shared" si="0"/>
        <v>0</v>
      </c>
      <c r="F42" s="888"/>
      <c r="G42" s="854"/>
    </row>
    <row r="43" spans="1:7" s="615" customFormat="1" ht="15" customHeight="1">
      <c r="A43" s="885"/>
      <c r="B43" s="886"/>
      <c r="C43" s="887"/>
      <c r="D43" s="887"/>
      <c r="E43" s="877">
        <f t="shared" si="0"/>
        <v>0</v>
      </c>
      <c r="F43" s="888"/>
      <c r="G43" s="854"/>
    </row>
    <row r="44" spans="1:7" s="615" customFormat="1" ht="15" customHeight="1">
      <c r="A44" s="885"/>
      <c r="B44" s="886"/>
      <c r="C44" s="887"/>
      <c r="D44" s="887"/>
      <c r="E44" s="877">
        <f t="shared" si="0"/>
        <v>0</v>
      </c>
      <c r="F44" s="888"/>
      <c r="G44" s="854"/>
    </row>
    <row r="45" spans="1:7" s="615" customFormat="1" ht="15" customHeight="1">
      <c r="A45" s="885"/>
      <c r="B45" s="886"/>
      <c r="C45" s="887"/>
      <c r="D45" s="887"/>
      <c r="E45" s="877">
        <f t="shared" si="0"/>
        <v>0</v>
      </c>
      <c r="F45" s="888"/>
      <c r="G45" s="854"/>
    </row>
    <row r="46" spans="1:7" s="615" customFormat="1" ht="15" customHeight="1">
      <c r="A46" s="885"/>
      <c r="B46" s="886"/>
      <c r="C46" s="887"/>
      <c r="D46" s="887"/>
      <c r="E46" s="877">
        <f t="shared" si="0"/>
        <v>0</v>
      </c>
      <c r="F46" s="888"/>
      <c r="G46" s="854"/>
    </row>
    <row r="47" spans="1:7" s="615" customFormat="1" ht="15" customHeight="1">
      <c r="A47" s="885"/>
      <c r="B47" s="886"/>
      <c r="C47" s="887"/>
      <c r="D47" s="887"/>
      <c r="E47" s="877">
        <f t="shared" si="0"/>
        <v>0</v>
      </c>
      <c r="F47" s="888"/>
      <c r="G47" s="854"/>
    </row>
    <row r="48" spans="1:7" s="615" customFormat="1" ht="15" customHeight="1">
      <c r="A48" s="885"/>
      <c r="B48" s="886"/>
      <c r="C48" s="887"/>
      <c r="D48" s="887"/>
      <c r="E48" s="877">
        <f t="shared" si="0"/>
        <v>0</v>
      </c>
      <c r="F48" s="888"/>
      <c r="G48" s="854"/>
    </row>
    <row r="49" spans="1:7" s="615" customFormat="1" ht="15" customHeight="1">
      <c r="A49" s="885"/>
      <c r="B49" s="886"/>
      <c r="C49" s="887"/>
      <c r="D49" s="887"/>
      <c r="E49" s="877">
        <f t="shared" si="0"/>
        <v>0</v>
      </c>
      <c r="F49" s="888"/>
      <c r="G49" s="854"/>
    </row>
    <row r="50" spans="1:7" s="615" customFormat="1" ht="15" customHeight="1">
      <c r="A50" s="885"/>
      <c r="B50" s="886"/>
      <c r="C50" s="887"/>
      <c r="D50" s="887"/>
      <c r="E50" s="877">
        <f t="shared" si="0"/>
        <v>0</v>
      </c>
      <c r="F50" s="888"/>
      <c r="G50" s="854"/>
    </row>
    <row r="51" spans="1:7" s="640" customFormat="1" ht="15" customHeight="1">
      <c r="A51" s="885"/>
      <c r="B51" s="886"/>
      <c r="C51" s="887"/>
      <c r="D51" s="887"/>
      <c r="E51" s="877">
        <f t="shared" si="0"/>
        <v>0</v>
      </c>
      <c r="F51" s="888"/>
      <c r="G51" s="854"/>
    </row>
    <row r="52" spans="1:7" s="640" customFormat="1" ht="15" customHeight="1">
      <c r="A52" s="885"/>
      <c r="B52" s="886"/>
      <c r="C52" s="887"/>
      <c r="D52" s="887"/>
      <c r="E52" s="877">
        <f t="shared" si="0"/>
        <v>0</v>
      </c>
      <c r="F52" s="888"/>
      <c r="G52" s="854"/>
    </row>
    <row r="53" spans="1:7" s="640" customFormat="1" ht="15" customHeight="1">
      <c r="A53" s="885"/>
      <c r="B53" s="886"/>
      <c r="C53" s="887"/>
      <c r="D53" s="887"/>
      <c r="E53" s="877">
        <f t="shared" si="0"/>
        <v>0</v>
      </c>
      <c r="F53" s="888"/>
      <c r="G53" s="854"/>
    </row>
    <row r="54" spans="1:7" s="640" customFormat="1" ht="15" customHeight="1">
      <c r="A54" s="885"/>
      <c r="B54" s="886"/>
      <c r="C54" s="887"/>
      <c r="D54" s="887"/>
      <c r="E54" s="877">
        <f t="shared" si="0"/>
        <v>0</v>
      </c>
      <c r="F54" s="888"/>
      <c r="G54" s="854"/>
    </row>
    <row r="55" spans="1:7" s="640" customFormat="1" ht="15" customHeight="1">
      <c r="A55" s="885"/>
      <c r="B55" s="886"/>
      <c r="C55" s="887"/>
      <c r="D55" s="887"/>
      <c r="E55" s="877">
        <f t="shared" si="0"/>
        <v>0</v>
      </c>
      <c r="F55" s="888"/>
      <c r="G55" s="854"/>
    </row>
    <row r="56" spans="1:7" ht="15" customHeight="1">
      <c r="A56" s="885"/>
      <c r="B56" s="886"/>
      <c r="C56" s="887"/>
      <c r="D56" s="887"/>
      <c r="E56" s="877">
        <f t="shared" si="0"/>
        <v>0</v>
      </c>
      <c r="F56" s="888"/>
    </row>
    <row r="57" spans="1:7" ht="15" customHeight="1">
      <c r="A57" s="885"/>
      <c r="B57" s="886"/>
      <c r="C57" s="887"/>
      <c r="D57" s="887"/>
      <c r="E57" s="877">
        <f t="shared" si="0"/>
        <v>0</v>
      </c>
      <c r="F57" s="888"/>
    </row>
    <row r="58" spans="1:7" ht="15" customHeight="1">
      <c r="A58" s="885"/>
      <c r="B58" s="886"/>
      <c r="C58" s="887"/>
      <c r="D58" s="887"/>
      <c r="E58" s="877">
        <f t="shared" si="0"/>
        <v>0</v>
      </c>
      <c r="F58" s="888"/>
    </row>
    <row r="59" spans="1:7" ht="15" customHeight="1">
      <c r="A59" s="885"/>
      <c r="B59" s="886"/>
      <c r="C59" s="887"/>
      <c r="D59" s="887"/>
      <c r="E59" s="877">
        <f t="shared" si="0"/>
        <v>0</v>
      </c>
      <c r="F59" s="888"/>
    </row>
    <row r="60" spans="1:7" ht="15" customHeight="1">
      <c r="A60" s="885"/>
      <c r="B60" s="886"/>
      <c r="C60" s="887"/>
      <c r="D60" s="887"/>
      <c r="E60" s="877">
        <f t="shared" si="0"/>
        <v>0</v>
      </c>
      <c r="F60" s="888"/>
    </row>
    <row r="61" spans="1:7" ht="15" customHeight="1">
      <c r="A61" s="885"/>
      <c r="B61" s="886"/>
      <c r="C61" s="887"/>
      <c r="D61" s="887"/>
      <c r="E61" s="877">
        <f t="shared" si="0"/>
        <v>0</v>
      </c>
      <c r="F61" s="888"/>
    </row>
    <row r="62" spans="1:7" ht="15" customHeight="1">
      <c r="A62" s="885"/>
      <c r="B62" s="886"/>
      <c r="C62" s="887"/>
      <c r="D62" s="887"/>
      <c r="E62" s="877">
        <f t="shared" si="0"/>
        <v>0</v>
      </c>
      <c r="F62" s="888"/>
    </row>
    <row r="63" spans="1:7" ht="15" customHeight="1">
      <c r="A63" s="885"/>
      <c r="B63" s="886"/>
      <c r="C63" s="887"/>
      <c r="D63" s="887"/>
      <c r="E63" s="877">
        <f t="shared" si="0"/>
        <v>0</v>
      </c>
      <c r="F63" s="888"/>
    </row>
    <row r="64" spans="1:7" ht="15" customHeight="1">
      <c r="A64" s="885"/>
      <c r="B64" s="886"/>
      <c r="C64" s="887"/>
      <c r="D64" s="887"/>
      <c r="E64" s="877">
        <f t="shared" si="0"/>
        <v>0</v>
      </c>
      <c r="F64" s="888"/>
    </row>
    <row r="65" spans="1:6" ht="15" customHeight="1">
      <c r="A65" s="885"/>
      <c r="B65" s="886"/>
      <c r="C65" s="887"/>
      <c r="D65" s="887"/>
      <c r="E65" s="877">
        <f t="shared" si="0"/>
        <v>0</v>
      </c>
      <c r="F65" s="888"/>
    </row>
    <row r="66" spans="1:6" ht="15" customHeight="1">
      <c r="A66" s="885"/>
      <c r="B66" s="886"/>
      <c r="C66" s="887"/>
      <c r="D66" s="887"/>
      <c r="E66" s="877">
        <f t="shared" si="0"/>
        <v>0</v>
      </c>
      <c r="F66" s="888"/>
    </row>
    <row r="67" spans="1:6" ht="15" customHeight="1">
      <c r="A67" s="885"/>
      <c r="B67" s="886"/>
      <c r="C67" s="887"/>
      <c r="D67" s="887"/>
      <c r="E67" s="877">
        <f t="shared" si="0"/>
        <v>0</v>
      </c>
      <c r="F67" s="888"/>
    </row>
    <row r="68" spans="1:6" ht="15" customHeight="1">
      <c r="A68" s="885"/>
      <c r="B68" s="886"/>
      <c r="C68" s="887"/>
      <c r="D68" s="887"/>
      <c r="E68" s="877">
        <f t="shared" si="0"/>
        <v>0</v>
      </c>
      <c r="F68" s="888"/>
    </row>
    <row r="69" spans="1:6" ht="15" customHeight="1">
      <c r="A69" s="885"/>
      <c r="B69" s="886"/>
      <c r="C69" s="887"/>
      <c r="D69" s="887"/>
      <c r="E69" s="877">
        <f t="shared" si="0"/>
        <v>0</v>
      </c>
      <c r="F69" s="888"/>
    </row>
    <row r="70" spans="1:6" ht="15" customHeight="1">
      <c r="A70" s="885"/>
      <c r="B70" s="886"/>
      <c r="C70" s="887"/>
      <c r="D70" s="887"/>
      <c r="E70" s="877">
        <f t="shared" si="0"/>
        <v>0</v>
      </c>
      <c r="F70" s="888"/>
    </row>
    <row r="71" spans="1:6" ht="15" customHeight="1">
      <c r="A71" s="885"/>
      <c r="B71" s="886"/>
      <c r="C71" s="887"/>
      <c r="D71" s="887"/>
      <c r="E71" s="877">
        <f t="shared" si="0"/>
        <v>0</v>
      </c>
      <c r="F71" s="888"/>
    </row>
    <row r="72" spans="1:6" ht="15" customHeight="1">
      <c r="A72" s="885"/>
      <c r="B72" s="886"/>
      <c r="C72" s="887"/>
      <c r="D72" s="887"/>
      <c r="E72" s="877">
        <f t="shared" si="0"/>
        <v>0</v>
      </c>
      <c r="F72" s="888"/>
    </row>
    <row r="73" spans="1:6" ht="15" customHeight="1">
      <c r="A73" s="885"/>
      <c r="B73" s="886"/>
      <c r="C73" s="887"/>
      <c r="D73" s="887"/>
      <c r="E73" s="877">
        <f t="shared" si="0"/>
        <v>0</v>
      </c>
      <c r="F73" s="888"/>
    </row>
    <row r="74" spans="1:6" ht="15" customHeight="1">
      <c r="A74" s="885"/>
      <c r="B74" s="886"/>
      <c r="C74" s="887"/>
      <c r="D74" s="887"/>
      <c r="E74" s="877">
        <f t="shared" si="0"/>
        <v>0</v>
      </c>
      <c r="F74" s="888"/>
    </row>
    <row r="75" spans="1:6" ht="15" customHeight="1">
      <c r="A75" s="885"/>
      <c r="B75" s="886"/>
      <c r="C75" s="887"/>
      <c r="D75" s="887"/>
      <c r="E75" s="877">
        <f t="shared" si="0"/>
        <v>0</v>
      </c>
      <c r="F75" s="888"/>
    </row>
    <row r="76" spans="1:6" ht="15" customHeight="1">
      <c r="A76" s="885"/>
      <c r="B76" s="886"/>
      <c r="C76" s="887"/>
      <c r="D76" s="887"/>
      <c r="E76" s="877">
        <f t="shared" si="0"/>
        <v>0</v>
      </c>
      <c r="F76" s="888"/>
    </row>
    <row r="77" spans="1:6" ht="15" customHeight="1">
      <c r="A77" s="885"/>
      <c r="B77" s="886"/>
      <c r="C77" s="887"/>
      <c r="D77" s="887"/>
      <c r="E77" s="877">
        <f t="shared" si="0"/>
        <v>0</v>
      </c>
      <c r="F77" s="888"/>
    </row>
    <row r="78" spans="1:6" ht="15" customHeight="1">
      <c r="A78" s="885"/>
      <c r="B78" s="886"/>
      <c r="C78" s="887"/>
      <c r="D78" s="887"/>
      <c r="E78" s="877">
        <f t="shared" si="0"/>
        <v>0</v>
      </c>
      <c r="F78" s="888"/>
    </row>
    <row r="79" spans="1:6" ht="15" customHeight="1">
      <c r="A79" s="885"/>
      <c r="B79" s="886"/>
      <c r="C79" s="887"/>
      <c r="D79" s="887"/>
      <c r="E79" s="877">
        <f t="shared" si="0"/>
        <v>0</v>
      </c>
      <c r="F79" s="888"/>
    </row>
    <row r="80" spans="1:6" ht="15" customHeight="1">
      <c r="A80" s="885"/>
      <c r="B80" s="886"/>
      <c r="C80" s="887"/>
      <c r="D80" s="887"/>
      <c r="E80" s="877">
        <f t="shared" si="0"/>
        <v>0</v>
      </c>
      <c r="F80" s="888"/>
    </row>
    <row r="81" spans="1:6" ht="15" customHeight="1">
      <c r="A81" s="885"/>
      <c r="B81" s="886"/>
      <c r="C81" s="887"/>
      <c r="D81" s="887"/>
      <c r="E81" s="877">
        <f t="shared" si="0"/>
        <v>0</v>
      </c>
      <c r="F81" s="888"/>
    </row>
    <row r="82" spans="1:6" ht="15" customHeight="1">
      <c r="A82" s="885"/>
      <c r="B82" s="886"/>
      <c r="C82" s="887"/>
      <c r="D82" s="887"/>
      <c r="E82" s="877">
        <f t="shared" ref="E82:E145" si="1">B82-C82+D82</f>
        <v>0</v>
      </c>
      <c r="F82" s="888"/>
    </row>
    <row r="83" spans="1:6" ht="15" customHeight="1">
      <c r="A83" s="885"/>
      <c r="B83" s="886"/>
      <c r="C83" s="887"/>
      <c r="D83" s="887"/>
      <c r="E83" s="877">
        <f t="shared" si="1"/>
        <v>0</v>
      </c>
      <c r="F83" s="888"/>
    </row>
    <row r="84" spans="1:6" ht="15" customHeight="1">
      <c r="A84" s="885"/>
      <c r="B84" s="886"/>
      <c r="C84" s="887"/>
      <c r="D84" s="887"/>
      <c r="E84" s="877">
        <f t="shared" si="1"/>
        <v>0</v>
      </c>
      <c r="F84" s="888"/>
    </row>
    <row r="85" spans="1:6" ht="15" customHeight="1">
      <c r="A85" s="885"/>
      <c r="B85" s="886"/>
      <c r="C85" s="887"/>
      <c r="D85" s="887"/>
      <c r="E85" s="877">
        <f t="shared" si="1"/>
        <v>0</v>
      </c>
      <c r="F85" s="888"/>
    </row>
    <row r="86" spans="1:6" ht="15" customHeight="1">
      <c r="A86" s="885"/>
      <c r="B86" s="886"/>
      <c r="C86" s="887"/>
      <c r="D86" s="887"/>
      <c r="E86" s="877">
        <f t="shared" si="1"/>
        <v>0</v>
      </c>
      <c r="F86" s="888"/>
    </row>
    <row r="87" spans="1:6" ht="15" customHeight="1">
      <c r="A87" s="885"/>
      <c r="B87" s="886"/>
      <c r="C87" s="887"/>
      <c r="D87" s="887"/>
      <c r="E87" s="877">
        <f t="shared" si="1"/>
        <v>0</v>
      </c>
      <c r="F87" s="888"/>
    </row>
    <row r="88" spans="1:6" ht="15" customHeight="1">
      <c r="A88" s="885"/>
      <c r="B88" s="886"/>
      <c r="C88" s="887"/>
      <c r="D88" s="887"/>
      <c r="E88" s="877">
        <f t="shared" si="1"/>
        <v>0</v>
      </c>
      <c r="F88" s="888"/>
    </row>
    <row r="89" spans="1:6" ht="15" customHeight="1">
      <c r="A89" s="885"/>
      <c r="B89" s="886"/>
      <c r="C89" s="887"/>
      <c r="D89" s="887"/>
      <c r="E89" s="877">
        <f t="shared" si="1"/>
        <v>0</v>
      </c>
      <c r="F89" s="888"/>
    </row>
    <row r="90" spans="1:6" ht="15" customHeight="1">
      <c r="A90" s="885"/>
      <c r="B90" s="886"/>
      <c r="C90" s="887"/>
      <c r="D90" s="887"/>
      <c r="E90" s="877">
        <f t="shared" si="1"/>
        <v>0</v>
      </c>
      <c r="F90" s="888"/>
    </row>
    <row r="91" spans="1:6" ht="15" customHeight="1">
      <c r="A91" s="885"/>
      <c r="B91" s="886"/>
      <c r="C91" s="887"/>
      <c r="D91" s="887"/>
      <c r="E91" s="877">
        <f t="shared" si="1"/>
        <v>0</v>
      </c>
      <c r="F91" s="888"/>
    </row>
    <row r="92" spans="1:6" ht="15" customHeight="1">
      <c r="A92" s="885"/>
      <c r="B92" s="886"/>
      <c r="C92" s="887"/>
      <c r="D92" s="887"/>
      <c r="E92" s="877">
        <f t="shared" si="1"/>
        <v>0</v>
      </c>
      <c r="F92" s="888"/>
    </row>
    <row r="93" spans="1:6" ht="15" customHeight="1">
      <c r="A93" s="885"/>
      <c r="B93" s="886"/>
      <c r="C93" s="887"/>
      <c r="D93" s="887"/>
      <c r="E93" s="877">
        <f t="shared" si="1"/>
        <v>0</v>
      </c>
      <c r="F93" s="888"/>
    </row>
    <row r="94" spans="1:6" ht="15" customHeight="1">
      <c r="A94" s="885"/>
      <c r="B94" s="886"/>
      <c r="C94" s="887"/>
      <c r="D94" s="887"/>
      <c r="E94" s="877">
        <f t="shared" si="1"/>
        <v>0</v>
      </c>
      <c r="F94" s="888"/>
    </row>
    <row r="95" spans="1:6" ht="15" customHeight="1">
      <c r="A95" s="885"/>
      <c r="B95" s="886"/>
      <c r="C95" s="887"/>
      <c r="D95" s="887"/>
      <c r="E95" s="877">
        <f t="shared" si="1"/>
        <v>0</v>
      </c>
      <c r="F95" s="888"/>
    </row>
    <row r="96" spans="1:6" ht="15" customHeight="1">
      <c r="A96" s="885"/>
      <c r="B96" s="886"/>
      <c r="C96" s="887"/>
      <c r="D96" s="887"/>
      <c r="E96" s="877">
        <f t="shared" si="1"/>
        <v>0</v>
      </c>
      <c r="F96" s="888"/>
    </row>
    <row r="97" spans="1:6" ht="15" customHeight="1">
      <c r="A97" s="885"/>
      <c r="B97" s="886"/>
      <c r="C97" s="887"/>
      <c r="D97" s="887"/>
      <c r="E97" s="877">
        <f t="shared" si="1"/>
        <v>0</v>
      </c>
      <c r="F97" s="888"/>
    </row>
    <row r="98" spans="1:6" ht="15" customHeight="1">
      <c r="A98" s="885"/>
      <c r="B98" s="886"/>
      <c r="C98" s="887"/>
      <c r="D98" s="887"/>
      <c r="E98" s="877">
        <f t="shared" si="1"/>
        <v>0</v>
      </c>
      <c r="F98" s="888"/>
    </row>
    <row r="99" spans="1:6" ht="15" customHeight="1">
      <c r="A99" s="885"/>
      <c r="B99" s="886"/>
      <c r="C99" s="887"/>
      <c r="D99" s="887"/>
      <c r="E99" s="877">
        <f t="shared" si="1"/>
        <v>0</v>
      </c>
      <c r="F99" s="888"/>
    </row>
    <row r="100" spans="1:6" ht="15" customHeight="1">
      <c r="A100" s="885"/>
      <c r="B100" s="886"/>
      <c r="C100" s="887"/>
      <c r="D100" s="887"/>
      <c r="E100" s="877">
        <f t="shared" si="1"/>
        <v>0</v>
      </c>
      <c r="F100" s="888"/>
    </row>
    <row r="101" spans="1:6" ht="15" customHeight="1">
      <c r="A101" s="885"/>
      <c r="B101" s="886"/>
      <c r="C101" s="887"/>
      <c r="D101" s="887"/>
      <c r="E101" s="877">
        <f t="shared" si="1"/>
        <v>0</v>
      </c>
      <c r="F101" s="888"/>
    </row>
    <row r="102" spans="1:6" ht="15" customHeight="1">
      <c r="A102" s="885"/>
      <c r="B102" s="886"/>
      <c r="C102" s="887"/>
      <c r="D102" s="887"/>
      <c r="E102" s="877">
        <f t="shared" si="1"/>
        <v>0</v>
      </c>
      <c r="F102" s="888"/>
    </row>
    <row r="103" spans="1:6" ht="15" customHeight="1">
      <c r="A103" s="885"/>
      <c r="B103" s="886"/>
      <c r="C103" s="887"/>
      <c r="D103" s="887"/>
      <c r="E103" s="877">
        <f t="shared" si="1"/>
        <v>0</v>
      </c>
      <c r="F103" s="888"/>
    </row>
    <row r="104" spans="1:6" ht="15" customHeight="1">
      <c r="A104" s="885"/>
      <c r="B104" s="886"/>
      <c r="C104" s="887"/>
      <c r="D104" s="887"/>
      <c r="E104" s="877">
        <f t="shared" si="1"/>
        <v>0</v>
      </c>
      <c r="F104" s="888"/>
    </row>
    <row r="105" spans="1:6" ht="15" customHeight="1">
      <c r="A105" s="885"/>
      <c r="B105" s="886"/>
      <c r="C105" s="887"/>
      <c r="D105" s="887"/>
      <c r="E105" s="877">
        <f t="shared" si="1"/>
        <v>0</v>
      </c>
      <c r="F105" s="888"/>
    </row>
    <row r="106" spans="1:6" ht="15" customHeight="1">
      <c r="A106" s="885"/>
      <c r="B106" s="886"/>
      <c r="C106" s="887"/>
      <c r="D106" s="887"/>
      <c r="E106" s="877">
        <f t="shared" si="1"/>
        <v>0</v>
      </c>
      <c r="F106" s="888"/>
    </row>
    <row r="107" spans="1:6" ht="15" customHeight="1">
      <c r="A107" s="885"/>
      <c r="B107" s="886"/>
      <c r="C107" s="887"/>
      <c r="D107" s="887"/>
      <c r="E107" s="877">
        <f t="shared" si="1"/>
        <v>0</v>
      </c>
      <c r="F107" s="888"/>
    </row>
    <row r="108" spans="1:6" ht="15" customHeight="1">
      <c r="A108" s="885"/>
      <c r="B108" s="886"/>
      <c r="C108" s="887"/>
      <c r="D108" s="887"/>
      <c r="E108" s="877">
        <f t="shared" si="1"/>
        <v>0</v>
      </c>
      <c r="F108" s="888"/>
    </row>
    <row r="109" spans="1:6" ht="15" customHeight="1">
      <c r="A109" s="885"/>
      <c r="B109" s="886"/>
      <c r="C109" s="887"/>
      <c r="D109" s="887"/>
      <c r="E109" s="877">
        <f t="shared" si="1"/>
        <v>0</v>
      </c>
      <c r="F109" s="888"/>
    </row>
    <row r="110" spans="1:6" ht="15" customHeight="1">
      <c r="A110" s="885"/>
      <c r="B110" s="886"/>
      <c r="C110" s="887"/>
      <c r="D110" s="887"/>
      <c r="E110" s="877">
        <f t="shared" si="1"/>
        <v>0</v>
      </c>
      <c r="F110" s="888"/>
    </row>
    <row r="111" spans="1:6" ht="15" customHeight="1">
      <c r="A111" s="885"/>
      <c r="B111" s="886"/>
      <c r="C111" s="887"/>
      <c r="D111" s="887"/>
      <c r="E111" s="877">
        <f t="shared" si="1"/>
        <v>0</v>
      </c>
      <c r="F111" s="888"/>
    </row>
    <row r="112" spans="1:6" ht="15" customHeight="1">
      <c r="A112" s="885"/>
      <c r="B112" s="886"/>
      <c r="C112" s="887"/>
      <c r="D112" s="887"/>
      <c r="E112" s="877">
        <f t="shared" si="1"/>
        <v>0</v>
      </c>
      <c r="F112" s="888"/>
    </row>
    <row r="113" spans="1:6" ht="15" customHeight="1">
      <c r="A113" s="885"/>
      <c r="B113" s="886"/>
      <c r="C113" s="887"/>
      <c r="D113" s="887"/>
      <c r="E113" s="877">
        <f t="shared" si="1"/>
        <v>0</v>
      </c>
      <c r="F113" s="888"/>
    </row>
    <row r="114" spans="1:6" ht="15" customHeight="1">
      <c r="A114" s="885"/>
      <c r="B114" s="886"/>
      <c r="C114" s="887"/>
      <c r="D114" s="887"/>
      <c r="E114" s="877">
        <f t="shared" si="1"/>
        <v>0</v>
      </c>
      <c r="F114" s="888"/>
    </row>
    <row r="115" spans="1:6" ht="15" customHeight="1">
      <c r="A115" s="885"/>
      <c r="B115" s="886"/>
      <c r="C115" s="887"/>
      <c r="D115" s="887"/>
      <c r="E115" s="877">
        <f t="shared" si="1"/>
        <v>0</v>
      </c>
      <c r="F115" s="888"/>
    </row>
    <row r="116" spans="1:6" ht="15" customHeight="1">
      <c r="A116" s="885"/>
      <c r="B116" s="886"/>
      <c r="C116" s="887"/>
      <c r="D116" s="887"/>
      <c r="E116" s="877">
        <f t="shared" si="1"/>
        <v>0</v>
      </c>
      <c r="F116" s="888"/>
    </row>
    <row r="117" spans="1:6" ht="15" customHeight="1">
      <c r="A117" s="885"/>
      <c r="B117" s="886"/>
      <c r="C117" s="887"/>
      <c r="D117" s="887"/>
      <c r="E117" s="877">
        <f t="shared" si="1"/>
        <v>0</v>
      </c>
      <c r="F117" s="888"/>
    </row>
    <row r="118" spans="1:6" ht="15" customHeight="1">
      <c r="A118" s="885"/>
      <c r="B118" s="886"/>
      <c r="C118" s="887"/>
      <c r="D118" s="887"/>
      <c r="E118" s="877">
        <f t="shared" si="1"/>
        <v>0</v>
      </c>
      <c r="F118" s="888"/>
    </row>
    <row r="119" spans="1:6" ht="15" customHeight="1">
      <c r="A119" s="885"/>
      <c r="B119" s="886"/>
      <c r="C119" s="887"/>
      <c r="D119" s="887"/>
      <c r="E119" s="877">
        <f t="shared" si="1"/>
        <v>0</v>
      </c>
      <c r="F119" s="888"/>
    </row>
    <row r="120" spans="1:6" ht="15" customHeight="1">
      <c r="A120" s="885"/>
      <c r="B120" s="886"/>
      <c r="C120" s="887"/>
      <c r="D120" s="887"/>
      <c r="E120" s="877">
        <f t="shared" si="1"/>
        <v>0</v>
      </c>
      <c r="F120" s="888"/>
    </row>
    <row r="121" spans="1:6" ht="15" customHeight="1">
      <c r="A121" s="885"/>
      <c r="B121" s="886"/>
      <c r="C121" s="887"/>
      <c r="D121" s="887"/>
      <c r="E121" s="877">
        <f t="shared" si="1"/>
        <v>0</v>
      </c>
      <c r="F121" s="888"/>
    </row>
    <row r="122" spans="1:6" ht="15" customHeight="1">
      <c r="A122" s="885"/>
      <c r="B122" s="886"/>
      <c r="C122" s="887"/>
      <c r="D122" s="887"/>
      <c r="E122" s="877">
        <f t="shared" si="1"/>
        <v>0</v>
      </c>
      <c r="F122" s="888"/>
    </row>
    <row r="123" spans="1:6" ht="15" customHeight="1">
      <c r="A123" s="885"/>
      <c r="B123" s="886"/>
      <c r="C123" s="887"/>
      <c r="D123" s="887"/>
      <c r="E123" s="877">
        <f t="shared" si="1"/>
        <v>0</v>
      </c>
      <c r="F123" s="888"/>
    </row>
    <row r="124" spans="1:6" ht="15" customHeight="1">
      <c r="A124" s="885"/>
      <c r="B124" s="886"/>
      <c r="C124" s="887"/>
      <c r="D124" s="887"/>
      <c r="E124" s="877">
        <f t="shared" si="1"/>
        <v>0</v>
      </c>
      <c r="F124" s="888"/>
    </row>
    <row r="125" spans="1:6" ht="15" customHeight="1">
      <c r="A125" s="885"/>
      <c r="B125" s="886"/>
      <c r="C125" s="887"/>
      <c r="D125" s="887"/>
      <c r="E125" s="877">
        <f t="shared" si="1"/>
        <v>0</v>
      </c>
      <c r="F125" s="888"/>
    </row>
    <row r="126" spans="1:6" ht="15" customHeight="1">
      <c r="A126" s="885"/>
      <c r="B126" s="886"/>
      <c r="C126" s="887"/>
      <c r="D126" s="887"/>
      <c r="E126" s="877">
        <f t="shared" si="1"/>
        <v>0</v>
      </c>
      <c r="F126" s="888"/>
    </row>
    <row r="127" spans="1:6" ht="15" customHeight="1">
      <c r="A127" s="885"/>
      <c r="B127" s="886"/>
      <c r="C127" s="887"/>
      <c r="D127" s="887"/>
      <c r="E127" s="877">
        <f t="shared" si="1"/>
        <v>0</v>
      </c>
      <c r="F127" s="888"/>
    </row>
    <row r="128" spans="1:6" ht="15" customHeight="1">
      <c r="A128" s="885"/>
      <c r="B128" s="886"/>
      <c r="C128" s="887"/>
      <c r="D128" s="887"/>
      <c r="E128" s="877">
        <f t="shared" si="1"/>
        <v>0</v>
      </c>
      <c r="F128" s="888"/>
    </row>
    <row r="129" spans="1:6" ht="15" customHeight="1">
      <c r="A129" s="885"/>
      <c r="B129" s="886"/>
      <c r="C129" s="887"/>
      <c r="D129" s="887"/>
      <c r="E129" s="877">
        <f t="shared" si="1"/>
        <v>0</v>
      </c>
      <c r="F129" s="888"/>
    </row>
    <row r="130" spans="1:6" ht="15" customHeight="1">
      <c r="A130" s="885"/>
      <c r="B130" s="886"/>
      <c r="C130" s="887"/>
      <c r="D130" s="887"/>
      <c r="E130" s="877">
        <f t="shared" si="1"/>
        <v>0</v>
      </c>
      <c r="F130" s="888"/>
    </row>
    <row r="131" spans="1:6" ht="15" customHeight="1">
      <c r="A131" s="885"/>
      <c r="B131" s="886"/>
      <c r="C131" s="887"/>
      <c r="D131" s="887"/>
      <c r="E131" s="877">
        <f t="shared" si="1"/>
        <v>0</v>
      </c>
      <c r="F131" s="888"/>
    </row>
    <row r="132" spans="1:6" ht="15" customHeight="1">
      <c r="A132" s="885"/>
      <c r="B132" s="886"/>
      <c r="C132" s="887"/>
      <c r="D132" s="887"/>
      <c r="E132" s="877">
        <f t="shared" si="1"/>
        <v>0</v>
      </c>
      <c r="F132" s="888"/>
    </row>
    <row r="133" spans="1:6" ht="15" customHeight="1">
      <c r="A133" s="885"/>
      <c r="B133" s="886"/>
      <c r="C133" s="887"/>
      <c r="D133" s="887"/>
      <c r="E133" s="877">
        <f t="shared" si="1"/>
        <v>0</v>
      </c>
      <c r="F133" s="888"/>
    </row>
    <row r="134" spans="1:6" ht="15" customHeight="1">
      <c r="A134" s="885"/>
      <c r="B134" s="886"/>
      <c r="C134" s="887"/>
      <c r="D134" s="887"/>
      <c r="E134" s="877">
        <f t="shared" si="1"/>
        <v>0</v>
      </c>
      <c r="F134" s="888"/>
    </row>
    <row r="135" spans="1:6" ht="15" customHeight="1">
      <c r="A135" s="885"/>
      <c r="B135" s="886"/>
      <c r="C135" s="887"/>
      <c r="D135" s="887"/>
      <c r="E135" s="877">
        <f t="shared" si="1"/>
        <v>0</v>
      </c>
      <c r="F135" s="888"/>
    </row>
    <row r="136" spans="1:6" ht="15" customHeight="1">
      <c r="A136" s="885"/>
      <c r="B136" s="886"/>
      <c r="C136" s="887"/>
      <c r="D136" s="887"/>
      <c r="E136" s="877">
        <f t="shared" si="1"/>
        <v>0</v>
      </c>
      <c r="F136" s="888"/>
    </row>
    <row r="137" spans="1:6" ht="15" customHeight="1">
      <c r="A137" s="885"/>
      <c r="B137" s="886"/>
      <c r="C137" s="887"/>
      <c r="D137" s="887"/>
      <c r="E137" s="877">
        <f t="shared" si="1"/>
        <v>0</v>
      </c>
      <c r="F137" s="888"/>
    </row>
    <row r="138" spans="1:6" ht="15" customHeight="1">
      <c r="A138" s="885"/>
      <c r="B138" s="886"/>
      <c r="C138" s="887"/>
      <c r="D138" s="887"/>
      <c r="E138" s="877">
        <f t="shared" si="1"/>
        <v>0</v>
      </c>
      <c r="F138" s="888"/>
    </row>
    <row r="139" spans="1:6" ht="15" customHeight="1">
      <c r="A139" s="885"/>
      <c r="B139" s="886"/>
      <c r="C139" s="887"/>
      <c r="D139" s="887"/>
      <c r="E139" s="877">
        <f t="shared" si="1"/>
        <v>0</v>
      </c>
      <c r="F139" s="888"/>
    </row>
    <row r="140" spans="1:6" ht="15" customHeight="1">
      <c r="A140" s="885"/>
      <c r="B140" s="886"/>
      <c r="C140" s="887"/>
      <c r="D140" s="887"/>
      <c r="E140" s="877">
        <f t="shared" si="1"/>
        <v>0</v>
      </c>
      <c r="F140" s="888"/>
    </row>
    <row r="141" spans="1:6" ht="15" customHeight="1">
      <c r="A141" s="885"/>
      <c r="B141" s="886"/>
      <c r="C141" s="887"/>
      <c r="D141" s="887"/>
      <c r="E141" s="877">
        <f t="shared" si="1"/>
        <v>0</v>
      </c>
      <c r="F141" s="888"/>
    </row>
    <row r="142" spans="1:6" ht="15" customHeight="1">
      <c r="A142" s="885"/>
      <c r="B142" s="886"/>
      <c r="C142" s="887"/>
      <c r="D142" s="887"/>
      <c r="E142" s="877">
        <f t="shared" si="1"/>
        <v>0</v>
      </c>
      <c r="F142" s="888"/>
    </row>
    <row r="143" spans="1:6" ht="15" customHeight="1">
      <c r="A143" s="885"/>
      <c r="B143" s="886"/>
      <c r="C143" s="887"/>
      <c r="D143" s="887"/>
      <c r="E143" s="877">
        <f t="shared" si="1"/>
        <v>0</v>
      </c>
      <c r="F143" s="888"/>
    </row>
    <row r="144" spans="1:6" ht="15" customHeight="1">
      <c r="A144" s="885"/>
      <c r="B144" s="886"/>
      <c r="C144" s="887"/>
      <c r="D144" s="887"/>
      <c r="E144" s="877">
        <f t="shared" si="1"/>
        <v>0</v>
      </c>
      <c r="F144" s="888"/>
    </row>
    <row r="145" spans="1:6" ht="15" customHeight="1">
      <c r="A145" s="885"/>
      <c r="B145" s="886"/>
      <c r="C145" s="887"/>
      <c r="D145" s="887"/>
      <c r="E145" s="877">
        <f t="shared" si="1"/>
        <v>0</v>
      </c>
      <c r="F145" s="888"/>
    </row>
    <row r="146" spans="1:6" ht="15" customHeight="1">
      <c r="A146" s="885"/>
      <c r="B146" s="886"/>
      <c r="C146" s="887"/>
      <c r="D146" s="887"/>
      <c r="E146" s="877">
        <f t="shared" ref="E146:E209" si="2">B146-C146+D146</f>
        <v>0</v>
      </c>
      <c r="F146" s="888"/>
    </row>
    <row r="147" spans="1:6" ht="15" customHeight="1">
      <c r="A147" s="885"/>
      <c r="B147" s="886"/>
      <c r="C147" s="887"/>
      <c r="D147" s="887"/>
      <c r="E147" s="877">
        <f t="shared" si="2"/>
        <v>0</v>
      </c>
      <c r="F147" s="888"/>
    </row>
    <row r="148" spans="1:6" ht="15" customHeight="1">
      <c r="A148" s="885"/>
      <c r="B148" s="886"/>
      <c r="C148" s="887"/>
      <c r="D148" s="887"/>
      <c r="E148" s="877">
        <f t="shared" si="2"/>
        <v>0</v>
      </c>
      <c r="F148" s="888"/>
    </row>
    <row r="149" spans="1:6" ht="15" customHeight="1">
      <c r="A149" s="885"/>
      <c r="B149" s="886"/>
      <c r="C149" s="887"/>
      <c r="D149" s="887"/>
      <c r="E149" s="877">
        <f t="shared" si="2"/>
        <v>0</v>
      </c>
      <c r="F149" s="888"/>
    </row>
    <row r="150" spans="1:6" ht="15" customHeight="1">
      <c r="A150" s="885"/>
      <c r="B150" s="886"/>
      <c r="C150" s="887"/>
      <c r="D150" s="887"/>
      <c r="E150" s="877">
        <f t="shared" si="2"/>
        <v>0</v>
      </c>
      <c r="F150" s="888"/>
    </row>
    <row r="151" spans="1:6" ht="15" customHeight="1">
      <c r="A151" s="885"/>
      <c r="B151" s="886"/>
      <c r="C151" s="887"/>
      <c r="D151" s="887"/>
      <c r="E151" s="877">
        <f t="shared" si="2"/>
        <v>0</v>
      </c>
      <c r="F151" s="888"/>
    </row>
    <row r="152" spans="1:6" ht="15" customHeight="1">
      <c r="A152" s="885"/>
      <c r="B152" s="886"/>
      <c r="C152" s="887"/>
      <c r="D152" s="887"/>
      <c r="E152" s="877">
        <f t="shared" si="2"/>
        <v>0</v>
      </c>
      <c r="F152" s="888"/>
    </row>
    <row r="153" spans="1:6" ht="15" customHeight="1">
      <c r="A153" s="885"/>
      <c r="B153" s="886"/>
      <c r="C153" s="887"/>
      <c r="D153" s="887"/>
      <c r="E153" s="877">
        <f t="shared" si="2"/>
        <v>0</v>
      </c>
      <c r="F153" s="888"/>
    </row>
    <row r="154" spans="1:6" ht="15" customHeight="1">
      <c r="A154" s="885"/>
      <c r="B154" s="886"/>
      <c r="C154" s="887"/>
      <c r="D154" s="887"/>
      <c r="E154" s="877">
        <f t="shared" si="2"/>
        <v>0</v>
      </c>
      <c r="F154" s="888"/>
    </row>
    <row r="155" spans="1:6" ht="15" customHeight="1">
      <c r="A155" s="885"/>
      <c r="B155" s="886"/>
      <c r="C155" s="887"/>
      <c r="D155" s="887"/>
      <c r="E155" s="877">
        <f t="shared" si="2"/>
        <v>0</v>
      </c>
      <c r="F155" s="888"/>
    </row>
    <row r="156" spans="1:6" ht="15" customHeight="1">
      <c r="A156" s="885"/>
      <c r="B156" s="886"/>
      <c r="C156" s="887"/>
      <c r="D156" s="887"/>
      <c r="E156" s="877">
        <f t="shared" si="2"/>
        <v>0</v>
      </c>
      <c r="F156" s="888"/>
    </row>
    <row r="157" spans="1:6" ht="15" customHeight="1">
      <c r="A157" s="885"/>
      <c r="B157" s="886"/>
      <c r="C157" s="887"/>
      <c r="D157" s="887"/>
      <c r="E157" s="877">
        <f t="shared" si="2"/>
        <v>0</v>
      </c>
      <c r="F157" s="888"/>
    </row>
    <row r="158" spans="1:6" ht="15" customHeight="1">
      <c r="A158" s="885"/>
      <c r="B158" s="886"/>
      <c r="C158" s="887"/>
      <c r="D158" s="887"/>
      <c r="E158" s="877">
        <f t="shared" si="2"/>
        <v>0</v>
      </c>
      <c r="F158" s="888"/>
    </row>
    <row r="159" spans="1:6" ht="15" customHeight="1">
      <c r="A159" s="885"/>
      <c r="B159" s="886"/>
      <c r="C159" s="887"/>
      <c r="D159" s="887"/>
      <c r="E159" s="877">
        <f t="shared" si="2"/>
        <v>0</v>
      </c>
      <c r="F159" s="888"/>
    </row>
    <row r="160" spans="1:6" ht="15" customHeight="1">
      <c r="A160" s="885"/>
      <c r="B160" s="886"/>
      <c r="C160" s="887"/>
      <c r="D160" s="887"/>
      <c r="E160" s="877">
        <f t="shared" si="2"/>
        <v>0</v>
      </c>
      <c r="F160" s="888"/>
    </row>
    <row r="161" spans="1:6" ht="15" customHeight="1">
      <c r="A161" s="885"/>
      <c r="B161" s="886"/>
      <c r="C161" s="887"/>
      <c r="D161" s="887"/>
      <c r="E161" s="877">
        <f t="shared" si="2"/>
        <v>0</v>
      </c>
      <c r="F161" s="888"/>
    </row>
    <row r="162" spans="1:6" ht="15" customHeight="1">
      <c r="A162" s="885"/>
      <c r="B162" s="886"/>
      <c r="C162" s="887"/>
      <c r="D162" s="887"/>
      <c r="E162" s="877">
        <f t="shared" si="2"/>
        <v>0</v>
      </c>
      <c r="F162" s="888"/>
    </row>
    <row r="163" spans="1:6" ht="15" customHeight="1">
      <c r="A163" s="885"/>
      <c r="B163" s="886"/>
      <c r="C163" s="887"/>
      <c r="D163" s="887"/>
      <c r="E163" s="877">
        <f t="shared" si="2"/>
        <v>0</v>
      </c>
      <c r="F163" s="888"/>
    </row>
    <row r="164" spans="1:6" ht="15" customHeight="1">
      <c r="A164" s="885"/>
      <c r="B164" s="886"/>
      <c r="C164" s="887"/>
      <c r="D164" s="887"/>
      <c r="E164" s="877">
        <f t="shared" si="2"/>
        <v>0</v>
      </c>
      <c r="F164" s="888"/>
    </row>
    <row r="165" spans="1:6" ht="15" customHeight="1">
      <c r="A165" s="885"/>
      <c r="B165" s="886"/>
      <c r="C165" s="887"/>
      <c r="D165" s="887"/>
      <c r="E165" s="877">
        <f t="shared" si="2"/>
        <v>0</v>
      </c>
      <c r="F165" s="888"/>
    </row>
    <row r="166" spans="1:6" ht="15" customHeight="1">
      <c r="A166" s="885"/>
      <c r="B166" s="886"/>
      <c r="C166" s="887"/>
      <c r="D166" s="887"/>
      <c r="E166" s="877">
        <f t="shared" si="2"/>
        <v>0</v>
      </c>
      <c r="F166" s="888"/>
    </row>
    <row r="167" spans="1:6" ht="15" customHeight="1">
      <c r="A167" s="885"/>
      <c r="B167" s="886"/>
      <c r="C167" s="887"/>
      <c r="D167" s="887"/>
      <c r="E167" s="877">
        <f t="shared" si="2"/>
        <v>0</v>
      </c>
      <c r="F167" s="888"/>
    </row>
    <row r="168" spans="1:6" ht="15" customHeight="1">
      <c r="A168" s="885"/>
      <c r="B168" s="886"/>
      <c r="C168" s="887"/>
      <c r="D168" s="887"/>
      <c r="E168" s="877">
        <f t="shared" si="2"/>
        <v>0</v>
      </c>
      <c r="F168" s="888"/>
    </row>
    <row r="169" spans="1:6" ht="15" customHeight="1">
      <c r="A169" s="885"/>
      <c r="B169" s="886"/>
      <c r="C169" s="887"/>
      <c r="D169" s="887"/>
      <c r="E169" s="877">
        <f t="shared" si="2"/>
        <v>0</v>
      </c>
      <c r="F169" s="888"/>
    </row>
    <row r="170" spans="1:6" ht="15" customHeight="1">
      <c r="A170" s="885"/>
      <c r="B170" s="886"/>
      <c r="C170" s="887"/>
      <c r="D170" s="887"/>
      <c r="E170" s="877">
        <f t="shared" si="2"/>
        <v>0</v>
      </c>
      <c r="F170" s="888"/>
    </row>
    <row r="171" spans="1:6" ht="15" customHeight="1">
      <c r="A171" s="885"/>
      <c r="B171" s="886"/>
      <c r="C171" s="887"/>
      <c r="D171" s="887"/>
      <c r="E171" s="877">
        <f t="shared" si="2"/>
        <v>0</v>
      </c>
      <c r="F171" s="888"/>
    </row>
    <row r="172" spans="1:6" ht="15" customHeight="1">
      <c r="A172" s="885"/>
      <c r="B172" s="886"/>
      <c r="C172" s="887"/>
      <c r="D172" s="887"/>
      <c r="E172" s="877">
        <f t="shared" si="2"/>
        <v>0</v>
      </c>
      <c r="F172" s="888"/>
    </row>
    <row r="173" spans="1:6" ht="15" customHeight="1">
      <c r="A173" s="885"/>
      <c r="B173" s="886"/>
      <c r="C173" s="887"/>
      <c r="D173" s="887"/>
      <c r="E173" s="877">
        <f t="shared" si="2"/>
        <v>0</v>
      </c>
      <c r="F173" s="888"/>
    </row>
    <row r="174" spans="1:6" ht="15" customHeight="1">
      <c r="A174" s="885"/>
      <c r="B174" s="886"/>
      <c r="C174" s="887"/>
      <c r="D174" s="887"/>
      <c r="E174" s="877">
        <f t="shared" si="2"/>
        <v>0</v>
      </c>
      <c r="F174" s="888"/>
    </row>
    <row r="175" spans="1:6" ht="15" customHeight="1">
      <c r="A175" s="885"/>
      <c r="B175" s="886"/>
      <c r="C175" s="887"/>
      <c r="D175" s="887"/>
      <c r="E175" s="877">
        <f t="shared" si="2"/>
        <v>0</v>
      </c>
      <c r="F175" s="888"/>
    </row>
    <row r="176" spans="1:6" ht="15" customHeight="1">
      <c r="A176" s="885"/>
      <c r="B176" s="886"/>
      <c r="C176" s="887"/>
      <c r="D176" s="887"/>
      <c r="E176" s="877">
        <f t="shared" si="2"/>
        <v>0</v>
      </c>
      <c r="F176" s="888"/>
    </row>
    <row r="177" spans="1:6" ht="15" customHeight="1">
      <c r="A177" s="885"/>
      <c r="B177" s="886"/>
      <c r="C177" s="887"/>
      <c r="D177" s="887"/>
      <c r="E177" s="877">
        <f t="shared" si="2"/>
        <v>0</v>
      </c>
      <c r="F177" s="888"/>
    </row>
    <row r="178" spans="1:6" ht="15" customHeight="1">
      <c r="A178" s="885"/>
      <c r="B178" s="886"/>
      <c r="C178" s="887"/>
      <c r="D178" s="887"/>
      <c r="E178" s="877">
        <f t="shared" si="2"/>
        <v>0</v>
      </c>
      <c r="F178" s="888"/>
    </row>
    <row r="179" spans="1:6" ht="15" customHeight="1">
      <c r="A179" s="885"/>
      <c r="B179" s="886"/>
      <c r="C179" s="887"/>
      <c r="D179" s="887"/>
      <c r="E179" s="877">
        <f t="shared" si="2"/>
        <v>0</v>
      </c>
      <c r="F179" s="888"/>
    </row>
    <row r="180" spans="1:6" ht="15" customHeight="1">
      <c r="A180" s="885"/>
      <c r="B180" s="886"/>
      <c r="C180" s="887"/>
      <c r="D180" s="887"/>
      <c r="E180" s="877">
        <f t="shared" si="2"/>
        <v>0</v>
      </c>
      <c r="F180" s="888"/>
    </row>
    <row r="181" spans="1:6" ht="15" customHeight="1">
      <c r="A181" s="885"/>
      <c r="B181" s="886"/>
      <c r="C181" s="887"/>
      <c r="D181" s="887"/>
      <c r="E181" s="877">
        <f t="shared" si="2"/>
        <v>0</v>
      </c>
      <c r="F181" s="888"/>
    </row>
    <row r="182" spans="1:6" ht="15" customHeight="1">
      <c r="A182" s="885"/>
      <c r="B182" s="886"/>
      <c r="C182" s="887"/>
      <c r="D182" s="887"/>
      <c r="E182" s="877">
        <f t="shared" si="2"/>
        <v>0</v>
      </c>
      <c r="F182" s="888"/>
    </row>
    <row r="183" spans="1:6" ht="15" customHeight="1">
      <c r="A183" s="885"/>
      <c r="B183" s="886"/>
      <c r="C183" s="887"/>
      <c r="D183" s="887"/>
      <c r="E183" s="877">
        <f t="shared" si="2"/>
        <v>0</v>
      </c>
      <c r="F183" s="888"/>
    </row>
    <row r="184" spans="1:6" ht="15" customHeight="1">
      <c r="A184" s="885"/>
      <c r="B184" s="886"/>
      <c r="C184" s="887"/>
      <c r="D184" s="887"/>
      <c r="E184" s="877">
        <f t="shared" si="2"/>
        <v>0</v>
      </c>
      <c r="F184" s="888"/>
    </row>
    <row r="185" spans="1:6" ht="15" customHeight="1">
      <c r="A185" s="885"/>
      <c r="B185" s="886"/>
      <c r="C185" s="887"/>
      <c r="D185" s="887"/>
      <c r="E185" s="877">
        <f t="shared" si="2"/>
        <v>0</v>
      </c>
      <c r="F185" s="888"/>
    </row>
    <row r="186" spans="1:6" ht="15" customHeight="1">
      <c r="A186" s="885"/>
      <c r="B186" s="886"/>
      <c r="C186" s="887"/>
      <c r="D186" s="887"/>
      <c r="E186" s="877">
        <f t="shared" si="2"/>
        <v>0</v>
      </c>
      <c r="F186" s="888"/>
    </row>
    <row r="187" spans="1:6" ht="15" customHeight="1">
      <c r="A187" s="885"/>
      <c r="B187" s="886"/>
      <c r="C187" s="887"/>
      <c r="D187" s="887"/>
      <c r="E187" s="877">
        <f t="shared" si="2"/>
        <v>0</v>
      </c>
      <c r="F187" s="888"/>
    </row>
    <row r="188" spans="1:6" ht="15" customHeight="1">
      <c r="A188" s="885"/>
      <c r="B188" s="886"/>
      <c r="C188" s="887"/>
      <c r="D188" s="887"/>
      <c r="E188" s="877">
        <f t="shared" si="2"/>
        <v>0</v>
      </c>
      <c r="F188" s="888"/>
    </row>
    <row r="189" spans="1:6" ht="15" customHeight="1">
      <c r="A189" s="885"/>
      <c r="B189" s="886"/>
      <c r="C189" s="887"/>
      <c r="D189" s="887"/>
      <c r="E189" s="877">
        <f t="shared" si="2"/>
        <v>0</v>
      </c>
      <c r="F189" s="888"/>
    </row>
    <row r="190" spans="1:6" ht="15" customHeight="1">
      <c r="A190" s="885"/>
      <c r="B190" s="886"/>
      <c r="C190" s="887"/>
      <c r="D190" s="887"/>
      <c r="E190" s="877">
        <f t="shared" si="2"/>
        <v>0</v>
      </c>
      <c r="F190" s="888"/>
    </row>
    <row r="191" spans="1:6" ht="15" customHeight="1">
      <c r="A191" s="885"/>
      <c r="B191" s="886"/>
      <c r="C191" s="887"/>
      <c r="D191" s="887"/>
      <c r="E191" s="877">
        <f t="shared" si="2"/>
        <v>0</v>
      </c>
      <c r="F191" s="888"/>
    </row>
    <row r="192" spans="1:6" ht="15" customHeight="1">
      <c r="A192" s="885"/>
      <c r="B192" s="886"/>
      <c r="C192" s="887"/>
      <c r="D192" s="887"/>
      <c r="E192" s="877">
        <f t="shared" si="2"/>
        <v>0</v>
      </c>
      <c r="F192" s="888"/>
    </row>
    <row r="193" spans="1:6" ht="15" customHeight="1">
      <c r="A193" s="885"/>
      <c r="B193" s="886"/>
      <c r="C193" s="887"/>
      <c r="D193" s="887"/>
      <c r="E193" s="877">
        <f t="shared" si="2"/>
        <v>0</v>
      </c>
      <c r="F193" s="888"/>
    </row>
    <row r="194" spans="1:6" ht="15" customHeight="1">
      <c r="A194" s="885"/>
      <c r="B194" s="886"/>
      <c r="C194" s="887"/>
      <c r="D194" s="887"/>
      <c r="E194" s="877">
        <f t="shared" si="2"/>
        <v>0</v>
      </c>
      <c r="F194" s="888"/>
    </row>
    <row r="195" spans="1:6" ht="15" customHeight="1">
      <c r="A195" s="885"/>
      <c r="B195" s="886"/>
      <c r="C195" s="887"/>
      <c r="D195" s="887"/>
      <c r="E195" s="877">
        <f t="shared" si="2"/>
        <v>0</v>
      </c>
      <c r="F195" s="888"/>
    </row>
    <row r="196" spans="1:6" ht="15" customHeight="1">
      <c r="A196" s="885"/>
      <c r="B196" s="886"/>
      <c r="C196" s="887"/>
      <c r="D196" s="887"/>
      <c r="E196" s="877">
        <f t="shared" si="2"/>
        <v>0</v>
      </c>
      <c r="F196" s="888"/>
    </row>
    <row r="197" spans="1:6" ht="15" customHeight="1">
      <c r="A197" s="885"/>
      <c r="B197" s="886"/>
      <c r="C197" s="887"/>
      <c r="D197" s="887"/>
      <c r="E197" s="877">
        <f t="shared" si="2"/>
        <v>0</v>
      </c>
      <c r="F197" s="888"/>
    </row>
    <row r="198" spans="1:6" ht="15" customHeight="1">
      <c r="A198" s="885"/>
      <c r="B198" s="886"/>
      <c r="C198" s="887"/>
      <c r="D198" s="887"/>
      <c r="E198" s="877">
        <f t="shared" si="2"/>
        <v>0</v>
      </c>
      <c r="F198" s="888"/>
    </row>
    <row r="199" spans="1:6" ht="15" customHeight="1">
      <c r="A199" s="885"/>
      <c r="B199" s="886"/>
      <c r="C199" s="887"/>
      <c r="D199" s="887"/>
      <c r="E199" s="877">
        <f t="shared" si="2"/>
        <v>0</v>
      </c>
      <c r="F199" s="888"/>
    </row>
    <row r="200" spans="1:6" ht="15" customHeight="1">
      <c r="A200" s="885"/>
      <c r="B200" s="886"/>
      <c r="C200" s="887"/>
      <c r="D200" s="887"/>
      <c r="E200" s="877">
        <f t="shared" si="2"/>
        <v>0</v>
      </c>
      <c r="F200" s="888"/>
    </row>
    <row r="201" spans="1:6" ht="15" customHeight="1">
      <c r="A201" s="885"/>
      <c r="B201" s="886"/>
      <c r="C201" s="887"/>
      <c r="D201" s="887"/>
      <c r="E201" s="877">
        <f t="shared" si="2"/>
        <v>0</v>
      </c>
      <c r="F201" s="888"/>
    </row>
    <row r="202" spans="1:6" ht="15" customHeight="1">
      <c r="A202" s="885"/>
      <c r="B202" s="886"/>
      <c r="C202" s="887"/>
      <c r="D202" s="887"/>
      <c r="E202" s="877">
        <f t="shared" si="2"/>
        <v>0</v>
      </c>
      <c r="F202" s="888"/>
    </row>
    <row r="203" spans="1:6" ht="15" customHeight="1">
      <c r="A203" s="885"/>
      <c r="B203" s="886"/>
      <c r="C203" s="887"/>
      <c r="D203" s="887"/>
      <c r="E203" s="877">
        <f t="shared" si="2"/>
        <v>0</v>
      </c>
      <c r="F203" s="888"/>
    </row>
    <row r="204" spans="1:6" ht="15" customHeight="1">
      <c r="A204" s="885"/>
      <c r="B204" s="886"/>
      <c r="C204" s="887"/>
      <c r="D204" s="887"/>
      <c r="E204" s="877">
        <f t="shared" si="2"/>
        <v>0</v>
      </c>
      <c r="F204" s="888"/>
    </row>
    <row r="205" spans="1:6" ht="15" customHeight="1">
      <c r="A205" s="885"/>
      <c r="B205" s="886"/>
      <c r="C205" s="887"/>
      <c r="D205" s="887"/>
      <c r="E205" s="877">
        <f t="shared" si="2"/>
        <v>0</v>
      </c>
      <c r="F205" s="888"/>
    </row>
    <row r="206" spans="1:6" ht="15" customHeight="1">
      <c r="A206" s="885"/>
      <c r="B206" s="886"/>
      <c r="C206" s="887"/>
      <c r="D206" s="887"/>
      <c r="E206" s="877">
        <f t="shared" si="2"/>
        <v>0</v>
      </c>
      <c r="F206" s="888"/>
    </row>
    <row r="207" spans="1:6" ht="15" customHeight="1">
      <c r="A207" s="885"/>
      <c r="B207" s="886"/>
      <c r="C207" s="887"/>
      <c r="D207" s="887"/>
      <c r="E207" s="877">
        <f t="shared" si="2"/>
        <v>0</v>
      </c>
      <c r="F207" s="888"/>
    </row>
    <row r="208" spans="1:6" ht="15" customHeight="1">
      <c r="A208" s="885"/>
      <c r="B208" s="886"/>
      <c r="C208" s="887"/>
      <c r="D208" s="887"/>
      <c r="E208" s="877">
        <f t="shared" si="2"/>
        <v>0</v>
      </c>
      <c r="F208" s="888"/>
    </row>
    <row r="209" spans="1:6" ht="15" customHeight="1">
      <c r="A209" s="885"/>
      <c r="B209" s="886"/>
      <c r="C209" s="887"/>
      <c r="D209" s="887"/>
      <c r="E209" s="877">
        <f t="shared" si="2"/>
        <v>0</v>
      </c>
      <c r="F209" s="888"/>
    </row>
    <row r="210" spans="1:6" ht="15" customHeight="1">
      <c r="A210" s="885"/>
      <c r="B210" s="886"/>
      <c r="C210" s="887"/>
      <c r="D210" s="887"/>
      <c r="E210" s="877">
        <f t="shared" ref="E210:E273" si="3">B210-C210+D210</f>
        <v>0</v>
      </c>
      <c r="F210" s="888"/>
    </row>
    <row r="211" spans="1:6" ht="15" customHeight="1">
      <c r="A211" s="885"/>
      <c r="B211" s="886"/>
      <c r="C211" s="887"/>
      <c r="D211" s="887"/>
      <c r="E211" s="877">
        <f t="shared" si="3"/>
        <v>0</v>
      </c>
      <c r="F211" s="888"/>
    </row>
    <row r="212" spans="1:6" ht="15" customHeight="1">
      <c r="A212" s="885"/>
      <c r="B212" s="886"/>
      <c r="C212" s="887"/>
      <c r="D212" s="887"/>
      <c r="E212" s="877">
        <f t="shared" si="3"/>
        <v>0</v>
      </c>
      <c r="F212" s="888"/>
    </row>
    <row r="213" spans="1:6" ht="15" customHeight="1">
      <c r="A213" s="885"/>
      <c r="B213" s="886"/>
      <c r="C213" s="887"/>
      <c r="D213" s="887"/>
      <c r="E213" s="877">
        <f t="shared" si="3"/>
        <v>0</v>
      </c>
      <c r="F213" s="888"/>
    </row>
    <row r="214" spans="1:6" ht="15" customHeight="1">
      <c r="A214" s="885"/>
      <c r="B214" s="886"/>
      <c r="C214" s="887"/>
      <c r="D214" s="887"/>
      <c r="E214" s="877">
        <f t="shared" si="3"/>
        <v>0</v>
      </c>
      <c r="F214" s="888"/>
    </row>
    <row r="215" spans="1:6" ht="15" customHeight="1">
      <c r="A215" s="885"/>
      <c r="B215" s="886"/>
      <c r="C215" s="887"/>
      <c r="D215" s="887"/>
      <c r="E215" s="877">
        <f t="shared" si="3"/>
        <v>0</v>
      </c>
      <c r="F215" s="888"/>
    </row>
    <row r="216" spans="1:6" ht="15" customHeight="1">
      <c r="A216" s="885"/>
      <c r="B216" s="886"/>
      <c r="C216" s="887"/>
      <c r="D216" s="887"/>
      <c r="E216" s="877">
        <f t="shared" si="3"/>
        <v>0</v>
      </c>
      <c r="F216" s="888"/>
    </row>
    <row r="217" spans="1:6" ht="15" customHeight="1">
      <c r="A217" s="885"/>
      <c r="B217" s="886"/>
      <c r="C217" s="887"/>
      <c r="D217" s="887"/>
      <c r="E217" s="877">
        <f t="shared" si="3"/>
        <v>0</v>
      </c>
      <c r="F217" s="888"/>
    </row>
    <row r="218" spans="1:6" ht="15" customHeight="1">
      <c r="A218" s="885"/>
      <c r="B218" s="886"/>
      <c r="C218" s="887"/>
      <c r="D218" s="887"/>
      <c r="E218" s="877">
        <f t="shared" si="3"/>
        <v>0</v>
      </c>
      <c r="F218" s="888"/>
    </row>
    <row r="219" spans="1:6" ht="15" customHeight="1">
      <c r="A219" s="885"/>
      <c r="B219" s="886"/>
      <c r="C219" s="887"/>
      <c r="D219" s="887"/>
      <c r="E219" s="877">
        <f t="shared" si="3"/>
        <v>0</v>
      </c>
      <c r="F219" s="888"/>
    </row>
    <row r="220" spans="1:6" ht="15" customHeight="1">
      <c r="A220" s="885"/>
      <c r="B220" s="886"/>
      <c r="C220" s="887"/>
      <c r="D220" s="887"/>
      <c r="E220" s="877">
        <f t="shared" si="3"/>
        <v>0</v>
      </c>
      <c r="F220" s="888"/>
    </row>
    <row r="221" spans="1:6" ht="15" customHeight="1">
      <c r="A221" s="885"/>
      <c r="B221" s="886"/>
      <c r="C221" s="887"/>
      <c r="D221" s="887"/>
      <c r="E221" s="877">
        <f t="shared" si="3"/>
        <v>0</v>
      </c>
      <c r="F221" s="888"/>
    </row>
    <row r="222" spans="1:6" ht="15" customHeight="1">
      <c r="A222" s="885"/>
      <c r="B222" s="886"/>
      <c r="C222" s="887"/>
      <c r="D222" s="887"/>
      <c r="E222" s="877">
        <f t="shared" si="3"/>
        <v>0</v>
      </c>
      <c r="F222" s="888"/>
    </row>
    <row r="223" spans="1:6" ht="15" customHeight="1">
      <c r="A223" s="885"/>
      <c r="B223" s="886"/>
      <c r="C223" s="887"/>
      <c r="D223" s="887"/>
      <c r="E223" s="877">
        <f t="shared" si="3"/>
        <v>0</v>
      </c>
      <c r="F223" s="888"/>
    </row>
    <row r="224" spans="1:6" ht="15" customHeight="1">
      <c r="A224" s="885"/>
      <c r="B224" s="886"/>
      <c r="C224" s="887"/>
      <c r="D224" s="887"/>
      <c r="E224" s="877">
        <f t="shared" si="3"/>
        <v>0</v>
      </c>
      <c r="F224" s="888"/>
    </row>
    <row r="225" spans="1:6" ht="15" customHeight="1">
      <c r="A225" s="885"/>
      <c r="B225" s="886"/>
      <c r="C225" s="887"/>
      <c r="D225" s="887"/>
      <c r="E225" s="877">
        <f t="shared" si="3"/>
        <v>0</v>
      </c>
      <c r="F225" s="888"/>
    </row>
    <row r="226" spans="1:6" ht="15" customHeight="1">
      <c r="A226" s="885"/>
      <c r="B226" s="886"/>
      <c r="C226" s="887"/>
      <c r="D226" s="887"/>
      <c r="E226" s="877">
        <f t="shared" si="3"/>
        <v>0</v>
      </c>
      <c r="F226" s="888"/>
    </row>
    <row r="227" spans="1:6" ht="15" customHeight="1">
      <c r="A227" s="885"/>
      <c r="B227" s="886"/>
      <c r="C227" s="887"/>
      <c r="D227" s="887"/>
      <c r="E227" s="877">
        <f t="shared" si="3"/>
        <v>0</v>
      </c>
      <c r="F227" s="888"/>
    </row>
    <row r="228" spans="1:6" ht="15" customHeight="1">
      <c r="A228" s="885"/>
      <c r="B228" s="886"/>
      <c r="C228" s="887"/>
      <c r="D228" s="887"/>
      <c r="E228" s="877">
        <f t="shared" si="3"/>
        <v>0</v>
      </c>
      <c r="F228" s="888"/>
    </row>
    <row r="229" spans="1:6" ht="15" customHeight="1">
      <c r="A229" s="885"/>
      <c r="B229" s="886"/>
      <c r="C229" s="887"/>
      <c r="D229" s="887"/>
      <c r="E229" s="877">
        <f t="shared" si="3"/>
        <v>0</v>
      </c>
      <c r="F229" s="888"/>
    </row>
    <row r="230" spans="1:6" ht="15" customHeight="1">
      <c r="A230" s="885"/>
      <c r="B230" s="886"/>
      <c r="C230" s="887"/>
      <c r="D230" s="887"/>
      <c r="E230" s="877">
        <f t="shared" si="3"/>
        <v>0</v>
      </c>
      <c r="F230" s="888"/>
    </row>
    <row r="231" spans="1:6" ht="15" customHeight="1">
      <c r="A231" s="885"/>
      <c r="B231" s="886"/>
      <c r="C231" s="887"/>
      <c r="D231" s="887"/>
      <c r="E231" s="877">
        <f t="shared" si="3"/>
        <v>0</v>
      </c>
      <c r="F231" s="888"/>
    </row>
    <row r="232" spans="1:6" ht="15" customHeight="1">
      <c r="A232" s="885"/>
      <c r="B232" s="886"/>
      <c r="C232" s="887"/>
      <c r="D232" s="887"/>
      <c r="E232" s="877">
        <f t="shared" si="3"/>
        <v>0</v>
      </c>
      <c r="F232" s="888"/>
    </row>
    <row r="233" spans="1:6" ht="15" customHeight="1">
      <c r="A233" s="885"/>
      <c r="B233" s="886"/>
      <c r="C233" s="887"/>
      <c r="D233" s="887"/>
      <c r="E233" s="877">
        <f t="shared" si="3"/>
        <v>0</v>
      </c>
      <c r="F233" s="888"/>
    </row>
    <row r="234" spans="1:6" ht="15" customHeight="1">
      <c r="A234" s="885"/>
      <c r="B234" s="886"/>
      <c r="C234" s="887"/>
      <c r="D234" s="887"/>
      <c r="E234" s="877">
        <f t="shared" si="3"/>
        <v>0</v>
      </c>
      <c r="F234" s="888"/>
    </row>
    <row r="235" spans="1:6" ht="15" customHeight="1">
      <c r="A235" s="885"/>
      <c r="B235" s="886"/>
      <c r="C235" s="887"/>
      <c r="D235" s="887"/>
      <c r="E235" s="877">
        <f t="shared" si="3"/>
        <v>0</v>
      </c>
      <c r="F235" s="888"/>
    </row>
    <row r="236" spans="1:6" ht="15" customHeight="1">
      <c r="A236" s="885"/>
      <c r="B236" s="886"/>
      <c r="C236" s="887"/>
      <c r="D236" s="887"/>
      <c r="E236" s="877">
        <f t="shared" si="3"/>
        <v>0</v>
      </c>
      <c r="F236" s="888"/>
    </row>
    <row r="237" spans="1:6" ht="15" customHeight="1">
      <c r="A237" s="885"/>
      <c r="B237" s="886"/>
      <c r="C237" s="887"/>
      <c r="D237" s="887"/>
      <c r="E237" s="877">
        <f t="shared" si="3"/>
        <v>0</v>
      </c>
      <c r="F237" s="888"/>
    </row>
    <row r="238" spans="1:6" ht="15" customHeight="1">
      <c r="A238" s="885"/>
      <c r="B238" s="886"/>
      <c r="C238" s="887"/>
      <c r="D238" s="887"/>
      <c r="E238" s="877">
        <f t="shared" si="3"/>
        <v>0</v>
      </c>
      <c r="F238" s="888"/>
    </row>
    <row r="239" spans="1:6" ht="15" customHeight="1">
      <c r="A239" s="885"/>
      <c r="B239" s="886"/>
      <c r="C239" s="887"/>
      <c r="D239" s="887"/>
      <c r="E239" s="877">
        <f t="shared" si="3"/>
        <v>0</v>
      </c>
      <c r="F239" s="888"/>
    </row>
    <row r="240" spans="1:6" ht="15" customHeight="1">
      <c r="A240" s="885"/>
      <c r="B240" s="886"/>
      <c r="C240" s="887"/>
      <c r="D240" s="887"/>
      <c r="E240" s="877">
        <f t="shared" si="3"/>
        <v>0</v>
      </c>
      <c r="F240" s="888"/>
    </row>
    <row r="241" spans="1:6" ht="15" customHeight="1">
      <c r="A241" s="885"/>
      <c r="B241" s="886"/>
      <c r="C241" s="887"/>
      <c r="D241" s="887"/>
      <c r="E241" s="877">
        <f t="shared" si="3"/>
        <v>0</v>
      </c>
      <c r="F241" s="888"/>
    </row>
    <row r="242" spans="1:6" ht="15" customHeight="1">
      <c r="A242" s="885"/>
      <c r="B242" s="886"/>
      <c r="C242" s="887"/>
      <c r="D242" s="887"/>
      <c r="E242" s="877">
        <f t="shared" si="3"/>
        <v>0</v>
      </c>
      <c r="F242" s="888"/>
    </row>
    <row r="243" spans="1:6" ht="15" customHeight="1">
      <c r="A243" s="885"/>
      <c r="B243" s="886"/>
      <c r="C243" s="887"/>
      <c r="D243" s="887"/>
      <c r="E243" s="877">
        <f t="shared" si="3"/>
        <v>0</v>
      </c>
      <c r="F243" s="888"/>
    </row>
    <row r="244" spans="1:6" ht="15" customHeight="1">
      <c r="A244" s="885"/>
      <c r="B244" s="886"/>
      <c r="C244" s="887"/>
      <c r="D244" s="887"/>
      <c r="E244" s="877">
        <f t="shared" si="3"/>
        <v>0</v>
      </c>
      <c r="F244" s="888"/>
    </row>
    <row r="245" spans="1:6" ht="15" customHeight="1">
      <c r="A245" s="885"/>
      <c r="B245" s="886"/>
      <c r="C245" s="887"/>
      <c r="D245" s="887"/>
      <c r="E245" s="877">
        <f t="shared" si="3"/>
        <v>0</v>
      </c>
      <c r="F245" s="888"/>
    </row>
    <row r="246" spans="1:6" ht="15" customHeight="1">
      <c r="A246" s="885"/>
      <c r="B246" s="886"/>
      <c r="C246" s="887"/>
      <c r="D246" s="887"/>
      <c r="E246" s="877">
        <f t="shared" si="3"/>
        <v>0</v>
      </c>
      <c r="F246" s="888"/>
    </row>
    <row r="247" spans="1:6" ht="15" customHeight="1">
      <c r="A247" s="885"/>
      <c r="B247" s="886"/>
      <c r="C247" s="887"/>
      <c r="D247" s="887"/>
      <c r="E247" s="877">
        <f t="shared" si="3"/>
        <v>0</v>
      </c>
      <c r="F247" s="888"/>
    </row>
    <row r="248" spans="1:6" ht="15" customHeight="1">
      <c r="A248" s="885"/>
      <c r="B248" s="886"/>
      <c r="C248" s="887"/>
      <c r="D248" s="887"/>
      <c r="E248" s="877">
        <f t="shared" si="3"/>
        <v>0</v>
      </c>
      <c r="F248" s="888"/>
    </row>
    <row r="249" spans="1:6" ht="15" customHeight="1">
      <c r="A249" s="885"/>
      <c r="B249" s="886"/>
      <c r="C249" s="887"/>
      <c r="D249" s="887"/>
      <c r="E249" s="877">
        <f t="shared" si="3"/>
        <v>0</v>
      </c>
      <c r="F249" s="888"/>
    </row>
    <row r="250" spans="1:6" ht="15" customHeight="1">
      <c r="A250" s="885"/>
      <c r="B250" s="886"/>
      <c r="C250" s="887"/>
      <c r="D250" s="887"/>
      <c r="E250" s="877">
        <f t="shared" si="3"/>
        <v>0</v>
      </c>
      <c r="F250" s="888"/>
    </row>
    <row r="251" spans="1:6" ht="15" customHeight="1">
      <c r="A251" s="885"/>
      <c r="B251" s="886"/>
      <c r="C251" s="887"/>
      <c r="D251" s="887"/>
      <c r="E251" s="877">
        <f t="shared" si="3"/>
        <v>0</v>
      </c>
      <c r="F251" s="888"/>
    </row>
    <row r="252" spans="1:6" ht="15" customHeight="1">
      <c r="A252" s="885"/>
      <c r="B252" s="886"/>
      <c r="C252" s="887"/>
      <c r="D252" s="887"/>
      <c r="E252" s="877">
        <f t="shared" si="3"/>
        <v>0</v>
      </c>
      <c r="F252" s="888"/>
    </row>
    <row r="253" spans="1:6" ht="15" customHeight="1">
      <c r="A253" s="885"/>
      <c r="B253" s="886"/>
      <c r="C253" s="887"/>
      <c r="D253" s="887"/>
      <c r="E253" s="877">
        <f t="shared" si="3"/>
        <v>0</v>
      </c>
      <c r="F253" s="888"/>
    </row>
    <row r="254" spans="1:6" ht="15" customHeight="1">
      <c r="A254" s="885"/>
      <c r="B254" s="886"/>
      <c r="C254" s="887"/>
      <c r="D254" s="887"/>
      <c r="E254" s="877">
        <f t="shared" si="3"/>
        <v>0</v>
      </c>
      <c r="F254" s="888"/>
    </row>
    <row r="255" spans="1:6" ht="15" customHeight="1">
      <c r="A255" s="885"/>
      <c r="B255" s="886"/>
      <c r="C255" s="887"/>
      <c r="D255" s="887"/>
      <c r="E255" s="877">
        <f t="shared" si="3"/>
        <v>0</v>
      </c>
      <c r="F255" s="888"/>
    </row>
    <row r="256" spans="1:6" ht="15" customHeight="1">
      <c r="A256" s="885"/>
      <c r="B256" s="886"/>
      <c r="C256" s="887"/>
      <c r="D256" s="887"/>
      <c r="E256" s="877">
        <f t="shared" si="3"/>
        <v>0</v>
      </c>
      <c r="F256" s="888"/>
    </row>
    <row r="257" spans="1:6" ht="15" customHeight="1">
      <c r="A257" s="885"/>
      <c r="B257" s="886"/>
      <c r="C257" s="887"/>
      <c r="D257" s="887"/>
      <c r="E257" s="877">
        <f t="shared" si="3"/>
        <v>0</v>
      </c>
      <c r="F257" s="888"/>
    </row>
    <row r="258" spans="1:6" ht="15" customHeight="1">
      <c r="A258" s="885"/>
      <c r="B258" s="886"/>
      <c r="C258" s="887"/>
      <c r="D258" s="887"/>
      <c r="E258" s="877">
        <f t="shared" si="3"/>
        <v>0</v>
      </c>
      <c r="F258" s="888"/>
    </row>
    <row r="259" spans="1:6" ht="15" customHeight="1">
      <c r="A259" s="885"/>
      <c r="B259" s="886"/>
      <c r="C259" s="887"/>
      <c r="D259" s="887"/>
      <c r="E259" s="877">
        <f t="shared" si="3"/>
        <v>0</v>
      </c>
      <c r="F259" s="888"/>
    </row>
    <row r="260" spans="1:6" ht="15" customHeight="1">
      <c r="A260" s="885"/>
      <c r="B260" s="886"/>
      <c r="C260" s="887"/>
      <c r="D260" s="887"/>
      <c r="E260" s="877">
        <f t="shared" si="3"/>
        <v>0</v>
      </c>
      <c r="F260" s="888"/>
    </row>
    <row r="261" spans="1:6" ht="15" customHeight="1">
      <c r="A261" s="885"/>
      <c r="B261" s="886"/>
      <c r="C261" s="887"/>
      <c r="D261" s="887"/>
      <c r="E261" s="877">
        <f t="shared" si="3"/>
        <v>0</v>
      </c>
      <c r="F261" s="888"/>
    </row>
    <row r="262" spans="1:6" ht="15" customHeight="1">
      <c r="A262" s="885"/>
      <c r="B262" s="886"/>
      <c r="C262" s="887"/>
      <c r="D262" s="887"/>
      <c r="E262" s="877">
        <f t="shared" si="3"/>
        <v>0</v>
      </c>
      <c r="F262" s="888"/>
    </row>
    <row r="263" spans="1:6" ht="15" customHeight="1">
      <c r="A263" s="885"/>
      <c r="B263" s="886"/>
      <c r="C263" s="887"/>
      <c r="D263" s="887"/>
      <c r="E263" s="877">
        <f t="shared" si="3"/>
        <v>0</v>
      </c>
      <c r="F263" s="888"/>
    </row>
    <row r="264" spans="1:6" ht="15" customHeight="1">
      <c r="A264" s="885"/>
      <c r="B264" s="886"/>
      <c r="C264" s="887"/>
      <c r="D264" s="887"/>
      <c r="E264" s="877">
        <f t="shared" si="3"/>
        <v>0</v>
      </c>
      <c r="F264" s="888"/>
    </row>
    <row r="265" spans="1:6" ht="15" customHeight="1">
      <c r="A265" s="885"/>
      <c r="B265" s="886"/>
      <c r="C265" s="887"/>
      <c r="D265" s="887"/>
      <c r="E265" s="877">
        <f t="shared" si="3"/>
        <v>0</v>
      </c>
      <c r="F265" s="888"/>
    </row>
    <row r="266" spans="1:6" ht="15" customHeight="1">
      <c r="A266" s="885"/>
      <c r="B266" s="886"/>
      <c r="C266" s="887"/>
      <c r="D266" s="887"/>
      <c r="E266" s="877">
        <f t="shared" si="3"/>
        <v>0</v>
      </c>
      <c r="F266" s="888"/>
    </row>
    <row r="267" spans="1:6" ht="15" customHeight="1">
      <c r="A267" s="885"/>
      <c r="B267" s="886"/>
      <c r="C267" s="887"/>
      <c r="D267" s="887"/>
      <c r="E267" s="877">
        <f t="shared" si="3"/>
        <v>0</v>
      </c>
      <c r="F267" s="888"/>
    </row>
    <row r="268" spans="1:6" ht="15" customHeight="1">
      <c r="A268" s="885"/>
      <c r="B268" s="886"/>
      <c r="C268" s="887"/>
      <c r="D268" s="887"/>
      <c r="E268" s="877">
        <f t="shared" si="3"/>
        <v>0</v>
      </c>
      <c r="F268" s="888"/>
    </row>
    <row r="269" spans="1:6" ht="15" customHeight="1">
      <c r="A269" s="885"/>
      <c r="B269" s="886"/>
      <c r="C269" s="887"/>
      <c r="D269" s="887"/>
      <c r="E269" s="877">
        <f t="shared" si="3"/>
        <v>0</v>
      </c>
      <c r="F269" s="888"/>
    </row>
    <row r="270" spans="1:6" ht="15" customHeight="1">
      <c r="A270" s="885"/>
      <c r="B270" s="886"/>
      <c r="C270" s="887"/>
      <c r="D270" s="887"/>
      <c r="E270" s="877">
        <f t="shared" si="3"/>
        <v>0</v>
      </c>
      <c r="F270" s="888"/>
    </row>
    <row r="271" spans="1:6" ht="15" customHeight="1">
      <c r="A271" s="885"/>
      <c r="B271" s="886"/>
      <c r="C271" s="887"/>
      <c r="D271" s="887"/>
      <c r="E271" s="877">
        <f t="shared" si="3"/>
        <v>0</v>
      </c>
      <c r="F271" s="888"/>
    </row>
    <row r="272" spans="1:6" ht="15" customHeight="1">
      <c r="A272" s="885"/>
      <c r="B272" s="886"/>
      <c r="C272" s="887"/>
      <c r="D272" s="887"/>
      <c r="E272" s="877">
        <f t="shared" si="3"/>
        <v>0</v>
      </c>
      <c r="F272" s="888"/>
    </row>
    <row r="273" spans="1:6" ht="15" customHeight="1">
      <c r="A273" s="885"/>
      <c r="B273" s="886"/>
      <c r="C273" s="887"/>
      <c r="D273" s="887"/>
      <c r="E273" s="877">
        <f t="shared" si="3"/>
        <v>0</v>
      </c>
      <c r="F273" s="888"/>
    </row>
    <row r="274" spans="1:6" ht="15" customHeight="1">
      <c r="A274" s="885"/>
      <c r="B274" s="886"/>
      <c r="C274" s="887"/>
      <c r="D274" s="887"/>
      <c r="E274" s="877">
        <f t="shared" ref="E274:E305" si="4">B274-C274+D274</f>
        <v>0</v>
      </c>
      <c r="F274" s="888"/>
    </row>
    <row r="275" spans="1:6" ht="15" customHeight="1">
      <c r="A275" s="885"/>
      <c r="B275" s="886"/>
      <c r="C275" s="887"/>
      <c r="D275" s="887"/>
      <c r="E275" s="877">
        <f t="shared" si="4"/>
        <v>0</v>
      </c>
      <c r="F275" s="888"/>
    </row>
    <row r="276" spans="1:6" ht="15" customHeight="1">
      <c r="A276" s="885"/>
      <c r="B276" s="886"/>
      <c r="C276" s="887"/>
      <c r="D276" s="887"/>
      <c r="E276" s="877">
        <f t="shared" si="4"/>
        <v>0</v>
      </c>
      <c r="F276" s="888"/>
    </row>
    <row r="277" spans="1:6" ht="15" customHeight="1">
      <c r="A277" s="885"/>
      <c r="B277" s="886"/>
      <c r="C277" s="887"/>
      <c r="D277" s="887"/>
      <c r="E277" s="877">
        <f t="shared" si="4"/>
        <v>0</v>
      </c>
      <c r="F277" s="888"/>
    </row>
    <row r="278" spans="1:6" ht="15" customHeight="1">
      <c r="A278" s="885"/>
      <c r="B278" s="886"/>
      <c r="C278" s="887"/>
      <c r="D278" s="887"/>
      <c r="E278" s="877">
        <f t="shared" si="4"/>
        <v>0</v>
      </c>
      <c r="F278" s="888"/>
    </row>
    <row r="279" spans="1:6" ht="15" customHeight="1">
      <c r="A279" s="885"/>
      <c r="B279" s="886"/>
      <c r="C279" s="887"/>
      <c r="D279" s="887"/>
      <c r="E279" s="877">
        <f t="shared" si="4"/>
        <v>0</v>
      </c>
      <c r="F279" s="888"/>
    </row>
    <row r="280" spans="1:6" ht="15" customHeight="1">
      <c r="A280" s="885"/>
      <c r="B280" s="886"/>
      <c r="C280" s="887"/>
      <c r="D280" s="887"/>
      <c r="E280" s="877">
        <f t="shared" si="4"/>
        <v>0</v>
      </c>
      <c r="F280" s="888"/>
    </row>
    <row r="281" spans="1:6" ht="15" customHeight="1">
      <c r="A281" s="885"/>
      <c r="B281" s="886"/>
      <c r="C281" s="887"/>
      <c r="D281" s="887"/>
      <c r="E281" s="877">
        <f t="shared" si="4"/>
        <v>0</v>
      </c>
      <c r="F281" s="888"/>
    </row>
    <row r="282" spans="1:6" ht="15" customHeight="1">
      <c r="A282" s="885"/>
      <c r="B282" s="886"/>
      <c r="C282" s="887"/>
      <c r="D282" s="887"/>
      <c r="E282" s="877">
        <f t="shared" si="4"/>
        <v>0</v>
      </c>
      <c r="F282" s="888"/>
    </row>
    <row r="283" spans="1:6" ht="15" customHeight="1">
      <c r="A283" s="885"/>
      <c r="B283" s="886"/>
      <c r="C283" s="887"/>
      <c r="D283" s="887"/>
      <c r="E283" s="877">
        <f t="shared" si="4"/>
        <v>0</v>
      </c>
      <c r="F283" s="888"/>
    </row>
    <row r="284" spans="1:6" ht="15" customHeight="1">
      <c r="A284" s="885"/>
      <c r="B284" s="886"/>
      <c r="C284" s="887"/>
      <c r="D284" s="887"/>
      <c r="E284" s="877">
        <f t="shared" si="4"/>
        <v>0</v>
      </c>
      <c r="F284" s="888"/>
    </row>
    <row r="285" spans="1:6" ht="15" customHeight="1">
      <c r="A285" s="885"/>
      <c r="B285" s="886"/>
      <c r="C285" s="887"/>
      <c r="D285" s="887"/>
      <c r="E285" s="877">
        <f t="shared" si="4"/>
        <v>0</v>
      </c>
      <c r="F285" s="888"/>
    </row>
    <row r="286" spans="1:6" ht="15" customHeight="1">
      <c r="A286" s="885"/>
      <c r="B286" s="886"/>
      <c r="C286" s="887"/>
      <c r="D286" s="887"/>
      <c r="E286" s="877">
        <f t="shared" si="4"/>
        <v>0</v>
      </c>
      <c r="F286" s="888"/>
    </row>
    <row r="287" spans="1:6" ht="15" customHeight="1">
      <c r="A287" s="885"/>
      <c r="B287" s="886"/>
      <c r="C287" s="887"/>
      <c r="D287" s="887"/>
      <c r="E287" s="877">
        <f t="shared" si="4"/>
        <v>0</v>
      </c>
      <c r="F287" s="888"/>
    </row>
    <row r="288" spans="1:6" ht="15" customHeight="1">
      <c r="A288" s="885"/>
      <c r="B288" s="886"/>
      <c r="C288" s="887"/>
      <c r="D288" s="887"/>
      <c r="E288" s="877">
        <f t="shared" si="4"/>
        <v>0</v>
      </c>
      <c r="F288" s="888"/>
    </row>
    <row r="289" spans="1:6" ht="15" customHeight="1">
      <c r="A289" s="885"/>
      <c r="B289" s="886"/>
      <c r="C289" s="887"/>
      <c r="D289" s="887"/>
      <c r="E289" s="877">
        <f t="shared" si="4"/>
        <v>0</v>
      </c>
      <c r="F289" s="888"/>
    </row>
    <row r="290" spans="1:6" ht="15" customHeight="1">
      <c r="A290" s="885"/>
      <c r="B290" s="886"/>
      <c r="C290" s="887"/>
      <c r="D290" s="887"/>
      <c r="E290" s="877">
        <f t="shared" si="4"/>
        <v>0</v>
      </c>
      <c r="F290" s="888"/>
    </row>
    <row r="291" spans="1:6" ht="15" customHeight="1">
      <c r="A291" s="885"/>
      <c r="B291" s="886"/>
      <c r="C291" s="887"/>
      <c r="D291" s="887"/>
      <c r="E291" s="877">
        <f t="shared" si="4"/>
        <v>0</v>
      </c>
      <c r="F291" s="888"/>
    </row>
    <row r="292" spans="1:6" ht="15" customHeight="1">
      <c r="A292" s="885"/>
      <c r="B292" s="886"/>
      <c r="C292" s="887"/>
      <c r="D292" s="887"/>
      <c r="E292" s="877">
        <f t="shared" si="4"/>
        <v>0</v>
      </c>
      <c r="F292" s="888"/>
    </row>
    <row r="293" spans="1:6" ht="15" customHeight="1">
      <c r="A293" s="885"/>
      <c r="B293" s="886"/>
      <c r="C293" s="887"/>
      <c r="D293" s="887"/>
      <c r="E293" s="877">
        <f t="shared" si="4"/>
        <v>0</v>
      </c>
      <c r="F293" s="888"/>
    </row>
    <row r="294" spans="1:6" ht="15" customHeight="1">
      <c r="A294" s="885"/>
      <c r="B294" s="886"/>
      <c r="C294" s="887"/>
      <c r="D294" s="887"/>
      <c r="E294" s="877">
        <f t="shared" si="4"/>
        <v>0</v>
      </c>
      <c r="F294" s="888"/>
    </row>
    <row r="295" spans="1:6" ht="15" customHeight="1">
      <c r="A295" s="885"/>
      <c r="B295" s="886"/>
      <c r="C295" s="887"/>
      <c r="D295" s="887"/>
      <c r="E295" s="877">
        <f t="shared" si="4"/>
        <v>0</v>
      </c>
      <c r="F295" s="888"/>
    </row>
    <row r="296" spans="1:6" ht="15" customHeight="1">
      <c r="A296" s="885"/>
      <c r="B296" s="886"/>
      <c r="C296" s="887"/>
      <c r="D296" s="887"/>
      <c r="E296" s="877">
        <f t="shared" si="4"/>
        <v>0</v>
      </c>
      <c r="F296" s="888"/>
    </row>
    <row r="297" spans="1:6" ht="15" customHeight="1">
      <c r="A297" s="885"/>
      <c r="B297" s="886"/>
      <c r="C297" s="887"/>
      <c r="D297" s="887"/>
      <c r="E297" s="877">
        <f t="shared" si="4"/>
        <v>0</v>
      </c>
      <c r="F297" s="888"/>
    </row>
    <row r="298" spans="1:6" ht="15" customHeight="1">
      <c r="A298" s="885"/>
      <c r="B298" s="886"/>
      <c r="C298" s="887"/>
      <c r="D298" s="887"/>
      <c r="E298" s="877">
        <f t="shared" si="4"/>
        <v>0</v>
      </c>
      <c r="F298" s="888"/>
    </row>
    <row r="299" spans="1:6" ht="15" customHeight="1">
      <c r="A299" s="885"/>
      <c r="B299" s="886"/>
      <c r="C299" s="887"/>
      <c r="D299" s="887"/>
      <c r="E299" s="877">
        <f t="shared" si="4"/>
        <v>0</v>
      </c>
      <c r="F299" s="888"/>
    </row>
    <row r="300" spans="1:6" ht="15" customHeight="1">
      <c r="A300" s="885"/>
      <c r="B300" s="886"/>
      <c r="C300" s="887"/>
      <c r="D300" s="887"/>
      <c r="E300" s="877">
        <f t="shared" si="4"/>
        <v>0</v>
      </c>
      <c r="F300" s="888"/>
    </row>
    <row r="301" spans="1:6" ht="15" customHeight="1">
      <c r="A301" s="885"/>
      <c r="B301" s="886"/>
      <c r="C301" s="887"/>
      <c r="D301" s="887"/>
      <c r="E301" s="877">
        <f t="shared" si="4"/>
        <v>0</v>
      </c>
      <c r="F301" s="888"/>
    </row>
    <row r="302" spans="1:6" ht="15" customHeight="1">
      <c r="A302" s="885"/>
      <c r="B302" s="886"/>
      <c r="C302" s="887"/>
      <c r="D302" s="887"/>
      <c r="E302" s="877">
        <f t="shared" si="4"/>
        <v>0</v>
      </c>
      <c r="F302" s="888"/>
    </row>
    <row r="303" spans="1:6" ht="15" customHeight="1">
      <c r="A303" s="885"/>
      <c r="B303" s="886"/>
      <c r="C303" s="887"/>
      <c r="D303" s="887"/>
      <c r="E303" s="877">
        <f t="shared" si="4"/>
        <v>0</v>
      </c>
      <c r="F303" s="888"/>
    </row>
    <row r="304" spans="1:6" ht="15" customHeight="1">
      <c r="A304" s="885"/>
      <c r="B304" s="886"/>
      <c r="C304" s="887"/>
      <c r="D304" s="887"/>
      <c r="E304" s="877">
        <f t="shared" si="4"/>
        <v>0</v>
      </c>
      <c r="F304" s="888"/>
    </row>
    <row r="305" spans="1:6" ht="15" customHeight="1">
      <c r="A305" s="889"/>
      <c r="B305" s="890"/>
      <c r="C305" s="891"/>
      <c r="D305" s="891"/>
      <c r="E305" s="892">
        <f t="shared" si="4"/>
        <v>0</v>
      </c>
      <c r="F305" s="893"/>
    </row>
    <row r="306" spans="1:6" ht="15" customHeight="1"/>
  </sheetData>
  <sheetProtection formatCells="0" selectLockedCells="1"/>
  <mergeCells count="19">
    <mergeCell ref="D1:F1"/>
    <mergeCell ref="D2:F2"/>
    <mergeCell ref="A1:C2"/>
    <mergeCell ref="A5:C5"/>
    <mergeCell ref="A3:C4"/>
    <mergeCell ref="G2:G5"/>
    <mergeCell ref="A6:F6"/>
    <mergeCell ref="G24:G25"/>
    <mergeCell ref="B7:F7"/>
    <mergeCell ref="A8:A9"/>
    <mergeCell ref="B8:D8"/>
    <mergeCell ref="E8:F8"/>
    <mergeCell ref="B9:F9"/>
    <mergeCell ref="B10:F10"/>
    <mergeCell ref="G10:G11"/>
    <mergeCell ref="A11:A12"/>
    <mergeCell ref="C11:D11"/>
    <mergeCell ref="C12:D12"/>
    <mergeCell ref="G16:G23"/>
  </mergeCells>
  <phoneticPr fontId="135"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A1:H305"/>
  <sheetViews>
    <sheetView workbookViewId="0">
      <selection activeCell="B16" sqref="B16"/>
    </sheetView>
  </sheetViews>
  <sheetFormatPr defaultColWidth="9" defaultRowHeight="17.25"/>
  <cols>
    <col min="1" max="1" width="23.125" style="579" customWidth="1"/>
    <col min="2" max="3" width="13.75" style="579" customWidth="1"/>
    <col min="4" max="4" width="9.125" style="579" customWidth="1"/>
    <col min="5" max="5" width="13.75" style="579" customWidth="1"/>
    <col min="6" max="6" width="10.375" style="579" customWidth="1"/>
    <col min="7" max="7" width="58.25" style="849" customWidth="1"/>
    <col min="8" max="16384" width="9" style="577"/>
  </cols>
  <sheetData>
    <row r="1" spans="1:8" ht="25.9" customHeight="1">
      <c r="A1" s="2994" t="s">
        <v>1668</v>
      </c>
      <c r="B1" s="2994"/>
      <c r="C1" s="2994"/>
      <c r="D1" s="2754" t="str">
        <f>基本情况!$F$10</f>
        <v>厦中汇税审（2018）第DS0001号</v>
      </c>
      <c r="E1" s="2754"/>
      <c r="F1" s="2754"/>
    </row>
    <row r="2" spans="1:8" ht="37.15" customHeight="1">
      <c r="A2" s="2994"/>
      <c r="B2" s="2994"/>
      <c r="C2" s="2994"/>
      <c r="D2" s="2949" t="str">
        <f>"底稿编号："&amp;开始!$F$7</f>
        <v>底稿编号：AS-05</v>
      </c>
      <c r="E2" s="2949"/>
      <c r="F2" s="2949"/>
      <c r="G2" s="2984"/>
    </row>
    <row r="3" spans="1:8" s="615" customFormat="1" ht="20.25" customHeight="1">
      <c r="A3" s="2995" t="str">
        <f>"委托单位："&amp;基本情况!$C$3</f>
        <v>委托单位：</v>
      </c>
      <c r="B3" s="2996"/>
      <c r="C3" s="3002"/>
      <c r="D3" s="911"/>
      <c r="E3" s="760" t="s">
        <v>4472</v>
      </c>
      <c r="F3" s="861" t="s">
        <v>4473</v>
      </c>
      <c r="G3" s="2984"/>
    </row>
    <row r="4" spans="1:8" s="615" customFormat="1" ht="20.25" customHeight="1">
      <c r="A4" s="2998"/>
      <c r="B4" s="2999"/>
      <c r="C4" s="3003"/>
      <c r="D4" s="910" t="s">
        <v>4407</v>
      </c>
      <c r="E4" s="863" t="str">
        <f>基本情况!$F$19&amp;""</f>
        <v/>
      </c>
      <c r="F4" s="864" t="str">
        <f>TEXT(基本情况!$F$27,"yyyy-mm-dd")</f>
        <v>2018-03-16</v>
      </c>
      <c r="G4" s="2984"/>
    </row>
    <row r="5" spans="1:8" s="615" customFormat="1" ht="20.25" customHeight="1">
      <c r="A5" s="3004" t="str">
        <f>"会计期间："&amp;基本情况!$F$9</f>
        <v>会计期间：2017年01月01日至2017年12月31日</v>
      </c>
      <c r="B5" s="3005"/>
      <c r="C5" s="3006"/>
      <c r="D5" s="761" t="s">
        <v>4410</v>
      </c>
      <c r="E5" s="865" t="str">
        <f>基本情况!$F$18&amp;""</f>
        <v/>
      </c>
      <c r="F5" s="604" t="str">
        <f>TEXT(基本情况!$F$28,"yyyy-mm-dd")</f>
        <v>2018-05-04</v>
      </c>
      <c r="G5" s="2984"/>
    </row>
    <row r="6" spans="1:8" s="619" customFormat="1" ht="7.5" customHeight="1">
      <c r="A6" s="2962"/>
      <c r="B6" s="2962"/>
      <c r="C6" s="2962"/>
      <c r="D6" s="2962"/>
      <c r="E6" s="2962"/>
      <c r="F6" s="2962"/>
      <c r="G6" s="896"/>
    </row>
    <row r="7" spans="1:8" s="622" customFormat="1" ht="20.25" customHeight="1">
      <c r="A7" s="866" t="s">
        <v>4430</v>
      </c>
      <c r="B7" s="2958" t="str">
        <f>IF(基本情况!$F$33="否",IF(B15-C15-F12&lt;&gt;资产负债表!$C$10,"账载数与报表数不符，相差"&amp;DOLLAR(B15-C15-F12-资产负债表!$C$10,2)&amp;"元！","账载数与报表数相符！"),IF(B14-F12&lt;&gt;资产负债表!$C$10,"账载数与报表数不符，相差"&amp;DOLLAR(B14-F12-资产负债表!$C$10,2)&amp;"元！","账载数与报表数相符！"))</f>
        <v>账载数与报表数相符！</v>
      </c>
      <c r="C7" s="2958"/>
      <c r="D7" s="2958"/>
      <c r="E7" s="2958"/>
      <c r="F7" s="2958"/>
      <c r="G7" s="849" t="s">
        <v>1724</v>
      </c>
      <c r="H7" s="621"/>
    </row>
    <row r="8" spans="1:8" s="622" customFormat="1" ht="15" customHeight="1">
      <c r="A8" s="2959" t="s">
        <v>4431</v>
      </c>
      <c r="B8" s="3001" t="s">
        <v>4474</v>
      </c>
      <c r="C8" s="3001"/>
      <c r="D8" s="3001"/>
      <c r="E8" s="2960" t="str">
        <f>IF(OR(D15&lt;&gt;0,D14&lt;&gt;0),"、E","")</f>
        <v/>
      </c>
      <c r="F8" s="2960"/>
      <c r="G8" s="849"/>
      <c r="H8" s="621"/>
    </row>
    <row r="9" spans="1:8" s="622" customFormat="1" ht="61.5" customHeight="1">
      <c r="A9" s="2959"/>
      <c r="B9" s="2989"/>
      <c r="C9" s="2989"/>
      <c r="D9" s="2989"/>
      <c r="E9" s="2989"/>
      <c r="F9" s="2989"/>
      <c r="G9" s="601" t="s">
        <v>6080</v>
      </c>
      <c r="H9" s="621"/>
    </row>
    <row r="10" spans="1:8" s="622" customFormat="1" ht="20.25" customHeight="1">
      <c r="A10" s="867" t="s">
        <v>4433</v>
      </c>
      <c r="B10" s="2953" t="str">
        <f>IF(OR(D15&lt;&gt;0,D14&lt;&gt;0),"调整后认可！","不存在调整事项,认可！")</f>
        <v>不存在调整事项,认可！</v>
      </c>
      <c r="C10" s="2953"/>
      <c r="D10" s="2953"/>
      <c r="E10" s="2953"/>
      <c r="F10" s="2953"/>
      <c r="G10" s="897"/>
      <c r="H10" s="621"/>
    </row>
    <row r="11" spans="1:8" s="622" customFormat="1" ht="20.25" customHeight="1">
      <c r="A11" s="2938" t="s">
        <v>4338</v>
      </c>
      <c r="B11" s="868" t="s">
        <v>4475</v>
      </c>
      <c r="C11" s="2990" t="s">
        <v>4476</v>
      </c>
      <c r="D11" s="2990"/>
      <c r="E11" s="766" t="s">
        <v>4477</v>
      </c>
      <c r="F11" s="869" t="s">
        <v>4478</v>
      </c>
      <c r="G11" s="897"/>
    </row>
    <row r="12" spans="1:8" s="622" customFormat="1" ht="20.25" customHeight="1">
      <c r="A12" s="2938"/>
      <c r="B12" s="870"/>
      <c r="C12" s="2991"/>
      <c r="D12" s="2991"/>
      <c r="E12" s="871"/>
      <c r="F12" s="872">
        <f>B12+C12-E12</f>
        <v>0</v>
      </c>
      <c r="G12" s="898"/>
    </row>
    <row r="13" spans="1:8" s="622" customFormat="1" ht="20.25" customHeight="1">
      <c r="A13" s="873" t="s">
        <v>750</v>
      </c>
      <c r="B13" s="868" t="s">
        <v>4479</v>
      </c>
      <c r="C13" s="766" t="s">
        <v>4480</v>
      </c>
      <c r="D13" s="766" t="s">
        <v>4414</v>
      </c>
      <c r="E13" s="766" t="s">
        <v>4415</v>
      </c>
      <c r="F13" s="869" t="s">
        <v>4487</v>
      </c>
      <c r="G13" s="897"/>
    </row>
    <row r="14" spans="1:8" s="622" customFormat="1" ht="20.25" customHeight="1">
      <c r="A14" s="874" t="s">
        <v>4482</v>
      </c>
      <c r="B14" s="875">
        <f>IF(基本情况!$F$33="否",0,B15+应付!B13)</f>
        <v>0</v>
      </c>
      <c r="C14" s="875">
        <f>IF(基本情况!$F$33="否",0,C15+应付!C13)</f>
        <v>0</v>
      </c>
      <c r="D14" s="899"/>
      <c r="E14" s="900">
        <f>B14+D14</f>
        <v>0</v>
      </c>
      <c r="F14" s="901">
        <f>IF(基本情况!$F$33="否",0,F15+应付!F13)</f>
        <v>0</v>
      </c>
      <c r="G14" s="897"/>
    </row>
    <row r="15" spans="1:8" s="622" customFormat="1" ht="20.25" customHeight="1">
      <c r="A15" s="867" t="s">
        <v>4483</v>
      </c>
      <c r="B15" s="879">
        <f>SUM(B16:B305)</f>
        <v>0</v>
      </c>
      <c r="C15" s="879">
        <f>SUM(C16:C305)</f>
        <v>0</v>
      </c>
      <c r="D15" s="902">
        <f>SUM(D16:D305)</f>
        <v>0</v>
      </c>
      <c r="E15" s="902">
        <f>SUM(E16:E305)</f>
        <v>0</v>
      </c>
      <c r="F15" s="872">
        <f>SUM(F16:F305)</f>
        <v>0</v>
      </c>
      <c r="G15" s="897"/>
    </row>
    <row r="16" spans="1:8" s="615" customFormat="1" ht="15" customHeight="1">
      <c r="A16" s="903"/>
      <c r="B16" s="881"/>
      <c r="C16" s="882"/>
      <c r="D16" s="904"/>
      <c r="E16" s="883">
        <f>B16-C16+D16</f>
        <v>0</v>
      </c>
      <c r="F16" s="884"/>
      <c r="G16" s="3007" t="s">
        <v>4615</v>
      </c>
    </row>
    <row r="17" spans="1:7" s="615" customFormat="1" ht="15" customHeight="1">
      <c r="A17" s="905"/>
      <c r="B17" s="886"/>
      <c r="C17" s="887"/>
      <c r="D17" s="906"/>
      <c r="E17" s="877">
        <f>B17-C17+D17</f>
        <v>0</v>
      </c>
      <c r="F17" s="888"/>
      <c r="G17" s="3007"/>
    </row>
    <row r="18" spans="1:7" s="615" customFormat="1" ht="15" customHeight="1">
      <c r="A18" s="905"/>
      <c r="B18" s="886"/>
      <c r="C18" s="887"/>
      <c r="D18" s="906"/>
      <c r="E18" s="877">
        <f t="shared" ref="E18:E81" si="0">B18-C18+D18</f>
        <v>0</v>
      </c>
      <c r="F18" s="888"/>
      <c r="G18" s="3007"/>
    </row>
    <row r="19" spans="1:7" s="615" customFormat="1" ht="15" customHeight="1">
      <c r="A19" s="905"/>
      <c r="B19" s="886"/>
      <c r="C19" s="887"/>
      <c r="D19" s="906"/>
      <c r="E19" s="877">
        <f t="shared" si="0"/>
        <v>0</v>
      </c>
      <c r="F19" s="888"/>
      <c r="G19" s="3007"/>
    </row>
    <row r="20" spans="1:7" s="615" customFormat="1" ht="15" customHeight="1">
      <c r="A20" s="905"/>
      <c r="B20" s="886"/>
      <c r="C20" s="887"/>
      <c r="D20" s="906"/>
      <c r="E20" s="877">
        <f t="shared" si="0"/>
        <v>0</v>
      </c>
      <c r="F20" s="888"/>
      <c r="G20" s="3007"/>
    </row>
    <row r="21" spans="1:7" s="615" customFormat="1" ht="15" customHeight="1">
      <c r="A21" s="905"/>
      <c r="B21" s="886"/>
      <c r="C21" s="887"/>
      <c r="D21" s="906"/>
      <c r="E21" s="877">
        <f t="shared" si="0"/>
        <v>0</v>
      </c>
      <c r="F21" s="888"/>
      <c r="G21" s="3007"/>
    </row>
    <row r="22" spans="1:7" s="615" customFormat="1" ht="15" customHeight="1">
      <c r="A22" s="905"/>
      <c r="B22" s="886"/>
      <c r="C22" s="887"/>
      <c r="D22" s="906"/>
      <c r="E22" s="877">
        <f t="shared" si="0"/>
        <v>0</v>
      </c>
      <c r="F22" s="888"/>
      <c r="G22" s="3007"/>
    </row>
    <row r="23" spans="1:7" s="615" customFormat="1" ht="15" customHeight="1">
      <c r="A23" s="905"/>
      <c r="B23" s="886"/>
      <c r="C23" s="887"/>
      <c r="D23" s="906"/>
      <c r="E23" s="877">
        <f t="shared" si="0"/>
        <v>0</v>
      </c>
      <c r="F23" s="888"/>
      <c r="G23" s="3007"/>
    </row>
    <row r="24" spans="1:7" s="615" customFormat="1" ht="15" customHeight="1">
      <c r="A24" s="905"/>
      <c r="B24" s="886"/>
      <c r="C24" s="887"/>
      <c r="D24" s="906"/>
      <c r="E24" s="877">
        <f t="shared" si="0"/>
        <v>0</v>
      </c>
      <c r="F24" s="888"/>
      <c r="G24" s="3007"/>
    </row>
    <row r="25" spans="1:7" s="615" customFormat="1" ht="15" customHeight="1">
      <c r="A25" s="905"/>
      <c r="B25" s="886"/>
      <c r="C25" s="887"/>
      <c r="D25" s="906"/>
      <c r="E25" s="877">
        <f t="shared" si="0"/>
        <v>0</v>
      </c>
      <c r="F25" s="888"/>
      <c r="G25" s="3007"/>
    </row>
    <row r="26" spans="1:7" s="615" customFormat="1" ht="15" customHeight="1">
      <c r="A26" s="905"/>
      <c r="B26" s="886"/>
      <c r="C26" s="887"/>
      <c r="D26" s="906"/>
      <c r="E26" s="877">
        <f t="shared" si="0"/>
        <v>0</v>
      </c>
      <c r="F26" s="888"/>
      <c r="G26" s="3008" t="s">
        <v>4488</v>
      </c>
    </row>
    <row r="27" spans="1:7" s="615" customFormat="1" ht="15" customHeight="1">
      <c r="A27" s="905"/>
      <c r="B27" s="886"/>
      <c r="C27" s="887"/>
      <c r="D27" s="906"/>
      <c r="E27" s="877">
        <f t="shared" si="0"/>
        <v>0</v>
      </c>
      <c r="F27" s="888"/>
      <c r="G27" s="3008"/>
    </row>
    <row r="28" spans="1:7" s="615" customFormat="1" ht="15" customHeight="1">
      <c r="A28" s="905"/>
      <c r="B28" s="886"/>
      <c r="C28" s="887"/>
      <c r="D28" s="906"/>
      <c r="E28" s="877">
        <f t="shared" si="0"/>
        <v>0</v>
      </c>
      <c r="F28" s="888"/>
      <c r="G28" s="3008"/>
    </row>
    <row r="29" spans="1:7" s="615" customFormat="1" ht="15" customHeight="1">
      <c r="A29" s="905"/>
      <c r="B29" s="886"/>
      <c r="C29" s="887"/>
      <c r="D29" s="906"/>
      <c r="E29" s="877">
        <f t="shared" si="0"/>
        <v>0</v>
      </c>
      <c r="F29" s="888"/>
      <c r="G29" s="907"/>
    </row>
    <row r="30" spans="1:7" s="615" customFormat="1" ht="15" customHeight="1">
      <c r="A30" s="905"/>
      <c r="B30" s="886"/>
      <c r="C30" s="887"/>
      <c r="D30" s="906"/>
      <c r="E30" s="877">
        <f t="shared" si="0"/>
        <v>0</v>
      </c>
      <c r="F30" s="888"/>
      <c r="G30" s="907"/>
    </row>
    <row r="31" spans="1:7" s="615" customFormat="1" ht="15" customHeight="1">
      <c r="A31" s="905"/>
      <c r="B31" s="886"/>
      <c r="C31" s="887"/>
      <c r="D31" s="906"/>
      <c r="E31" s="877">
        <f t="shared" si="0"/>
        <v>0</v>
      </c>
      <c r="F31" s="888"/>
      <c r="G31" s="907"/>
    </row>
    <row r="32" spans="1:7" s="615" customFormat="1" ht="15" customHeight="1">
      <c r="A32" s="905"/>
      <c r="B32" s="886"/>
      <c r="C32" s="887"/>
      <c r="D32" s="906"/>
      <c r="E32" s="877">
        <f t="shared" si="0"/>
        <v>0</v>
      </c>
      <c r="F32" s="888"/>
      <c r="G32" s="907"/>
    </row>
    <row r="33" spans="1:7" s="615" customFormat="1" ht="15" customHeight="1">
      <c r="A33" s="905"/>
      <c r="B33" s="886"/>
      <c r="C33" s="887"/>
      <c r="D33" s="906"/>
      <c r="E33" s="877">
        <f t="shared" si="0"/>
        <v>0</v>
      </c>
      <c r="F33" s="888"/>
      <c r="G33" s="907"/>
    </row>
    <row r="34" spans="1:7" s="615" customFormat="1" ht="15" customHeight="1">
      <c r="A34" s="905"/>
      <c r="B34" s="886"/>
      <c r="C34" s="887"/>
      <c r="D34" s="906"/>
      <c r="E34" s="877">
        <f t="shared" si="0"/>
        <v>0</v>
      </c>
      <c r="F34" s="888"/>
      <c r="G34" s="907"/>
    </row>
    <row r="35" spans="1:7" s="615" customFormat="1" ht="15" customHeight="1">
      <c r="A35" s="905"/>
      <c r="B35" s="886"/>
      <c r="C35" s="887"/>
      <c r="D35" s="906"/>
      <c r="E35" s="877">
        <f t="shared" si="0"/>
        <v>0</v>
      </c>
      <c r="F35" s="888"/>
      <c r="G35" s="907"/>
    </row>
    <row r="36" spans="1:7" s="615" customFormat="1" ht="15" customHeight="1">
      <c r="A36" s="905"/>
      <c r="B36" s="886"/>
      <c r="C36" s="887"/>
      <c r="D36" s="906"/>
      <c r="E36" s="877">
        <f t="shared" si="0"/>
        <v>0</v>
      </c>
      <c r="F36" s="888"/>
      <c r="G36" s="907"/>
    </row>
    <row r="37" spans="1:7" s="615" customFormat="1" ht="15" customHeight="1">
      <c r="A37" s="905"/>
      <c r="B37" s="886"/>
      <c r="C37" s="887"/>
      <c r="D37" s="906"/>
      <c r="E37" s="877">
        <f t="shared" si="0"/>
        <v>0</v>
      </c>
      <c r="F37" s="888"/>
      <c r="G37" s="907"/>
    </row>
    <row r="38" spans="1:7" s="615" customFormat="1" ht="15" customHeight="1">
      <c r="A38" s="905"/>
      <c r="B38" s="886"/>
      <c r="C38" s="887"/>
      <c r="D38" s="906"/>
      <c r="E38" s="877">
        <f t="shared" si="0"/>
        <v>0</v>
      </c>
      <c r="F38" s="888"/>
      <c r="G38" s="907"/>
    </row>
    <row r="39" spans="1:7" s="615" customFormat="1" ht="15" customHeight="1">
      <c r="A39" s="905"/>
      <c r="B39" s="886"/>
      <c r="C39" s="887"/>
      <c r="D39" s="906"/>
      <c r="E39" s="877">
        <f t="shared" si="0"/>
        <v>0</v>
      </c>
      <c r="F39" s="888"/>
      <c r="G39" s="907"/>
    </row>
    <row r="40" spans="1:7" s="615" customFormat="1" ht="15" customHeight="1">
      <c r="A40" s="905"/>
      <c r="B40" s="886"/>
      <c r="C40" s="887"/>
      <c r="D40" s="906"/>
      <c r="E40" s="877">
        <f t="shared" si="0"/>
        <v>0</v>
      </c>
      <c r="F40" s="888"/>
      <c r="G40" s="907"/>
    </row>
    <row r="41" spans="1:7" s="615" customFormat="1" ht="15" customHeight="1">
      <c r="A41" s="905"/>
      <c r="B41" s="886"/>
      <c r="C41" s="887"/>
      <c r="D41" s="906"/>
      <c r="E41" s="877">
        <f t="shared" si="0"/>
        <v>0</v>
      </c>
      <c r="F41" s="888"/>
      <c r="G41" s="907"/>
    </row>
    <row r="42" spans="1:7" s="615" customFormat="1" ht="15" customHeight="1">
      <c r="A42" s="905"/>
      <c r="B42" s="886"/>
      <c r="C42" s="887"/>
      <c r="D42" s="906"/>
      <c r="E42" s="877">
        <f t="shared" si="0"/>
        <v>0</v>
      </c>
      <c r="F42" s="888"/>
      <c r="G42" s="907"/>
    </row>
    <row r="43" spans="1:7" s="615" customFormat="1" ht="15" customHeight="1">
      <c r="A43" s="905"/>
      <c r="B43" s="886"/>
      <c r="C43" s="887"/>
      <c r="D43" s="906"/>
      <c r="E43" s="877">
        <f t="shared" si="0"/>
        <v>0</v>
      </c>
      <c r="F43" s="888"/>
      <c r="G43" s="907"/>
    </row>
    <row r="44" spans="1:7" s="615" customFormat="1" ht="15" customHeight="1">
      <c r="A44" s="905"/>
      <c r="B44" s="886"/>
      <c r="C44" s="887"/>
      <c r="D44" s="906"/>
      <c r="E44" s="877">
        <f t="shared" si="0"/>
        <v>0</v>
      </c>
      <c r="F44" s="888"/>
      <c r="G44" s="907"/>
    </row>
    <row r="45" spans="1:7" s="615" customFormat="1" ht="15" customHeight="1">
      <c r="A45" s="905"/>
      <c r="B45" s="886"/>
      <c r="C45" s="887"/>
      <c r="D45" s="906"/>
      <c r="E45" s="877">
        <f t="shared" si="0"/>
        <v>0</v>
      </c>
      <c r="F45" s="888"/>
      <c r="G45" s="907"/>
    </row>
    <row r="46" spans="1:7" s="615" customFormat="1" ht="15" customHeight="1">
      <c r="A46" s="905"/>
      <c r="B46" s="886"/>
      <c r="C46" s="887"/>
      <c r="D46" s="906"/>
      <c r="E46" s="877">
        <f t="shared" si="0"/>
        <v>0</v>
      </c>
      <c r="F46" s="888"/>
      <c r="G46" s="907"/>
    </row>
    <row r="47" spans="1:7" s="615" customFormat="1" ht="15" customHeight="1">
      <c r="A47" s="905"/>
      <c r="B47" s="886"/>
      <c r="C47" s="887"/>
      <c r="D47" s="906"/>
      <c r="E47" s="877">
        <f t="shared" si="0"/>
        <v>0</v>
      </c>
      <c r="F47" s="888"/>
      <c r="G47" s="907"/>
    </row>
    <row r="48" spans="1:7" s="615" customFormat="1" ht="15" customHeight="1">
      <c r="A48" s="905"/>
      <c r="B48" s="886"/>
      <c r="C48" s="887"/>
      <c r="D48" s="906"/>
      <c r="E48" s="877">
        <f t="shared" si="0"/>
        <v>0</v>
      </c>
      <c r="F48" s="888"/>
      <c r="G48" s="907"/>
    </row>
    <row r="49" spans="1:7" s="615" customFormat="1" ht="15" customHeight="1">
      <c r="A49" s="905"/>
      <c r="B49" s="886"/>
      <c r="C49" s="887"/>
      <c r="D49" s="906"/>
      <c r="E49" s="877">
        <f t="shared" si="0"/>
        <v>0</v>
      </c>
      <c r="F49" s="888"/>
      <c r="G49" s="907"/>
    </row>
    <row r="50" spans="1:7" s="615" customFormat="1" ht="15" customHeight="1">
      <c r="A50" s="905"/>
      <c r="B50" s="886"/>
      <c r="C50" s="887"/>
      <c r="D50" s="906"/>
      <c r="E50" s="877">
        <f t="shared" si="0"/>
        <v>0</v>
      </c>
      <c r="F50" s="888"/>
      <c r="G50" s="907"/>
    </row>
    <row r="51" spans="1:7" s="640" customFormat="1" ht="15" customHeight="1">
      <c r="A51" s="905"/>
      <c r="B51" s="886"/>
      <c r="C51" s="887"/>
      <c r="D51" s="906"/>
      <c r="E51" s="877">
        <f t="shared" si="0"/>
        <v>0</v>
      </c>
      <c r="F51" s="888"/>
      <c r="G51" s="907"/>
    </row>
    <row r="52" spans="1:7" s="640" customFormat="1" ht="15" customHeight="1">
      <c r="A52" s="905"/>
      <c r="B52" s="886"/>
      <c r="C52" s="887"/>
      <c r="D52" s="906"/>
      <c r="E52" s="877">
        <f t="shared" si="0"/>
        <v>0</v>
      </c>
      <c r="F52" s="888"/>
      <c r="G52" s="907"/>
    </row>
    <row r="53" spans="1:7" s="640" customFormat="1" ht="15" customHeight="1">
      <c r="A53" s="905"/>
      <c r="B53" s="886"/>
      <c r="C53" s="887"/>
      <c r="D53" s="906"/>
      <c r="E53" s="877">
        <f t="shared" si="0"/>
        <v>0</v>
      </c>
      <c r="F53" s="888"/>
      <c r="G53" s="907"/>
    </row>
    <row r="54" spans="1:7" s="640" customFormat="1" ht="15" customHeight="1">
      <c r="A54" s="905"/>
      <c r="B54" s="886"/>
      <c r="C54" s="887"/>
      <c r="D54" s="906"/>
      <c r="E54" s="877">
        <f t="shared" si="0"/>
        <v>0</v>
      </c>
      <c r="F54" s="888"/>
      <c r="G54" s="907"/>
    </row>
    <row r="55" spans="1:7" s="640" customFormat="1" ht="15" customHeight="1">
      <c r="A55" s="905"/>
      <c r="B55" s="886"/>
      <c r="C55" s="887"/>
      <c r="D55" s="906"/>
      <c r="E55" s="877">
        <f t="shared" si="0"/>
        <v>0</v>
      </c>
      <c r="F55" s="888"/>
      <c r="G55" s="907"/>
    </row>
    <row r="56" spans="1:7" ht="15" customHeight="1">
      <c r="A56" s="905"/>
      <c r="B56" s="886"/>
      <c r="C56" s="887"/>
      <c r="D56" s="906"/>
      <c r="E56" s="877">
        <f t="shared" si="0"/>
        <v>0</v>
      </c>
      <c r="F56" s="888"/>
    </row>
    <row r="57" spans="1:7" ht="15" customHeight="1">
      <c r="A57" s="905"/>
      <c r="B57" s="886"/>
      <c r="C57" s="887"/>
      <c r="D57" s="906"/>
      <c r="E57" s="877">
        <f t="shared" si="0"/>
        <v>0</v>
      </c>
      <c r="F57" s="888"/>
    </row>
    <row r="58" spans="1:7" ht="15" customHeight="1">
      <c r="A58" s="905"/>
      <c r="B58" s="886"/>
      <c r="C58" s="887"/>
      <c r="D58" s="906"/>
      <c r="E58" s="877">
        <f t="shared" si="0"/>
        <v>0</v>
      </c>
      <c r="F58" s="888"/>
    </row>
    <row r="59" spans="1:7" ht="15" customHeight="1">
      <c r="A59" s="905"/>
      <c r="B59" s="886"/>
      <c r="C59" s="887"/>
      <c r="D59" s="906"/>
      <c r="E59" s="877">
        <f t="shared" si="0"/>
        <v>0</v>
      </c>
      <c r="F59" s="888"/>
    </row>
    <row r="60" spans="1:7" ht="15" customHeight="1">
      <c r="A60" s="905"/>
      <c r="B60" s="886"/>
      <c r="C60" s="887"/>
      <c r="D60" s="906"/>
      <c r="E60" s="877">
        <f t="shared" si="0"/>
        <v>0</v>
      </c>
      <c r="F60" s="888"/>
    </row>
    <row r="61" spans="1:7" ht="15" customHeight="1">
      <c r="A61" s="905"/>
      <c r="B61" s="886"/>
      <c r="C61" s="887"/>
      <c r="D61" s="906"/>
      <c r="E61" s="877">
        <f t="shared" si="0"/>
        <v>0</v>
      </c>
      <c r="F61" s="888"/>
    </row>
    <row r="62" spans="1:7" ht="15" customHeight="1">
      <c r="A62" s="905"/>
      <c r="B62" s="886"/>
      <c r="C62" s="887"/>
      <c r="D62" s="906"/>
      <c r="E62" s="877">
        <f t="shared" si="0"/>
        <v>0</v>
      </c>
      <c r="F62" s="888"/>
    </row>
    <row r="63" spans="1:7" ht="15" customHeight="1">
      <c r="A63" s="905"/>
      <c r="B63" s="886"/>
      <c r="C63" s="887"/>
      <c r="D63" s="906"/>
      <c r="E63" s="877">
        <f t="shared" si="0"/>
        <v>0</v>
      </c>
      <c r="F63" s="888"/>
    </row>
    <row r="64" spans="1:7" ht="15" customHeight="1">
      <c r="A64" s="905"/>
      <c r="B64" s="886"/>
      <c r="C64" s="887"/>
      <c r="D64" s="906"/>
      <c r="E64" s="877">
        <f t="shared" si="0"/>
        <v>0</v>
      </c>
      <c r="F64" s="888"/>
    </row>
    <row r="65" spans="1:6" ht="15" customHeight="1">
      <c r="A65" s="905"/>
      <c r="B65" s="886"/>
      <c r="C65" s="887"/>
      <c r="D65" s="906"/>
      <c r="E65" s="877">
        <f t="shared" si="0"/>
        <v>0</v>
      </c>
      <c r="F65" s="888"/>
    </row>
    <row r="66" spans="1:6" ht="15" customHeight="1">
      <c r="A66" s="905"/>
      <c r="B66" s="886"/>
      <c r="C66" s="887"/>
      <c r="D66" s="906"/>
      <c r="E66" s="877">
        <f t="shared" si="0"/>
        <v>0</v>
      </c>
      <c r="F66" s="888"/>
    </row>
    <row r="67" spans="1:6" ht="15" customHeight="1">
      <c r="A67" s="905"/>
      <c r="B67" s="886"/>
      <c r="C67" s="887"/>
      <c r="D67" s="906"/>
      <c r="E67" s="877">
        <f t="shared" si="0"/>
        <v>0</v>
      </c>
      <c r="F67" s="888"/>
    </row>
    <row r="68" spans="1:6" ht="15" customHeight="1">
      <c r="A68" s="905"/>
      <c r="B68" s="886"/>
      <c r="C68" s="887"/>
      <c r="D68" s="906"/>
      <c r="E68" s="877">
        <f t="shared" si="0"/>
        <v>0</v>
      </c>
      <c r="F68" s="888"/>
    </row>
    <row r="69" spans="1:6" ht="15" customHeight="1">
      <c r="A69" s="905"/>
      <c r="B69" s="886"/>
      <c r="C69" s="887"/>
      <c r="D69" s="906"/>
      <c r="E69" s="877">
        <f t="shared" si="0"/>
        <v>0</v>
      </c>
      <c r="F69" s="888"/>
    </row>
    <row r="70" spans="1:6" ht="15" customHeight="1">
      <c r="A70" s="905"/>
      <c r="B70" s="886"/>
      <c r="C70" s="887"/>
      <c r="D70" s="906"/>
      <c r="E70" s="877">
        <f t="shared" si="0"/>
        <v>0</v>
      </c>
      <c r="F70" s="888"/>
    </row>
    <row r="71" spans="1:6" ht="15" customHeight="1">
      <c r="A71" s="905"/>
      <c r="B71" s="886"/>
      <c r="C71" s="887"/>
      <c r="D71" s="906"/>
      <c r="E71" s="877">
        <f t="shared" si="0"/>
        <v>0</v>
      </c>
      <c r="F71" s="888"/>
    </row>
    <row r="72" spans="1:6" ht="15" customHeight="1">
      <c r="A72" s="905"/>
      <c r="B72" s="886"/>
      <c r="C72" s="887"/>
      <c r="D72" s="906"/>
      <c r="E72" s="877">
        <f t="shared" si="0"/>
        <v>0</v>
      </c>
      <c r="F72" s="888"/>
    </row>
    <row r="73" spans="1:6" ht="15" customHeight="1">
      <c r="A73" s="905"/>
      <c r="B73" s="886"/>
      <c r="C73" s="887"/>
      <c r="D73" s="906"/>
      <c r="E73" s="877">
        <f t="shared" si="0"/>
        <v>0</v>
      </c>
      <c r="F73" s="888"/>
    </row>
    <row r="74" spans="1:6" ht="15" customHeight="1">
      <c r="A74" s="905"/>
      <c r="B74" s="886"/>
      <c r="C74" s="887"/>
      <c r="D74" s="906"/>
      <c r="E74" s="877">
        <f t="shared" si="0"/>
        <v>0</v>
      </c>
      <c r="F74" s="888"/>
    </row>
    <row r="75" spans="1:6" ht="15" customHeight="1">
      <c r="A75" s="905"/>
      <c r="B75" s="886"/>
      <c r="C75" s="887"/>
      <c r="D75" s="906"/>
      <c r="E75" s="877">
        <f t="shared" si="0"/>
        <v>0</v>
      </c>
      <c r="F75" s="888"/>
    </row>
    <row r="76" spans="1:6" ht="15" customHeight="1">
      <c r="A76" s="905"/>
      <c r="B76" s="886"/>
      <c r="C76" s="887"/>
      <c r="D76" s="906"/>
      <c r="E76" s="877">
        <f t="shared" si="0"/>
        <v>0</v>
      </c>
      <c r="F76" s="888"/>
    </row>
    <row r="77" spans="1:6" ht="15" customHeight="1">
      <c r="A77" s="905"/>
      <c r="B77" s="886"/>
      <c r="C77" s="887"/>
      <c r="D77" s="906"/>
      <c r="E77" s="877">
        <f t="shared" si="0"/>
        <v>0</v>
      </c>
      <c r="F77" s="888"/>
    </row>
    <row r="78" spans="1:6" ht="15" customHeight="1">
      <c r="A78" s="905"/>
      <c r="B78" s="886"/>
      <c r="C78" s="887"/>
      <c r="D78" s="906"/>
      <c r="E78" s="877">
        <f t="shared" si="0"/>
        <v>0</v>
      </c>
      <c r="F78" s="888"/>
    </row>
    <row r="79" spans="1:6" ht="15" customHeight="1">
      <c r="A79" s="905"/>
      <c r="B79" s="886"/>
      <c r="C79" s="887"/>
      <c r="D79" s="906"/>
      <c r="E79" s="877">
        <f t="shared" si="0"/>
        <v>0</v>
      </c>
      <c r="F79" s="888"/>
    </row>
    <row r="80" spans="1:6" ht="15" customHeight="1">
      <c r="A80" s="905"/>
      <c r="B80" s="886"/>
      <c r="C80" s="887"/>
      <c r="D80" s="906"/>
      <c r="E80" s="877">
        <f t="shared" si="0"/>
        <v>0</v>
      </c>
      <c r="F80" s="888"/>
    </row>
    <row r="81" spans="1:6" ht="15" customHeight="1">
      <c r="A81" s="905"/>
      <c r="B81" s="886"/>
      <c r="C81" s="887"/>
      <c r="D81" s="906"/>
      <c r="E81" s="877">
        <f t="shared" si="0"/>
        <v>0</v>
      </c>
      <c r="F81" s="888"/>
    </row>
    <row r="82" spans="1:6" ht="15" customHeight="1">
      <c r="A82" s="905"/>
      <c r="B82" s="886"/>
      <c r="C82" s="887"/>
      <c r="D82" s="906"/>
      <c r="E82" s="877">
        <f t="shared" ref="E82:E145" si="1">B82-C82+D82</f>
        <v>0</v>
      </c>
      <c r="F82" s="888"/>
    </row>
    <row r="83" spans="1:6" ht="15" customHeight="1">
      <c r="A83" s="905"/>
      <c r="B83" s="886"/>
      <c r="C83" s="887"/>
      <c r="D83" s="906"/>
      <c r="E83" s="877">
        <f t="shared" si="1"/>
        <v>0</v>
      </c>
      <c r="F83" s="888"/>
    </row>
    <row r="84" spans="1:6" ht="15" customHeight="1">
      <c r="A84" s="905"/>
      <c r="B84" s="886"/>
      <c r="C84" s="887"/>
      <c r="D84" s="906"/>
      <c r="E84" s="877">
        <f t="shared" si="1"/>
        <v>0</v>
      </c>
      <c r="F84" s="888"/>
    </row>
    <row r="85" spans="1:6" ht="15" customHeight="1">
      <c r="A85" s="905"/>
      <c r="B85" s="886"/>
      <c r="C85" s="887"/>
      <c r="D85" s="906"/>
      <c r="E85" s="877">
        <f t="shared" si="1"/>
        <v>0</v>
      </c>
      <c r="F85" s="888"/>
    </row>
    <row r="86" spans="1:6" ht="15" customHeight="1">
      <c r="A86" s="905"/>
      <c r="B86" s="886"/>
      <c r="C86" s="887"/>
      <c r="D86" s="906"/>
      <c r="E86" s="877">
        <f t="shared" si="1"/>
        <v>0</v>
      </c>
      <c r="F86" s="888"/>
    </row>
    <row r="87" spans="1:6" ht="15" customHeight="1">
      <c r="A87" s="905"/>
      <c r="B87" s="886"/>
      <c r="C87" s="887"/>
      <c r="D87" s="906"/>
      <c r="E87" s="877">
        <f t="shared" si="1"/>
        <v>0</v>
      </c>
      <c r="F87" s="888"/>
    </row>
    <row r="88" spans="1:6" ht="15" customHeight="1">
      <c r="A88" s="905"/>
      <c r="B88" s="886"/>
      <c r="C88" s="887"/>
      <c r="D88" s="906"/>
      <c r="E88" s="877">
        <f t="shared" si="1"/>
        <v>0</v>
      </c>
      <c r="F88" s="888"/>
    </row>
    <row r="89" spans="1:6" ht="15" customHeight="1">
      <c r="A89" s="905"/>
      <c r="B89" s="886"/>
      <c r="C89" s="887"/>
      <c r="D89" s="906"/>
      <c r="E89" s="877">
        <f t="shared" si="1"/>
        <v>0</v>
      </c>
      <c r="F89" s="888"/>
    </row>
    <row r="90" spans="1:6" ht="15" customHeight="1">
      <c r="A90" s="905"/>
      <c r="B90" s="886"/>
      <c r="C90" s="887"/>
      <c r="D90" s="906"/>
      <c r="E90" s="877">
        <f t="shared" si="1"/>
        <v>0</v>
      </c>
      <c r="F90" s="888"/>
    </row>
    <row r="91" spans="1:6" ht="15" customHeight="1">
      <c r="A91" s="905"/>
      <c r="B91" s="886"/>
      <c r="C91" s="887"/>
      <c r="D91" s="906"/>
      <c r="E91" s="877">
        <f t="shared" si="1"/>
        <v>0</v>
      </c>
      <c r="F91" s="888"/>
    </row>
    <row r="92" spans="1:6" ht="15" customHeight="1">
      <c r="A92" s="905"/>
      <c r="B92" s="886"/>
      <c r="C92" s="887"/>
      <c r="D92" s="906"/>
      <c r="E92" s="877">
        <f t="shared" si="1"/>
        <v>0</v>
      </c>
      <c r="F92" s="888"/>
    </row>
    <row r="93" spans="1:6" ht="15" customHeight="1">
      <c r="A93" s="905"/>
      <c r="B93" s="886"/>
      <c r="C93" s="887"/>
      <c r="D93" s="906"/>
      <c r="E93" s="877">
        <f t="shared" si="1"/>
        <v>0</v>
      </c>
      <c r="F93" s="888"/>
    </row>
    <row r="94" spans="1:6" ht="15" customHeight="1">
      <c r="A94" s="905"/>
      <c r="B94" s="886"/>
      <c r="C94" s="887"/>
      <c r="D94" s="906"/>
      <c r="E94" s="877">
        <f t="shared" si="1"/>
        <v>0</v>
      </c>
      <c r="F94" s="888"/>
    </row>
    <row r="95" spans="1:6" ht="15" customHeight="1">
      <c r="A95" s="905"/>
      <c r="B95" s="886"/>
      <c r="C95" s="887"/>
      <c r="D95" s="906"/>
      <c r="E95" s="877">
        <f t="shared" si="1"/>
        <v>0</v>
      </c>
      <c r="F95" s="888"/>
    </row>
    <row r="96" spans="1:6" ht="15" customHeight="1">
      <c r="A96" s="905"/>
      <c r="B96" s="886"/>
      <c r="C96" s="887"/>
      <c r="D96" s="906"/>
      <c r="E96" s="877">
        <f t="shared" si="1"/>
        <v>0</v>
      </c>
      <c r="F96" s="888"/>
    </row>
    <row r="97" spans="1:6" ht="15" customHeight="1">
      <c r="A97" s="905"/>
      <c r="B97" s="886"/>
      <c r="C97" s="887"/>
      <c r="D97" s="906"/>
      <c r="E97" s="877">
        <f t="shared" si="1"/>
        <v>0</v>
      </c>
      <c r="F97" s="888"/>
    </row>
    <row r="98" spans="1:6" ht="15" customHeight="1">
      <c r="A98" s="905"/>
      <c r="B98" s="886"/>
      <c r="C98" s="887"/>
      <c r="D98" s="906"/>
      <c r="E98" s="877">
        <f t="shared" si="1"/>
        <v>0</v>
      </c>
      <c r="F98" s="888"/>
    </row>
    <row r="99" spans="1:6" ht="15" customHeight="1">
      <c r="A99" s="905"/>
      <c r="B99" s="886"/>
      <c r="C99" s="887"/>
      <c r="D99" s="906"/>
      <c r="E99" s="877">
        <f t="shared" si="1"/>
        <v>0</v>
      </c>
      <c r="F99" s="888"/>
    </row>
    <row r="100" spans="1:6" ht="15" customHeight="1">
      <c r="A100" s="905"/>
      <c r="B100" s="886"/>
      <c r="C100" s="887"/>
      <c r="D100" s="906"/>
      <c r="E100" s="877">
        <f t="shared" si="1"/>
        <v>0</v>
      </c>
      <c r="F100" s="888"/>
    </row>
    <row r="101" spans="1:6" ht="15" customHeight="1">
      <c r="A101" s="905"/>
      <c r="B101" s="886"/>
      <c r="C101" s="887"/>
      <c r="D101" s="906"/>
      <c r="E101" s="877">
        <f t="shared" si="1"/>
        <v>0</v>
      </c>
      <c r="F101" s="888"/>
    </row>
    <row r="102" spans="1:6" ht="15" customHeight="1">
      <c r="A102" s="905"/>
      <c r="B102" s="886"/>
      <c r="C102" s="887"/>
      <c r="D102" s="906"/>
      <c r="E102" s="877">
        <f t="shared" si="1"/>
        <v>0</v>
      </c>
      <c r="F102" s="888"/>
    </row>
    <row r="103" spans="1:6" ht="15" customHeight="1">
      <c r="A103" s="905"/>
      <c r="B103" s="886"/>
      <c r="C103" s="887"/>
      <c r="D103" s="906"/>
      <c r="E103" s="877">
        <f t="shared" si="1"/>
        <v>0</v>
      </c>
      <c r="F103" s="888"/>
    </row>
    <row r="104" spans="1:6" ht="15" customHeight="1">
      <c r="A104" s="905"/>
      <c r="B104" s="886"/>
      <c r="C104" s="887"/>
      <c r="D104" s="906"/>
      <c r="E104" s="877">
        <f t="shared" si="1"/>
        <v>0</v>
      </c>
      <c r="F104" s="888"/>
    </row>
    <row r="105" spans="1:6" ht="15" customHeight="1">
      <c r="A105" s="905"/>
      <c r="B105" s="886"/>
      <c r="C105" s="887"/>
      <c r="D105" s="906"/>
      <c r="E105" s="877">
        <f t="shared" si="1"/>
        <v>0</v>
      </c>
      <c r="F105" s="888"/>
    </row>
    <row r="106" spans="1:6" ht="15" customHeight="1">
      <c r="A106" s="905"/>
      <c r="B106" s="886"/>
      <c r="C106" s="887"/>
      <c r="D106" s="906"/>
      <c r="E106" s="877">
        <f t="shared" si="1"/>
        <v>0</v>
      </c>
      <c r="F106" s="888"/>
    </row>
    <row r="107" spans="1:6" ht="15" customHeight="1">
      <c r="A107" s="905"/>
      <c r="B107" s="886"/>
      <c r="C107" s="887"/>
      <c r="D107" s="906"/>
      <c r="E107" s="877">
        <f t="shared" si="1"/>
        <v>0</v>
      </c>
      <c r="F107" s="888"/>
    </row>
    <row r="108" spans="1:6" ht="15" customHeight="1">
      <c r="A108" s="905"/>
      <c r="B108" s="886"/>
      <c r="C108" s="887"/>
      <c r="D108" s="906"/>
      <c r="E108" s="877">
        <f t="shared" si="1"/>
        <v>0</v>
      </c>
      <c r="F108" s="888"/>
    </row>
    <row r="109" spans="1:6" ht="15" customHeight="1">
      <c r="A109" s="905"/>
      <c r="B109" s="886"/>
      <c r="C109" s="887"/>
      <c r="D109" s="906"/>
      <c r="E109" s="877">
        <f t="shared" si="1"/>
        <v>0</v>
      </c>
      <c r="F109" s="888"/>
    </row>
    <row r="110" spans="1:6" ht="15" customHeight="1">
      <c r="A110" s="905"/>
      <c r="B110" s="886"/>
      <c r="C110" s="887"/>
      <c r="D110" s="906"/>
      <c r="E110" s="877">
        <f t="shared" si="1"/>
        <v>0</v>
      </c>
      <c r="F110" s="888"/>
    </row>
    <row r="111" spans="1:6" ht="15" customHeight="1">
      <c r="A111" s="905"/>
      <c r="B111" s="886"/>
      <c r="C111" s="887"/>
      <c r="D111" s="906"/>
      <c r="E111" s="877">
        <f t="shared" si="1"/>
        <v>0</v>
      </c>
      <c r="F111" s="888"/>
    </row>
    <row r="112" spans="1:6" ht="15" customHeight="1">
      <c r="A112" s="905"/>
      <c r="B112" s="886"/>
      <c r="C112" s="887"/>
      <c r="D112" s="906"/>
      <c r="E112" s="877">
        <f t="shared" si="1"/>
        <v>0</v>
      </c>
      <c r="F112" s="888"/>
    </row>
    <row r="113" spans="1:6" ht="15" customHeight="1">
      <c r="A113" s="905"/>
      <c r="B113" s="886"/>
      <c r="C113" s="887"/>
      <c r="D113" s="906"/>
      <c r="E113" s="877">
        <f t="shared" si="1"/>
        <v>0</v>
      </c>
      <c r="F113" s="888"/>
    </row>
    <row r="114" spans="1:6" ht="15" customHeight="1">
      <c r="A114" s="905"/>
      <c r="B114" s="886"/>
      <c r="C114" s="887"/>
      <c r="D114" s="906"/>
      <c r="E114" s="877">
        <f t="shared" si="1"/>
        <v>0</v>
      </c>
      <c r="F114" s="888"/>
    </row>
    <row r="115" spans="1:6" ht="15" customHeight="1">
      <c r="A115" s="905"/>
      <c r="B115" s="886"/>
      <c r="C115" s="887"/>
      <c r="D115" s="906"/>
      <c r="E115" s="877">
        <f t="shared" si="1"/>
        <v>0</v>
      </c>
      <c r="F115" s="888"/>
    </row>
    <row r="116" spans="1:6" ht="15" customHeight="1">
      <c r="A116" s="905"/>
      <c r="B116" s="886"/>
      <c r="C116" s="887"/>
      <c r="D116" s="906"/>
      <c r="E116" s="877">
        <f t="shared" si="1"/>
        <v>0</v>
      </c>
      <c r="F116" s="888"/>
    </row>
    <row r="117" spans="1:6" ht="15" customHeight="1">
      <c r="A117" s="905"/>
      <c r="B117" s="886"/>
      <c r="C117" s="887"/>
      <c r="D117" s="906"/>
      <c r="E117" s="877">
        <f t="shared" si="1"/>
        <v>0</v>
      </c>
      <c r="F117" s="888"/>
    </row>
    <row r="118" spans="1:6" ht="15" customHeight="1">
      <c r="A118" s="905"/>
      <c r="B118" s="886"/>
      <c r="C118" s="887"/>
      <c r="D118" s="906"/>
      <c r="E118" s="877">
        <f t="shared" si="1"/>
        <v>0</v>
      </c>
      <c r="F118" s="888"/>
    </row>
    <row r="119" spans="1:6" ht="15" customHeight="1">
      <c r="A119" s="905"/>
      <c r="B119" s="886"/>
      <c r="C119" s="887"/>
      <c r="D119" s="906"/>
      <c r="E119" s="877">
        <f t="shared" si="1"/>
        <v>0</v>
      </c>
      <c r="F119" s="888"/>
    </row>
    <row r="120" spans="1:6" ht="15" customHeight="1">
      <c r="A120" s="905"/>
      <c r="B120" s="886"/>
      <c r="C120" s="887"/>
      <c r="D120" s="906"/>
      <c r="E120" s="877">
        <f t="shared" si="1"/>
        <v>0</v>
      </c>
      <c r="F120" s="888"/>
    </row>
    <row r="121" spans="1:6" ht="15" customHeight="1">
      <c r="A121" s="905"/>
      <c r="B121" s="886"/>
      <c r="C121" s="887"/>
      <c r="D121" s="906"/>
      <c r="E121" s="877">
        <f t="shared" si="1"/>
        <v>0</v>
      </c>
      <c r="F121" s="888"/>
    </row>
    <row r="122" spans="1:6" ht="15" customHeight="1">
      <c r="A122" s="905"/>
      <c r="B122" s="886"/>
      <c r="C122" s="887"/>
      <c r="D122" s="906"/>
      <c r="E122" s="877">
        <f t="shared" si="1"/>
        <v>0</v>
      </c>
      <c r="F122" s="888"/>
    </row>
    <row r="123" spans="1:6" ht="15" customHeight="1">
      <c r="A123" s="905"/>
      <c r="B123" s="886"/>
      <c r="C123" s="887"/>
      <c r="D123" s="906"/>
      <c r="E123" s="877">
        <f t="shared" si="1"/>
        <v>0</v>
      </c>
      <c r="F123" s="888"/>
    </row>
    <row r="124" spans="1:6" ht="15" customHeight="1">
      <c r="A124" s="905"/>
      <c r="B124" s="886"/>
      <c r="C124" s="887"/>
      <c r="D124" s="906"/>
      <c r="E124" s="877">
        <f t="shared" si="1"/>
        <v>0</v>
      </c>
      <c r="F124" s="888"/>
    </row>
    <row r="125" spans="1:6" ht="15" customHeight="1">
      <c r="A125" s="905"/>
      <c r="B125" s="886"/>
      <c r="C125" s="887"/>
      <c r="D125" s="906"/>
      <c r="E125" s="877">
        <f t="shared" si="1"/>
        <v>0</v>
      </c>
      <c r="F125" s="888"/>
    </row>
    <row r="126" spans="1:6" ht="15" customHeight="1">
      <c r="A126" s="905"/>
      <c r="B126" s="886"/>
      <c r="C126" s="887"/>
      <c r="D126" s="906"/>
      <c r="E126" s="877">
        <f t="shared" si="1"/>
        <v>0</v>
      </c>
      <c r="F126" s="888"/>
    </row>
    <row r="127" spans="1:6" ht="15" customHeight="1">
      <c r="A127" s="905"/>
      <c r="B127" s="886"/>
      <c r="C127" s="887"/>
      <c r="D127" s="906"/>
      <c r="E127" s="877">
        <f t="shared" si="1"/>
        <v>0</v>
      </c>
      <c r="F127" s="888"/>
    </row>
    <row r="128" spans="1:6" ht="15" customHeight="1">
      <c r="A128" s="905"/>
      <c r="B128" s="886"/>
      <c r="C128" s="887"/>
      <c r="D128" s="906"/>
      <c r="E128" s="877">
        <f t="shared" si="1"/>
        <v>0</v>
      </c>
      <c r="F128" s="888"/>
    </row>
    <row r="129" spans="1:6" ht="15" customHeight="1">
      <c r="A129" s="905"/>
      <c r="B129" s="886"/>
      <c r="C129" s="887"/>
      <c r="D129" s="906"/>
      <c r="E129" s="877">
        <f t="shared" si="1"/>
        <v>0</v>
      </c>
      <c r="F129" s="888"/>
    </row>
    <row r="130" spans="1:6" ht="15" customHeight="1">
      <c r="A130" s="905"/>
      <c r="B130" s="886"/>
      <c r="C130" s="887"/>
      <c r="D130" s="906"/>
      <c r="E130" s="877">
        <f t="shared" si="1"/>
        <v>0</v>
      </c>
      <c r="F130" s="888"/>
    </row>
    <row r="131" spans="1:6" ht="15" customHeight="1">
      <c r="A131" s="905"/>
      <c r="B131" s="886"/>
      <c r="C131" s="887"/>
      <c r="D131" s="906"/>
      <c r="E131" s="877">
        <f t="shared" si="1"/>
        <v>0</v>
      </c>
      <c r="F131" s="888"/>
    </row>
    <row r="132" spans="1:6" ht="15" customHeight="1">
      <c r="A132" s="905"/>
      <c r="B132" s="886"/>
      <c r="C132" s="887"/>
      <c r="D132" s="906"/>
      <c r="E132" s="877">
        <f t="shared" si="1"/>
        <v>0</v>
      </c>
      <c r="F132" s="888"/>
    </row>
    <row r="133" spans="1:6" ht="15" customHeight="1">
      <c r="A133" s="905"/>
      <c r="B133" s="886"/>
      <c r="C133" s="887"/>
      <c r="D133" s="906"/>
      <c r="E133" s="877">
        <f t="shared" si="1"/>
        <v>0</v>
      </c>
      <c r="F133" s="888"/>
    </row>
    <row r="134" spans="1:6" ht="15" customHeight="1">
      <c r="A134" s="905"/>
      <c r="B134" s="886"/>
      <c r="C134" s="887"/>
      <c r="D134" s="906"/>
      <c r="E134" s="877">
        <f t="shared" si="1"/>
        <v>0</v>
      </c>
      <c r="F134" s="888"/>
    </row>
    <row r="135" spans="1:6" ht="15" customHeight="1">
      <c r="A135" s="905"/>
      <c r="B135" s="886"/>
      <c r="C135" s="887"/>
      <c r="D135" s="906"/>
      <c r="E135" s="877">
        <f t="shared" si="1"/>
        <v>0</v>
      </c>
      <c r="F135" s="888"/>
    </row>
    <row r="136" spans="1:6" ht="15" customHeight="1">
      <c r="A136" s="905"/>
      <c r="B136" s="886"/>
      <c r="C136" s="887"/>
      <c r="D136" s="906"/>
      <c r="E136" s="877">
        <f t="shared" si="1"/>
        <v>0</v>
      </c>
      <c r="F136" s="888"/>
    </row>
    <row r="137" spans="1:6" ht="15" customHeight="1">
      <c r="A137" s="905"/>
      <c r="B137" s="886"/>
      <c r="C137" s="887"/>
      <c r="D137" s="906"/>
      <c r="E137" s="877">
        <f t="shared" si="1"/>
        <v>0</v>
      </c>
      <c r="F137" s="888"/>
    </row>
    <row r="138" spans="1:6" ht="15" customHeight="1">
      <c r="A138" s="905"/>
      <c r="B138" s="886"/>
      <c r="C138" s="887"/>
      <c r="D138" s="906"/>
      <c r="E138" s="877">
        <f t="shared" si="1"/>
        <v>0</v>
      </c>
      <c r="F138" s="888"/>
    </row>
    <row r="139" spans="1:6" ht="15" customHeight="1">
      <c r="A139" s="905"/>
      <c r="B139" s="886"/>
      <c r="C139" s="887"/>
      <c r="D139" s="906"/>
      <c r="E139" s="877">
        <f t="shared" si="1"/>
        <v>0</v>
      </c>
      <c r="F139" s="888"/>
    </row>
    <row r="140" spans="1:6" ht="15" customHeight="1">
      <c r="A140" s="905"/>
      <c r="B140" s="886"/>
      <c r="C140" s="887"/>
      <c r="D140" s="906"/>
      <c r="E140" s="877">
        <f t="shared" si="1"/>
        <v>0</v>
      </c>
      <c r="F140" s="888"/>
    </row>
    <row r="141" spans="1:6" ht="15" customHeight="1">
      <c r="A141" s="905"/>
      <c r="B141" s="886"/>
      <c r="C141" s="887"/>
      <c r="D141" s="906"/>
      <c r="E141" s="877">
        <f t="shared" si="1"/>
        <v>0</v>
      </c>
      <c r="F141" s="888"/>
    </row>
    <row r="142" spans="1:6" ht="15" customHeight="1">
      <c r="A142" s="905"/>
      <c r="B142" s="886"/>
      <c r="C142" s="887"/>
      <c r="D142" s="906"/>
      <c r="E142" s="877">
        <f t="shared" si="1"/>
        <v>0</v>
      </c>
      <c r="F142" s="888"/>
    </row>
    <row r="143" spans="1:6" ht="15" customHeight="1">
      <c r="A143" s="905"/>
      <c r="B143" s="886"/>
      <c r="C143" s="887"/>
      <c r="D143" s="906"/>
      <c r="E143" s="877">
        <f t="shared" si="1"/>
        <v>0</v>
      </c>
      <c r="F143" s="888"/>
    </row>
    <row r="144" spans="1:6" ht="15" customHeight="1">
      <c r="A144" s="905"/>
      <c r="B144" s="886"/>
      <c r="C144" s="887"/>
      <c r="D144" s="906"/>
      <c r="E144" s="877">
        <f t="shared" si="1"/>
        <v>0</v>
      </c>
      <c r="F144" s="888"/>
    </row>
    <row r="145" spans="1:6" ht="15" customHeight="1">
      <c r="A145" s="905"/>
      <c r="B145" s="886"/>
      <c r="C145" s="887"/>
      <c r="D145" s="906"/>
      <c r="E145" s="877">
        <f t="shared" si="1"/>
        <v>0</v>
      </c>
      <c r="F145" s="888"/>
    </row>
    <row r="146" spans="1:6" ht="15" customHeight="1">
      <c r="A146" s="905"/>
      <c r="B146" s="886"/>
      <c r="C146" s="887"/>
      <c r="D146" s="906"/>
      <c r="E146" s="877">
        <f t="shared" ref="E146:E209" si="2">B146-C146+D146</f>
        <v>0</v>
      </c>
      <c r="F146" s="888"/>
    </row>
    <row r="147" spans="1:6" ht="15" customHeight="1">
      <c r="A147" s="905"/>
      <c r="B147" s="886"/>
      <c r="C147" s="887"/>
      <c r="D147" s="906"/>
      <c r="E147" s="877">
        <f t="shared" si="2"/>
        <v>0</v>
      </c>
      <c r="F147" s="888"/>
    </row>
    <row r="148" spans="1:6" ht="15" customHeight="1">
      <c r="A148" s="905"/>
      <c r="B148" s="886"/>
      <c r="C148" s="887"/>
      <c r="D148" s="906"/>
      <c r="E148" s="877">
        <f t="shared" si="2"/>
        <v>0</v>
      </c>
      <c r="F148" s="888"/>
    </row>
    <row r="149" spans="1:6" ht="15" customHeight="1">
      <c r="A149" s="905"/>
      <c r="B149" s="886"/>
      <c r="C149" s="887"/>
      <c r="D149" s="906"/>
      <c r="E149" s="877">
        <f t="shared" si="2"/>
        <v>0</v>
      </c>
      <c r="F149" s="888"/>
    </row>
    <row r="150" spans="1:6" ht="15" customHeight="1">
      <c r="A150" s="905"/>
      <c r="B150" s="886"/>
      <c r="C150" s="887"/>
      <c r="D150" s="906"/>
      <c r="E150" s="877">
        <f t="shared" si="2"/>
        <v>0</v>
      </c>
      <c r="F150" s="888"/>
    </row>
    <row r="151" spans="1:6" ht="15" customHeight="1">
      <c r="A151" s="905"/>
      <c r="B151" s="886"/>
      <c r="C151" s="887"/>
      <c r="D151" s="906"/>
      <c r="E151" s="877">
        <f t="shared" si="2"/>
        <v>0</v>
      </c>
      <c r="F151" s="888"/>
    </row>
    <row r="152" spans="1:6" ht="15" customHeight="1">
      <c r="A152" s="905"/>
      <c r="B152" s="886"/>
      <c r="C152" s="887"/>
      <c r="D152" s="906"/>
      <c r="E152" s="877">
        <f t="shared" si="2"/>
        <v>0</v>
      </c>
      <c r="F152" s="888"/>
    </row>
    <row r="153" spans="1:6" ht="15" customHeight="1">
      <c r="A153" s="905"/>
      <c r="B153" s="886"/>
      <c r="C153" s="887"/>
      <c r="D153" s="906"/>
      <c r="E153" s="877">
        <f t="shared" si="2"/>
        <v>0</v>
      </c>
      <c r="F153" s="888"/>
    </row>
    <row r="154" spans="1:6" ht="15" customHeight="1">
      <c r="A154" s="905"/>
      <c r="B154" s="886"/>
      <c r="C154" s="887"/>
      <c r="D154" s="906"/>
      <c r="E154" s="877">
        <f t="shared" si="2"/>
        <v>0</v>
      </c>
      <c r="F154" s="888"/>
    </row>
    <row r="155" spans="1:6" ht="15" customHeight="1">
      <c r="A155" s="905"/>
      <c r="B155" s="886"/>
      <c r="C155" s="887"/>
      <c r="D155" s="906"/>
      <c r="E155" s="877">
        <f t="shared" si="2"/>
        <v>0</v>
      </c>
      <c r="F155" s="888"/>
    </row>
    <row r="156" spans="1:6" ht="15" customHeight="1">
      <c r="A156" s="905"/>
      <c r="B156" s="886"/>
      <c r="C156" s="887"/>
      <c r="D156" s="906"/>
      <c r="E156" s="877">
        <f t="shared" si="2"/>
        <v>0</v>
      </c>
      <c r="F156" s="888"/>
    </row>
    <row r="157" spans="1:6" ht="15" customHeight="1">
      <c r="A157" s="905"/>
      <c r="B157" s="886"/>
      <c r="C157" s="887"/>
      <c r="D157" s="906"/>
      <c r="E157" s="877">
        <f t="shared" si="2"/>
        <v>0</v>
      </c>
      <c r="F157" s="888"/>
    </row>
    <row r="158" spans="1:6" ht="15" customHeight="1">
      <c r="A158" s="905"/>
      <c r="B158" s="886"/>
      <c r="C158" s="887"/>
      <c r="D158" s="906"/>
      <c r="E158" s="877">
        <f t="shared" si="2"/>
        <v>0</v>
      </c>
      <c r="F158" s="888"/>
    </row>
    <row r="159" spans="1:6" ht="15" customHeight="1">
      <c r="A159" s="905"/>
      <c r="B159" s="886"/>
      <c r="C159" s="887"/>
      <c r="D159" s="906"/>
      <c r="E159" s="877">
        <f t="shared" si="2"/>
        <v>0</v>
      </c>
      <c r="F159" s="888"/>
    </row>
    <row r="160" spans="1:6" ht="15" customHeight="1">
      <c r="A160" s="905"/>
      <c r="B160" s="886"/>
      <c r="C160" s="887"/>
      <c r="D160" s="906"/>
      <c r="E160" s="877">
        <f t="shared" si="2"/>
        <v>0</v>
      </c>
      <c r="F160" s="888"/>
    </row>
    <row r="161" spans="1:6" ht="15" customHeight="1">
      <c r="A161" s="905"/>
      <c r="B161" s="886"/>
      <c r="C161" s="887"/>
      <c r="D161" s="906"/>
      <c r="E161" s="877">
        <f t="shared" si="2"/>
        <v>0</v>
      </c>
      <c r="F161" s="888"/>
    </row>
    <row r="162" spans="1:6" ht="15" customHeight="1">
      <c r="A162" s="905"/>
      <c r="B162" s="886"/>
      <c r="C162" s="887"/>
      <c r="D162" s="906"/>
      <c r="E162" s="877">
        <f t="shared" si="2"/>
        <v>0</v>
      </c>
      <c r="F162" s="888"/>
    </row>
    <row r="163" spans="1:6" ht="15" customHeight="1">
      <c r="A163" s="905"/>
      <c r="B163" s="886"/>
      <c r="C163" s="887"/>
      <c r="D163" s="906"/>
      <c r="E163" s="877">
        <f t="shared" si="2"/>
        <v>0</v>
      </c>
      <c r="F163" s="888"/>
    </row>
    <row r="164" spans="1:6" ht="15" customHeight="1">
      <c r="A164" s="905"/>
      <c r="B164" s="886"/>
      <c r="C164" s="887"/>
      <c r="D164" s="906"/>
      <c r="E164" s="877">
        <f t="shared" si="2"/>
        <v>0</v>
      </c>
      <c r="F164" s="888"/>
    </row>
    <row r="165" spans="1:6" ht="15" customHeight="1">
      <c r="A165" s="905"/>
      <c r="B165" s="886"/>
      <c r="C165" s="887"/>
      <c r="D165" s="906"/>
      <c r="E165" s="877">
        <f t="shared" si="2"/>
        <v>0</v>
      </c>
      <c r="F165" s="888"/>
    </row>
    <row r="166" spans="1:6" ht="15" customHeight="1">
      <c r="A166" s="905"/>
      <c r="B166" s="886"/>
      <c r="C166" s="887"/>
      <c r="D166" s="906"/>
      <c r="E166" s="877">
        <f t="shared" si="2"/>
        <v>0</v>
      </c>
      <c r="F166" s="888"/>
    </row>
    <row r="167" spans="1:6" ht="15" customHeight="1">
      <c r="A167" s="905"/>
      <c r="B167" s="886"/>
      <c r="C167" s="887"/>
      <c r="D167" s="906"/>
      <c r="E167" s="877">
        <f t="shared" si="2"/>
        <v>0</v>
      </c>
      <c r="F167" s="888"/>
    </row>
    <row r="168" spans="1:6" ht="15" customHeight="1">
      <c r="A168" s="905"/>
      <c r="B168" s="886"/>
      <c r="C168" s="887"/>
      <c r="D168" s="906"/>
      <c r="E168" s="877">
        <f t="shared" si="2"/>
        <v>0</v>
      </c>
      <c r="F168" s="888"/>
    </row>
    <row r="169" spans="1:6" ht="15" customHeight="1">
      <c r="A169" s="905"/>
      <c r="B169" s="886"/>
      <c r="C169" s="887"/>
      <c r="D169" s="906"/>
      <c r="E169" s="877">
        <f t="shared" si="2"/>
        <v>0</v>
      </c>
      <c r="F169" s="888"/>
    </row>
    <row r="170" spans="1:6" ht="15" customHeight="1">
      <c r="A170" s="905"/>
      <c r="B170" s="886"/>
      <c r="C170" s="887"/>
      <c r="D170" s="906"/>
      <c r="E170" s="877">
        <f t="shared" si="2"/>
        <v>0</v>
      </c>
      <c r="F170" s="888"/>
    </row>
    <row r="171" spans="1:6" ht="15" customHeight="1">
      <c r="A171" s="905"/>
      <c r="B171" s="886"/>
      <c r="C171" s="887"/>
      <c r="D171" s="906"/>
      <c r="E171" s="877">
        <f t="shared" si="2"/>
        <v>0</v>
      </c>
      <c r="F171" s="888"/>
    </row>
    <row r="172" spans="1:6" ht="15" customHeight="1">
      <c r="A172" s="905"/>
      <c r="B172" s="886"/>
      <c r="C172" s="887"/>
      <c r="D172" s="906"/>
      <c r="E172" s="877">
        <f t="shared" si="2"/>
        <v>0</v>
      </c>
      <c r="F172" s="888"/>
    </row>
    <row r="173" spans="1:6" ht="15" customHeight="1">
      <c r="A173" s="905"/>
      <c r="B173" s="886"/>
      <c r="C173" s="887"/>
      <c r="D173" s="906"/>
      <c r="E173" s="877">
        <f t="shared" si="2"/>
        <v>0</v>
      </c>
      <c r="F173" s="888"/>
    </row>
    <row r="174" spans="1:6" ht="15" customHeight="1">
      <c r="A174" s="905"/>
      <c r="B174" s="886"/>
      <c r="C174" s="887"/>
      <c r="D174" s="906"/>
      <c r="E174" s="877">
        <f t="shared" si="2"/>
        <v>0</v>
      </c>
      <c r="F174" s="888"/>
    </row>
    <row r="175" spans="1:6" ht="15" customHeight="1">
      <c r="A175" s="905"/>
      <c r="B175" s="886"/>
      <c r="C175" s="887"/>
      <c r="D175" s="906"/>
      <c r="E175" s="877">
        <f t="shared" si="2"/>
        <v>0</v>
      </c>
      <c r="F175" s="888"/>
    </row>
    <row r="176" spans="1:6" ht="15" customHeight="1">
      <c r="A176" s="905"/>
      <c r="B176" s="886"/>
      <c r="C176" s="887"/>
      <c r="D176" s="906"/>
      <c r="E176" s="877">
        <f t="shared" si="2"/>
        <v>0</v>
      </c>
      <c r="F176" s="888"/>
    </row>
    <row r="177" spans="1:6" ht="15" customHeight="1">
      <c r="A177" s="905"/>
      <c r="B177" s="886"/>
      <c r="C177" s="887"/>
      <c r="D177" s="906"/>
      <c r="E177" s="877">
        <f t="shared" si="2"/>
        <v>0</v>
      </c>
      <c r="F177" s="888"/>
    </row>
    <row r="178" spans="1:6" ht="15" customHeight="1">
      <c r="A178" s="905"/>
      <c r="B178" s="886"/>
      <c r="C178" s="887"/>
      <c r="D178" s="906"/>
      <c r="E178" s="877">
        <f t="shared" si="2"/>
        <v>0</v>
      </c>
      <c r="F178" s="888"/>
    </row>
    <row r="179" spans="1:6" ht="15" customHeight="1">
      <c r="A179" s="905"/>
      <c r="B179" s="886"/>
      <c r="C179" s="887"/>
      <c r="D179" s="906"/>
      <c r="E179" s="877">
        <f t="shared" si="2"/>
        <v>0</v>
      </c>
      <c r="F179" s="888"/>
    </row>
    <row r="180" spans="1:6" ht="15" customHeight="1">
      <c r="A180" s="905"/>
      <c r="B180" s="886"/>
      <c r="C180" s="887"/>
      <c r="D180" s="906"/>
      <c r="E180" s="877">
        <f t="shared" si="2"/>
        <v>0</v>
      </c>
      <c r="F180" s="888"/>
    </row>
    <row r="181" spans="1:6" ht="15" customHeight="1">
      <c r="A181" s="905"/>
      <c r="B181" s="886"/>
      <c r="C181" s="887"/>
      <c r="D181" s="906"/>
      <c r="E181" s="877">
        <f t="shared" si="2"/>
        <v>0</v>
      </c>
      <c r="F181" s="888"/>
    </row>
    <row r="182" spans="1:6" ht="15" customHeight="1">
      <c r="A182" s="905"/>
      <c r="B182" s="886"/>
      <c r="C182" s="887"/>
      <c r="D182" s="906"/>
      <c r="E182" s="877">
        <f t="shared" si="2"/>
        <v>0</v>
      </c>
      <c r="F182" s="888"/>
    </row>
    <row r="183" spans="1:6" ht="15" customHeight="1">
      <c r="A183" s="905"/>
      <c r="B183" s="886"/>
      <c r="C183" s="887"/>
      <c r="D183" s="906"/>
      <c r="E183" s="877">
        <f t="shared" si="2"/>
        <v>0</v>
      </c>
      <c r="F183" s="888"/>
    </row>
    <row r="184" spans="1:6" ht="15" customHeight="1">
      <c r="A184" s="905"/>
      <c r="B184" s="886"/>
      <c r="C184" s="887"/>
      <c r="D184" s="906"/>
      <c r="E184" s="877">
        <f t="shared" si="2"/>
        <v>0</v>
      </c>
      <c r="F184" s="888"/>
    </row>
    <row r="185" spans="1:6" ht="15" customHeight="1">
      <c r="A185" s="905"/>
      <c r="B185" s="886"/>
      <c r="C185" s="887"/>
      <c r="D185" s="906"/>
      <c r="E185" s="877">
        <f t="shared" si="2"/>
        <v>0</v>
      </c>
      <c r="F185" s="888"/>
    </row>
    <row r="186" spans="1:6" ht="15" customHeight="1">
      <c r="A186" s="905"/>
      <c r="B186" s="886"/>
      <c r="C186" s="887"/>
      <c r="D186" s="906"/>
      <c r="E186" s="877">
        <f t="shared" si="2"/>
        <v>0</v>
      </c>
      <c r="F186" s="888"/>
    </row>
    <row r="187" spans="1:6" ht="15" customHeight="1">
      <c r="A187" s="905"/>
      <c r="B187" s="886"/>
      <c r="C187" s="887"/>
      <c r="D187" s="906"/>
      <c r="E187" s="877">
        <f t="shared" si="2"/>
        <v>0</v>
      </c>
      <c r="F187" s="888"/>
    </row>
    <row r="188" spans="1:6" ht="15" customHeight="1">
      <c r="A188" s="905"/>
      <c r="B188" s="886"/>
      <c r="C188" s="887"/>
      <c r="D188" s="906"/>
      <c r="E188" s="877">
        <f t="shared" si="2"/>
        <v>0</v>
      </c>
      <c r="F188" s="888"/>
    </row>
    <row r="189" spans="1:6" ht="15" customHeight="1">
      <c r="A189" s="905"/>
      <c r="B189" s="886"/>
      <c r="C189" s="887"/>
      <c r="D189" s="906"/>
      <c r="E189" s="877">
        <f t="shared" si="2"/>
        <v>0</v>
      </c>
      <c r="F189" s="888"/>
    </row>
    <row r="190" spans="1:6" ht="15" customHeight="1">
      <c r="A190" s="905"/>
      <c r="B190" s="886"/>
      <c r="C190" s="887"/>
      <c r="D190" s="906"/>
      <c r="E190" s="877">
        <f t="shared" si="2"/>
        <v>0</v>
      </c>
      <c r="F190" s="888"/>
    </row>
    <row r="191" spans="1:6" ht="15" customHeight="1">
      <c r="A191" s="905"/>
      <c r="B191" s="886"/>
      <c r="C191" s="887"/>
      <c r="D191" s="906"/>
      <c r="E191" s="877">
        <f t="shared" si="2"/>
        <v>0</v>
      </c>
      <c r="F191" s="888"/>
    </row>
    <row r="192" spans="1:6" ht="15" customHeight="1">
      <c r="A192" s="905"/>
      <c r="B192" s="886"/>
      <c r="C192" s="887"/>
      <c r="D192" s="906"/>
      <c r="E192" s="877">
        <f t="shared" si="2"/>
        <v>0</v>
      </c>
      <c r="F192" s="888"/>
    </row>
    <row r="193" spans="1:6" ht="15" customHeight="1">
      <c r="A193" s="905"/>
      <c r="B193" s="886"/>
      <c r="C193" s="887"/>
      <c r="D193" s="906"/>
      <c r="E193" s="877">
        <f t="shared" si="2"/>
        <v>0</v>
      </c>
      <c r="F193" s="888"/>
    </row>
    <row r="194" spans="1:6" ht="15" customHeight="1">
      <c r="A194" s="905"/>
      <c r="B194" s="886"/>
      <c r="C194" s="887"/>
      <c r="D194" s="906"/>
      <c r="E194" s="877">
        <f t="shared" si="2"/>
        <v>0</v>
      </c>
      <c r="F194" s="888"/>
    </row>
    <row r="195" spans="1:6" ht="15" customHeight="1">
      <c r="A195" s="905"/>
      <c r="B195" s="886"/>
      <c r="C195" s="887"/>
      <c r="D195" s="906"/>
      <c r="E195" s="877">
        <f t="shared" si="2"/>
        <v>0</v>
      </c>
      <c r="F195" s="888"/>
    </row>
    <row r="196" spans="1:6" ht="15" customHeight="1">
      <c r="A196" s="905"/>
      <c r="B196" s="886"/>
      <c r="C196" s="887"/>
      <c r="D196" s="906"/>
      <c r="E196" s="877">
        <f t="shared" si="2"/>
        <v>0</v>
      </c>
      <c r="F196" s="888"/>
    </row>
    <row r="197" spans="1:6" ht="15" customHeight="1">
      <c r="A197" s="905"/>
      <c r="B197" s="886"/>
      <c r="C197" s="887"/>
      <c r="D197" s="906"/>
      <c r="E197" s="877">
        <f t="shared" si="2"/>
        <v>0</v>
      </c>
      <c r="F197" s="888"/>
    </row>
    <row r="198" spans="1:6" ht="15" customHeight="1">
      <c r="A198" s="905"/>
      <c r="B198" s="886"/>
      <c r="C198" s="887"/>
      <c r="D198" s="906"/>
      <c r="E198" s="877">
        <f t="shared" si="2"/>
        <v>0</v>
      </c>
      <c r="F198" s="888"/>
    </row>
    <row r="199" spans="1:6" ht="15" customHeight="1">
      <c r="A199" s="905"/>
      <c r="B199" s="886"/>
      <c r="C199" s="887"/>
      <c r="D199" s="906"/>
      <c r="E199" s="877">
        <f t="shared" si="2"/>
        <v>0</v>
      </c>
      <c r="F199" s="888"/>
    </row>
    <row r="200" spans="1:6" ht="15" customHeight="1">
      <c r="A200" s="905"/>
      <c r="B200" s="886"/>
      <c r="C200" s="887"/>
      <c r="D200" s="906"/>
      <c r="E200" s="877">
        <f t="shared" si="2"/>
        <v>0</v>
      </c>
      <c r="F200" s="888"/>
    </row>
    <row r="201" spans="1:6" ht="15" customHeight="1">
      <c r="A201" s="905"/>
      <c r="B201" s="886"/>
      <c r="C201" s="887"/>
      <c r="D201" s="906"/>
      <c r="E201" s="877">
        <f t="shared" si="2"/>
        <v>0</v>
      </c>
      <c r="F201" s="888"/>
    </row>
    <row r="202" spans="1:6" ht="15" customHeight="1">
      <c r="A202" s="905"/>
      <c r="B202" s="886"/>
      <c r="C202" s="887"/>
      <c r="D202" s="906"/>
      <c r="E202" s="877">
        <f t="shared" si="2"/>
        <v>0</v>
      </c>
      <c r="F202" s="888"/>
    </row>
    <row r="203" spans="1:6" ht="15" customHeight="1">
      <c r="A203" s="905"/>
      <c r="B203" s="886"/>
      <c r="C203" s="887"/>
      <c r="D203" s="906"/>
      <c r="E203" s="877">
        <f t="shared" si="2"/>
        <v>0</v>
      </c>
      <c r="F203" s="888"/>
    </row>
    <row r="204" spans="1:6" ht="15" customHeight="1">
      <c r="A204" s="905"/>
      <c r="B204" s="886"/>
      <c r="C204" s="887"/>
      <c r="D204" s="906"/>
      <c r="E204" s="877">
        <f t="shared" si="2"/>
        <v>0</v>
      </c>
      <c r="F204" s="888"/>
    </row>
    <row r="205" spans="1:6" ht="15" customHeight="1">
      <c r="A205" s="905"/>
      <c r="B205" s="886"/>
      <c r="C205" s="887"/>
      <c r="D205" s="906"/>
      <c r="E205" s="877">
        <f t="shared" si="2"/>
        <v>0</v>
      </c>
      <c r="F205" s="888"/>
    </row>
    <row r="206" spans="1:6" ht="15" customHeight="1">
      <c r="A206" s="905"/>
      <c r="B206" s="886"/>
      <c r="C206" s="887"/>
      <c r="D206" s="906"/>
      <c r="E206" s="877">
        <f t="shared" si="2"/>
        <v>0</v>
      </c>
      <c r="F206" s="888"/>
    </row>
    <row r="207" spans="1:6" ht="15" customHeight="1">
      <c r="A207" s="905"/>
      <c r="B207" s="886"/>
      <c r="C207" s="887"/>
      <c r="D207" s="906"/>
      <c r="E207" s="877">
        <f t="shared" si="2"/>
        <v>0</v>
      </c>
      <c r="F207" s="888"/>
    </row>
    <row r="208" spans="1:6" ht="15" customHeight="1">
      <c r="A208" s="905"/>
      <c r="B208" s="886"/>
      <c r="C208" s="887"/>
      <c r="D208" s="906"/>
      <c r="E208" s="877">
        <f t="shared" si="2"/>
        <v>0</v>
      </c>
      <c r="F208" s="888"/>
    </row>
    <row r="209" spans="1:6" ht="15" customHeight="1">
      <c r="A209" s="905"/>
      <c r="B209" s="886"/>
      <c r="C209" s="887"/>
      <c r="D209" s="906"/>
      <c r="E209" s="877">
        <f t="shared" si="2"/>
        <v>0</v>
      </c>
      <c r="F209" s="888"/>
    </row>
    <row r="210" spans="1:6" ht="15" customHeight="1">
      <c r="A210" s="905"/>
      <c r="B210" s="886"/>
      <c r="C210" s="887"/>
      <c r="D210" s="906"/>
      <c r="E210" s="877">
        <f t="shared" ref="E210:E273" si="3">B210-C210+D210</f>
        <v>0</v>
      </c>
      <c r="F210" s="888"/>
    </row>
    <row r="211" spans="1:6" ht="15" customHeight="1">
      <c r="A211" s="905"/>
      <c r="B211" s="886"/>
      <c r="C211" s="887"/>
      <c r="D211" s="906"/>
      <c r="E211" s="877">
        <f t="shared" si="3"/>
        <v>0</v>
      </c>
      <c r="F211" s="888"/>
    </row>
    <row r="212" spans="1:6" ht="15" customHeight="1">
      <c r="A212" s="905"/>
      <c r="B212" s="886"/>
      <c r="C212" s="887"/>
      <c r="D212" s="906"/>
      <c r="E212" s="877">
        <f t="shared" si="3"/>
        <v>0</v>
      </c>
      <c r="F212" s="888"/>
    </row>
    <row r="213" spans="1:6" ht="15" customHeight="1">
      <c r="A213" s="905"/>
      <c r="B213" s="886"/>
      <c r="C213" s="887"/>
      <c r="D213" s="906"/>
      <c r="E213" s="877">
        <f t="shared" si="3"/>
        <v>0</v>
      </c>
      <c r="F213" s="888"/>
    </row>
    <row r="214" spans="1:6" ht="15" customHeight="1">
      <c r="A214" s="905"/>
      <c r="B214" s="886"/>
      <c r="C214" s="887"/>
      <c r="D214" s="906"/>
      <c r="E214" s="877">
        <f t="shared" si="3"/>
        <v>0</v>
      </c>
      <c r="F214" s="888"/>
    </row>
    <row r="215" spans="1:6" ht="15" customHeight="1">
      <c r="A215" s="905"/>
      <c r="B215" s="886"/>
      <c r="C215" s="887"/>
      <c r="D215" s="906"/>
      <c r="E215" s="877">
        <f t="shared" si="3"/>
        <v>0</v>
      </c>
      <c r="F215" s="888"/>
    </row>
    <row r="216" spans="1:6" ht="15" customHeight="1">
      <c r="A216" s="905"/>
      <c r="B216" s="886"/>
      <c r="C216" s="887"/>
      <c r="D216" s="906"/>
      <c r="E216" s="877">
        <f t="shared" si="3"/>
        <v>0</v>
      </c>
      <c r="F216" s="888"/>
    </row>
    <row r="217" spans="1:6" ht="15" customHeight="1">
      <c r="A217" s="905"/>
      <c r="B217" s="886"/>
      <c r="C217" s="887"/>
      <c r="D217" s="906"/>
      <c r="E217" s="877">
        <f t="shared" si="3"/>
        <v>0</v>
      </c>
      <c r="F217" s="888"/>
    </row>
    <row r="218" spans="1:6" ht="15" customHeight="1">
      <c r="A218" s="905"/>
      <c r="B218" s="886"/>
      <c r="C218" s="887"/>
      <c r="D218" s="906"/>
      <c r="E218" s="877">
        <f t="shared" si="3"/>
        <v>0</v>
      </c>
      <c r="F218" s="888"/>
    </row>
    <row r="219" spans="1:6" ht="15" customHeight="1">
      <c r="A219" s="905"/>
      <c r="B219" s="886"/>
      <c r="C219" s="887"/>
      <c r="D219" s="906"/>
      <c r="E219" s="877">
        <f t="shared" si="3"/>
        <v>0</v>
      </c>
      <c r="F219" s="888"/>
    </row>
    <row r="220" spans="1:6" ht="15" customHeight="1">
      <c r="A220" s="905"/>
      <c r="B220" s="886"/>
      <c r="C220" s="887"/>
      <c r="D220" s="906"/>
      <c r="E220" s="877">
        <f t="shared" si="3"/>
        <v>0</v>
      </c>
      <c r="F220" s="888"/>
    </row>
    <row r="221" spans="1:6" ht="15" customHeight="1">
      <c r="A221" s="905"/>
      <c r="B221" s="886"/>
      <c r="C221" s="887"/>
      <c r="D221" s="906"/>
      <c r="E221" s="877">
        <f t="shared" si="3"/>
        <v>0</v>
      </c>
      <c r="F221" s="888"/>
    </row>
    <row r="222" spans="1:6" ht="15" customHeight="1">
      <c r="A222" s="905"/>
      <c r="B222" s="886"/>
      <c r="C222" s="887"/>
      <c r="D222" s="906"/>
      <c r="E222" s="877">
        <f t="shared" si="3"/>
        <v>0</v>
      </c>
      <c r="F222" s="888"/>
    </row>
    <row r="223" spans="1:6" ht="15" customHeight="1">
      <c r="A223" s="905"/>
      <c r="B223" s="886"/>
      <c r="C223" s="887"/>
      <c r="D223" s="906"/>
      <c r="E223" s="877">
        <f t="shared" si="3"/>
        <v>0</v>
      </c>
      <c r="F223" s="888"/>
    </row>
    <row r="224" spans="1:6" ht="15" customHeight="1">
      <c r="A224" s="905"/>
      <c r="B224" s="886"/>
      <c r="C224" s="887"/>
      <c r="D224" s="906"/>
      <c r="E224" s="877">
        <f t="shared" si="3"/>
        <v>0</v>
      </c>
      <c r="F224" s="888"/>
    </row>
    <row r="225" spans="1:6" ht="15" customHeight="1">
      <c r="A225" s="905"/>
      <c r="B225" s="886"/>
      <c r="C225" s="887"/>
      <c r="D225" s="906"/>
      <c r="E225" s="877">
        <f t="shared" si="3"/>
        <v>0</v>
      </c>
      <c r="F225" s="888"/>
    </row>
    <row r="226" spans="1:6" ht="15" customHeight="1">
      <c r="A226" s="905"/>
      <c r="B226" s="886"/>
      <c r="C226" s="887"/>
      <c r="D226" s="906"/>
      <c r="E226" s="877">
        <f t="shared" si="3"/>
        <v>0</v>
      </c>
      <c r="F226" s="888"/>
    </row>
    <row r="227" spans="1:6" ht="15" customHeight="1">
      <c r="A227" s="905"/>
      <c r="B227" s="886"/>
      <c r="C227" s="887"/>
      <c r="D227" s="906"/>
      <c r="E227" s="877">
        <f t="shared" si="3"/>
        <v>0</v>
      </c>
      <c r="F227" s="888"/>
    </row>
    <row r="228" spans="1:6" ht="15" customHeight="1">
      <c r="A228" s="905"/>
      <c r="B228" s="886"/>
      <c r="C228" s="887"/>
      <c r="D228" s="906"/>
      <c r="E228" s="877">
        <f t="shared" si="3"/>
        <v>0</v>
      </c>
      <c r="F228" s="888"/>
    </row>
    <row r="229" spans="1:6" ht="15" customHeight="1">
      <c r="A229" s="905"/>
      <c r="B229" s="886"/>
      <c r="C229" s="887"/>
      <c r="D229" s="906"/>
      <c r="E229" s="877">
        <f t="shared" si="3"/>
        <v>0</v>
      </c>
      <c r="F229" s="888"/>
    </row>
    <row r="230" spans="1:6" ht="15" customHeight="1">
      <c r="A230" s="905"/>
      <c r="B230" s="886"/>
      <c r="C230" s="887"/>
      <c r="D230" s="906"/>
      <c r="E230" s="877">
        <f t="shared" si="3"/>
        <v>0</v>
      </c>
      <c r="F230" s="888"/>
    </row>
    <row r="231" spans="1:6" ht="15" customHeight="1">
      <c r="A231" s="905"/>
      <c r="B231" s="886"/>
      <c r="C231" s="887"/>
      <c r="D231" s="906"/>
      <c r="E231" s="877">
        <f t="shared" si="3"/>
        <v>0</v>
      </c>
      <c r="F231" s="888"/>
    </row>
    <row r="232" spans="1:6" ht="15" customHeight="1">
      <c r="A232" s="905"/>
      <c r="B232" s="886"/>
      <c r="C232" s="887"/>
      <c r="D232" s="906"/>
      <c r="E232" s="877">
        <f t="shared" si="3"/>
        <v>0</v>
      </c>
      <c r="F232" s="888"/>
    </row>
    <row r="233" spans="1:6" ht="15" customHeight="1">
      <c r="A233" s="905"/>
      <c r="B233" s="886"/>
      <c r="C233" s="887"/>
      <c r="D233" s="906"/>
      <c r="E233" s="877">
        <f t="shared" si="3"/>
        <v>0</v>
      </c>
      <c r="F233" s="888"/>
    </row>
    <row r="234" spans="1:6" ht="15" customHeight="1">
      <c r="A234" s="905"/>
      <c r="B234" s="886"/>
      <c r="C234" s="887"/>
      <c r="D234" s="906"/>
      <c r="E234" s="877">
        <f t="shared" si="3"/>
        <v>0</v>
      </c>
      <c r="F234" s="888"/>
    </row>
    <row r="235" spans="1:6" ht="15" customHeight="1">
      <c r="A235" s="905"/>
      <c r="B235" s="886"/>
      <c r="C235" s="887"/>
      <c r="D235" s="906"/>
      <c r="E235" s="877">
        <f t="shared" si="3"/>
        <v>0</v>
      </c>
      <c r="F235" s="888"/>
    </row>
    <row r="236" spans="1:6" ht="15" customHeight="1">
      <c r="A236" s="905"/>
      <c r="B236" s="886"/>
      <c r="C236" s="887"/>
      <c r="D236" s="906"/>
      <c r="E236" s="877">
        <f t="shared" si="3"/>
        <v>0</v>
      </c>
      <c r="F236" s="888"/>
    </row>
    <row r="237" spans="1:6" ht="15" customHeight="1">
      <c r="A237" s="905"/>
      <c r="B237" s="886"/>
      <c r="C237" s="887"/>
      <c r="D237" s="906"/>
      <c r="E237" s="877">
        <f t="shared" si="3"/>
        <v>0</v>
      </c>
      <c r="F237" s="888"/>
    </row>
    <row r="238" spans="1:6" ht="15" customHeight="1">
      <c r="A238" s="905"/>
      <c r="B238" s="886"/>
      <c r="C238" s="887"/>
      <c r="D238" s="906"/>
      <c r="E238" s="877">
        <f t="shared" si="3"/>
        <v>0</v>
      </c>
      <c r="F238" s="888"/>
    </row>
    <row r="239" spans="1:6" ht="15" customHeight="1">
      <c r="A239" s="905"/>
      <c r="B239" s="886"/>
      <c r="C239" s="887"/>
      <c r="D239" s="906"/>
      <c r="E239" s="877">
        <f t="shared" si="3"/>
        <v>0</v>
      </c>
      <c r="F239" s="888"/>
    </row>
    <row r="240" spans="1:6" ht="15" customHeight="1">
      <c r="A240" s="905"/>
      <c r="B240" s="886"/>
      <c r="C240" s="887"/>
      <c r="D240" s="906"/>
      <c r="E240" s="877">
        <f t="shared" si="3"/>
        <v>0</v>
      </c>
      <c r="F240" s="888"/>
    </row>
    <row r="241" spans="1:6" ht="15" customHeight="1">
      <c r="A241" s="905"/>
      <c r="B241" s="886"/>
      <c r="C241" s="887"/>
      <c r="D241" s="906"/>
      <c r="E241" s="877">
        <f t="shared" si="3"/>
        <v>0</v>
      </c>
      <c r="F241" s="888"/>
    </row>
    <row r="242" spans="1:6" ht="15" customHeight="1">
      <c r="A242" s="905"/>
      <c r="B242" s="886"/>
      <c r="C242" s="887"/>
      <c r="D242" s="906"/>
      <c r="E242" s="877">
        <f t="shared" si="3"/>
        <v>0</v>
      </c>
      <c r="F242" s="888"/>
    </row>
    <row r="243" spans="1:6" ht="15" customHeight="1">
      <c r="A243" s="905"/>
      <c r="B243" s="886"/>
      <c r="C243" s="887"/>
      <c r="D243" s="906"/>
      <c r="E243" s="877">
        <f t="shared" si="3"/>
        <v>0</v>
      </c>
      <c r="F243" s="888"/>
    </row>
    <row r="244" spans="1:6" ht="15" customHeight="1">
      <c r="A244" s="905"/>
      <c r="B244" s="886"/>
      <c r="C244" s="887"/>
      <c r="D244" s="906"/>
      <c r="E244" s="877">
        <f t="shared" si="3"/>
        <v>0</v>
      </c>
      <c r="F244" s="888"/>
    </row>
    <row r="245" spans="1:6" ht="15" customHeight="1">
      <c r="A245" s="905"/>
      <c r="B245" s="886"/>
      <c r="C245" s="887"/>
      <c r="D245" s="906"/>
      <c r="E245" s="877">
        <f t="shared" si="3"/>
        <v>0</v>
      </c>
      <c r="F245" s="888"/>
    </row>
    <row r="246" spans="1:6" ht="15" customHeight="1">
      <c r="A246" s="905"/>
      <c r="B246" s="886"/>
      <c r="C246" s="887"/>
      <c r="D246" s="906"/>
      <c r="E246" s="877">
        <f t="shared" si="3"/>
        <v>0</v>
      </c>
      <c r="F246" s="888"/>
    </row>
    <row r="247" spans="1:6" ht="15" customHeight="1">
      <c r="A247" s="905"/>
      <c r="B247" s="886"/>
      <c r="C247" s="887"/>
      <c r="D247" s="906"/>
      <c r="E247" s="877">
        <f t="shared" si="3"/>
        <v>0</v>
      </c>
      <c r="F247" s="888"/>
    </row>
    <row r="248" spans="1:6" ht="15" customHeight="1">
      <c r="A248" s="905"/>
      <c r="B248" s="886"/>
      <c r="C248" s="887"/>
      <c r="D248" s="906"/>
      <c r="E248" s="877">
        <f t="shared" si="3"/>
        <v>0</v>
      </c>
      <c r="F248" s="888"/>
    </row>
    <row r="249" spans="1:6" ht="15" customHeight="1">
      <c r="A249" s="905"/>
      <c r="B249" s="886"/>
      <c r="C249" s="887"/>
      <c r="D249" s="906"/>
      <c r="E249" s="877">
        <f t="shared" si="3"/>
        <v>0</v>
      </c>
      <c r="F249" s="888"/>
    </row>
    <row r="250" spans="1:6" ht="15" customHeight="1">
      <c r="A250" s="905"/>
      <c r="B250" s="886"/>
      <c r="C250" s="887"/>
      <c r="D250" s="906"/>
      <c r="E250" s="877">
        <f t="shared" si="3"/>
        <v>0</v>
      </c>
      <c r="F250" s="888"/>
    </row>
    <row r="251" spans="1:6" ht="15" customHeight="1">
      <c r="A251" s="905"/>
      <c r="B251" s="886"/>
      <c r="C251" s="887"/>
      <c r="D251" s="906"/>
      <c r="E251" s="877">
        <f t="shared" si="3"/>
        <v>0</v>
      </c>
      <c r="F251" s="888"/>
    </row>
    <row r="252" spans="1:6" ht="15" customHeight="1">
      <c r="A252" s="905"/>
      <c r="B252" s="886"/>
      <c r="C252" s="887"/>
      <c r="D252" s="906"/>
      <c r="E252" s="877">
        <f t="shared" si="3"/>
        <v>0</v>
      </c>
      <c r="F252" s="888"/>
    </row>
    <row r="253" spans="1:6" ht="15" customHeight="1">
      <c r="A253" s="905"/>
      <c r="B253" s="886"/>
      <c r="C253" s="887"/>
      <c r="D253" s="906"/>
      <c r="E253" s="877">
        <f t="shared" si="3"/>
        <v>0</v>
      </c>
      <c r="F253" s="888"/>
    </row>
    <row r="254" spans="1:6" ht="15" customHeight="1">
      <c r="A254" s="905"/>
      <c r="B254" s="886"/>
      <c r="C254" s="887"/>
      <c r="D254" s="906"/>
      <c r="E254" s="877">
        <f t="shared" si="3"/>
        <v>0</v>
      </c>
      <c r="F254" s="888"/>
    </row>
    <row r="255" spans="1:6" ht="15" customHeight="1">
      <c r="A255" s="905"/>
      <c r="B255" s="886"/>
      <c r="C255" s="887"/>
      <c r="D255" s="906"/>
      <c r="E255" s="877">
        <f t="shared" si="3"/>
        <v>0</v>
      </c>
      <c r="F255" s="888"/>
    </row>
    <row r="256" spans="1:6" ht="15" customHeight="1">
      <c r="A256" s="905"/>
      <c r="B256" s="886"/>
      <c r="C256" s="887"/>
      <c r="D256" s="906"/>
      <c r="E256" s="877">
        <f t="shared" si="3"/>
        <v>0</v>
      </c>
      <c r="F256" s="888"/>
    </row>
    <row r="257" spans="1:6" ht="15" customHeight="1">
      <c r="A257" s="905"/>
      <c r="B257" s="886"/>
      <c r="C257" s="887"/>
      <c r="D257" s="906"/>
      <c r="E257" s="877">
        <f t="shared" si="3"/>
        <v>0</v>
      </c>
      <c r="F257" s="888"/>
    </row>
    <row r="258" spans="1:6" ht="15" customHeight="1">
      <c r="A258" s="905"/>
      <c r="B258" s="886"/>
      <c r="C258" s="887"/>
      <c r="D258" s="906"/>
      <c r="E258" s="877">
        <f t="shared" si="3"/>
        <v>0</v>
      </c>
      <c r="F258" s="888"/>
    </row>
    <row r="259" spans="1:6" ht="15" customHeight="1">
      <c r="A259" s="905"/>
      <c r="B259" s="886"/>
      <c r="C259" s="887"/>
      <c r="D259" s="906"/>
      <c r="E259" s="877">
        <f t="shared" si="3"/>
        <v>0</v>
      </c>
      <c r="F259" s="888"/>
    </row>
    <row r="260" spans="1:6" ht="15" customHeight="1">
      <c r="A260" s="905"/>
      <c r="B260" s="886"/>
      <c r="C260" s="887"/>
      <c r="D260" s="906"/>
      <c r="E260" s="877">
        <f t="shared" si="3"/>
        <v>0</v>
      </c>
      <c r="F260" s="888"/>
    </row>
    <row r="261" spans="1:6" ht="15" customHeight="1">
      <c r="A261" s="905"/>
      <c r="B261" s="886"/>
      <c r="C261" s="887"/>
      <c r="D261" s="906"/>
      <c r="E261" s="877">
        <f t="shared" si="3"/>
        <v>0</v>
      </c>
      <c r="F261" s="888"/>
    </row>
    <row r="262" spans="1:6" ht="15" customHeight="1">
      <c r="A262" s="905"/>
      <c r="B262" s="886"/>
      <c r="C262" s="887"/>
      <c r="D262" s="906"/>
      <c r="E262" s="877">
        <f t="shared" si="3"/>
        <v>0</v>
      </c>
      <c r="F262" s="888"/>
    </row>
    <row r="263" spans="1:6" ht="15" customHeight="1">
      <c r="A263" s="905"/>
      <c r="B263" s="886"/>
      <c r="C263" s="887"/>
      <c r="D263" s="906"/>
      <c r="E263" s="877">
        <f t="shared" si="3"/>
        <v>0</v>
      </c>
      <c r="F263" s="888"/>
    </row>
    <row r="264" spans="1:6" ht="15" customHeight="1">
      <c r="A264" s="905"/>
      <c r="B264" s="886"/>
      <c r="C264" s="887"/>
      <c r="D264" s="906"/>
      <c r="E264" s="877">
        <f t="shared" si="3"/>
        <v>0</v>
      </c>
      <c r="F264" s="888"/>
    </row>
    <row r="265" spans="1:6" ht="15" customHeight="1">
      <c r="A265" s="905"/>
      <c r="B265" s="886"/>
      <c r="C265" s="887"/>
      <c r="D265" s="906"/>
      <c r="E265" s="877">
        <f t="shared" si="3"/>
        <v>0</v>
      </c>
      <c r="F265" s="888"/>
    </row>
    <row r="266" spans="1:6" ht="15" customHeight="1">
      <c r="A266" s="905"/>
      <c r="B266" s="886"/>
      <c r="C266" s="887"/>
      <c r="D266" s="906"/>
      <c r="E266" s="877">
        <f t="shared" si="3"/>
        <v>0</v>
      </c>
      <c r="F266" s="888"/>
    </row>
    <row r="267" spans="1:6" ht="15" customHeight="1">
      <c r="A267" s="905"/>
      <c r="B267" s="886"/>
      <c r="C267" s="887"/>
      <c r="D267" s="906"/>
      <c r="E267" s="877">
        <f t="shared" si="3"/>
        <v>0</v>
      </c>
      <c r="F267" s="888"/>
    </row>
    <row r="268" spans="1:6" ht="15" customHeight="1">
      <c r="A268" s="905"/>
      <c r="B268" s="886"/>
      <c r="C268" s="887"/>
      <c r="D268" s="906"/>
      <c r="E268" s="877">
        <f t="shared" si="3"/>
        <v>0</v>
      </c>
      <c r="F268" s="888"/>
    </row>
    <row r="269" spans="1:6" ht="15" customHeight="1">
      <c r="A269" s="905"/>
      <c r="B269" s="886"/>
      <c r="C269" s="887"/>
      <c r="D269" s="906"/>
      <c r="E269" s="877">
        <f t="shared" si="3"/>
        <v>0</v>
      </c>
      <c r="F269" s="888"/>
    </row>
    <row r="270" spans="1:6" ht="15" customHeight="1">
      <c r="A270" s="905"/>
      <c r="B270" s="886"/>
      <c r="C270" s="887"/>
      <c r="D270" s="906"/>
      <c r="E270" s="877">
        <f t="shared" si="3"/>
        <v>0</v>
      </c>
      <c r="F270" s="888"/>
    </row>
    <row r="271" spans="1:6" ht="15" customHeight="1">
      <c r="A271" s="905"/>
      <c r="B271" s="886"/>
      <c r="C271" s="887"/>
      <c r="D271" s="906"/>
      <c r="E271" s="877">
        <f t="shared" si="3"/>
        <v>0</v>
      </c>
      <c r="F271" s="888"/>
    </row>
    <row r="272" spans="1:6" ht="15" customHeight="1">
      <c r="A272" s="905"/>
      <c r="B272" s="886"/>
      <c r="C272" s="887"/>
      <c r="D272" s="906"/>
      <c r="E272" s="877">
        <f t="shared" si="3"/>
        <v>0</v>
      </c>
      <c r="F272" s="888"/>
    </row>
    <row r="273" spans="1:6" ht="15" customHeight="1">
      <c r="A273" s="905"/>
      <c r="B273" s="886"/>
      <c r="C273" s="887"/>
      <c r="D273" s="906"/>
      <c r="E273" s="877">
        <f t="shared" si="3"/>
        <v>0</v>
      </c>
      <c r="F273" s="888"/>
    </row>
    <row r="274" spans="1:6" ht="15" customHeight="1">
      <c r="A274" s="905"/>
      <c r="B274" s="886"/>
      <c r="C274" s="887"/>
      <c r="D274" s="906"/>
      <c r="E274" s="877">
        <f t="shared" ref="E274:E305" si="4">B274-C274+D274</f>
        <v>0</v>
      </c>
      <c r="F274" s="888"/>
    </row>
    <row r="275" spans="1:6" ht="15" customHeight="1">
      <c r="A275" s="905"/>
      <c r="B275" s="886"/>
      <c r="C275" s="887"/>
      <c r="D275" s="906"/>
      <c r="E275" s="877">
        <f t="shared" si="4"/>
        <v>0</v>
      </c>
      <c r="F275" s="888"/>
    </row>
    <row r="276" spans="1:6" ht="15" customHeight="1">
      <c r="A276" s="905"/>
      <c r="B276" s="886"/>
      <c r="C276" s="887"/>
      <c r="D276" s="906"/>
      <c r="E276" s="877">
        <f t="shared" si="4"/>
        <v>0</v>
      </c>
      <c r="F276" s="888"/>
    </row>
    <row r="277" spans="1:6" ht="15" customHeight="1">
      <c r="A277" s="905"/>
      <c r="B277" s="886"/>
      <c r="C277" s="887"/>
      <c r="D277" s="906"/>
      <c r="E277" s="877">
        <f t="shared" si="4"/>
        <v>0</v>
      </c>
      <c r="F277" s="888"/>
    </row>
    <row r="278" spans="1:6" ht="15" customHeight="1">
      <c r="A278" s="905"/>
      <c r="B278" s="886"/>
      <c r="C278" s="887"/>
      <c r="D278" s="906"/>
      <c r="E278" s="877">
        <f t="shared" si="4"/>
        <v>0</v>
      </c>
      <c r="F278" s="888"/>
    </row>
    <row r="279" spans="1:6" ht="15" customHeight="1">
      <c r="A279" s="905"/>
      <c r="B279" s="886"/>
      <c r="C279" s="887"/>
      <c r="D279" s="906"/>
      <c r="E279" s="877">
        <f t="shared" si="4"/>
        <v>0</v>
      </c>
      <c r="F279" s="888"/>
    </row>
    <row r="280" spans="1:6" ht="15" customHeight="1">
      <c r="A280" s="905"/>
      <c r="B280" s="886"/>
      <c r="C280" s="887"/>
      <c r="D280" s="906"/>
      <c r="E280" s="877">
        <f t="shared" si="4"/>
        <v>0</v>
      </c>
      <c r="F280" s="888"/>
    </row>
    <row r="281" spans="1:6" ht="15" customHeight="1">
      <c r="A281" s="905"/>
      <c r="B281" s="886"/>
      <c r="C281" s="887"/>
      <c r="D281" s="906"/>
      <c r="E281" s="877">
        <f t="shared" si="4"/>
        <v>0</v>
      </c>
      <c r="F281" s="888"/>
    </row>
    <row r="282" spans="1:6" ht="15" customHeight="1">
      <c r="A282" s="905"/>
      <c r="B282" s="886"/>
      <c r="C282" s="887"/>
      <c r="D282" s="906"/>
      <c r="E282" s="877">
        <f t="shared" si="4"/>
        <v>0</v>
      </c>
      <c r="F282" s="888"/>
    </row>
    <row r="283" spans="1:6" ht="15" customHeight="1">
      <c r="A283" s="905"/>
      <c r="B283" s="886"/>
      <c r="C283" s="887"/>
      <c r="D283" s="906"/>
      <c r="E283" s="877">
        <f t="shared" si="4"/>
        <v>0</v>
      </c>
      <c r="F283" s="888"/>
    </row>
    <row r="284" spans="1:6" ht="15" customHeight="1">
      <c r="A284" s="905"/>
      <c r="B284" s="886"/>
      <c r="C284" s="887"/>
      <c r="D284" s="906"/>
      <c r="E284" s="877">
        <f t="shared" si="4"/>
        <v>0</v>
      </c>
      <c r="F284" s="888"/>
    </row>
    <row r="285" spans="1:6" ht="15" customHeight="1">
      <c r="A285" s="905"/>
      <c r="B285" s="886"/>
      <c r="C285" s="887"/>
      <c r="D285" s="906"/>
      <c r="E285" s="877">
        <f t="shared" si="4"/>
        <v>0</v>
      </c>
      <c r="F285" s="888"/>
    </row>
    <row r="286" spans="1:6" ht="15" customHeight="1">
      <c r="A286" s="905"/>
      <c r="B286" s="886"/>
      <c r="C286" s="887"/>
      <c r="D286" s="906"/>
      <c r="E286" s="877">
        <f t="shared" si="4"/>
        <v>0</v>
      </c>
      <c r="F286" s="888"/>
    </row>
    <row r="287" spans="1:6" ht="15" customHeight="1">
      <c r="A287" s="905"/>
      <c r="B287" s="886"/>
      <c r="C287" s="887"/>
      <c r="D287" s="906"/>
      <c r="E287" s="877">
        <f t="shared" si="4"/>
        <v>0</v>
      </c>
      <c r="F287" s="888"/>
    </row>
    <row r="288" spans="1:6" ht="15" customHeight="1">
      <c r="A288" s="905"/>
      <c r="B288" s="886"/>
      <c r="C288" s="887"/>
      <c r="D288" s="906"/>
      <c r="E288" s="877">
        <f t="shared" si="4"/>
        <v>0</v>
      </c>
      <c r="F288" s="888"/>
    </row>
    <row r="289" spans="1:6" ht="15" customHeight="1">
      <c r="A289" s="905"/>
      <c r="B289" s="886"/>
      <c r="C289" s="887"/>
      <c r="D289" s="906"/>
      <c r="E289" s="877">
        <f t="shared" si="4"/>
        <v>0</v>
      </c>
      <c r="F289" s="888"/>
    </row>
    <row r="290" spans="1:6" ht="15" customHeight="1">
      <c r="A290" s="905"/>
      <c r="B290" s="886"/>
      <c r="C290" s="887"/>
      <c r="D290" s="906"/>
      <c r="E290" s="877">
        <f t="shared" si="4"/>
        <v>0</v>
      </c>
      <c r="F290" s="888"/>
    </row>
    <row r="291" spans="1:6" ht="15" customHeight="1">
      <c r="A291" s="905"/>
      <c r="B291" s="886"/>
      <c r="C291" s="887"/>
      <c r="D291" s="906"/>
      <c r="E291" s="877">
        <f t="shared" si="4"/>
        <v>0</v>
      </c>
      <c r="F291" s="888"/>
    </row>
    <row r="292" spans="1:6" ht="15" customHeight="1">
      <c r="A292" s="905"/>
      <c r="B292" s="886"/>
      <c r="C292" s="887"/>
      <c r="D292" s="906"/>
      <c r="E292" s="877">
        <f t="shared" si="4"/>
        <v>0</v>
      </c>
      <c r="F292" s="888"/>
    </row>
    <row r="293" spans="1:6" ht="15" customHeight="1">
      <c r="A293" s="905"/>
      <c r="B293" s="886"/>
      <c r="C293" s="887"/>
      <c r="D293" s="906"/>
      <c r="E293" s="877">
        <f t="shared" si="4"/>
        <v>0</v>
      </c>
      <c r="F293" s="888"/>
    </row>
    <row r="294" spans="1:6" ht="15" customHeight="1">
      <c r="A294" s="905"/>
      <c r="B294" s="886"/>
      <c r="C294" s="887"/>
      <c r="D294" s="906"/>
      <c r="E294" s="877">
        <f t="shared" si="4"/>
        <v>0</v>
      </c>
      <c r="F294" s="888"/>
    </row>
    <row r="295" spans="1:6" ht="15" customHeight="1">
      <c r="A295" s="905"/>
      <c r="B295" s="886"/>
      <c r="C295" s="887"/>
      <c r="D295" s="906"/>
      <c r="E295" s="877">
        <f t="shared" si="4"/>
        <v>0</v>
      </c>
      <c r="F295" s="888"/>
    </row>
    <row r="296" spans="1:6" ht="15" customHeight="1">
      <c r="A296" s="905"/>
      <c r="B296" s="886"/>
      <c r="C296" s="887"/>
      <c r="D296" s="906"/>
      <c r="E296" s="877">
        <f t="shared" si="4"/>
        <v>0</v>
      </c>
      <c r="F296" s="888"/>
    </row>
    <row r="297" spans="1:6" ht="15" customHeight="1">
      <c r="A297" s="905"/>
      <c r="B297" s="886"/>
      <c r="C297" s="887"/>
      <c r="D297" s="906"/>
      <c r="E297" s="877">
        <f t="shared" si="4"/>
        <v>0</v>
      </c>
      <c r="F297" s="888"/>
    </row>
    <row r="298" spans="1:6" ht="15" customHeight="1">
      <c r="A298" s="905"/>
      <c r="B298" s="886"/>
      <c r="C298" s="887"/>
      <c r="D298" s="906"/>
      <c r="E298" s="877">
        <f t="shared" si="4"/>
        <v>0</v>
      </c>
      <c r="F298" s="888"/>
    </row>
    <row r="299" spans="1:6" ht="15" customHeight="1">
      <c r="A299" s="905"/>
      <c r="B299" s="886"/>
      <c r="C299" s="887"/>
      <c r="D299" s="906"/>
      <c r="E299" s="877">
        <f t="shared" si="4"/>
        <v>0</v>
      </c>
      <c r="F299" s="888"/>
    </row>
    <row r="300" spans="1:6" ht="15" customHeight="1">
      <c r="A300" s="905"/>
      <c r="B300" s="886"/>
      <c r="C300" s="887"/>
      <c r="D300" s="906"/>
      <c r="E300" s="877">
        <f t="shared" si="4"/>
        <v>0</v>
      </c>
      <c r="F300" s="888"/>
    </row>
    <row r="301" spans="1:6" ht="15" customHeight="1">
      <c r="A301" s="905"/>
      <c r="B301" s="886"/>
      <c r="C301" s="887"/>
      <c r="D301" s="906"/>
      <c r="E301" s="877">
        <f t="shared" si="4"/>
        <v>0</v>
      </c>
      <c r="F301" s="888"/>
    </row>
    <row r="302" spans="1:6" ht="15" customHeight="1">
      <c r="A302" s="905"/>
      <c r="B302" s="886"/>
      <c r="C302" s="887"/>
      <c r="D302" s="906"/>
      <c r="E302" s="877">
        <f t="shared" si="4"/>
        <v>0</v>
      </c>
      <c r="F302" s="888"/>
    </row>
    <row r="303" spans="1:6" ht="15" customHeight="1">
      <c r="A303" s="905"/>
      <c r="B303" s="886"/>
      <c r="C303" s="887"/>
      <c r="D303" s="906"/>
      <c r="E303" s="877">
        <f t="shared" si="4"/>
        <v>0</v>
      </c>
      <c r="F303" s="888"/>
    </row>
    <row r="304" spans="1:6" ht="15" customHeight="1">
      <c r="A304" s="905"/>
      <c r="B304" s="886"/>
      <c r="C304" s="887"/>
      <c r="D304" s="906"/>
      <c r="E304" s="877">
        <f t="shared" si="4"/>
        <v>0</v>
      </c>
      <c r="F304" s="888"/>
    </row>
    <row r="305" spans="1:6" ht="15" customHeight="1">
      <c r="A305" s="908"/>
      <c r="B305" s="890"/>
      <c r="C305" s="891"/>
      <c r="D305" s="909"/>
      <c r="E305" s="892">
        <f t="shared" si="4"/>
        <v>0</v>
      </c>
      <c r="F305" s="893"/>
    </row>
  </sheetData>
  <sheetProtection formatCells="0" selectLockedCells="1"/>
  <mergeCells count="18">
    <mergeCell ref="A11:A12"/>
    <mergeCell ref="C11:D11"/>
    <mergeCell ref="C12:D12"/>
    <mergeCell ref="G16:G25"/>
    <mergeCell ref="G26:G28"/>
    <mergeCell ref="D1:F1"/>
    <mergeCell ref="D2:F2"/>
    <mergeCell ref="A1:C2"/>
    <mergeCell ref="A3:C4"/>
    <mergeCell ref="A5:C5"/>
    <mergeCell ref="B10:F10"/>
    <mergeCell ref="G2:G5"/>
    <mergeCell ref="A6:F6"/>
    <mergeCell ref="B7:F7"/>
    <mergeCell ref="A8:A9"/>
    <mergeCell ref="B8:D8"/>
    <mergeCell ref="E8:F8"/>
    <mergeCell ref="B9:F9"/>
  </mergeCells>
  <phoneticPr fontId="135"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H305"/>
  <sheetViews>
    <sheetView workbookViewId="0">
      <selection activeCell="B16" sqref="B16"/>
    </sheetView>
  </sheetViews>
  <sheetFormatPr defaultColWidth="9" defaultRowHeight="17.25"/>
  <cols>
    <col min="1" max="1" width="23.125" style="579" customWidth="1"/>
    <col min="2" max="3" width="14.75" style="579" customWidth="1"/>
    <col min="4" max="4" width="9.125" style="579" customWidth="1"/>
    <col min="5" max="5" width="13.75" style="579" customWidth="1"/>
    <col min="6" max="6" width="11.5" style="579" customWidth="1"/>
    <col min="7" max="7" width="63.875" style="914" customWidth="1"/>
    <col min="8" max="16384" width="9" style="577"/>
  </cols>
  <sheetData>
    <row r="1" spans="1:8" ht="25.9" customHeight="1">
      <c r="A1" s="2994" t="s">
        <v>1669</v>
      </c>
      <c r="B1" s="2994"/>
      <c r="C1" s="2994"/>
      <c r="D1" s="2754" t="str">
        <f>基本情况!$F$10</f>
        <v>厦中汇税审（2018）第DS0001号</v>
      </c>
      <c r="E1" s="2754"/>
      <c r="F1" s="2754"/>
      <c r="G1" s="3009"/>
    </row>
    <row r="2" spans="1:8" ht="37.15" customHeight="1">
      <c r="A2" s="3010"/>
      <c r="B2" s="3010"/>
      <c r="C2" s="3010"/>
      <c r="D2" s="2949" t="str">
        <f>"底稿编号："&amp;开始!$F$8</f>
        <v>底稿编号：AS-06</v>
      </c>
      <c r="E2" s="2949"/>
      <c r="F2" s="2949"/>
      <c r="G2" s="3009"/>
    </row>
    <row r="3" spans="1:8" s="615" customFormat="1" ht="20.25" customHeight="1">
      <c r="A3" s="3011" t="str">
        <f>"委托单位："&amp;基本情况!$C$3</f>
        <v>委托单位：</v>
      </c>
      <c r="B3" s="3012"/>
      <c r="C3" s="3013"/>
      <c r="D3" s="860"/>
      <c r="E3" s="760" t="s">
        <v>4472</v>
      </c>
      <c r="F3" s="861" t="s">
        <v>4473</v>
      </c>
      <c r="G3" s="3009"/>
    </row>
    <row r="4" spans="1:8" s="615" customFormat="1" ht="20.25" customHeight="1">
      <c r="A4" s="3014"/>
      <c r="B4" s="3015"/>
      <c r="C4" s="3016"/>
      <c r="D4" s="862" t="s">
        <v>4407</v>
      </c>
      <c r="E4" s="863" t="str">
        <f>基本情况!$F$19&amp;""</f>
        <v/>
      </c>
      <c r="F4" s="864" t="str">
        <f>TEXT(基本情况!$F$27,"yyyy-mm-dd")</f>
        <v>2018-03-16</v>
      </c>
      <c r="G4" s="3009"/>
    </row>
    <row r="5" spans="1:8" s="615" customFormat="1" ht="20.25" customHeight="1">
      <c r="A5" s="2968" t="str">
        <f>"会计期间："&amp;基本情况!$F$9</f>
        <v>会计期间：2017年01月01日至2017年12月31日</v>
      </c>
      <c r="B5" s="2969"/>
      <c r="C5" s="2970"/>
      <c r="D5" s="761" t="s">
        <v>4410</v>
      </c>
      <c r="E5" s="865" t="str">
        <f>基本情况!$F$18&amp;""</f>
        <v/>
      </c>
      <c r="F5" s="604" t="str">
        <f>TEXT(基本情况!$F$28,"yyyy-mm-dd")</f>
        <v>2018-05-04</v>
      </c>
      <c r="G5" s="3009"/>
    </row>
    <row r="6" spans="1:8" s="619" customFormat="1" ht="7.5" customHeight="1">
      <c r="A6" s="2962"/>
      <c r="B6" s="2962"/>
      <c r="C6" s="2962"/>
      <c r="D6" s="2962"/>
      <c r="E6" s="2962"/>
      <c r="F6" s="2962"/>
      <c r="G6" s="912"/>
    </row>
    <row r="7" spans="1:8" s="622" customFormat="1" ht="20.25" customHeight="1">
      <c r="A7" s="866" t="s">
        <v>4430</v>
      </c>
      <c r="B7" s="2958" t="str">
        <f>IF(基本情况!$F$33="否",IF(B15-C15-F12&lt;&gt;资产负债表!$C$13,"账载数与报表数不符，相差"&amp;DOLLAR(B15-C15-F12-资产负债表!$C$13,2)&amp;"元！","账载数与报表数相符！"),IF(B14-F12&lt;&gt;资产负债表!$C$13,"账载数与报表数不符，相差"&amp;DOLLAR(B14-F12-资产负债表!$C$13,2)&amp;"元！","账载数与报表数相符！"))</f>
        <v>账载数与报表数相符！</v>
      </c>
      <c r="C7" s="2958"/>
      <c r="D7" s="2958"/>
      <c r="E7" s="2958"/>
      <c r="F7" s="2958"/>
      <c r="G7" s="913" t="s">
        <v>1724</v>
      </c>
      <c r="H7" s="621"/>
    </row>
    <row r="8" spans="1:8" s="622" customFormat="1" ht="15" customHeight="1">
      <c r="A8" s="2959" t="s">
        <v>4431</v>
      </c>
      <c r="B8" s="2988" t="s">
        <v>4474</v>
      </c>
      <c r="C8" s="2988"/>
      <c r="D8" s="2988"/>
      <c r="E8" s="2960" t="str">
        <f>IF(D15&lt;&gt;0,"、E","")</f>
        <v/>
      </c>
      <c r="F8" s="2960"/>
      <c r="G8" s="914"/>
      <c r="H8" s="621"/>
    </row>
    <row r="9" spans="1:8" s="622" customFormat="1" ht="61.5" customHeight="1">
      <c r="A9" s="2959"/>
      <c r="B9" s="2989"/>
      <c r="C9" s="2989"/>
      <c r="D9" s="2989"/>
      <c r="E9" s="2989"/>
      <c r="F9" s="2989"/>
      <c r="G9" s="601" t="s">
        <v>6080</v>
      </c>
      <c r="H9" s="621"/>
    </row>
    <row r="10" spans="1:8" s="622" customFormat="1" ht="20.25" customHeight="1">
      <c r="A10" s="867" t="s">
        <v>4433</v>
      </c>
      <c r="B10" s="2953" t="str">
        <f>IF(D15&lt;&gt;0,"调整后认可！","不存在调整事项,认可！")</f>
        <v>不存在调整事项,认可！</v>
      </c>
      <c r="C10" s="2953"/>
      <c r="D10" s="2953"/>
      <c r="E10" s="2953"/>
      <c r="F10" s="2953"/>
      <c r="G10" s="3008" t="s">
        <v>4489</v>
      </c>
      <c r="H10" s="621"/>
    </row>
    <row r="11" spans="1:8" s="622" customFormat="1" ht="20.25" customHeight="1">
      <c r="A11" s="2938" t="s">
        <v>4338</v>
      </c>
      <c r="B11" s="868" t="s">
        <v>4475</v>
      </c>
      <c r="C11" s="2990" t="s">
        <v>4476</v>
      </c>
      <c r="D11" s="2990"/>
      <c r="E11" s="766" t="s">
        <v>4477</v>
      </c>
      <c r="F11" s="869" t="s">
        <v>4478</v>
      </c>
      <c r="G11" s="3008"/>
    </row>
    <row r="12" spans="1:8" s="622" customFormat="1" ht="20.25" customHeight="1">
      <c r="A12" s="2938"/>
      <c r="B12" s="870"/>
      <c r="C12" s="2991"/>
      <c r="D12" s="2991"/>
      <c r="E12" s="871"/>
      <c r="F12" s="872">
        <f>B12+C12-E12</f>
        <v>0</v>
      </c>
      <c r="G12" s="3008"/>
    </row>
    <row r="13" spans="1:8" s="622" customFormat="1" ht="20.25" customHeight="1">
      <c r="A13" s="873" t="s">
        <v>750</v>
      </c>
      <c r="B13" s="868" t="s">
        <v>4479</v>
      </c>
      <c r="C13" s="766" t="s">
        <v>4480</v>
      </c>
      <c r="D13" s="766" t="s">
        <v>4414</v>
      </c>
      <c r="E13" s="766" t="s">
        <v>4415</v>
      </c>
      <c r="F13" s="869" t="s">
        <v>4487</v>
      </c>
      <c r="G13" s="3008"/>
    </row>
    <row r="14" spans="1:8" s="622" customFormat="1" ht="20.25" customHeight="1">
      <c r="A14" s="874" t="s">
        <v>4482</v>
      </c>
      <c r="B14" s="875">
        <f>IF(基本情况!$F$33="否",0,B15+其他应付!B13)</f>
        <v>0</v>
      </c>
      <c r="C14" s="875">
        <f>IF(基本情况!$F$33="否",0,C15+其他应付!C13)</f>
        <v>0</v>
      </c>
      <c r="D14" s="899"/>
      <c r="E14" s="900">
        <f>B14+D14</f>
        <v>0</v>
      </c>
      <c r="F14" s="901">
        <f>IF(基本情况!$F$33="否",0,F15+其他应付!F13)</f>
        <v>0</v>
      </c>
      <c r="G14" s="897"/>
    </row>
    <row r="15" spans="1:8" s="622" customFormat="1" ht="20.25" customHeight="1">
      <c r="A15" s="867" t="s">
        <v>4483</v>
      </c>
      <c r="B15" s="879">
        <f>SUM(B16:B305)</f>
        <v>0</v>
      </c>
      <c r="C15" s="879">
        <f>SUM(C16:C305)</f>
        <v>0</v>
      </c>
      <c r="D15" s="902">
        <f>SUM(D16:D305)</f>
        <v>0</v>
      </c>
      <c r="E15" s="902">
        <f>SUM(E16:E305)</f>
        <v>0</v>
      </c>
      <c r="F15" s="872">
        <f>SUM(F16:F305)</f>
        <v>0</v>
      </c>
      <c r="G15" s="914" t="s">
        <v>4490</v>
      </c>
    </row>
    <row r="16" spans="1:8" s="615" customFormat="1" ht="15" customHeight="1">
      <c r="A16" s="880"/>
      <c r="B16" s="881"/>
      <c r="C16" s="882"/>
      <c r="D16" s="904"/>
      <c r="E16" s="883">
        <f>B16-C16+D16</f>
        <v>0</v>
      </c>
      <c r="F16" s="884"/>
      <c r="G16" s="914" t="s">
        <v>4491</v>
      </c>
    </row>
    <row r="17" spans="1:7" s="615" customFormat="1" ht="15" customHeight="1">
      <c r="A17" s="885"/>
      <c r="B17" s="886"/>
      <c r="C17" s="887"/>
      <c r="D17" s="906"/>
      <c r="E17" s="877">
        <f>B17-C17+D17</f>
        <v>0</v>
      </c>
      <c r="F17" s="888"/>
      <c r="G17" s="914" t="s">
        <v>4492</v>
      </c>
    </row>
    <row r="18" spans="1:7" s="615" customFormat="1" ht="15" customHeight="1">
      <c r="A18" s="885"/>
      <c r="B18" s="886"/>
      <c r="C18" s="887"/>
      <c r="D18" s="887"/>
      <c r="E18" s="877">
        <f t="shared" ref="E18:E81" si="0">B18-C18+D18</f>
        <v>0</v>
      </c>
      <c r="F18" s="888"/>
      <c r="G18" s="914" t="s">
        <v>4493</v>
      </c>
    </row>
    <row r="19" spans="1:7" s="615" customFormat="1" ht="15" customHeight="1">
      <c r="A19" s="885"/>
      <c r="B19" s="886"/>
      <c r="C19" s="887"/>
      <c r="D19" s="887"/>
      <c r="E19" s="877">
        <f t="shared" si="0"/>
        <v>0</v>
      </c>
      <c r="F19" s="888"/>
      <c r="G19" s="914" t="s">
        <v>4494</v>
      </c>
    </row>
    <row r="20" spans="1:7" s="615" customFormat="1" ht="15" customHeight="1">
      <c r="A20" s="885"/>
      <c r="B20" s="886"/>
      <c r="C20" s="887"/>
      <c r="D20" s="887"/>
      <c r="E20" s="877">
        <f t="shared" si="0"/>
        <v>0</v>
      </c>
      <c r="F20" s="888"/>
      <c r="G20" s="914" t="s">
        <v>4495</v>
      </c>
    </row>
    <row r="21" spans="1:7" s="615" customFormat="1" ht="15" customHeight="1">
      <c r="A21" s="885"/>
      <c r="B21" s="886"/>
      <c r="C21" s="887"/>
      <c r="D21" s="887"/>
      <c r="E21" s="877">
        <f t="shared" si="0"/>
        <v>0</v>
      </c>
      <c r="F21" s="888"/>
      <c r="G21" s="914"/>
    </row>
    <row r="22" spans="1:7" s="615" customFormat="1" ht="15" customHeight="1">
      <c r="A22" s="885"/>
      <c r="B22" s="886"/>
      <c r="C22" s="887"/>
      <c r="D22" s="887"/>
      <c r="E22" s="877">
        <f t="shared" si="0"/>
        <v>0</v>
      </c>
      <c r="F22" s="888"/>
      <c r="G22" s="914"/>
    </row>
    <row r="23" spans="1:7" s="615" customFormat="1" ht="15" customHeight="1">
      <c r="A23" s="885"/>
      <c r="B23" s="886"/>
      <c r="C23" s="887"/>
      <c r="D23" s="887"/>
      <c r="E23" s="877">
        <f t="shared" si="0"/>
        <v>0</v>
      </c>
      <c r="F23" s="888"/>
      <c r="G23" s="914"/>
    </row>
    <row r="24" spans="1:7" s="615" customFormat="1" ht="15" customHeight="1">
      <c r="A24" s="885"/>
      <c r="B24" s="886"/>
      <c r="C24" s="887"/>
      <c r="D24" s="887"/>
      <c r="E24" s="877">
        <f t="shared" si="0"/>
        <v>0</v>
      </c>
      <c r="F24" s="888"/>
      <c r="G24" s="914"/>
    </row>
    <row r="25" spans="1:7" s="615" customFormat="1" ht="15" customHeight="1">
      <c r="A25" s="885"/>
      <c r="B25" s="886"/>
      <c r="C25" s="887"/>
      <c r="D25" s="887"/>
      <c r="E25" s="877">
        <f t="shared" si="0"/>
        <v>0</v>
      </c>
      <c r="F25" s="888"/>
      <c r="G25" s="914"/>
    </row>
    <row r="26" spans="1:7" s="615" customFormat="1" ht="15" customHeight="1">
      <c r="A26" s="885"/>
      <c r="B26" s="886"/>
      <c r="C26" s="887"/>
      <c r="D26" s="887"/>
      <c r="E26" s="877">
        <f t="shared" si="0"/>
        <v>0</v>
      </c>
      <c r="F26" s="888"/>
      <c r="G26" s="914"/>
    </row>
    <row r="27" spans="1:7" s="615" customFormat="1" ht="15" customHeight="1">
      <c r="A27" s="885"/>
      <c r="B27" s="886"/>
      <c r="C27" s="887"/>
      <c r="D27" s="887"/>
      <c r="E27" s="877">
        <f t="shared" si="0"/>
        <v>0</v>
      </c>
      <c r="F27" s="888"/>
      <c r="G27" s="914"/>
    </row>
    <row r="28" spans="1:7" s="615" customFormat="1" ht="15" customHeight="1">
      <c r="A28" s="885"/>
      <c r="B28" s="886"/>
      <c r="C28" s="887"/>
      <c r="D28" s="887"/>
      <c r="E28" s="877">
        <f t="shared" si="0"/>
        <v>0</v>
      </c>
      <c r="F28" s="888"/>
      <c r="G28" s="914"/>
    </row>
    <row r="29" spans="1:7" s="615" customFormat="1" ht="15" customHeight="1">
      <c r="A29" s="885"/>
      <c r="B29" s="886"/>
      <c r="C29" s="887"/>
      <c r="D29" s="887"/>
      <c r="E29" s="877">
        <f t="shared" si="0"/>
        <v>0</v>
      </c>
      <c r="F29" s="888"/>
      <c r="G29" s="914"/>
    </row>
    <row r="30" spans="1:7" s="615" customFormat="1" ht="15" customHeight="1">
      <c r="A30" s="885"/>
      <c r="B30" s="886"/>
      <c r="C30" s="887"/>
      <c r="D30" s="887"/>
      <c r="E30" s="877">
        <f t="shared" si="0"/>
        <v>0</v>
      </c>
      <c r="F30" s="888"/>
      <c r="G30" s="914"/>
    </row>
    <row r="31" spans="1:7" s="615" customFormat="1" ht="15" customHeight="1">
      <c r="A31" s="885"/>
      <c r="B31" s="886"/>
      <c r="C31" s="887"/>
      <c r="D31" s="887"/>
      <c r="E31" s="877">
        <f t="shared" si="0"/>
        <v>0</v>
      </c>
      <c r="F31" s="888"/>
      <c r="G31" s="914"/>
    </row>
    <row r="32" spans="1:7" s="615" customFormat="1" ht="15" customHeight="1">
      <c r="A32" s="885"/>
      <c r="B32" s="886"/>
      <c r="C32" s="887"/>
      <c r="D32" s="887"/>
      <c r="E32" s="877">
        <f t="shared" si="0"/>
        <v>0</v>
      </c>
      <c r="F32" s="888"/>
      <c r="G32" s="914"/>
    </row>
    <row r="33" spans="1:7" s="615" customFormat="1" ht="15" customHeight="1">
      <c r="A33" s="885"/>
      <c r="B33" s="886"/>
      <c r="C33" s="887"/>
      <c r="D33" s="887"/>
      <c r="E33" s="877">
        <f t="shared" si="0"/>
        <v>0</v>
      </c>
      <c r="F33" s="888"/>
      <c r="G33" s="914"/>
    </row>
    <row r="34" spans="1:7" s="615" customFormat="1" ht="15" customHeight="1">
      <c r="A34" s="885"/>
      <c r="B34" s="886"/>
      <c r="C34" s="887"/>
      <c r="D34" s="887"/>
      <c r="E34" s="877">
        <f t="shared" si="0"/>
        <v>0</v>
      </c>
      <c r="F34" s="888"/>
      <c r="G34" s="914"/>
    </row>
    <row r="35" spans="1:7" s="615" customFormat="1" ht="15" customHeight="1">
      <c r="A35" s="885"/>
      <c r="B35" s="886"/>
      <c r="C35" s="887"/>
      <c r="D35" s="887"/>
      <c r="E35" s="877">
        <f t="shared" si="0"/>
        <v>0</v>
      </c>
      <c r="F35" s="888"/>
      <c r="G35" s="914"/>
    </row>
    <row r="36" spans="1:7" s="615" customFormat="1" ht="15" customHeight="1">
      <c r="A36" s="885"/>
      <c r="B36" s="886"/>
      <c r="C36" s="887"/>
      <c r="D36" s="887"/>
      <c r="E36" s="877">
        <f t="shared" si="0"/>
        <v>0</v>
      </c>
      <c r="F36" s="888"/>
      <c r="G36" s="914"/>
    </row>
    <row r="37" spans="1:7" s="615" customFormat="1" ht="15" customHeight="1">
      <c r="A37" s="885"/>
      <c r="B37" s="886"/>
      <c r="C37" s="887"/>
      <c r="D37" s="887"/>
      <c r="E37" s="877">
        <f t="shared" si="0"/>
        <v>0</v>
      </c>
      <c r="F37" s="888"/>
      <c r="G37" s="914"/>
    </row>
    <row r="38" spans="1:7" s="615" customFormat="1" ht="15" customHeight="1">
      <c r="A38" s="885"/>
      <c r="B38" s="886"/>
      <c r="C38" s="887"/>
      <c r="D38" s="887"/>
      <c r="E38" s="877">
        <f t="shared" si="0"/>
        <v>0</v>
      </c>
      <c r="F38" s="888"/>
      <c r="G38" s="914"/>
    </row>
    <row r="39" spans="1:7" s="615" customFormat="1" ht="15" customHeight="1">
      <c r="A39" s="885"/>
      <c r="B39" s="886"/>
      <c r="C39" s="887"/>
      <c r="D39" s="887"/>
      <c r="E39" s="877">
        <f t="shared" si="0"/>
        <v>0</v>
      </c>
      <c r="F39" s="888"/>
      <c r="G39" s="914"/>
    </row>
    <row r="40" spans="1:7" s="615" customFormat="1" ht="15" customHeight="1">
      <c r="A40" s="885"/>
      <c r="B40" s="886"/>
      <c r="C40" s="887"/>
      <c r="D40" s="887"/>
      <c r="E40" s="877">
        <f t="shared" si="0"/>
        <v>0</v>
      </c>
      <c r="F40" s="888"/>
      <c r="G40" s="914"/>
    </row>
    <row r="41" spans="1:7" s="615" customFormat="1" ht="15" customHeight="1">
      <c r="A41" s="885"/>
      <c r="B41" s="886"/>
      <c r="C41" s="887"/>
      <c r="D41" s="887"/>
      <c r="E41" s="877">
        <f t="shared" si="0"/>
        <v>0</v>
      </c>
      <c r="F41" s="888"/>
      <c r="G41" s="914"/>
    </row>
    <row r="42" spans="1:7" s="615" customFormat="1" ht="15" customHeight="1">
      <c r="A42" s="885"/>
      <c r="B42" s="886"/>
      <c r="C42" s="887"/>
      <c r="D42" s="887"/>
      <c r="E42" s="877">
        <f t="shared" si="0"/>
        <v>0</v>
      </c>
      <c r="F42" s="888"/>
      <c r="G42" s="914"/>
    </row>
    <row r="43" spans="1:7" s="615" customFormat="1" ht="15" customHeight="1">
      <c r="A43" s="885"/>
      <c r="B43" s="886"/>
      <c r="C43" s="887"/>
      <c r="D43" s="887"/>
      <c r="E43" s="877">
        <f t="shared" si="0"/>
        <v>0</v>
      </c>
      <c r="F43" s="888"/>
      <c r="G43" s="914"/>
    </row>
    <row r="44" spans="1:7" s="615" customFormat="1" ht="15" customHeight="1">
      <c r="A44" s="885"/>
      <c r="B44" s="886"/>
      <c r="C44" s="887"/>
      <c r="D44" s="887"/>
      <c r="E44" s="877">
        <f t="shared" si="0"/>
        <v>0</v>
      </c>
      <c r="F44" s="888"/>
      <c r="G44" s="914"/>
    </row>
    <row r="45" spans="1:7" s="615" customFormat="1" ht="15" customHeight="1">
      <c r="A45" s="885"/>
      <c r="B45" s="886"/>
      <c r="C45" s="887"/>
      <c r="D45" s="887"/>
      <c r="E45" s="877">
        <f t="shared" si="0"/>
        <v>0</v>
      </c>
      <c r="F45" s="888"/>
      <c r="G45" s="914"/>
    </row>
    <row r="46" spans="1:7" s="615" customFormat="1" ht="15" customHeight="1">
      <c r="A46" s="885"/>
      <c r="B46" s="886"/>
      <c r="C46" s="887"/>
      <c r="D46" s="887"/>
      <c r="E46" s="877">
        <f t="shared" si="0"/>
        <v>0</v>
      </c>
      <c r="F46" s="888"/>
      <c r="G46" s="914"/>
    </row>
    <row r="47" spans="1:7" s="615" customFormat="1" ht="15" customHeight="1">
      <c r="A47" s="885"/>
      <c r="B47" s="886"/>
      <c r="C47" s="887"/>
      <c r="D47" s="887"/>
      <c r="E47" s="877">
        <f t="shared" si="0"/>
        <v>0</v>
      </c>
      <c r="F47" s="888"/>
      <c r="G47" s="914"/>
    </row>
    <row r="48" spans="1:7" s="615" customFormat="1" ht="15" customHeight="1">
      <c r="A48" s="885"/>
      <c r="B48" s="886"/>
      <c r="C48" s="887"/>
      <c r="D48" s="887"/>
      <c r="E48" s="877">
        <f t="shared" si="0"/>
        <v>0</v>
      </c>
      <c r="F48" s="888"/>
      <c r="G48" s="914"/>
    </row>
    <row r="49" spans="1:7" s="615" customFormat="1" ht="15" customHeight="1">
      <c r="A49" s="885"/>
      <c r="B49" s="886"/>
      <c r="C49" s="887"/>
      <c r="D49" s="887"/>
      <c r="E49" s="877">
        <f t="shared" si="0"/>
        <v>0</v>
      </c>
      <c r="F49" s="888"/>
      <c r="G49" s="914"/>
    </row>
    <row r="50" spans="1:7" s="615" customFormat="1" ht="15" customHeight="1">
      <c r="A50" s="885"/>
      <c r="B50" s="886"/>
      <c r="C50" s="887"/>
      <c r="D50" s="887"/>
      <c r="E50" s="877">
        <f t="shared" si="0"/>
        <v>0</v>
      </c>
      <c r="F50" s="888"/>
      <c r="G50" s="914"/>
    </row>
    <row r="51" spans="1:7" s="640" customFormat="1" ht="15" customHeight="1">
      <c r="A51" s="885"/>
      <c r="B51" s="886"/>
      <c r="C51" s="887"/>
      <c r="D51" s="887"/>
      <c r="E51" s="877">
        <f t="shared" si="0"/>
        <v>0</v>
      </c>
      <c r="F51" s="888"/>
      <c r="G51" s="914"/>
    </row>
    <row r="52" spans="1:7" s="640" customFormat="1" ht="15" customHeight="1">
      <c r="A52" s="885"/>
      <c r="B52" s="886"/>
      <c r="C52" s="887"/>
      <c r="D52" s="887"/>
      <c r="E52" s="877">
        <f t="shared" si="0"/>
        <v>0</v>
      </c>
      <c r="F52" s="888"/>
      <c r="G52" s="914"/>
    </row>
    <row r="53" spans="1:7" s="640" customFormat="1" ht="15" customHeight="1">
      <c r="A53" s="885"/>
      <c r="B53" s="886"/>
      <c r="C53" s="887"/>
      <c r="D53" s="887"/>
      <c r="E53" s="877">
        <f t="shared" si="0"/>
        <v>0</v>
      </c>
      <c r="F53" s="888"/>
      <c r="G53" s="914"/>
    </row>
    <row r="54" spans="1:7" s="640" customFormat="1" ht="15" customHeight="1">
      <c r="A54" s="885"/>
      <c r="B54" s="886"/>
      <c r="C54" s="887"/>
      <c r="D54" s="887"/>
      <c r="E54" s="877">
        <f t="shared" si="0"/>
        <v>0</v>
      </c>
      <c r="F54" s="888"/>
      <c r="G54" s="914"/>
    </row>
    <row r="55" spans="1:7" s="640" customFormat="1" ht="15" customHeight="1">
      <c r="A55" s="885"/>
      <c r="B55" s="886"/>
      <c r="C55" s="887"/>
      <c r="D55" s="887"/>
      <c r="E55" s="877">
        <f t="shared" si="0"/>
        <v>0</v>
      </c>
      <c r="F55" s="888"/>
      <c r="G55" s="914"/>
    </row>
    <row r="56" spans="1:7" ht="15" customHeight="1">
      <c r="A56" s="885"/>
      <c r="B56" s="886"/>
      <c r="C56" s="887"/>
      <c r="D56" s="887"/>
      <c r="E56" s="877">
        <f t="shared" si="0"/>
        <v>0</v>
      </c>
      <c r="F56" s="888"/>
    </row>
    <row r="57" spans="1:7" ht="15" customHeight="1">
      <c r="A57" s="885"/>
      <c r="B57" s="886"/>
      <c r="C57" s="887"/>
      <c r="D57" s="887"/>
      <c r="E57" s="877">
        <f t="shared" si="0"/>
        <v>0</v>
      </c>
      <c r="F57" s="888"/>
    </row>
    <row r="58" spans="1:7" ht="15" customHeight="1">
      <c r="A58" s="885"/>
      <c r="B58" s="886"/>
      <c r="C58" s="887"/>
      <c r="D58" s="887"/>
      <c r="E58" s="877">
        <f t="shared" si="0"/>
        <v>0</v>
      </c>
      <c r="F58" s="888"/>
    </row>
    <row r="59" spans="1:7" ht="15" customHeight="1">
      <c r="A59" s="885"/>
      <c r="B59" s="886"/>
      <c r="C59" s="887"/>
      <c r="D59" s="887"/>
      <c r="E59" s="877">
        <f t="shared" si="0"/>
        <v>0</v>
      </c>
      <c r="F59" s="888"/>
    </row>
    <row r="60" spans="1:7" ht="15" customHeight="1">
      <c r="A60" s="885"/>
      <c r="B60" s="886"/>
      <c r="C60" s="887"/>
      <c r="D60" s="887"/>
      <c r="E60" s="877">
        <f t="shared" si="0"/>
        <v>0</v>
      </c>
      <c r="F60" s="888"/>
    </row>
    <row r="61" spans="1:7" ht="15" customHeight="1">
      <c r="A61" s="885"/>
      <c r="B61" s="886"/>
      <c r="C61" s="887"/>
      <c r="D61" s="887"/>
      <c r="E61" s="877">
        <f t="shared" si="0"/>
        <v>0</v>
      </c>
      <c r="F61" s="888"/>
    </row>
    <row r="62" spans="1:7" ht="15" customHeight="1">
      <c r="A62" s="885"/>
      <c r="B62" s="886"/>
      <c r="C62" s="887"/>
      <c r="D62" s="887"/>
      <c r="E62" s="877">
        <f t="shared" si="0"/>
        <v>0</v>
      </c>
      <c r="F62" s="888"/>
    </row>
    <row r="63" spans="1:7" ht="15" customHeight="1">
      <c r="A63" s="885"/>
      <c r="B63" s="886"/>
      <c r="C63" s="887"/>
      <c r="D63" s="887"/>
      <c r="E63" s="877">
        <f t="shared" si="0"/>
        <v>0</v>
      </c>
      <c r="F63" s="888"/>
    </row>
    <row r="64" spans="1:7" ht="15" customHeight="1">
      <c r="A64" s="885"/>
      <c r="B64" s="886"/>
      <c r="C64" s="887"/>
      <c r="D64" s="887"/>
      <c r="E64" s="877">
        <f t="shared" si="0"/>
        <v>0</v>
      </c>
      <c r="F64" s="888"/>
    </row>
    <row r="65" spans="1:6" ht="15" customHeight="1">
      <c r="A65" s="885"/>
      <c r="B65" s="886"/>
      <c r="C65" s="887"/>
      <c r="D65" s="887"/>
      <c r="E65" s="877">
        <f t="shared" si="0"/>
        <v>0</v>
      </c>
      <c r="F65" s="888"/>
    </row>
    <row r="66" spans="1:6" ht="15" customHeight="1">
      <c r="A66" s="885"/>
      <c r="B66" s="886"/>
      <c r="C66" s="887"/>
      <c r="D66" s="887"/>
      <c r="E66" s="877">
        <f t="shared" si="0"/>
        <v>0</v>
      </c>
      <c r="F66" s="888"/>
    </row>
    <row r="67" spans="1:6" ht="15" customHeight="1">
      <c r="A67" s="885"/>
      <c r="B67" s="886"/>
      <c r="C67" s="887"/>
      <c r="D67" s="887"/>
      <c r="E67" s="877">
        <f t="shared" si="0"/>
        <v>0</v>
      </c>
      <c r="F67" s="888"/>
    </row>
    <row r="68" spans="1:6" ht="15" customHeight="1">
      <c r="A68" s="885"/>
      <c r="B68" s="886"/>
      <c r="C68" s="887"/>
      <c r="D68" s="887"/>
      <c r="E68" s="877">
        <f t="shared" si="0"/>
        <v>0</v>
      </c>
      <c r="F68" s="888"/>
    </row>
    <row r="69" spans="1:6" ht="15" customHeight="1">
      <c r="A69" s="885"/>
      <c r="B69" s="886"/>
      <c r="C69" s="887"/>
      <c r="D69" s="887"/>
      <c r="E69" s="877">
        <f t="shared" si="0"/>
        <v>0</v>
      </c>
      <c r="F69" s="888"/>
    </row>
    <row r="70" spans="1:6" ht="15" customHeight="1">
      <c r="A70" s="885"/>
      <c r="B70" s="886"/>
      <c r="C70" s="887"/>
      <c r="D70" s="887"/>
      <c r="E70" s="877">
        <f t="shared" si="0"/>
        <v>0</v>
      </c>
      <c r="F70" s="888"/>
    </row>
    <row r="71" spans="1:6" ht="15" customHeight="1">
      <c r="A71" s="885"/>
      <c r="B71" s="886"/>
      <c r="C71" s="887"/>
      <c r="D71" s="887"/>
      <c r="E71" s="877">
        <f t="shared" si="0"/>
        <v>0</v>
      </c>
      <c r="F71" s="888"/>
    </row>
    <row r="72" spans="1:6" ht="15" customHeight="1">
      <c r="A72" s="885"/>
      <c r="B72" s="886"/>
      <c r="C72" s="887"/>
      <c r="D72" s="887"/>
      <c r="E72" s="877">
        <f t="shared" si="0"/>
        <v>0</v>
      </c>
      <c r="F72" s="888"/>
    </row>
    <row r="73" spans="1:6" ht="15" customHeight="1">
      <c r="A73" s="885"/>
      <c r="B73" s="886"/>
      <c r="C73" s="887"/>
      <c r="D73" s="887"/>
      <c r="E73" s="877">
        <f t="shared" si="0"/>
        <v>0</v>
      </c>
      <c r="F73" s="888"/>
    </row>
    <row r="74" spans="1:6" ht="15" customHeight="1">
      <c r="A74" s="885"/>
      <c r="B74" s="886"/>
      <c r="C74" s="887"/>
      <c r="D74" s="887"/>
      <c r="E74" s="877">
        <f t="shared" si="0"/>
        <v>0</v>
      </c>
      <c r="F74" s="888"/>
    </row>
    <row r="75" spans="1:6" ht="15" customHeight="1">
      <c r="A75" s="885"/>
      <c r="B75" s="886"/>
      <c r="C75" s="887"/>
      <c r="D75" s="887"/>
      <c r="E75" s="877">
        <f t="shared" si="0"/>
        <v>0</v>
      </c>
      <c r="F75" s="888"/>
    </row>
    <row r="76" spans="1:6" ht="15" customHeight="1">
      <c r="A76" s="885"/>
      <c r="B76" s="886"/>
      <c r="C76" s="887"/>
      <c r="D76" s="887"/>
      <c r="E76" s="877">
        <f t="shared" si="0"/>
        <v>0</v>
      </c>
      <c r="F76" s="888"/>
    </row>
    <row r="77" spans="1:6" ht="15" customHeight="1">
      <c r="A77" s="885"/>
      <c r="B77" s="886"/>
      <c r="C77" s="887"/>
      <c r="D77" s="887"/>
      <c r="E77" s="877">
        <f t="shared" si="0"/>
        <v>0</v>
      </c>
      <c r="F77" s="888"/>
    </row>
    <row r="78" spans="1:6" ht="15" customHeight="1">
      <c r="A78" s="885"/>
      <c r="B78" s="886"/>
      <c r="C78" s="887"/>
      <c r="D78" s="887"/>
      <c r="E78" s="877">
        <f t="shared" si="0"/>
        <v>0</v>
      </c>
      <c r="F78" s="888"/>
    </row>
    <row r="79" spans="1:6" ht="15" customHeight="1">
      <c r="A79" s="885"/>
      <c r="B79" s="886"/>
      <c r="C79" s="887"/>
      <c r="D79" s="887"/>
      <c r="E79" s="877">
        <f t="shared" si="0"/>
        <v>0</v>
      </c>
      <c r="F79" s="888"/>
    </row>
    <row r="80" spans="1:6" ht="15" customHeight="1">
      <c r="A80" s="885"/>
      <c r="B80" s="886"/>
      <c r="C80" s="887"/>
      <c r="D80" s="887"/>
      <c r="E80" s="877">
        <f t="shared" si="0"/>
        <v>0</v>
      </c>
      <c r="F80" s="888"/>
    </row>
    <row r="81" spans="1:6" ht="15" customHeight="1">
      <c r="A81" s="885"/>
      <c r="B81" s="886"/>
      <c r="C81" s="887"/>
      <c r="D81" s="887"/>
      <c r="E81" s="877">
        <f t="shared" si="0"/>
        <v>0</v>
      </c>
      <c r="F81" s="888"/>
    </row>
    <row r="82" spans="1:6" ht="15" customHeight="1">
      <c r="A82" s="885"/>
      <c r="B82" s="886"/>
      <c r="C82" s="887"/>
      <c r="D82" s="887"/>
      <c r="E82" s="877">
        <f t="shared" ref="E82:E145" si="1">B82-C82+D82</f>
        <v>0</v>
      </c>
      <c r="F82" s="888"/>
    </row>
    <row r="83" spans="1:6" ht="15" customHeight="1">
      <c r="A83" s="885"/>
      <c r="B83" s="886"/>
      <c r="C83" s="887"/>
      <c r="D83" s="887"/>
      <c r="E83" s="877">
        <f t="shared" si="1"/>
        <v>0</v>
      </c>
      <c r="F83" s="888"/>
    </row>
    <row r="84" spans="1:6" ht="15" customHeight="1">
      <c r="A84" s="885"/>
      <c r="B84" s="886"/>
      <c r="C84" s="887"/>
      <c r="D84" s="887"/>
      <c r="E84" s="877">
        <f t="shared" si="1"/>
        <v>0</v>
      </c>
      <c r="F84" s="888"/>
    </row>
    <row r="85" spans="1:6" ht="15" customHeight="1">
      <c r="A85" s="885"/>
      <c r="B85" s="886"/>
      <c r="C85" s="887"/>
      <c r="D85" s="887"/>
      <c r="E85" s="877">
        <f t="shared" si="1"/>
        <v>0</v>
      </c>
      <c r="F85" s="888"/>
    </row>
    <row r="86" spans="1:6" ht="15" customHeight="1">
      <c r="A86" s="885"/>
      <c r="B86" s="886"/>
      <c r="C86" s="887"/>
      <c r="D86" s="887"/>
      <c r="E86" s="877">
        <f t="shared" si="1"/>
        <v>0</v>
      </c>
      <c r="F86" s="888"/>
    </row>
    <row r="87" spans="1:6" ht="15" customHeight="1">
      <c r="A87" s="885"/>
      <c r="B87" s="886"/>
      <c r="C87" s="887"/>
      <c r="D87" s="887"/>
      <c r="E87" s="877">
        <f t="shared" si="1"/>
        <v>0</v>
      </c>
      <c r="F87" s="888"/>
    </row>
    <row r="88" spans="1:6" ht="15" customHeight="1">
      <c r="A88" s="885"/>
      <c r="B88" s="886"/>
      <c r="C88" s="887"/>
      <c r="D88" s="887"/>
      <c r="E88" s="877">
        <f t="shared" si="1"/>
        <v>0</v>
      </c>
      <c r="F88" s="888"/>
    </row>
    <row r="89" spans="1:6" ht="15" customHeight="1">
      <c r="A89" s="885"/>
      <c r="B89" s="886"/>
      <c r="C89" s="887"/>
      <c r="D89" s="887"/>
      <c r="E89" s="877">
        <f t="shared" si="1"/>
        <v>0</v>
      </c>
      <c r="F89" s="888"/>
    </row>
    <row r="90" spans="1:6" ht="15" customHeight="1">
      <c r="A90" s="885"/>
      <c r="B90" s="886"/>
      <c r="C90" s="887"/>
      <c r="D90" s="887"/>
      <c r="E90" s="877">
        <f t="shared" si="1"/>
        <v>0</v>
      </c>
      <c r="F90" s="888"/>
    </row>
    <row r="91" spans="1:6" ht="15" customHeight="1">
      <c r="A91" s="885"/>
      <c r="B91" s="886"/>
      <c r="C91" s="887"/>
      <c r="D91" s="887"/>
      <c r="E91" s="877">
        <f t="shared" si="1"/>
        <v>0</v>
      </c>
      <c r="F91" s="888"/>
    </row>
    <row r="92" spans="1:6" ht="15" customHeight="1">
      <c r="A92" s="885"/>
      <c r="B92" s="886"/>
      <c r="C92" s="887"/>
      <c r="D92" s="887"/>
      <c r="E92" s="877">
        <f t="shared" si="1"/>
        <v>0</v>
      </c>
      <c r="F92" s="888"/>
    </row>
    <row r="93" spans="1:6" ht="15" customHeight="1">
      <c r="A93" s="885"/>
      <c r="B93" s="886"/>
      <c r="C93" s="887"/>
      <c r="D93" s="887"/>
      <c r="E93" s="877">
        <f t="shared" si="1"/>
        <v>0</v>
      </c>
      <c r="F93" s="888"/>
    </row>
    <row r="94" spans="1:6" ht="15" customHeight="1">
      <c r="A94" s="885"/>
      <c r="B94" s="886"/>
      <c r="C94" s="887"/>
      <c r="D94" s="887"/>
      <c r="E94" s="877">
        <f t="shared" si="1"/>
        <v>0</v>
      </c>
      <c r="F94" s="888"/>
    </row>
    <row r="95" spans="1:6" ht="15" customHeight="1">
      <c r="A95" s="885"/>
      <c r="B95" s="886"/>
      <c r="C95" s="887"/>
      <c r="D95" s="887"/>
      <c r="E95" s="877">
        <f t="shared" si="1"/>
        <v>0</v>
      </c>
      <c r="F95" s="888"/>
    </row>
    <row r="96" spans="1:6" ht="15" customHeight="1">
      <c r="A96" s="885"/>
      <c r="B96" s="886"/>
      <c r="C96" s="887"/>
      <c r="D96" s="887"/>
      <c r="E96" s="877">
        <f t="shared" si="1"/>
        <v>0</v>
      </c>
      <c r="F96" s="888"/>
    </row>
    <row r="97" spans="1:6" ht="15" customHeight="1">
      <c r="A97" s="885"/>
      <c r="B97" s="886"/>
      <c r="C97" s="887"/>
      <c r="D97" s="887"/>
      <c r="E97" s="877">
        <f t="shared" si="1"/>
        <v>0</v>
      </c>
      <c r="F97" s="888"/>
    </row>
    <row r="98" spans="1:6" ht="15" customHeight="1">
      <c r="A98" s="885"/>
      <c r="B98" s="886"/>
      <c r="C98" s="887"/>
      <c r="D98" s="887"/>
      <c r="E98" s="877">
        <f t="shared" si="1"/>
        <v>0</v>
      </c>
      <c r="F98" s="888"/>
    </row>
    <row r="99" spans="1:6" ht="15" customHeight="1">
      <c r="A99" s="885"/>
      <c r="B99" s="886"/>
      <c r="C99" s="887"/>
      <c r="D99" s="887"/>
      <c r="E99" s="877">
        <f t="shared" si="1"/>
        <v>0</v>
      </c>
      <c r="F99" s="888"/>
    </row>
    <row r="100" spans="1:6" ht="15" customHeight="1">
      <c r="A100" s="885"/>
      <c r="B100" s="886"/>
      <c r="C100" s="887"/>
      <c r="D100" s="887"/>
      <c r="E100" s="877">
        <f t="shared" si="1"/>
        <v>0</v>
      </c>
      <c r="F100" s="888"/>
    </row>
    <row r="101" spans="1:6" ht="15" customHeight="1">
      <c r="A101" s="885"/>
      <c r="B101" s="886"/>
      <c r="C101" s="887"/>
      <c r="D101" s="887"/>
      <c r="E101" s="877">
        <f t="shared" si="1"/>
        <v>0</v>
      </c>
      <c r="F101" s="888"/>
    </row>
    <row r="102" spans="1:6" ht="15" customHeight="1">
      <c r="A102" s="885"/>
      <c r="B102" s="886"/>
      <c r="C102" s="887"/>
      <c r="D102" s="887"/>
      <c r="E102" s="877">
        <f t="shared" si="1"/>
        <v>0</v>
      </c>
      <c r="F102" s="888"/>
    </row>
    <row r="103" spans="1:6" ht="15" customHeight="1">
      <c r="A103" s="885"/>
      <c r="B103" s="886"/>
      <c r="C103" s="887"/>
      <c r="D103" s="887"/>
      <c r="E103" s="877">
        <f t="shared" si="1"/>
        <v>0</v>
      </c>
      <c r="F103" s="888"/>
    </row>
    <row r="104" spans="1:6" ht="15" customHeight="1">
      <c r="A104" s="885"/>
      <c r="B104" s="886"/>
      <c r="C104" s="887"/>
      <c r="D104" s="887"/>
      <c r="E104" s="877">
        <f t="shared" si="1"/>
        <v>0</v>
      </c>
      <c r="F104" s="888"/>
    </row>
    <row r="105" spans="1:6" ht="15" customHeight="1">
      <c r="A105" s="885"/>
      <c r="B105" s="886"/>
      <c r="C105" s="887"/>
      <c r="D105" s="887"/>
      <c r="E105" s="877">
        <f t="shared" si="1"/>
        <v>0</v>
      </c>
      <c r="F105" s="888"/>
    </row>
    <row r="106" spans="1:6" ht="15" customHeight="1">
      <c r="A106" s="885"/>
      <c r="B106" s="886"/>
      <c r="C106" s="887"/>
      <c r="D106" s="887"/>
      <c r="E106" s="877">
        <f t="shared" si="1"/>
        <v>0</v>
      </c>
      <c r="F106" s="888"/>
    </row>
    <row r="107" spans="1:6" ht="15" customHeight="1">
      <c r="A107" s="885"/>
      <c r="B107" s="886"/>
      <c r="C107" s="887"/>
      <c r="D107" s="887"/>
      <c r="E107" s="877">
        <f t="shared" si="1"/>
        <v>0</v>
      </c>
      <c r="F107" s="888"/>
    </row>
    <row r="108" spans="1:6" ht="15" customHeight="1">
      <c r="A108" s="885"/>
      <c r="B108" s="886"/>
      <c r="C108" s="887"/>
      <c r="D108" s="887"/>
      <c r="E108" s="877">
        <f t="shared" si="1"/>
        <v>0</v>
      </c>
      <c r="F108" s="888"/>
    </row>
    <row r="109" spans="1:6" ht="15" customHeight="1">
      <c r="A109" s="885"/>
      <c r="B109" s="886"/>
      <c r="C109" s="887"/>
      <c r="D109" s="887"/>
      <c r="E109" s="877">
        <f t="shared" si="1"/>
        <v>0</v>
      </c>
      <c r="F109" s="888"/>
    </row>
    <row r="110" spans="1:6" ht="15" customHeight="1">
      <c r="A110" s="885"/>
      <c r="B110" s="886"/>
      <c r="C110" s="887"/>
      <c r="D110" s="887"/>
      <c r="E110" s="877">
        <f t="shared" si="1"/>
        <v>0</v>
      </c>
      <c r="F110" s="888"/>
    </row>
    <row r="111" spans="1:6" ht="15" customHeight="1">
      <c r="A111" s="885"/>
      <c r="B111" s="886"/>
      <c r="C111" s="887"/>
      <c r="D111" s="887"/>
      <c r="E111" s="877">
        <f t="shared" si="1"/>
        <v>0</v>
      </c>
      <c r="F111" s="888"/>
    </row>
    <row r="112" spans="1:6" ht="15" customHeight="1">
      <c r="A112" s="885"/>
      <c r="B112" s="886"/>
      <c r="C112" s="887"/>
      <c r="D112" s="887"/>
      <c r="E112" s="877">
        <f t="shared" si="1"/>
        <v>0</v>
      </c>
      <c r="F112" s="888"/>
    </row>
    <row r="113" spans="1:6" ht="15" customHeight="1">
      <c r="A113" s="885"/>
      <c r="B113" s="886"/>
      <c r="C113" s="887"/>
      <c r="D113" s="887"/>
      <c r="E113" s="877">
        <f t="shared" si="1"/>
        <v>0</v>
      </c>
      <c r="F113" s="888"/>
    </row>
    <row r="114" spans="1:6" ht="15" customHeight="1">
      <c r="A114" s="885"/>
      <c r="B114" s="886"/>
      <c r="C114" s="887"/>
      <c r="D114" s="887"/>
      <c r="E114" s="877">
        <f t="shared" si="1"/>
        <v>0</v>
      </c>
      <c r="F114" s="888"/>
    </row>
    <row r="115" spans="1:6" ht="15" customHeight="1">
      <c r="A115" s="885"/>
      <c r="B115" s="886"/>
      <c r="C115" s="887"/>
      <c r="D115" s="887"/>
      <c r="E115" s="877">
        <f t="shared" si="1"/>
        <v>0</v>
      </c>
      <c r="F115" s="888"/>
    </row>
    <row r="116" spans="1:6" ht="15" customHeight="1">
      <c r="A116" s="885"/>
      <c r="B116" s="886"/>
      <c r="C116" s="887"/>
      <c r="D116" s="887"/>
      <c r="E116" s="877">
        <f t="shared" si="1"/>
        <v>0</v>
      </c>
      <c r="F116" s="888"/>
    </row>
    <row r="117" spans="1:6" ht="15" customHeight="1">
      <c r="A117" s="885"/>
      <c r="B117" s="886"/>
      <c r="C117" s="887"/>
      <c r="D117" s="887"/>
      <c r="E117" s="877">
        <f t="shared" si="1"/>
        <v>0</v>
      </c>
      <c r="F117" s="888"/>
    </row>
    <row r="118" spans="1:6" ht="15" customHeight="1">
      <c r="A118" s="885"/>
      <c r="B118" s="886"/>
      <c r="C118" s="887"/>
      <c r="D118" s="887"/>
      <c r="E118" s="877">
        <f t="shared" si="1"/>
        <v>0</v>
      </c>
      <c r="F118" s="888"/>
    </row>
    <row r="119" spans="1:6" ht="15" customHeight="1">
      <c r="A119" s="885"/>
      <c r="B119" s="886"/>
      <c r="C119" s="887"/>
      <c r="D119" s="887"/>
      <c r="E119" s="877">
        <f t="shared" si="1"/>
        <v>0</v>
      </c>
      <c r="F119" s="888"/>
    </row>
    <row r="120" spans="1:6" ht="15" customHeight="1">
      <c r="A120" s="885"/>
      <c r="B120" s="886"/>
      <c r="C120" s="887"/>
      <c r="D120" s="887"/>
      <c r="E120" s="877">
        <f t="shared" si="1"/>
        <v>0</v>
      </c>
      <c r="F120" s="888"/>
    </row>
    <row r="121" spans="1:6" ht="15" customHeight="1">
      <c r="A121" s="885"/>
      <c r="B121" s="886"/>
      <c r="C121" s="887"/>
      <c r="D121" s="887"/>
      <c r="E121" s="877">
        <f t="shared" si="1"/>
        <v>0</v>
      </c>
      <c r="F121" s="888"/>
    </row>
    <row r="122" spans="1:6" ht="15" customHeight="1">
      <c r="A122" s="885"/>
      <c r="B122" s="886"/>
      <c r="C122" s="887"/>
      <c r="D122" s="887"/>
      <c r="E122" s="877">
        <f t="shared" si="1"/>
        <v>0</v>
      </c>
      <c r="F122" s="888"/>
    </row>
    <row r="123" spans="1:6" ht="15" customHeight="1">
      <c r="A123" s="885"/>
      <c r="B123" s="886"/>
      <c r="C123" s="887"/>
      <c r="D123" s="887"/>
      <c r="E123" s="877">
        <f t="shared" si="1"/>
        <v>0</v>
      </c>
      <c r="F123" s="888"/>
    </row>
    <row r="124" spans="1:6" ht="15" customHeight="1">
      <c r="A124" s="885"/>
      <c r="B124" s="886"/>
      <c r="C124" s="887"/>
      <c r="D124" s="887"/>
      <c r="E124" s="877">
        <f t="shared" si="1"/>
        <v>0</v>
      </c>
      <c r="F124" s="888"/>
    </row>
    <row r="125" spans="1:6" ht="15" customHeight="1">
      <c r="A125" s="885"/>
      <c r="B125" s="886"/>
      <c r="C125" s="887"/>
      <c r="D125" s="887"/>
      <c r="E125" s="877">
        <f t="shared" si="1"/>
        <v>0</v>
      </c>
      <c r="F125" s="888"/>
    </row>
    <row r="126" spans="1:6" ht="15" customHeight="1">
      <c r="A126" s="885"/>
      <c r="B126" s="886"/>
      <c r="C126" s="887"/>
      <c r="D126" s="887"/>
      <c r="E126" s="877">
        <f t="shared" si="1"/>
        <v>0</v>
      </c>
      <c r="F126" s="888"/>
    </row>
    <row r="127" spans="1:6" ht="15" customHeight="1">
      <c r="A127" s="885"/>
      <c r="B127" s="886"/>
      <c r="C127" s="887"/>
      <c r="D127" s="887"/>
      <c r="E127" s="877">
        <f t="shared" si="1"/>
        <v>0</v>
      </c>
      <c r="F127" s="888"/>
    </row>
    <row r="128" spans="1:6" ht="15" customHeight="1">
      <c r="A128" s="885"/>
      <c r="B128" s="886"/>
      <c r="C128" s="887"/>
      <c r="D128" s="887"/>
      <c r="E128" s="877">
        <f t="shared" si="1"/>
        <v>0</v>
      </c>
      <c r="F128" s="888"/>
    </row>
    <row r="129" spans="1:6" ht="15" customHeight="1">
      <c r="A129" s="885"/>
      <c r="B129" s="886"/>
      <c r="C129" s="887"/>
      <c r="D129" s="887"/>
      <c r="E129" s="877">
        <f t="shared" si="1"/>
        <v>0</v>
      </c>
      <c r="F129" s="888"/>
    </row>
    <row r="130" spans="1:6" ht="15" customHeight="1">
      <c r="A130" s="885"/>
      <c r="B130" s="886"/>
      <c r="C130" s="887"/>
      <c r="D130" s="887"/>
      <c r="E130" s="877">
        <f t="shared" si="1"/>
        <v>0</v>
      </c>
      <c r="F130" s="888"/>
    </row>
    <row r="131" spans="1:6" ht="15" customHeight="1">
      <c r="A131" s="885"/>
      <c r="B131" s="886"/>
      <c r="C131" s="887"/>
      <c r="D131" s="887"/>
      <c r="E131" s="877">
        <f t="shared" si="1"/>
        <v>0</v>
      </c>
      <c r="F131" s="888"/>
    </row>
    <row r="132" spans="1:6" ht="15" customHeight="1">
      <c r="A132" s="885"/>
      <c r="B132" s="886"/>
      <c r="C132" s="887"/>
      <c r="D132" s="887"/>
      <c r="E132" s="877">
        <f t="shared" si="1"/>
        <v>0</v>
      </c>
      <c r="F132" s="888"/>
    </row>
    <row r="133" spans="1:6" ht="15" customHeight="1">
      <c r="A133" s="885"/>
      <c r="B133" s="886"/>
      <c r="C133" s="887"/>
      <c r="D133" s="887"/>
      <c r="E133" s="877">
        <f t="shared" si="1"/>
        <v>0</v>
      </c>
      <c r="F133" s="888"/>
    </row>
    <row r="134" spans="1:6" ht="15" customHeight="1">
      <c r="A134" s="885"/>
      <c r="B134" s="886"/>
      <c r="C134" s="887"/>
      <c r="D134" s="887"/>
      <c r="E134" s="877">
        <f t="shared" si="1"/>
        <v>0</v>
      </c>
      <c r="F134" s="888"/>
    </row>
    <row r="135" spans="1:6" ht="15" customHeight="1">
      <c r="A135" s="885"/>
      <c r="B135" s="886"/>
      <c r="C135" s="887"/>
      <c r="D135" s="887"/>
      <c r="E135" s="877">
        <f t="shared" si="1"/>
        <v>0</v>
      </c>
      <c r="F135" s="888"/>
    </row>
    <row r="136" spans="1:6" ht="15" customHeight="1">
      <c r="A136" s="885"/>
      <c r="B136" s="886"/>
      <c r="C136" s="887"/>
      <c r="D136" s="887"/>
      <c r="E136" s="877">
        <f t="shared" si="1"/>
        <v>0</v>
      </c>
      <c r="F136" s="888"/>
    </row>
    <row r="137" spans="1:6" ht="15" customHeight="1">
      <c r="A137" s="885"/>
      <c r="B137" s="886"/>
      <c r="C137" s="887"/>
      <c r="D137" s="887"/>
      <c r="E137" s="877">
        <f t="shared" si="1"/>
        <v>0</v>
      </c>
      <c r="F137" s="888"/>
    </row>
    <row r="138" spans="1:6" ht="15" customHeight="1">
      <c r="A138" s="885"/>
      <c r="B138" s="886"/>
      <c r="C138" s="887"/>
      <c r="D138" s="887"/>
      <c r="E138" s="877">
        <f t="shared" si="1"/>
        <v>0</v>
      </c>
      <c r="F138" s="888"/>
    </row>
    <row r="139" spans="1:6" ht="15" customHeight="1">
      <c r="A139" s="885"/>
      <c r="B139" s="886"/>
      <c r="C139" s="887"/>
      <c r="D139" s="887"/>
      <c r="E139" s="877">
        <f t="shared" si="1"/>
        <v>0</v>
      </c>
      <c r="F139" s="888"/>
    </row>
    <row r="140" spans="1:6" ht="15" customHeight="1">
      <c r="A140" s="885"/>
      <c r="B140" s="886"/>
      <c r="C140" s="887"/>
      <c r="D140" s="887"/>
      <c r="E140" s="877">
        <f t="shared" si="1"/>
        <v>0</v>
      </c>
      <c r="F140" s="888"/>
    </row>
    <row r="141" spans="1:6" ht="15" customHeight="1">
      <c r="A141" s="885"/>
      <c r="B141" s="886"/>
      <c r="C141" s="887"/>
      <c r="D141" s="887"/>
      <c r="E141" s="877">
        <f t="shared" si="1"/>
        <v>0</v>
      </c>
      <c r="F141" s="888"/>
    </row>
    <row r="142" spans="1:6" ht="15" customHeight="1">
      <c r="A142" s="885"/>
      <c r="B142" s="886"/>
      <c r="C142" s="887"/>
      <c r="D142" s="887"/>
      <c r="E142" s="877">
        <f t="shared" si="1"/>
        <v>0</v>
      </c>
      <c r="F142" s="888"/>
    </row>
    <row r="143" spans="1:6" ht="15" customHeight="1">
      <c r="A143" s="885"/>
      <c r="B143" s="886"/>
      <c r="C143" s="887"/>
      <c r="D143" s="887"/>
      <c r="E143" s="877">
        <f t="shared" si="1"/>
        <v>0</v>
      </c>
      <c r="F143" s="888"/>
    </row>
    <row r="144" spans="1:6" ht="15" customHeight="1">
      <c r="A144" s="885"/>
      <c r="B144" s="886"/>
      <c r="C144" s="887"/>
      <c r="D144" s="887"/>
      <c r="E144" s="877">
        <f t="shared" si="1"/>
        <v>0</v>
      </c>
      <c r="F144" s="888"/>
    </row>
    <row r="145" spans="1:6" ht="15" customHeight="1">
      <c r="A145" s="885"/>
      <c r="B145" s="886"/>
      <c r="C145" s="887"/>
      <c r="D145" s="887"/>
      <c r="E145" s="877">
        <f t="shared" si="1"/>
        <v>0</v>
      </c>
      <c r="F145" s="888"/>
    </row>
    <row r="146" spans="1:6" ht="15" customHeight="1">
      <c r="A146" s="885"/>
      <c r="B146" s="886"/>
      <c r="C146" s="887"/>
      <c r="D146" s="887"/>
      <c r="E146" s="877">
        <f t="shared" ref="E146:E209" si="2">B146-C146+D146</f>
        <v>0</v>
      </c>
      <c r="F146" s="888"/>
    </row>
    <row r="147" spans="1:6" ht="15" customHeight="1">
      <c r="A147" s="885"/>
      <c r="B147" s="886"/>
      <c r="C147" s="887"/>
      <c r="D147" s="887"/>
      <c r="E147" s="877">
        <f t="shared" si="2"/>
        <v>0</v>
      </c>
      <c r="F147" s="888"/>
    </row>
    <row r="148" spans="1:6" ht="15" customHeight="1">
      <c r="A148" s="885"/>
      <c r="B148" s="886"/>
      <c r="C148" s="887"/>
      <c r="D148" s="887"/>
      <c r="E148" s="877">
        <f t="shared" si="2"/>
        <v>0</v>
      </c>
      <c r="F148" s="888"/>
    </row>
    <row r="149" spans="1:6" ht="15" customHeight="1">
      <c r="A149" s="885"/>
      <c r="B149" s="886"/>
      <c r="C149" s="887"/>
      <c r="D149" s="887"/>
      <c r="E149" s="877">
        <f t="shared" si="2"/>
        <v>0</v>
      </c>
      <c r="F149" s="888"/>
    </row>
    <row r="150" spans="1:6" ht="15" customHeight="1">
      <c r="A150" s="885"/>
      <c r="B150" s="886"/>
      <c r="C150" s="887"/>
      <c r="D150" s="887"/>
      <c r="E150" s="877">
        <f t="shared" si="2"/>
        <v>0</v>
      </c>
      <c r="F150" s="888"/>
    </row>
    <row r="151" spans="1:6" ht="15" customHeight="1">
      <c r="A151" s="885"/>
      <c r="B151" s="886"/>
      <c r="C151" s="887"/>
      <c r="D151" s="887"/>
      <c r="E151" s="877">
        <f t="shared" si="2"/>
        <v>0</v>
      </c>
      <c r="F151" s="888"/>
    </row>
    <row r="152" spans="1:6" ht="15" customHeight="1">
      <c r="A152" s="885"/>
      <c r="B152" s="886"/>
      <c r="C152" s="887"/>
      <c r="D152" s="887"/>
      <c r="E152" s="877">
        <f t="shared" si="2"/>
        <v>0</v>
      </c>
      <c r="F152" s="888"/>
    </row>
    <row r="153" spans="1:6" ht="15" customHeight="1">
      <c r="A153" s="885"/>
      <c r="B153" s="886"/>
      <c r="C153" s="887"/>
      <c r="D153" s="887"/>
      <c r="E153" s="877">
        <f t="shared" si="2"/>
        <v>0</v>
      </c>
      <c r="F153" s="888"/>
    </row>
    <row r="154" spans="1:6" ht="15" customHeight="1">
      <c r="A154" s="885"/>
      <c r="B154" s="886"/>
      <c r="C154" s="887"/>
      <c r="D154" s="887"/>
      <c r="E154" s="877">
        <f t="shared" si="2"/>
        <v>0</v>
      </c>
      <c r="F154" s="888"/>
    </row>
    <row r="155" spans="1:6" ht="15" customHeight="1">
      <c r="A155" s="885"/>
      <c r="B155" s="886"/>
      <c r="C155" s="887"/>
      <c r="D155" s="887"/>
      <c r="E155" s="877">
        <f t="shared" si="2"/>
        <v>0</v>
      </c>
      <c r="F155" s="888"/>
    </row>
    <row r="156" spans="1:6" ht="15" customHeight="1">
      <c r="A156" s="885"/>
      <c r="B156" s="886"/>
      <c r="C156" s="887"/>
      <c r="D156" s="887"/>
      <c r="E156" s="877">
        <f t="shared" si="2"/>
        <v>0</v>
      </c>
      <c r="F156" s="888"/>
    </row>
    <row r="157" spans="1:6" ht="15" customHeight="1">
      <c r="A157" s="885"/>
      <c r="B157" s="886"/>
      <c r="C157" s="887"/>
      <c r="D157" s="887"/>
      <c r="E157" s="877">
        <f t="shared" si="2"/>
        <v>0</v>
      </c>
      <c r="F157" s="888"/>
    </row>
    <row r="158" spans="1:6" ht="15" customHeight="1">
      <c r="A158" s="885"/>
      <c r="B158" s="886"/>
      <c r="C158" s="887"/>
      <c r="D158" s="887"/>
      <c r="E158" s="877">
        <f t="shared" si="2"/>
        <v>0</v>
      </c>
      <c r="F158" s="888"/>
    </row>
    <row r="159" spans="1:6" ht="15" customHeight="1">
      <c r="A159" s="885"/>
      <c r="B159" s="886"/>
      <c r="C159" s="887"/>
      <c r="D159" s="887"/>
      <c r="E159" s="877">
        <f t="shared" si="2"/>
        <v>0</v>
      </c>
      <c r="F159" s="888"/>
    </row>
    <row r="160" spans="1:6" ht="15" customHeight="1">
      <c r="A160" s="885"/>
      <c r="B160" s="886"/>
      <c r="C160" s="887"/>
      <c r="D160" s="887"/>
      <c r="E160" s="877">
        <f t="shared" si="2"/>
        <v>0</v>
      </c>
      <c r="F160" s="888"/>
    </row>
    <row r="161" spans="1:6" ht="15" customHeight="1">
      <c r="A161" s="885"/>
      <c r="B161" s="886"/>
      <c r="C161" s="887"/>
      <c r="D161" s="887"/>
      <c r="E161" s="877">
        <f t="shared" si="2"/>
        <v>0</v>
      </c>
      <c r="F161" s="888"/>
    </row>
    <row r="162" spans="1:6" ht="15" customHeight="1">
      <c r="A162" s="885"/>
      <c r="B162" s="886"/>
      <c r="C162" s="887"/>
      <c r="D162" s="887"/>
      <c r="E162" s="877">
        <f t="shared" si="2"/>
        <v>0</v>
      </c>
      <c r="F162" s="888"/>
    </row>
    <row r="163" spans="1:6" ht="15" customHeight="1">
      <c r="A163" s="885"/>
      <c r="B163" s="886"/>
      <c r="C163" s="887"/>
      <c r="D163" s="887"/>
      <c r="E163" s="877">
        <f t="shared" si="2"/>
        <v>0</v>
      </c>
      <c r="F163" s="888"/>
    </row>
    <row r="164" spans="1:6" ht="15" customHeight="1">
      <c r="A164" s="885"/>
      <c r="B164" s="886"/>
      <c r="C164" s="887"/>
      <c r="D164" s="887"/>
      <c r="E164" s="877">
        <f t="shared" si="2"/>
        <v>0</v>
      </c>
      <c r="F164" s="888"/>
    </row>
    <row r="165" spans="1:6" ht="15" customHeight="1">
      <c r="A165" s="885"/>
      <c r="B165" s="886"/>
      <c r="C165" s="887"/>
      <c r="D165" s="887"/>
      <c r="E165" s="877">
        <f t="shared" si="2"/>
        <v>0</v>
      </c>
      <c r="F165" s="888"/>
    </row>
    <row r="166" spans="1:6" ht="15" customHeight="1">
      <c r="A166" s="885"/>
      <c r="B166" s="886"/>
      <c r="C166" s="887"/>
      <c r="D166" s="887"/>
      <c r="E166" s="877">
        <f t="shared" si="2"/>
        <v>0</v>
      </c>
      <c r="F166" s="888"/>
    </row>
    <row r="167" spans="1:6" ht="15" customHeight="1">
      <c r="A167" s="885"/>
      <c r="B167" s="886"/>
      <c r="C167" s="887"/>
      <c r="D167" s="887"/>
      <c r="E167" s="877">
        <f t="shared" si="2"/>
        <v>0</v>
      </c>
      <c r="F167" s="888"/>
    </row>
    <row r="168" spans="1:6" ht="15" customHeight="1">
      <c r="A168" s="885"/>
      <c r="B168" s="886"/>
      <c r="C168" s="887"/>
      <c r="D168" s="887"/>
      <c r="E168" s="877">
        <f t="shared" si="2"/>
        <v>0</v>
      </c>
      <c r="F168" s="888"/>
    </row>
    <row r="169" spans="1:6" ht="15" customHeight="1">
      <c r="A169" s="885"/>
      <c r="B169" s="886"/>
      <c r="C169" s="887"/>
      <c r="D169" s="887"/>
      <c r="E169" s="877">
        <f t="shared" si="2"/>
        <v>0</v>
      </c>
      <c r="F169" s="888"/>
    </row>
    <row r="170" spans="1:6" ht="15" customHeight="1">
      <c r="A170" s="885"/>
      <c r="B170" s="886"/>
      <c r="C170" s="887"/>
      <c r="D170" s="887"/>
      <c r="E170" s="877">
        <f t="shared" si="2"/>
        <v>0</v>
      </c>
      <c r="F170" s="888"/>
    </row>
    <row r="171" spans="1:6" ht="15" customHeight="1">
      <c r="A171" s="885"/>
      <c r="B171" s="886"/>
      <c r="C171" s="887"/>
      <c r="D171" s="887"/>
      <c r="E171" s="877">
        <f t="shared" si="2"/>
        <v>0</v>
      </c>
      <c r="F171" s="888"/>
    </row>
    <row r="172" spans="1:6" ht="15" customHeight="1">
      <c r="A172" s="885"/>
      <c r="B172" s="886"/>
      <c r="C172" s="887"/>
      <c r="D172" s="887"/>
      <c r="E172" s="877">
        <f t="shared" si="2"/>
        <v>0</v>
      </c>
      <c r="F172" s="888"/>
    </row>
    <row r="173" spans="1:6" ht="15" customHeight="1">
      <c r="A173" s="885"/>
      <c r="B173" s="886"/>
      <c r="C173" s="887"/>
      <c r="D173" s="887"/>
      <c r="E173" s="877">
        <f t="shared" si="2"/>
        <v>0</v>
      </c>
      <c r="F173" s="888"/>
    </row>
    <row r="174" spans="1:6" ht="15" customHeight="1">
      <c r="A174" s="885"/>
      <c r="B174" s="886"/>
      <c r="C174" s="887"/>
      <c r="D174" s="887"/>
      <c r="E174" s="877">
        <f t="shared" si="2"/>
        <v>0</v>
      </c>
      <c r="F174" s="888"/>
    </row>
    <row r="175" spans="1:6" ht="15" customHeight="1">
      <c r="A175" s="885"/>
      <c r="B175" s="886"/>
      <c r="C175" s="887"/>
      <c r="D175" s="887"/>
      <c r="E175" s="877">
        <f t="shared" si="2"/>
        <v>0</v>
      </c>
      <c r="F175" s="888"/>
    </row>
    <row r="176" spans="1:6" ht="15" customHeight="1">
      <c r="A176" s="885"/>
      <c r="B176" s="886"/>
      <c r="C176" s="887"/>
      <c r="D176" s="887"/>
      <c r="E176" s="877">
        <f t="shared" si="2"/>
        <v>0</v>
      </c>
      <c r="F176" s="888"/>
    </row>
    <row r="177" spans="1:6" ht="15" customHeight="1">
      <c r="A177" s="885"/>
      <c r="B177" s="886"/>
      <c r="C177" s="887"/>
      <c r="D177" s="887"/>
      <c r="E177" s="877">
        <f t="shared" si="2"/>
        <v>0</v>
      </c>
      <c r="F177" s="888"/>
    </row>
    <row r="178" spans="1:6" ht="15" customHeight="1">
      <c r="A178" s="885"/>
      <c r="B178" s="886"/>
      <c r="C178" s="887"/>
      <c r="D178" s="887"/>
      <c r="E178" s="877">
        <f t="shared" si="2"/>
        <v>0</v>
      </c>
      <c r="F178" s="888"/>
    </row>
    <row r="179" spans="1:6" ht="15" customHeight="1">
      <c r="A179" s="885"/>
      <c r="B179" s="886"/>
      <c r="C179" s="887"/>
      <c r="D179" s="887"/>
      <c r="E179" s="877">
        <f t="shared" si="2"/>
        <v>0</v>
      </c>
      <c r="F179" s="888"/>
    </row>
    <row r="180" spans="1:6" ht="15" customHeight="1">
      <c r="A180" s="885"/>
      <c r="B180" s="886"/>
      <c r="C180" s="887"/>
      <c r="D180" s="887"/>
      <c r="E180" s="877">
        <f t="shared" si="2"/>
        <v>0</v>
      </c>
      <c r="F180" s="888"/>
    </row>
    <row r="181" spans="1:6" ht="15" customHeight="1">
      <c r="A181" s="885"/>
      <c r="B181" s="886"/>
      <c r="C181" s="887"/>
      <c r="D181" s="887"/>
      <c r="E181" s="877">
        <f t="shared" si="2"/>
        <v>0</v>
      </c>
      <c r="F181" s="888"/>
    </row>
    <row r="182" spans="1:6" ht="15" customHeight="1">
      <c r="A182" s="885"/>
      <c r="B182" s="886"/>
      <c r="C182" s="887"/>
      <c r="D182" s="887"/>
      <c r="E182" s="877">
        <f t="shared" si="2"/>
        <v>0</v>
      </c>
      <c r="F182" s="888"/>
    </row>
    <row r="183" spans="1:6" ht="15" customHeight="1">
      <c r="A183" s="885"/>
      <c r="B183" s="886"/>
      <c r="C183" s="887"/>
      <c r="D183" s="887"/>
      <c r="E183" s="877">
        <f t="shared" si="2"/>
        <v>0</v>
      </c>
      <c r="F183" s="888"/>
    </row>
    <row r="184" spans="1:6" ht="15" customHeight="1">
      <c r="A184" s="885"/>
      <c r="B184" s="886"/>
      <c r="C184" s="887"/>
      <c r="D184" s="887"/>
      <c r="E184" s="877">
        <f t="shared" si="2"/>
        <v>0</v>
      </c>
      <c r="F184" s="888"/>
    </row>
    <row r="185" spans="1:6" ht="15" customHeight="1">
      <c r="A185" s="885"/>
      <c r="B185" s="886"/>
      <c r="C185" s="887"/>
      <c r="D185" s="887"/>
      <c r="E185" s="877">
        <f t="shared" si="2"/>
        <v>0</v>
      </c>
      <c r="F185" s="888"/>
    </row>
    <row r="186" spans="1:6" ht="15" customHeight="1">
      <c r="A186" s="885"/>
      <c r="B186" s="886"/>
      <c r="C186" s="887"/>
      <c r="D186" s="887"/>
      <c r="E186" s="877">
        <f t="shared" si="2"/>
        <v>0</v>
      </c>
      <c r="F186" s="888"/>
    </row>
    <row r="187" spans="1:6" ht="15" customHeight="1">
      <c r="A187" s="885"/>
      <c r="B187" s="886"/>
      <c r="C187" s="887"/>
      <c r="D187" s="887"/>
      <c r="E187" s="877">
        <f t="shared" si="2"/>
        <v>0</v>
      </c>
      <c r="F187" s="888"/>
    </row>
    <row r="188" spans="1:6" ht="15" customHeight="1">
      <c r="A188" s="885"/>
      <c r="B188" s="886"/>
      <c r="C188" s="887"/>
      <c r="D188" s="887"/>
      <c r="E188" s="877">
        <f t="shared" si="2"/>
        <v>0</v>
      </c>
      <c r="F188" s="888"/>
    </row>
    <row r="189" spans="1:6" ht="15" customHeight="1">
      <c r="A189" s="885"/>
      <c r="B189" s="886"/>
      <c r="C189" s="887"/>
      <c r="D189" s="887"/>
      <c r="E189" s="877">
        <f t="shared" si="2"/>
        <v>0</v>
      </c>
      <c r="F189" s="888"/>
    </row>
    <row r="190" spans="1:6" ht="15" customHeight="1">
      <c r="A190" s="885"/>
      <c r="B190" s="886"/>
      <c r="C190" s="887"/>
      <c r="D190" s="887"/>
      <c r="E190" s="877">
        <f t="shared" si="2"/>
        <v>0</v>
      </c>
      <c r="F190" s="888"/>
    </row>
    <row r="191" spans="1:6" ht="15" customHeight="1">
      <c r="A191" s="885"/>
      <c r="B191" s="886"/>
      <c r="C191" s="887"/>
      <c r="D191" s="887"/>
      <c r="E191" s="877">
        <f t="shared" si="2"/>
        <v>0</v>
      </c>
      <c r="F191" s="888"/>
    </row>
    <row r="192" spans="1:6" ht="15" customHeight="1">
      <c r="A192" s="885"/>
      <c r="B192" s="886"/>
      <c r="C192" s="887"/>
      <c r="D192" s="887"/>
      <c r="E192" s="877">
        <f t="shared" si="2"/>
        <v>0</v>
      </c>
      <c r="F192" s="888"/>
    </row>
    <row r="193" spans="1:6" ht="15" customHeight="1">
      <c r="A193" s="885"/>
      <c r="B193" s="886"/>
      <c r="C193" s="887"/>
      <c r="D193" s="887"/>
      <c r="E193" s="877">
        <f t="shared" si="2"/>
        <v>0</v>
      </c>
      <c r="F193" s="888"/>
    </row>
    <row r="194" spans="1:6" ht="15" customHeight="1">
      <c r="A194" s="885"/>
      <c r="B194" s="886"/>
      <c r="C194" s="887"/>
      <c r="D194" s="887"/>
      <c r="E194" s="877">
        <f t="shared" si="2"/>
        <v>0</v>
      </c>
      <c r="F194" s="888"/>
    </row>
    <row r="195" spans="1:6" ht="15" customHeight="1">
      <c r="A195" s="885"/>
      <c r="B195" s="886"/>
      <c r="C195" s="887"/>
      <c r="D195" s="887"/>
      <c r="E195" s="877">
        <f t="shared" si="2"/>
        <v>0</v>
      </c>
      <c r="F195" s="888"/>
    </row>
    <row r="196" spans="1:6" ht="15" customHeight="1">
      <c r="A196" s="885"/>
      <c r="B196" s="886"/>
      <c r="C196" s="887"/>
      <c r="D196" s="887"/>
      <c r="E196" s="877">
        <f t="shared" si="2"/>
        <v>0</v>
      </c>
      <c r="F196" s="888"/>
    </row>
    <row r="197" spans="1:6" ht="15" customHeight="1">
      <c r="A197" s="885"/>
      <c r="B197" s="886"/>
      <c r="C197" s="887"/>
      <c r="D197" s="887"/>
      <c r="E197" s="877">
        <f t="shared" si="2"/>
        <v>0</v>
      </c>
      <c r="F197" s="888"/>
    </row>
    <row r="198" spans="1:6" ht="15" customHeight="1">
      <c r="A198" s="885"/>
      <c r="B198" s="886"/>
      <c r="C198" s="887"/>
      <c r="D198" s="887"/>
      <c r="E198" s="877">
        <f t="shared" si="2"/>
        <v>0</v>
      </c>
      <c r="F198" s="888"/>
    </row>
    <row r="199" spans="1:6" ht="15" customHeight="1">
      <c r="A199" s="885"/>
      <c r="B199" s="886"/>
      <c r="C199" s="887"/>
      <c r="D199" s="887"/>
      <c r="E199" s="877">
        <f t="shared" si="2"/>
        <v>0</v>
      </c>
      <c r="F199" s="888"/>
    </row>
    <row r="200" spans="1:6" ht="15" customHeight="1">
      <c r="A200" s="885"/>
      <c r="B200" s="886"/>
      <c r="C200" s="887"/>
      <c r="D200" s="887"/>
      <c r="E200" s="877">
        <f t="shared" si="2"/>
        <v>0</v>
      </c>
      <c r="F200" s="888"/>
    </row>
    <row r="201" spans="1:6" ht="15" customHeight="1">
      <c r="A201" s="885"/>
      <c r="B201" s="886"/>
      <c r="C201" s="887"/>
      <c r="D201" s="887"/>
      <c r="E201" s="877">
        <f t="shared" si="2"/>
        <v>0</v>
      </c>
      <c r="F201" s="888"/>
    </row>
    <row r="202" spans="1:6" ht="15" customHeight="1">
      <c r="A202" s="885"/>
      <c r="B202" s="886"/>
      <c r="C202" s="887"/>
      <c r="D202" s="887"/>
      <c r="E202" s="877">
        <f t="shared" si="2"/>
        <v>0</v>
      </c>
      <c r="F202" s="888"/>
    </row>
    <row r="203" spans="1:6" ht="15" customHeight="1">
      <c r="A203" s="885"/>
      <c r="B203" s="886"/>
      <c r="C203" s="887"/>
      <c r="D203" s="887"/>
      <c r="E203" s="877">
        <f t="shared" si="2"/>
        <v>0</v>
      </c>
      <c r="F203" s="888"/>
    </row>
    <row r="204" spans="1:6" ht="15" customHeight="1">
      <c r="A204" s="885"/>
      <c r="B204" s="886"/>
      <c r="C204" s="887"/>
      <c r="D204" s="887"/>
      <c r="E204" s="877">
        <f t="shared" si="2"/>
        <v>0</v>
      </c>
      <c r="F204" s="888"/>
    </row>
    <row r="205" spans="1:6" ht="15" customHeight="1">
      <c r="A205" s="885"/>
      <c r="B205" s="886"/>
      <c r="C205" s="887"/>
      <c r="D205" s="887"/>
      <c r="E205" s="877">
        <f t="shared" si="2"/>
        <v>0</v>
      </c>
      <c r="F205" s="888"/>
    </row>
    <row r="206" spans="1:6" ht="15" customHeight="1">
      <c r="A206" s="885"/>
      <c r="B206" s="886"/>
      <c r="C206" s="887"/>
      <c r="D206" s="887"/>
      <c r="E206" s="877">
        <f t="shared" si="2"/>
        <v>0</v>
      </c>
      <c r="F206" s="888"/>
    </row>
    <row r="207" spans="1:6" ht="15" customHeight="1">
      <c r="A207" s="885"/>
      <c r="B207" s="886"/>
      <c r="C207" s="887"/>
      <c r="D207" s="887"/>
      <c r="E207" s="877">
        <f t="shared" si="2"/>
        <v>0</v>
      </c>
      <c r="F207" s="888"/>
    </row>
    <row r="208" spans="1:6" ht="15" customHeight="1">
      <c r="A208" s="885"/>
      <c r="B208" s="886"/>
      <c r="C208" s="887"/>
      <c r="D208" s="887"/>
      <c r="E208" s="877">
        <f t="shared" si="2"/>
        <v>0</v>
      </c>
      <c r="F208" s="888"/>
    </row>
    <row r="209" spans="1:6" ht="15" customHeight="1">
      <c r="A209" s="885"/>
      <c r="B209" s="886"/>
      <c r="C209" s="887"/>
      <c r="D209" s="887"/>
      <c r="E209" s="877">
        <f t="shared" si="2"/>
        <v>0</v>
      </c>
      <c r="F209" s="888"/>
    </row>
    <row r="210" spans="1:6" ht="15" customHeight="1">
      <c r="A210" s="885"/>
      <c r="B210" s="886"/>
      <c r="C210" s="887"/>
      <c r="D210" s="887"/>
      <c r="E210" s="877">
        <f t="shared" ref="E210:E273" si="3">B210-C210+D210</f>
        <v>0</v>
      </c>
      <c r="F210" s="888"/>
    </row>
    <row r="211" spans="1:6" ht="15" customHeight="1">
      <c r="A211" s="885"/>
      <c r="B211" s="886"/>
      <c r="C211" s="887"/>
      <c r="D211" s="887"/>
      <c r="E211" s="877">
        <f t="shared" si="3"/>
        <v>0</v>
      </c>
      <c r="F211" s="888"/>
    </row>
    <row r="212" spans="1:6" ht="15" customHeight="1">
      <c r="A212" s="885"/>
      <c r="B212" s="886"/>
      <c r="C212" s="887"/>
      <c r="D212" s="887"/>
      <c r="E212" s="877">
        <f t="shared" si="3"/>
        <v>0</v>
      </c>
      <c r="F212" s="888"/>
    </row>
    <row r="213" spans="1:6" ht="15" customHeight="1">
      <c r="A213" s="885"/>
      <c r="B213" s="886"/>
      <c r="C213" s="887"/>
      <c r="D213" s="887"/>
      <c r="E213" s="877">
        <f t="shared" si="3"/>
        <v>0</v>
      </c>
      <c r="F213" s="888"/>
    </row>
    <row r="214" spans="1:6" ht="15" customHeight="1">
      <c r="A214" s="885"/>
      <c r="B214" s="886"/>
      <c r="C214" s="887"/>
      <c r="D214" s="887"/>
      <c r="E214" s="877">
        <f t="shared" si="3"/>
        <v>0</v>
      </c>
      <c r="F214" s="888"/>
    </row>
    <row r="215" spans="1:6" ht="15" customHeight="1">
      <c r="A215" s="885"/>
      <c r="B215" s="886"/>
      <c r="C215" s="887"/>
      <c r="D215" s="887"/>
      <c r="E215" s="877">
        <f t="shared" si="3"/>
        <v>0</v>
      </c>
      <c r="F215" s="888"/>
    </row>
    <row r="216" spans="1:6" ht="15" customHeight="1">
      <c r="A216" s="885"/>
      <c r="B216" s="886"/>
      <c r="C216" s="887"/>
      <c r="D216" s="887"/>
      <c r="E216" s="877">
        <f t="shared" si="3"/>
        <v>0</v>
      </c>
      <c r="F216" s="888"/>
    </row>
    <row r="217" spans="1:6" ht="15" customHeight="1">
      <c r="A217" s="885"/>
      <c r="B217" s="886"/>
      <c r="C217" s="887"/>
      <c r="D217" s="887"/>
      <c r="E217" s="877">
        <f t="shared" si="3"/>
        <v>0</v>
      </c>
      <c r="F217" s="888"/>
    </row>
    <row r="218" spans="1:6" ht="15" customHeight="1">
      <c r="A218" s="885"/>
      <c r="B218" s="886"/>
      <c r="C218" s="887"/>
      <c r="D218" s="887"/>
      <c r="E218" s="877">
        <f t="shared" si="3"/>
        <v>0</v>
      </c>
      <c r="F218" s="888"/>
    </row>
    <row r="219" spans="1:6" ht="15" customHeight="1">
      <c r="A219" s="885"/>
      <c r="B219" s="886"/>
      <c r="C219" s="887"/>
      <c r="D219" s="887"/>
      <c r="E219" s="877">
        <f t="shared" si="3"/>
        <v>0</v>
      </c>
      <c r="F219" s="888"/>
    </row>
    <row r="220" spans="1:6" ht="15" customHeight="1">
      <c r="A220" s="885"/>
      <c r="B220" s="886"/>
      <c r="C220" s="887"/>
      <c r="D220" s="887"/>
      <c r="E220" s="877">
        <f t="shared" si="3"/>
        <v>0</v>
      </c>
      <c r="F220" s="888"/>
    </row>
    <row r="221" spans="1:6" ht="15" customHeight="1">
      <c r="A221" s="885"/>
      <c r="B221" s="886"/>
      <c r="C221" s="887"/>
      <c r="D221" s="887"/>
      <c r="E221" s="877">
        <f t="shared" si="3"/>
        <v>0</v>
      </c>
      <c r="F221" s="888"/>
    </row>
    <row r="222" spans="1:6" ht="15" customHeight="1">
      <c r="A222" s="885"/>
      <c r="B222" s="886"/>
      <c r="C222" s="887"/>
      <c r="D222" s="887"/>
      <c r="E222" s="877">
        <f t="shared" si="3"/>
        <v>0</v>
      </c>
      <c r="F222" s="888"/>
    </row>
    <row r="223" spans="1:6" ht="15" customHeight="1">
      <c r="A223" s="885"/>
      <c r="B223" s="886"/>
      <c r="C223" s="887"/>
      <c r="D223" s="887"/>
      <c r="E223" s="877">
        <f t="shared" si="3"/>
        <v>0</v>
      </c>
      <c r="F223" s="888"/>
    </row>
    <row r="224" spans="1:6" ht="15" customHeight="1">
      <c r="A224" s="885"/>
      <c r="B224" s="886"/>
      <c r="C224" s="887"/>
      <c r="D224" s="887"/>
      <c r="E224" s="877">
        <f t="shared" si="3"/>
        <v>0</v>
      </c>
      <c r="F224" s="888"/>
    </row>
    <row r="225" spans="1:6" ht="15" customHeight="1">
      <c r="A225" s="885"/>
      <c r="B225" s="886"/>
      <c r="C225" s="887"/>
      <c r="D225" s="887"/>
      <c r="E225" s="877">
        <f t="shared" si="3"/>
        <v>0</v>
      </c>
      <c r="F225" s="888"/>
    </row>
    <row r="226" spans="1:6" ht="15" customHeight="1">
      <c r="A226" s="885"/>
      <c r="B226" s="886"/>
      <c r="C226" s="887"/>
      <c r="D226" s="887"/>
      <c r="E226" s="877">
        <f t="shared" si="3"/>
        <v>0</v>
      </c>
      <c r="F226" s="888"/>
    </row>
    <row r="227" spans="1:6" ht="15" customHeight="1">
      <c r="A227" s="885"/>
      <c r="B227" s="886"/>
      <c r="C227" s="887"/>
      <c r="D227" s="887"/>
      <c r="E227" s="877">
        <f t="shared" si="3"/>
        <v>0</v>
      </c>
      <c r="F227" s="888"/>
    </row>
    <row r="228" spans="1:6" ht="15" customHeight="1">
      <c r="A228" s="885"/>
      <c r="B228" s="886"/>
      <c r="C228" s="887"/>
      <c r="D228" s="887"/>
      <c r="E228" s="877">
        <f t="shared" si="3"/>
        <v>0</v>
      </c>
      <c r="F228" s="888"/>
    </row>
    <row r="229" spans="1:6" ht="15" customHeight="1">
      <c r="A229" s="885"/>
      <c r="B229" s="886"/>
      <c r="C229" s="887"/>
      <c r="D229" s="887"/>
      <c r="E229" s="877">
        <f t="shared" si="3"/>
        <v>0</v>
      </c>
      <c r="F229" s="888"/>
    </row>
    <row r="230" spans="1:6" ht="15" customHeight="1">
      <c r="A230" s="885"/>
      <c r="B230" s="886"/>
      <c r="C230" s="887"/>
      <c r="D230" s="887"/>
      <c r="E230" s="877">
        <f t="shared" si="3"/>
        <v>0</v>
      </c>
      <c r="F230" s="888"/>
    </row>
    <row r="231" spans="1:6" ht="15" customHeight="1">
      <c r="A231" s="885"/>
      <c r="B231" s="886"/>
      <c r="C231" s="887"/>
      <c r="D231" s="887"/>
      <c r="E231" s="877">
        <f t="shared" si="3"/>
        <v>0</v>
      </c>
      <c r="F231" s="888"/>
    </row>
    <row r="232" spans="1:6" ht="15" customHeight="1">
      <c r="A232" s="885"/>
      <c r="B232" s="886"/>
      <c r="C232" s="887"/>
      <c r="D232" s="887"/>
      <c r="E232" s="877">
        <f t="shared" si="3"/>
        <v>0</v>
      </c>
      <c r="F232" s="888"/>
    </row>
    <row r="233" spans="1:6" ht="15" customHeight="1">
      <c r="A233" s="885"/>
      <c r="B233" s="886"/>
      <c r="C233" s="887"/>
      <c r="D233" s="887"/>
      <c r="E233" s="877">
        <f t="shared" si="3"/>
        <v>0</v>
      </c>
      <c r="F233" s="888"/>
    </row>
    <row r="234" spans="1:6" ht="15" customHeight="1">
      <c r="A234" s="885"/>
      <c r="B234" s="886"/>
      <c r="C234" s="887"/>
      <c r="D234" s="887"/>
      <c r="E234" s="877">
        <f t="shared" si="3"/>
        <v>0</v>
      </c>
      <c r="F234" s="888"/>
    </row>
    <row r="235" spans="1:6" ht="15" customHeight="1">
      <c r="A235" s="885"/>
      <c r="B235" s="886"/>
      <c r="C235" s="887"/>
      <c r="D235" s="887"/>
      <c r="E235" s="877">
        <f t="shared" si="3"/>
        <v>0</v>
      </c>
      <c r="F235" s="888"/>
    </row>
    <row r="236" spans="1:6" ht="15" customHeight="1">
      <c r="A236" s="885"/>
      <c r="B236" s="886"/>
      <c r="C236" s="887"/>
      <c r="D236" s="887"/>
      <c r="E236" s="877">
        <f t="shared" si="3"/>
        <v>0</v>
      </c>
      <c r="F236" s="888"/>
    </row>
    <row r="237" spans="1:6" ht="15" customHeight="1">
      <c r="A237" s="885"/>
      <c r="B237" s="886"/>
      <c r="C237" s="887"/>
      <c r="D237" s="887"/>
      <c r="E237" s="877">
        <f t="shared" si="3"/>
        <v>0</v>
      </c>
      <c r="F237" s="888"/>
    </row>
    <row r="238" spans="1:6" ht="15" customHeight="1">
      <c r="A238" s="885"/>
      <c r="B238" s="886"/>
      <c r="C238" s="887"/>
      <c r="D238" s="887"/>
      <c r="E238" s="877">
        <f t="shared" si="3"/>
        <v>0</v>
      </c>
      <c r="F238" s="888"/>
    </row>
    <row r="239" spans="1:6" ht="15" customHeight="1">
      <c r="A239" s="885"/>
      <c r="B239" s="886"/>
      <c r="C239" s="887"/>
      <c r="D239" s="887"/>
      <c r="E239" s="877">
        <f t="shared" si="3"/>
        <v>0</v>
      </c>
      <c r="F239" s="888"/>
    </row>
    <row r="240" spans="1:6" ht="15" customHeight="1">
      <c r="A240" s="885"/>
      <c r="B240" s="886"/>
      <c r="C240" s="887"/>
      <c r="D240" s="887"/>
      <c r="E240" s="877">
        <f t="shared" si="3"/>
        <v>0</v>
      </c>
      <c r="F240" s="888"/>
    </row>
    <row r="241" spans="1:6" ht="15" customHeight="1">
      <c r="A241" s="885"/>
      <c r="B241" s="886"/>
      <c r="C241" s="887"/>
      <c r="D241" s="887"/>
      <c r="E241" s="877">
        <f t="shared" si="3"/>
        <v>0</v>
      </c>
      <c r="F241" s="888"/>
    </row>
    <row r="242" spans="1:6" ht="15" customHeight="1">
      <c r="A242" s="885"/>
      <c r="B242" s="886"/>
      <c r="C242" s="887"/>
      <c r="D242" s="887"/>
      <c r="E242" s="877">
        <f t="shared" si="3"/>
        <v>0</v>
      </c>
      <c r="F242" s="888"/>
    </row>
    <row r="243" spans="1:6" ht="15" customHeight="1">
      <c r="A243" s="885"/>
      <c r="B243" s="886"/>
      <c r="C243" s="887"/>
      <c r="D243" s="887"/>
      <c r="E243" s="877">
        <f t="shared" si="3"/>
        <v>0</v>
      </c>
      <c r="F243" s="888"/>
    </row>
    <row r="244" spans="1:6" ht="15" customHeight="1">
      <c r="A244" s="885"/>
      <c r="B244" s="886"/>
      <c r="C244" s="887"/>
      <c r="D244" s="887"/>
      <c r="E244" s="877">
        <f t="shared" si="3"/>
        <v>0</v>
      </c>
      <c r="F244" s="888"/>
    </row>
    <row r="245" spans="1:6" ht="15" customHeight="1">
      <c r="A245" s="885"/>
      <c r="B245" s="886"/>
      <c r="C245" s="887"/>
      <c r="D245" s="887"/>
      <c r="E245" s="877">
        <f t="shared" si="3"/>
        <v>0</v>
      </c>
      <c r="F245" s="888"/>
    </row>
    <row r="246" spans="1:6" ht="15" customHeight="1">
      <c r="A246" s="885"/>
      <c r="B246" s="886"/>
      <c r="C246" s="887"/>
      <c r="D246" s="887"/>
      <c r="E246" s="877">
        <f t="shared" si="3"/>
        <v>0</v>
      </c>
      <c r="F246" s="888"/>
    </row>
    <row r="247" spans="1:6" ht="15" customHeight="1">
      <c r="A247" s="885"/>
      <c r="B247" s="886"/>
      <c r="C247" s="887"/>
      <c r="D247" s="887"/>
      <c r="E247" s="877">
        <f t="shared" si="3"/>
        <v>0</v>
      </c>
      <c r="F247" s="888"/>
    </row>
    <row r="248" spans="1:6" ht="15" customHeight="1">
      <c r="A248" s="885"/>
      <c r="B248" s="886"/>
      <c r="C248" s="887"/>
      <c r="D248" s="887"/>
      <c r="E248" s="877">
        <f t="shared" si="3"/>
        <v>0</v>
      </c>
      <c r="F248" s="888"/>
    </row>
    <row r="249" spans="1:6" ht="15" customHeight="1">
      <c r="A249" s="885"/>
      <c r="B249" s="886"/>
      <c r="C249" s="887"/>
      <c r="D249" s="887"/>
      <c r="E249" s="877">
        <f t="shared" si="3"/>
        <v>0</v>
      </c>
      <c r="F249" s="888"/>
    </row>
    <row r="250" spans="1:6" ht="15" customHeight="1">
      <c r="A250" s="885"/>
      <c r="B250" s="886"/>
      <c r="C250" s="887"/>
      <c r="D250" s="887"/>
      <c r="E250" s="877">
        <f t="shared" si="3"/>
        <v>0</v>
      </c>
      <c r="F250" s="888"/>
    </row>
    <row r="251" spans="1:6" ht="15" customHeight="1">
      <c r="A251" s="885"/>
      <c r="B251" s="886"/>
      <c r="C251" s="887"/>
      <c r="D251" s="887"/>
      <c r="E251" s="877">
        <f t="shared" si="3"/>
        <v>0</v>
      </c>
      <c r="F251" s="888"/>
    </row>
    <row r="252" spans="1:6" ht="15" customHeight="1">
      <c r="A252" s="885"/>
      <c r="B252" s="886"/>
      <c r="C252" s="887"/>
      <c r="D252" s="887"/>
      <c r="E252" s="877">
        <f t="shared" si="3"/>
        <v>0</v>
      </c>
      <c r="F252" s="888"/>
    </row>
    <row r="253" spans="1:6" ht="15" customHeight="1">
      <c r="A253" s="885"/>
      <c r="B253" s="886"/>
      <c r="C253" s="887"/>
      <c r="D253" s="887"/>
      <c r="E253" s="877">
        <f t="shared" si="3"/>
        <v>0</v>
      </c>
      <c r="F253" s="888"/>
    </row>
    <row r="254" spans="1:6" ht="15" customHeight="1">
      <c r="A254" s="885"/>
      <c r="B254" s="886"/>
      <c r="C254" s="887"/>
      <c r="D254" s="887"/>
      <c r="E254" s="877">
        <f t="shared" si="3"/>
        <v>0</v>
      </c>
      <c r="F254" s="888"/>
    </row>
    <row r="255" spans="1:6" ht="15" customHeight="1">
      <c r="A255" s="885"/>
      <c r="B255" s="886"/>
      <c r="C255" s="887"/>
      <c r="D255" s="887"/>
      <c r="E255" s="877">
        <f t="shared" si="3"/>
        <v>0</v>
      </c>
      <c r="F255" s="888"/>
    </row>
    <row r="256" spans="1:6" ht="15" customHeight="1">
      <c r="A256" s="885"/>
      <c r="B256" s="886"/>
      <c r="C256" s="887"/>
      <c r="D256" s="887"/>
      <c r="E256" s="877">
        <f t="shared" si="3"/>
        <v>0</v>
      </c>
      <c r="F256" s="888"/>
    </row>
    <row r="257" spans="1:6" ht="15" customHeight="1">
      <c r="A257" s="885"/>
      <c r="B257" s="886"/>
      <c r="C257" s="887"/>
      <c r="D257" s="887"/>
      <c r="E257" s="877">
        <f t="shared" si="3"/>
        <v>0</v>
      </c>
      <c r="F257" s="888"/>
    </row>
    <row r="258" spans="1:6" ht="15" customHeight="1">
      <c r="A258" s="885"/>
      <c r="B258" s="886"/>
      <c r="C258" s="887"/>
      <c r="D258" s="887"/>
      <c r="E258" s="877">
        <f t="shared" si="3"/>
        <v>0</v>
      </c>
      <c r="F258" s="888"/>
    </row>
    <row r="259" spans="1:6" ht="15" customHeight="1">
      <c r="A259" s="885"/>
      <c r="B259" s="886"/>
      <c r="C259" s="887"/>
      <c r="D259" s="887"/>
      <c r="E259" s="877">
        <f t="shared" si="3"/>
        <v>0</v>
      </c>
      <c r="F259" s="888"/>
    </row>
    <row r="260" spans="1:6" ht="15" customHeight="1">
      <c r="A260" s="885"/>
      <c r="B260" s="886"/>
      <c r="C260" s="887"/>
      <c r="D260" s="887"/>
      <c r="E260" s="877">
        <f t="shared" si="3"/>
        <v>0</v>
      </c>
      <c r="F260" s="888"/>
    </row>
    <row r="261" spans="1:6" ht="15" customHeight="1">
      <c r="A261" s="885"/>
      <c r="B261" s="886"/>
      <c r="C261" s="887"/>
      <c r="D261" s="887"/>
      <c r="E261" s="877">
        <f t="shared" si="3"/>
        <v>0</v>
      </c>
      <c r="F261" s="888"/>
    </row>
    <row r="262" spans="1:6" ht="15" customHeight="1">
      <c r="A262" s="885"/>
      <c r="B262" s="886"/>
      <c r="C262" s="887"/>
      <c r="D262" s="887"/>
      <c r="E262" s="877">
        <f t="shared" si="3"/>
        <v>0</v>
      </c>
      <c r="F262" s="888"/>
    </row>
    <row r="263" spans="1:6" ht="15" customHeight="1">
      <c r="A263" s="885"/>
      <c r="B263" s="886"/>
      <c r="C263" s="887"/>
      <c r="D263" s="887"/>
      <c r="E263" s="877">
        <f t="shared" si="3"/>
        <v>0</v>
      </c>
      <c r="F263" s="888"/>
    </row>
    <row r="264" spans="1:6" ht="15" customHeight="1">
      <c r="A264" s="885"/>
      <c r="B264" s="886"/>
      <c r="C264" s="887"/>
      <c r="D264" s="887"/>
      <c r="E264" s="877">
        <f t="shared" si="3"/>
        <v>0</v>
      </c>
      <c r="F264" s="888"/>
    </row>
    <row r="265" spans="1:6" ht="15" customHeight="1">
      <c r="A265" s="885"/>
      <c r="B265" s="886"/>
      <c r="C265" s="887"/>
      <c r="D265" s="887"/>
      <c r="E265" s="877">
        <f t="shared" si="3"/>
        <v>0</v>
      </c>
      <c r="F265" s="888"/>
    </row>
    <row r="266" spans="1:6" ht="15" customHeight="1">
      <c r="A266" s="885"/>
      <c r="B266" s="886"/>
      <c r="C266" s="887"/>
      <c r="D266" s="887"/>
      <c r="E266" s="877">
        <f t="shared" si="3"/>
        <v>0</v>
      </c>
      <c r="F266" s="888"/>
    </row>
    <row r="267" spans="1:6" ht="15" customHeight="1">
      <c r="A267" s="885"/>
      <c r="B267" s="886"/>
      <c r="C267" s="887"/>
      <c r="D267" s="887"/>
      <c r="E267" s="877">
        <f t="shared" si="3"/>
        <v>0</v>
      </c>
      <c r="F267" s="888"/>
    </row>
    <row r="268" spans="1:6" ht="15" customHeight="1">
      <c r="A268" s="885"/>
      <c r="B268" s="886"/>
      <c r="C268" s="887"/>
      <c r="D268" s="887"/>
      <c r="E268" s="877">
        <f t="shared" si="3"/>
        <v>0</v>
      </c>
      <c r="F268" s="888"/>
    </row>
    <row r="269" spans="1:6" ht="15" customHeight="1">
      <c r="A269" s="885"/>
      <c r="B269" s="886"/>
      <c r="C269" s="887"/>
      <c r="D269" s="887"/>
      <c r="E269" s="877">
        <f t="shared" si="3"/>
        <v>0</v>
      </c>
      <c r="F269" s="888"/>
    </row>
    <row r="270" spans="1:6" ht="15" customHeight="1">
      <c r="A270" s="885"/>
      <c r="B270" s="886"/>
      <c r="C270" s="887"/>
      <c r="D270" s="887"/>
      <c r="E270" s="877">
        <f t="shared" si="3"/>
        <v>0</v>
      </c>
      <c r="F270" s="888"/>
    </row>
    <row r="271" spans="1:6" ht="15" customHeight="1">
      <c r="A271" s="885"/>
      <c r="B271" s="886"/>
      <c r="C271" s="887"/>
      <c r="D271" s="887"/>
      <c r="E271" s="877">
        <f t="shared" si="3"/>
        <v>0</v>
      </c>
      <c r="F271" s="888"/>
    </row>
    <row r="272" spans="1:6" ht="15" customHeight="1">
      <c r="A272" s="885"/>
      <c r="B272" s="886"/>
      <c r="C272" s="887"/>
      <c r="D272" s="887"/>
      <c r="E272" s="877">
        <f t="shared" si="3"/>
        <v>0</v>
      </c>
      <c r="F272" s="888"/>
    </row>
    <row r="273" spans="1:6" ht="15" customHeight="1">
      <c r="A273" s="885"/>
      <c r="B273" s="886"/>
      <c r="C273" s="887"/>
      <c r="D273" s="887"/>
      <c r="E273" s="877">
        <f t="shared" si="3"/>
        <v>0</v>
      </c>
      <c r="F273" s="888"/>
    </row>
    <row r="274" spans="1:6" ht="15" customHeight="1">
      <c r="A274" s="885"/>
      <c r="B274" s="886"/>
      <c r="C274" s="887"/>
      <c r="D274" s="887"/>
      <c r="E274" s="877">
        <f t="shared" ref="E274:E305" si="4">B274-C274+D274</f>
        <v>0</v>
      </c>
      <c r="F274" s="888"/>
    </row>
    <row r="275" spans="1:6" ht="15" customHeight="1">
      <c r="A275" s="885"/>
      <c r="B275" s="886"/>
      <c r="C275" s="887"/>
      <c r="D275" s="887"/>
      <c r="E275" s="877">
        <f t="shared" si="4"/>
        <v>0</v>
      </c>
      <c r="F275" s="888"/>
    </row>
    <row r="276" spans="1:6" ht="15" customHeight="1">
      <c r="A276" s="885"/>
      <c r="B276" s="886"/>
      <c r="C276" s="887"/>
      <c r="D276" s="887"/>
      <c r="E276" s="877">
        <f t="shared" si="4"/>
        <v>0</v>
      </c>
      <c r="F276" s="888"/>
    </row>
    <row r="277" spans="1:6" ht="15" customHeight="1">
      <c r="A277" s="885"/>
      <c r="B277" s="886"/>
      <c r="C277" s="887"/>
      <c r="D277" s="887"/>
      <c r="E277" s="877">
        <f t="shared" si="4"/>
        <v>0</v>
      </c>
      <c r="F277" s="888"/>
    </row>
    <row r="278" spans="1:6" ht="15" customHeight="1">
      <c r="A278" s="885"/>
      <c r="B278" s="886"/>
      <c r="C278" s="887"/>
      <c r="D278" s="887"/>
      <c r="E278" s="877">
        <f t="shared" si="4"/>
        <v>0</v>
      </c>
      <c r="F278" s="888"/>
    </row>
    <row r="279" spans="1:6" ht="15" customHeight="1">
      <c r="A279" s="885"/>
      <c r="B279" s="886"/>
      <c r="C279" s="887"/>
      <c r="D279" s="887"/>
      <c r="E279" s="877">
        <f t="shared" si="4"/>
        <v>0</v>
      </c>
      <c r="F279" s="888"/>
    </row>
    <row r="280" spans="1:6" ht="15" customHeight="1">
      <c r="A280" s="885"/>
      <c r="B280" s="886"/>
      <c r="C280" s="887"/>
      <c r="D280" s="887"/>
      <c r="E280" s="877">
        <f t="shared" si="4"/>
        <v>0</v>
      </c>
      <c r="F280" s="888"/>
    </row>
    <row r="281" spans="1:6" ht="15" customHeight="1">
      <c r="A281" s="885"/>
      <c r="B281" s="886"/>
      <c r="C281" s="887"/>
      <c r="D281" s="887"/>
      <c r="E281" s="877">
        <f t="shared" si="4"/>
        <v>0</v>
      </c>
      <c r="F281" s="888"/>
    </row>
    <row r="282" spans="1:6" ht="15" customHeight="1">
      <c r="A282" s="885"/>
      <c r="B282" s="886"/>
      <c r="C282" s="887"/>
      <c r="D282" s="887"/>
      <c r="E282" s="877">
        <f t="shared" si="4"/>
        <v>0</v>
      </c>
      <c r="F282" s="888"/>
    </row>
    <row r="283" spans="1:6" ht="15" customHeight="1">
      <c r="A283" s="885"/>
      <c r="B283" s="886"/>
      <c r="C283" s="887"/>
      <c r="D283" s="887"/>
      <c r="E283" s="877">
        <f t="shared" si="4"/>
        <v>0</v>
      </c>
      <c r="F283" s="888"/>
    </row>
    <row r="284" spans="1:6" ht="15" customHeight="1">
      <c r="A284" s="885"/>
      <c r="B284" s="886"/>
      <c r="C284" s="887"/>
      <c r="D284" s="887"/>
      <c r="E284" s="877">
        <f t="shared" si="4"/>
        <v>0</v>
      </c>
      <c r="F284" s="888"/>
    </row>
    <row r="285" spans="1:6" ht="15" customHeight="1">
      <c r="A285" s="885"/>
      <c r="B285" s="886"/>
      <c r="C285" s="887"/>
      <c r="D285" s="887"/>
      <c r="E285" s="877">
        <f t="shared" si="4"/>
        <v>0</v>
      </c>
      <c r="F285" s="888"/>
    </row>
    <row r="286" spans="1:6" ht="15" customHeight="1">
      <c r="A286" s="885"/>
      <c r="B286" s="886"/>
      <c r="C286" s="887"/>
      <c r="D286" s="887"/>
      <c r="E286" s="877">
        <f t="shared" si="4"/>
        <v>0</v>
      </c>
      <c r="F286" s="888"/>
    </row>
    <row r="287" spans="1:6" ht="15" customHeight="1">
      <c r="A287" s="885"/>
      <c r="B287" s="886"/>
      <c r="C287" s="887"/>
      <c r="D287" s="887"/>
      <c r="E287" s="877">
        <f t="shared" si="4"/>
        <v>0</v>
      </c>
      <c r="F287" s="888"/>
    </row>
    <row r="288" spans="1:6" ht="15" customHeight="1">
      <c r="A288" s="885"/>
      <c r="B288" s="886"/>
      <c r="C288" s="887"/>
      <c r="D288" s="887"/>
      <c r="E288" s="877">
        <f t="shared" si="4"/>
        <v>0</v>
      </c>
      <c r="F288" s="888"/>
    </row>
    <row r="289" spans="1:6" ht="15" customHeight="1">
      <c r="A289" s="885"/>
      <c r="B289" s="886"/>
      <c r="C289" s="887"/>
      <c r="D289" s="887"/>
      <c r="E289" s="877">
        <f t="shared" si="4"/>
        <v>0</v>
      </c>
      <c r="F289" s="888"/>
    </row>
    <row r="290" spans="1:6" ht="15" customHeight="1">
      <c r="A290" s="885"/>
      <c r="B290" s="886"/>
      <c r="C290" s="887"/>
      <c r="D290" s="887"/>
      <c r="E290" s="877">
        <f t="shared" si="4"/>
        <v>0</v>
      </c>
      <c r="F290" s="888"/>
    </row>
    <row r="291" spans="1:6" ht="15" customHeight="1">
      <c r="A291" s="885"/>
      <c r="B291" s="886"/>
      <c r="C291" s="887"/>
      <c r="D291" s="887"/>
      <c r="E291" s="877">
        <f t="shared" si="4"/>
        <v>0</v>
      </c>
      <c r="F291" s="888"/>
    </row>
    <row r="292" spans="1:6" ht="15" customHeight="1">
      <c r="A292" s="885"/>
      <c r="B292" s="886"/>
      <c r="C292" s="887"/>
      <c r="D292" s="887"/>
      <c r="E292" s="877">
        <f t="shared" si="4"/>
        <v>0</v>
      </c>
      <c r="F292" s="888"/>
    </row>
    <row r="293" spans="1:6" ht="15" customHeight="1">
      <c r="A293" s="885"/>
      <c r="B293" s="886"/>
      <c r="C293" s="887"/>
      <c r="D293" s="887"/>
      <c r="E293" s="877">
        <f t="shared" si="4"/>
        <v>0</v>
      </c>
      <c r="F293" s="888"/>
    </row>
    <row r="294" spans="1:6" ht="15" customHeight="1">
      <c r="A294" s="885"/>
      <c r="B294" s="886"/>
      <c r="C294" s="887"/>
      <c r="D294" s="887"/>
      <c r="E294" s="877">
        <f t="shared" si="4"/>
        <v>0</v>
      </c>
      <c r="F294" s="888"/>
    </row>
    <row r="295" spans="1:6" ht="15" customHeight="1">
      <c r="A295" s="885"/>
      <c r="B295" s="886"/>
      <c r="C295" s="887"/>
      <c r="D295" s="887"/>
      <c r="E295" s="877">
        <f t="shared" si="4"/>
        <v>0</v>
      </c>
      <c r="F295" s="888"/>
    </row>
    <row r="296" spans="1:6" ht="15" customHeight="1">
      <c r="A296" s="885"/>
      <c r="B296" s="886"/>
      <c r="C296" s="887"/>
      <c r="D296" s="887"/>
      <c r="E296" s="877">
        <f t="shared" si="4"/>
        <v>0</v>
      </c>
      <c r="F296" s="888"/>
    </row>
    <row r="297" spans="1:6" ht="15" customHeight="1">
      <c r="A297" s="885"/>
      <c r="B297" s="886"/>
      <c r="C297" s="887"/>
      <c r="D297" s="887"/>
      <c r="E297" s="877">
        <f t="shared" si="4"/>
        <v>0</v>
      </c>
      <c r="F297" s="888"/>
    </row>
    <row r="298" spans="1:6" ht="15" customHeight="1">
      <c r="A298" s="885"/>
      <c r="B298" s="886"/>
      <c r="C298" s="887"/>
      <c r="D298" s="887"/>
      <c r="E298" s="877">
        <f t="shared" si="4"/>
        <v>0</v>
      </c>
      <c r="F298" s="888"/>
    </row>
    <row r="299" spans="1:6" ht="15" customHeight="1">
      <c r="A299" s="885"/>
      <c r="B299" s="886"/>
      <c r="C299" s="887"/>
      <c r="D299" s="887"/>
      <c r="E299" s="877">
        <f t="shared" si="4"/>
        <v>0</v>
      </c>
      <c r="F299" s="888"/>
    </row>
    <row r="300" spans="1:6" ht="15" customHeight="1">
      <c r="A300" s="885"/>
      <c r="B300" s="886"/>
      <c r="C300" s="887"/>
      <c r="D300" s="887"/>
      <c r="E300" s="877">
        <f t="shared" si="4"/>
        <v>0</v>
      </c>
      <c r="F300" s="888"/>
    </row>
    <row r="301" spans="1:6" ht="15" customHeight="1">
      <c r="A301" s="885"/>
      <c r="B301" s="886"/>
      <c r="C301" s="887"/>
      <c r="D301" s="887"/>
      <c r="E301" s="877">
        <f t="shared" si="4"/>
        <v>0</v>
      </c>
      <c r="F301" s="888"/>
    </row>
    <row r="302" spans="1:6" ht="15" customHeight="1">
      <c r="A302" s="885"/>
      <c r="B302" s="886"/>
      <c r="C302" s="887"/>
      <c r="D302" s="887"/>
      <c r="E302" s="877">
        <f t="shared" si="4"/>
        <v>0</v>
      </c>
      <c r="F302" s="888"/>
    </row>
    <row r="303" spans="1:6" ht="15" customHeight="1">
      <c r="A303" s="885"/>
      <c r="B303" s="886"/>
      <c r="C303" s="887"/>
      <c r="D303" s="887"/>
      <c r="E303" s="877">
        <f t="shared" si="4"/>
        <v>0</v>
      </c>
      <c r="F303" s="888"/>
    </row>
    <row r="304" spans="1:6" ht="15" customHeight="1">
      <c r="A304" s="885"/>
      <c r="B304" s="886"/>
      <c r="C304" s="887"/>
      <c r="D304" s="887"/>
      <c r="E304" s="877">
        <f t="shared" si="4"/>
        <v>0</v>
      </c>
      <c r="F304" s="888"/>
    </row>
    <row r="305" spans="1:6" ht="15" customHeight="1">
      <c r="A305" s="889"/>
      <c r="B305" s="890"/>
      <c r="C305" s="891"/>
      <c r="D305" s="891"/>
      <c r="E305" s="892">
        <f t="shared" si="4"/>
        <v>0</v>
      </c>
      <c r="F305" s="893"/>
    </row>
  </sheetData>
  <sheetProtection formatCells="0" selectLockedCells="1"/>
  <mergeCells count="17">
    <mergeCell ref="B8:D8"/>
    <mergeCell ref="E8:F8"/>
    <mergeCell ref="B9:F9"/>
    <mergeCell ref="A6:F6"/>
    <mergeCell ref="G10:G13"/>
    <mergeCell ref="A11:A12"/>
    <mergeCell ref="C11:D11"/>
    <mergeCell ref="C12:D12"/>
    <mergeCell ref="B10:F10"/>
    <mergeCell ref="B7:F7"/>
    <mergeCell ref="A8:A9"/>
    <mergeCell ref="G1:G5"/>
    <mergeCell ref="D1:F1"/>
    <mergeCell ref="D2:F2"/>
    <mergeCell ref="A1:C2"/>
    <mergeCell ref="A3:C4"/>
    <mergeCell ref="A5:C5"/>
  </mergeCells>
  <phoneticPr fontId="135"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G32"/>
  <sheetViews>
    <sheetView workbookViewId="0">
      <selection activeCell="C8" sqref="C8:D8"/>
    </sheetView>
  </sheetViews>
  <sheetFormatPr defaultColWidth="8.75" defaultRowHeight="17.25"/>
  <cols>
    <col min="1" max="1" width="7.625" style="756" customWidth="1"/>
    <col min="2" max="2" width="27.25" style="756" customWidth="1"/>
    <col min="3" max="3" width="7.5" style="756" customWidth="1"/>
    <col min="4" max="4" width="9.25" style="756" customWidth="1"/>
    <col min="5" max="5" width="16.625" style="756" customWidth="1"/>
    <col min="6" max="6" width="16.5" style="756" customWidth="1"/>
    <col min="7" max="7" width="54.625" style="756" customWidth="1"/>
    <col min="8" max="16384" width="8.75" style="757"/>
  </cols>
  <sheetData>
    <row r="1" spans="1:7" ht="25.9" customHeight="1">
      <c r="A1" s="2994" t="s">
        <v>4616</v>
      </c>
      <c r="B1" s="2994"/>
      <c r="C1" s="2994"/>
      <c r="D1" s="2994"/>
      <c r="E1" s="2754" t="str">
        <f>基本情况!$F$10</f>
        <v>厦中汇税审（2018）第DS0001号</v>
      </c>
      <c r="F1" s="2754"/>
      <c r="G1" s="2961"/>
    </row>
    <row r="2" spans="1:7" ht="37.15" customHeight="1">
      <c r="A2" s="3010"/>
      <c r="B2" s="3010"/>
      <c r="C2" s="3010"/>
      <c r="D2" s="3010"/>
      <c r="E2" s="3023" t="str">
        <f>"底稿编号："&amp;开始!$F$9</f>
        <v>底稿编号：AS-07</v>
      </c>
      <c r="F2" s="3023"/>
      <c r="G2" s="2961"/>
    </row>
    <row r="3" spans="1:7" ht="20.25" customHeight="1">
      <c r="A3" s="3011" t="str">
        <f>"委托单位："&amp;基本情况!$C$3</f>
        <v>委托单位：</v>
      </c>
      <c r="B3" s="3012"/>
      <c r="C3" s="3013"/>
      <c r="D3" s="860"/>
      <c r="E3" s="760" t="s">
        <v>4472</v>
      </c>
      <c r="F3" s="861" t="s">
        <v>4473</v>
      </c>
      <c r="G3" s="2961"/>
    </row>
    <row r="4" spans="1:7" ht="20.25" customHeight="1">
      <c r="A4" s="3014"/>
      <c r="B4" s="3015"/>
      <c r="C4" s="3016"/>
      <c r="D4" s="862" t="s">
        <v>4407</v>
      </c>
      <c r="E4" s="863" t="str">
        <f>基本情况!$F$19&amp;""</f>
        <v/>
      </c>
      <c r="F4" s="864" t="str">
        <f>TEXT(基本情况!$F$27,"yyyy-mm-dd")</f>
        <v>2018-03-16</v>
      </c>
      <c r="G4" s="2961"/>
    </row>
    <row r="5" spans="1:7" ht="20.25" customHeight="1">
      <c r="A5" s="2968" t="str">
        <f>"会计期间："&amp;基本情况!$F$9</f>
        <v>会计期间：2017年01月01日至2017年12月31日</v>
      </c>
      <c r="B5" s="2969"/>
      <c r="C5" s="2970"/>
      <c r="D5" s="761" t="s">
        <v>4410</v>
      </c>
      <c r="E5" s="865" t="str">
        <f>基本情况!$F$18&amp;""</f>
        <v/>
      </c>
      <c r="F5" s="604" t="str">
        <f>TEXT(基本情况!$F$28,"yyyy-mm-dd")</f>
        <v>2018-05-04</v>
      </c>
      <c r="G5" s="2961"/>
    </row>
    <row r="6" spans="1:7" ht="7.5" customHeight="1">
      <c r="A6" s="2962"/>
      <c r="B6" s="2962"/>
      <c r="C6" s="2962"/>
      <c r="D6" s="2962"/>
      <c r="E6" s="2962"/>
      <c r="F6" s="2962"/>
      <c r="G6" s="919"/>
    </row>
    <row r="7" spans="1:7" ht="27.75" customHeight="1">
      <c r="A7" s="2963" t="s">
        <v>750</v>
      </c>
      <c r="B7" s="2963"/>
      <c r="C7" s="2964" t="s">
        <v>4412</v>
      </c>
      <c r="D7" s="2964"/>
      <c r="E7" s="762" t="s">
        <v>4414</v>
      </c>
      <c r="F7" s="763" t="s">
        <v>4415</v>
      </c>
      <c r="G7" s="756" t="s">
        <v>1724</v>
      </c>
    </row>
    <row r="8" spans="1:7" ht="21.75" customHeight="1">
      <c r="A8" s="3017" t="s">
        <v>4250</v>
      </c>
      <c r="B8" s="3017"/>
      <c r="C8" s="3018"/>
      <c r="D8" s="3018"/>
      <c r="E8" s="915"/>
      <c r="F8" s="916">
        <f>C8+E8</f>
        <v>0</v>
      </c>
      <c r="G8" s="601" t="s">
        <v>6080</v>
      </c>
    </row>
    <row r="9" spans="1:7" ht="21.75" customHeight="1">
      <c r="A9" s="3019" t="s">
        <v>4496</v>
      </c>
      <c r="B9" s="3019"/>
      <c r="C9" s="3020"/>
      <c r="D9" s="3020"/>
      <c r="E9" s="887"/>
      <c r="F9" s="917">
        <f>C9+E9</f>
        <v>0</v>
      </c>
    </row>
    <row r="10" spans="1:7" ht="21.75" customHeight="1">
      <c r="A10" s="3019" t="s">
        <v>4497</v>
      </c>
      <c r="B10" s="3019"/>
      <c r="C10" s="3020"/>
      <c r="D10" s="3020"/>
      <c r="E10" s="887"/>
      <c r="F10" s="917">
        <f t="shared" ref="F10:F27" si="0">C10+E10</f>
        <v>0</v>
      </c>
    </row>
    <row r="11" spans="1:7" ht="21.75" customHeight="1">
      <c r="A11" s="3019" t="s">
        <v>4498</v>
      </c>
      <c r="B11" s="3019"/>
      <c r="C11" s="3020"/>
      <c r="D11" s="3020"/>
      <c r="E11" s="887"/>
      <c r="F11" s="917">
        <f t="shared" si="0"/>
        <v>0</v>
      </c>
      <c r="G11" s="920"/>
    </row>
    <row r="12" spans="1:7" ht="21.75" customHeight="1">
      <c r="A12" s="3019" t="s">
        <v>4499</v>
      </c>
      <c r="B12" s="3019"/>
      <c r="C12" s="3020"/>
      <c r="D12" s="3020"/>
      <c r="E12" s="887"/>
      <c r="F12" s="917">
        <f t="shared" si="0"/>
        <v>0</v>
      </c>
      <c r="G12" s="921" t="s">
        <v>4500</v>
      </c>
    </row>
    <row r="13" spans="1:7" ht="21.75" customHeight="1">
      <c r="A13" s="3019" t="s">
        <v>4501</v>
      </c>
      <c r="B13" s="3019"/>
      <c r="C13" s="3020"/>
      <c r="D13" s="3020"/>
      <c r="E13" s="887"/>
      <c r="F13" s="917">
        <f t="shared" si="0"/>
        <v>0</v>
      </c>
    </row>
    <row r="14" spans="1:7" ht="21.75" customHeight="1">
      <c r="A14" s="3019" t="s">
        <v>4502</v>
      </c>
      <c r="B14" s="3019"/>
      <c r="C14" s="3020"/>
      <c r="D14" s="3020"/>
      <c r="E14" s="887"/>
      <c r="F14" s="917">
        <f t="shared" si="0"/>
        <v>0</v>
      </c>
    </row>
    <row r="15" spans="1:7" ht="21.75" customHeight="1">
      <c r="A15" s="3019" t="s">
        <v>4503</v>
      </c>
      <c r="B15" s="3019"/>
      <c r="C15" s="3020"/>
      <c r="D15" s="3020"/>
      <c r="E15" s="887"/>
      <c r="F15" s="917">
        <f t="shared" si="0"/>
        <v>0</v>
      </c>
    </row>
    <row r="16" spans="1:7" ht="21.75" customHeight="1">
      <c r="A16" s="3019" t="s">
        <v>4504</v>
      </c>
      <c r="B16" s="3019"/>
      <c r="C16" s="3020"/>
      <c r="D16" s="3020"/>
      <c r="E16" s="887"/>
      <c r="F16" s="917">
        <f t="shared" si="0"/>
        <v>0</v>
      </c>
    </row>
    <row r="17" spans="1:6" ht="21.75" customHeight="1">
      <c r="A17" s="3019" t="s">
        <v>4505</v>
      </c>
      <c r="B17" s="3019"/>
      <c r="C17" s="3020"/>
      <c r="D17" s="3020"/>
      <c r="E17" s="887"/>
      <c r="F17" s="917">
        <f t="shared" si="0"/>
        <v>0</v>
      </c>
    </row>
    <row r="18" spans="1:6" ht="21.75" customHeight="1">
      <c r="A18" s="3019" t="s">
        <v>4506</v>
      </c>
      <c r="B18" s="3019"/>
      <c r="C18" s="3020"/>
      <c r="D18" s="3020"/>
      <c r="E18" s="887"/>
      <c r="F18" s="917">
        <f t="shared" si="0"/>
        <v>0</v>
      </c>
    </row>
    <row r="19" spans="1:6" ht="21.75" customHeight="1">
      <c r="A19" s="3019" t="s">
        <v>4507</v>
      </c>
      <c r="B19" s="3019"/>
      <c r="C19" s="3020"/>
      <c r="D19" s="3020"/>
      <c r="E19" s="887"/>
      <c r="F19" s="917">
        <f t="shared" si="0"/>
        <v>0</v>
      </c>
    </row>
    <row r="20" spans="1:6" ht="21.75" customHeight="1">
      <c r="A20" s="3019" t="s">
        <v>4508</v>
      </c>
      <c r="B20" s="3019"/>
      <c r="C20" s="3020"/>
      <c r="D20" s="3020"/>
      <c r="E20" s="887"/>
      <c r="F20" s="917">
        <f t="shared" si="0"/>
        <v>0</v>
      </c>
    </row>
    <row r="21" spans="1:6" ht="21.75" customHeight="1">
      <c r="A21" s="3019" t="s">
        <v>4339</v>
      </c>
      <c r="B21" s="3019"/>
      <c r="C21" s="3020"/>
      <c r="D21" s="3020"/>
      <c r="E21" s="887"/>
      <c r="F21" s="917">
        <f t="shared" si="0"/>
        <v>0</v>
      </c>
    </row>
    <row r="22" spans="1:6" ht="21.75" customHeight="1">
      <c r="A22" s="3022" t="s">
        <v>4340</v>
      </c>
      <c r="B22" s="3022"/>
      <c r="C22" s="3020"/>
      <c r="D22" s="3020"/>
      <c r="E22" s="887"/>
      <c r="F22" s="917">
        <f t="shared" si="0"/>
        <v>0</v>
      </c>
    </row>
    <row r="23" spans="1:6" ht="21.75" customHeight="1">
      <c r="A23" s="3021"/>
      <c r="B23" s="3021"/>
      <c r="C23" s="3020"/>
      <c r="D23" s="3020"/>
      <c r="E23" s="887"/>
      <c r="F23" s="917">
        <f t="shared" si="0"/>
        <v>0</v>
      </c>
    </row>
    <row r="24" spans="1:6" ht="21.75" customHeight="1">
      <c r="A24" s="3021"/>
      <c r="B24" s="3021"/>
      <c r="C24" s="3020"/>
      <c r="D24" s="3020"/>
      <c r="E24" s="887"/>
      <c r="F24" s="917">
        <f t="shared" si="0"/>
        <v>0</v>
      </c>
    </row>
    <row r="25" spans="1:6" ht="21.75" customHeight="1">
      <c r="A25" s="3021"/>
      <c r="B25" s="3021"/>
      <c r="C25" s="3020"/>
      <c r="D25" s="3020"/>
      <c r="E25" s="887"/>
      <c r="F25" s="917">
        <f t="shared" si="0"/>
        <v>0</v>
      </c>
    </row>
    <row r="26" spans="1:6" ht="21.75" customHeight="1">
      <c r="A26" s="3021"/>
      <c r="B26" s="3021"/>
      <c r="C26" s="3020"/>
      <c r="D26" s="3020"/>
      <c r="E26" s="887"/>
      <c r="F26" s="917">
        <f t="shared" si="0"/>
        <v>0</v>
      </c>
    </row>
    <row r="27" spans="1:6" ht="21.75" customHeight="1">
      <c r="A27" s="3021"/>
      <c r="B27" s="3021"/>
      <c r="C27" s="3020"/>
      <c r="D27" s="3020"/>
      <c r="E27" s="887"/>
      <c r="F27" s="917">
        <f t="shared" si="0"/>
        <v>0</v>
      </c>
    </row>
    <row r="28" spans="1:6" ht="21.75" customHeight="1">
      <c r="A28" s="3024" t="s">
        <v>757</v>
      </c>
      <c r="B28" s="3024"/>
      <c r="C28" s="3025">
        <f>SUM(C8:C27)</f>
        <v>0</v>
      </c>
      <c r="D28" s="3025"/>
      <c r="E28" s="918">
        <f>SUM(E8:E27)</f>
        <v>0</v>
      </c>
      <c r="F28" s="872">
        <f>SUM(F8:F27)</f>
        <v>0</v>
      </c>
    </row>
    <row r="29" spans="1:6" ht="30.75" customHeight="1">
      <c r="A29" s="922" t="s">
        <v>4430</v>
      </c>
      <c r="B29" s="3026" t="str">
        <f>IF(C28&lt;&gt;资产负债表!$C$14,"账载数与报表数相差"&amp;DOLLAR(C28-资产负债表!$C$14,2)&amp;"元！","账载数与报表数相符！")</f>
        <v>账载数与报表数相符！</v>
      </c>
      <c r="C29" s="3026"/>
      <c r="D29" s="3026"/>
      <c r="E29" s="3026"/>
      <c r="F29" s="3026"/>
    </row>
    <row r="30" spans="1:6" ht="15" customHeight="1">
      <c r="A30" s="3027" t="s">
        <v>4431</v>
      </c>
      <c r="B30" s="923" t="s">
        <v>4432</v>
      </c>
      <c r="C30" s="3028" t="str">
        <f>IF(E28&lt;&gt;0,"、E","")</f>
        <v/>
      </c>
      <c r="D30" s="3028"/>
      <c r="E30" s="3028"/>
      <c r="F30" s="3028"/>
    </row>
    <row r="31" spans="1:6" ht="59.25" customHeight="1">
      <c r="A31" s="3027"/>
      <c r="B31" s="3029"/>
      <c r="C31" s="3029"/>
      <c r="D31" s="3029"/>
      <c r="E31" s="3029"/>
      <c r="F31" s="3029"/>
    </row>
    <row r="32" spans="1:6" ht="21.75" customHeight="1">
      <c r="A32" s="867" t="s">
        <v>4433</v>
      </c>
      <c r="B32" s="2953" t="str">
        <f>IF(E28&lt;&gt;0,"调整后认可！","不存在调整事项,认可！")</f>
        <v>不存在调整事项,认可！</v>
      </c>
      <c r="C32" s="2953"/>
      <c r="D32" s="2953"/>
      <c r="E32" s="2953"/>
      <c r="F32" s="2953"/>
    </row>
  </sheetData>
  <sheetProtection formatCells="0" selectLockedCells="1"/>
  <mergeCells count="56">
    <mergeCell ref="B32:F32"/>
    <mergeCell ref="A3:C4"/>
    <mergeCell ref="A5:C5"/>
    <mergeCell ref="E1:F1"/>
    <mergeCell ref="E2:F2"/>
    <mergeCell ref="A1:D2"/>
    <mergeCell ref="A28:B28"/>
    <mergeCell ref="C28:D28"/>
    <mergeCell ref="B29:F29"/>
    <mergeCell ref="A30:A31"/>
    <mergeCell ref="C30:F30"/>
    <mergeCell ref="B31:F31"/>
    <mergeCell ref="A25:B25"/>
    <mergeCell ref="C25:D25"/>
    <mergeCell ref="A26:B26"/>
    <mergeCell ref="C26:D26"/>
    <mergeCell ref="A21:B21"/>
    <mergeCell ref="C21:D21"/>
    <mergeCell ref="A27:B27"/>
    <mergeCell ref="C27:D27"/>
    <mergeCell ref="A22:B22"/>
    <mergeCell ref="C22:D22"/>
    <mergeCell ref="A23:B23"/>
    <mergeCell ref="C23:D23"/>
    <mergeCell ref="A24:B24"/>
    <mergeCell ref="C24:D24"/>
    <mergeCell ref="A18:B18"/>
    <mergeCell ref="C18:D18"/>
    <mergeCell ref="A19:B19"/>
    <mergeCell ref="C19:D19"/>
    <mergeCell ref="A20:B20"/>
    <mergeCell ref="C20:D20"/>
    <mergeCell ref="A15:B15"/>
    <mergeCell ref="C15:D15"/>
    <mergeCell ref="A16:B16"/>
    <mergeCell ref="C16:D16"/>
    <mergeCell ref="A17:B17"/>
    <mergeCell ref="C17:D17"/>
    <mergeCell ref="A12:B12"/>
    <mergeCell ref="C12:D12"/>
    <mergeCell ref="A13:B13"/>
    <mergeCell ref="C13:D13"/>
    <mergeCell ref="A14:B14"/>
    <mergeCell ref="C14:D14"/>
    <mergeCell ref="A9:B9"/>
    <mergeCell ref="C9:D9"/>
    <mergeCell ref="A10:B10"/>
    <mergeCell ref="C10:D10"/>
    <mergeCell ref="A11:B11"/>
    <mergeCell ref="C11:D11"/>
    <mergeCell ref="G1:G5"/>
    <mergeCell ref="A6:F6"/>
    <mergeCell ref="A7:B7"/>
    <mergeCell ref="C7:D7"/>
    <mergeCell ref="A8:B8"/>
    <mergeCell ref="C8:D8"/>
  </mergeCells>
  <phoneticPr fontId="135" type="noConversion"/>
  <dataValidations count="2">
    <dataValidation allowBlank="1" showErrorMessage="1" promptTitle="存在调整事项时" prompt="_x000a_选择 “E”" sqref="C30:F30">
      <formula1>0</formula1>
      <formula2>0</formula2>
    </dataValidation>
    <dataValidation allowBlank="1" showErrorMessage="1" sqref="E4">
      <formula1>0</formula1>
      <formula2>0</formula2>
    </dataValidation>
  </dataValidations>
  <hyperlinks>
    <hyperlink ref="G8"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9"/>
  <dimension ref="A1:P37"/>
  <sheetViews>
    <sheetView workbookViewId="0">
      <selection activeCell="A7" sqref="A7:A13"/>
    </sheetView>
  </sheetViews>
  <sheetFormatPr defaultColWidth="8.75" defaultRowHeight="17.25"/>
  <cols>
    <col min="1" max="1" width="4.75" style="579" customWidth="1"/>
    <col min="2" max="2" width="5.75" style="579" customWidth="1"/>
    <col min="3" max="3" width="24.375" style="579" customWidth="1"/>
    <col min="4" max="10" width="12.625" style="579" customWidth="1"/>
    <col min="11" max="11" width="24.375" style="565" customWidth="1"/>
    <col min="12" max="16384" width="8.75" style="565"/>
  </cols>
  <sheetData>
    <row r="1" spans="1:16" ht="25.9" customHeight="1">
      <c r="A1" s="3036" t="s">
        <v>4509</v>
      </c>
      <c r="B1" s="3036"/>
      <c r="C1" s="3036"/>
      <c r="D1" s="3036"/>
      <c r="E1" s="3036"/>
      <c r="F1" s="3036"/>
      <c r="G1" s="3036"/>
      <c r="H1" s="2754" t="str">
        <f>基本情况!$F$10</f>
        <v>厦中汇税审（2018）第DS0001号</v>
      </c>
      <c r="I1" s="2754"/>
      <c r="J1" s="2754"/>
      <c r="K1" s="3030"/>
    </row>
    <row r="2" spans="1:16" ht="37.15" customHeight="1">
      <c r="A2" s="3036"/>
      <c r="B2" s="3036"/>
      <c r="C2" s="3036"/>
      <c r="D2" s="3036"/>
      <c r="E2" s="3036"/>
      <c r="F2" s="3036"/>
      <c r="G2" s="3036"/>
      <c r="H2" s="2949" t="str">
        <f>"底稿编号："&amp;开始!$F$10</f>
        <v>底稿编号：AS-08</v>
      </c>
      <c r="I2" s="2949"/>
      <c r="J2" s="2949"/>
      <c r="K2" s="3030"/>
    </row>
    <row r="3" spans="1:16" ht="21.75" customHeight="1">
      <c r="A3" s="3031" t="s">
        <v>4510</v>
      </c>
      <c r="B3" s="3032"/>
      <c r="C3" s="3037" t="str">
        <f>基本情况!$C$3</f>
        <v/>
      </c>
      <c r="D3" s="3038"/>
      <c r="E3" s="3038"/>
      <c r="F3" s="3039"/>
      <c r="G3" s="940" t="s">
        <v>4407</v>
      </c>
      <c r="H3" s="941" t="str">
        <f>基本情况!$F$19&amp;""</f>
        <v/>
      </c>
      <c r="I3" s="940" t="s">
        <v>4511</v>
      </c>
      <c r="J3" s="942" t="str">
        <f>TEXT(基本情况!$F$27,"yyyy-mm-dd")</f>
        <v>2018-03-16</v>
      </c>
      <c r="K3" s="3030"/>
    </row>
    <row r="4" spans="1:16" ht="21.75" customHeight="1">
      <c r="A4" s="3033" t="s">
        <v>4512</v>
      </c>
      <c r="B4" s="3034"/>
      <c r="C4" s="3040" t="str">
        <f>基本情况!$F$9</f>
        <v>2017年01月01日至2017年12月31日</v>
      </c>
      <c r="D4" s="3041"/>
      <c r="E4" s="3041"/>
      <c r="F4" s="3042"/>
      <c r="G4" s="943" t="s">
        <v>4410</v>
      </c>
      <c r="H4" s="944" t="str">
        <f>基本情况!$F$18&amp;""</f>
        <v/>
      </c>
      <c r="I4" s="943" t="s">
        <v>4511</v>
      </c>
      <c r="J4" s="945" t="str">
        <f>TEXT(基本情况!$F$28,"yyyy-mm-dd")</f>
        <v>2018-05-04</v>
      </c>
      <c r="K4" s="3030"/>
    </row>
    <row r="5" spans="1:16" ht="7.5" customHeight="1">
      <c r="A5" s="3035"/>
      <c r="B5" s="3035"/>
      <c r="C5" s="3035"/>
      <c r="D5" s="3035"/>
      <c r="E5" s="3035"/>
      <c r="F5" s="3035"/>
      <c r="G5" s="3035"/>
      <c r="H5" s="3035"/>
      <c r="I5" s="3035"/>
      <c r="J5" s="3035"/>
      <c r="K5" s="3030"/>
    </row>
    <row r="6" spans="1:16" ht="21.75" customHeight="1">
      <c r="A6" s="925" t="s">
        <v>750</v>
      </c>
      <c r="B6" s="926" t="s">
        <v>4513</v>
      </c>
      <c r="C6" s="926" t="s">
        <v>4514</v>
      </c>
      <c r="D6" s="926" t="s">
        <v>4515</v>
      </c>
      <c r="E6" s="926" t="s">
        <v>4516</v>
      </c>
      <c r="F6" s="926" t="s">
        <v>4517</v>
      </c>
      <c r="G6" s="926" t="s">
        <v>4518</v>
      </c>
      <c r="H6" s="926" t="s">
        <v>4519</v>
      </c>
      <c r="I6" s="926" t="s">
        <v>4414</v>
      </c>
      <c r="J6" s="927" t="s">
        <v>4415</v>
      </c>
      <c r="K6" s="3030"/>
    </row>
    <row r="7" spans="1:16" ht="21.75" customHeight="1">
      <c r="A7" s="3046" t="s">
        <v>4341</v>
      </c>
      <c r="B7" s="924">
        <v>1</v>
      </c>
      <c r="C7" s="946"/>
      <c r="D7" s="882"/>
      <c r="E7" s="882"/>
      <c r="F7" s="882"/>
      <c r="G7" s="882"/>
      <c r="H7" s="928">
        <f t="shared" ref="H7:H12" si="0">E7+F7-G7</f>
        <v>0</v>
      </c>
      <c r="I7" s="882"/>
      <c r="J7" s="929">
        <f t="shared" ref="J7:J20" si="1">H7+I7</f>
        <v>0</v>
      </c>
      <c r="K7" s="619"/>
    </row>
    <row r="8" spans="1:16" ht="21.75" customHeight="1">
      <c r="A8" s="3046"/>
      <c r="B8" s="930">
        <v>2</v>
      </c>
      <c r="C8" s="947"/>
      <c r="D8" s="887"/>
      <c r="E8" s="887"/>
      <c r="F8" s="887"/>
      <c r="G8" s="887"/>
      <c r="H8" s="931">
        <f t="shared" si="0"/>
        <v>0</v>
      </c>
      <c r="I8" s="887"/>
      <c r="J8" s="932">
        <f t="shared" si="1"/>
        <v>0</v>
      </c>
      <c r="K8" s="565" t="s">
        <v>1724</v>
      </c>
    </row>
    <row r="9" spans="1:16" ht="21.75" customHeight="1">
      <c r="A9" s="3046"/>
      <c r="B9" s="930">
        <v>3</v>
      </c>
      <c r="C9" s="947"/>
      <c r="D9" s="887"/>
      <c r="E9" s="887"/>
      <c r="F9" s="887"/>
      <c r="G9" s="887"/>
      <c r="H9" s="931">
        <f t="shared" si="0"/>
        <v>0</v>
      </c>
      <c r="I9" s="887"/>
      <c r="J9" s="932">
        <f t="shared" si="1"/>
        <v>0</v>
      </c>
      <c r="K9" s="601" t="s">
        <v>1711</v>
      </c>
    </row>
    <row r="10" spans="1:16" ht="21.75" customHeight="1">
      <c r="A10" s="3046"/>
      <c r="B10" s="930">
        <v>4</v>
      </c>
      <c r="C10" s="947"/>
      <c r="D10" s="887"/>
      <c r="E10" s="887"/>
      <c r="F10" s="887"/>
      <c r="G10" s="887"/>
      <c r="H10" s="931">
        <f t="shared" si="0"/>
        <v>0</v>
      </c>
      <c r="I10" s="887"/>
      <c r="J10" s="932">
        <f t="shared" si="1"/>
        <v>0</v>
      </c>
    </row>
    <row r="11" spans="1:16" ht="21.75" customHeight="1">
      <c r="A11" s="3046"/>
      <c r="B11" s="930">
        <v>5</v>
      </c>
      <c r="C11" s="947"/>
      <c r="D11" s="887"/>
      <c r="E11" s="887"/>
      <c r="F11" s="887"/>
      <c r="G11" s="887"/>
      <c r="H11" s="931">
        <f t="shared" si="0"/>
        <v>0</v>
      </c>
      <c r="I11" s="887"/>
      <c r="J11" s="932">
        <f t="shared" si="1"/>
        <v>0</v>
      </c>
    </row>
    <row r="12" spans="1:16" ht="21.75" customHeight="1">
      <c r="A12" s="3046"/>
      <c r="B12" s="930">
        <v>6</v>
      </c>
      <c r="C12" s="947"/>
      <c r="D12" s="887"/>
      <c r="E12" s="887"/>
      <c r="F12" s="887"/>
      <c r="G12" s="887"/>
      <c r="H12" s="931">
        <f t="shared" si="0"/>
        <v>0</v>
      </c>
      <c r="I12" s="887"/>
      <c r="J12" s="932">
        <f t="shared" si="1"/>
        <v>0</v>
      </c>
      <c r="K12" s="3047" t="s">
        <v>4617</v>
      </c>
      <c r="L12" s="3047"/>
      <c r="M12" s="3047"/>
      <c r="N12" s="3047"/>
      <c r="O12" s="3047"/>
      <c r="P12" s="3047"/>
    </row>
    <row r="13" spans="1:16" ht="21.75" customHeight="1">
      <c r="A13" s="3046"/>
      <c r="B13" s="3048" t="s">
        <v>757</v>
      </c>
      <c r="C13" s="3048"/>
      <c r="D13" s="933">
        <f t="shared" ref="D13:I13" si="2">SUM(D7:D12)</f>
        <v>0</v>
      </c>
      <c r="E13" s="933">
        <f t="shared" si="2"/>
        <v>0</v>
      </c>
      <c r="F13" s="933">
        <f t="shared" si="2"/>
        <v>0</v>
      </c>
      <c r="G13" s="933">
        <f t="shared" si="2"/>
        <v>0</v>
      </c>
      <c r="H13" s="933">
        <f t="shared" si="2"/>
        <v>0</v>
      </c>
      <c r="I13" s="933">
        <f t="shared" si="2"/>
        <v>0</v>
      </c>
      <c r="J13" s="934">
        <f t="shared" si="1"/>
        <v>0</v>
      </c>
      <c r="K13" s="3047"/>
      <c r="L13" s="3047"/>
      <c r="M13" s="3047"/>
      <c r="N13" s="3047"/>
      <c r="O13" s="3047"/>
      <c r="P13" s="3047"/>
    </row>
    <row r="14" spans="1:16" ht="21.75" customHeight="1">
      <c r="A14" s="3049" t="s">
        <v>4520</v>
      </c>
      <c r="B14" s="935">
        <v>1</v>
      </c>
      <c r="C14" s="948"/>
      <c r="D14" s="949"/>
      <c r="E14" s="949"/>
      <c r="F14" s="949"/>
      <c r="G14" s="949"/>
      <c r="H14" s="936">
        <f t="shared" ref="H14:H19" si="3">E14+G14-F14</f>
        <v>0</v>
      </c>
      <c r="I14" s="915"/>
      <c r="J14" s="937">
        <f t="shared" si="1"/>
        <v>0</v>
      </c>
      <c r="K14" s="3047"/>
      <c r="L14" s="3047"/>
      <c r="M14" s="3047"/>
      <c r="N14" s="3047"/>
      <c r="O14" s="3047"/>
      <c r="P14" s="3047"/>
    </row>
    <row r="15" spans="1:16" ht="21.75" customHeight="1">
      <c r="A15" s="3049"/>
      <c r="B15" s="930">
        <v>2</v>
      </c>
      <c r="C15" s="947"/>
      <c r="D15" s="591"/>
      <c r="E15" s="591"/>
      <c r="F15" s="591"/>
      <c r="G15" s="591"/>
      <c r="H15" s="938">
        <f t="shared" si="3"/>
        <v>0</v>
      </c>
      <c r="I15" s="887"/>
      <c r="J15" s="932">
        <f t="shared" si="1"/>
        <v>0</v>
      </c>
      <c r="K15" s="3047"/>
      <c r="L15" s="3047"/>
      <c r="M15" s="3047"/>
      <c r="N15" s="3047"/>
      <c r="O15" s="3047"/>
      <c r="P15" s="3047"/>
    </row>
    <row r="16" spans="1:16" ht="21.75" customHeight="1">
      <c r="A16" s="3049"/>
      <c r="B16" s="930">
        <v>3</v>
      </c>
      <c r="C16" s="947"/>
      <c r="D16" s="591"/>
      <c r="E16" s="591"/>
      <c r="F16" s="591"/>
      <c r="G16" s="591"/>
      <c r="H16" s="938">
        <f t="shared" si="3"/>
        <v>0</v>
      </c>
      <c r="I16" s="887"/>
      <c r="J16" s="932">
        <f t="shared" si="1"/>
        <v>0</v>
      </c>
      <c r="K16" s="3047"/>
      <c r="L16" s="3047"/>
      <c r="M16" s="3047"/>
      <c r="N16" s="3047"/>
      <c r="O16" s="3047"/>
      <c r="P16" s="3047"/>
    </row>
    <row r="17" spans="1:16" ht="21.75" customHeight="1">
      <c r="A17" s="3049"/>
      <c r="B17" s="930">
        <v>4</v>
      </c>
      <c r="C17" s="947"/>
      <c r="D17" s="591"/>
      <c r="E17" s="591"/>
      <c r="F17" s="591"/>
      <c r="G17" s="591"/>
      <c r="H17" s="938">
        <f t="shared" si="3"/>
        <v>0</v>
      </c>
      <c r="I17" s="887"/>
      <c r="J17" s="932">
        <f t="shared" si="1"/>
        <v>0</v>
      </c>
      <c r="K17" s="679"/>
      <c r="L17" s="680"/>
      <c r="M17" s="680"/>
      <c r="N17" s="680"/>
      <c r="O17" s="680"/>
      <c r="P17" s="680"/>
    </row>
    <row r="18" spans="1:16" ht="21.75" customHeight="1">
      <c r="A18" s="3049"/>
      <c r="B18" s="930">
        <v>5</v>
      </c>
      <c r="C18" s="947"/>
      <c r="D18" s="591"/>
      <c r="E18" s="591"/>
      <c r="F18" s="591"/>
      <c r="G18" s="591"/>
      <c r="H18" s="938">
        <f t="shared" si="3"/>
        <v>0</v>
      </c>
      <c r="I18" s="887"/>
      <c r="J18" s="932">
        <f t="shared" si="1"/>
        <v>0</v>
      </c>
    </row>
    <row r="19" spans="1:16" ht="21.75" customHeight="1">
      <c r="A19" s="3049"/>
      <c r="B19" s="930">
        <v>6</v>
      </c>
      <c r="C19" s="947"/>
      <c r="D19" s="887"/>
      <c r="E19" s="887"/>
      <c r="F19" s="887"/>
      <c r="G19" s="887"/>
      <c r="H19" s="938">
        <f t="shared" si="3"/>
        <v>0</v>
      </c>
      <c r="I19" s="887"/>
      <c r="J19" s="932">
        <f t="shared" si="1"/>
        <v>0</v>
      </c>
      <c r="K19" s="3047" t="s">
        <v>4521</v>
      </c>
      <c r="L19" s="3047"/>
      <c r="M19" s="3047"/>
      <c r="N19" s="3047"/>
      <c r="O19" s="3047"/>
      <c r="P19" s="3047"/>
    </row>
    <row r="20" spans="1:16" ht="21.75" customHeight="1">
      <c r="A20" s="3049"/>
      <c r="B20" s="3048" t="s">
        <v>757</v>
      </c>
      <c r="C20" s="3048"/>
      <c r="D20" s="933">
        <f t="shared" ref="D20:I20" si="4">SUM(D14:D19)</f>
        <v>0</v>
      </c>
      <c r="E20" s="933">
        <f t="shared" si="4"/>
        <v>0</v>
      </c>
      <c r="F20" s="933">
        <f t="shared" si="4"/>
        <v>0</v>
      </c>
      <c r="G20" s="933">
        <f t="shared" si="4"/>
        <v>0</v>
      </c>
      <c r="H20" s="933">
        <f t="shared" si="4"/>
        <v>0</v>
      </c>
      <c r="I20" s="933">
        <f t="shared" si="4"/>
        <v>0</v>
      </c>
      <c r="J20" s="934">
        <f t="shared" si="1"/>
        <v>0</v>
      </c>
      <c r="K20" s="3047"/>
      <c r="L20" s="3047"/>
      <c r="M20" s="3047"/>
      <c r="N20" s="3047"/>
      <c r="O20" s="3047"/>
      <c r="P20" s="3047"/>
    </row>
    <row r="21" spans="1:16" ht="21" customHeight="1">
      <c r="A21" s="3050" t="s">
        <v>4430</v>
      </c>
      <c r="B21" s="3050"/>
      <c r="C21" s="3051" t="str">
        <f>IF($H$13&lt;&gt;资产负债表!$C$15,"待摊费用账载数与报表数相差"&amp;DOLLAR($H$13-资产负债表!$C$15,2)&amp;"元！","待摊费用账载数与报表数相符！")</f>
        <v>待摊费用账载数与报表数相符！</v>
      </c>
      <c r="D21" s="3051"/>
      <c r="E21" s="3051"/>
      <c r="F21" s="3051"/>
      <c r="G21" s="3052" t="str">
        <f>IF($H$20&lt;&gt;资产负债表!$G$15,"预提费用账载数与报表数相差"&amp;DOLLAR($H$20-资产负债表!$G$15,2)&amp;"元！","预提费用账载数与报表数相符！")</f>
        <v>预提费用账载数与报表数相符！</v>
      </c>
      <c r="H21" s="3052"/>
      <c r="I21" s="3052"/>
      <c r="J21" s="3052"/>
      <c r="K21" s="3047"/>
      <c r="L21" s="3047"/>
      <c r="M21" s="3047"/>
      <c r="N21" s="3047"/>
      <c r="O21" s="3047"/>
      <c r="P21" s="3047"/>
    </row>
    <row r="22" spans="1:16" ht="15" customHeight="1">
      <c r="A22" s="3053" t="s">
        <v>4431</v>
      </c>
      <c r="B22" s="3053"/>
      <c r="C22" s="939" t="s">
        <v>4474</v>
      </c>
      <c r="D22" s="3054" t="str">
        <f>IF(OR(I13&lt;&gt;0,I20&lt;&gt;0),"、E","")</f>
        <v/>
      </c>
      <c r="E22" s="3054"/>
      <c r="F22" s="3054"/>
      <c r="G22" s="3054"/>
      <c r="H22" s="3054"/>
      <c r="I22" s="3054"/>
      <c r="J22" s="3054"/>
      <c r="K22" s="679"/>
      <c r="L22" s="682"/>
      <c r="M22" s="682"/>
      <c r="N22" s="682"/>
      <c r="O22" s="682"/>
      <c r="P22" s="682"/>
    </row>
    <row r="23" spans="1:16" ht="46.5" customHeight="1">
      <c r="A23" s="3053"/>
      <c r="B23" s="3053"/>
      <c r="C23" s="2935"/>
      <c r="D23" s="2935"/>
      <c r="E23" s="2935"/>
      <c r="F23" s="2935"/>
      <c r="G23" s="2935"/>
      <c r="H23" s="2935"/>
      <c r="I23" s="2935"/>
      <c r="J23" s="2935"/>
      <c r="K23" s="3043" t="s">
        <v>4522</v>
      </c>
      <c r="L23" s="3043"/>
      <c r="M23" s="3043"/>
      <c r="N23" s="3043"/>
      <c r="O23" s="3043"/>
      <c r="P23" s="3043"/>
    </row>
    <row r="24" spans="1:16" ht="21" customHeight="1">
      <c r="A24" s="3044" t="s">
        <v>4433</v>
      </c>
      <c r="B24" s="3044"/>
      <c r="C24" s="3045" t="str">
        <f>IF(AND(I13=0,I20=0),"不存在调整事项，认可！","调整后认可！")</f>
        <v>不存在调整事项，认可！</v>
      </c>
      <c r="D24" s="3045"/>
      <c r="E24" s="3045"/>
      <c r="F24" s="3045"/>
      <c r="G24" s="3045"/>
      <c r="H24" s="3045"/>
      <c r="I24" s="3045"/>
      <c r="J24" s="3045"/>
      <c r="K24" s="3043"/>
      <c r="L24" s="3043"/>
      <c r="M24" s="3043"/>
      <c r="N24" s="3043"/>
      <c r="O24" s="3043"/>
      <c r="P24" s="3043"/>
    </row>
    <row r="25" spans="1:16" ht="13.5" customHeight="1">
      <c r="K25" s="3043"/>
      <c r="L25" s="3043"/>
      <c r="M25" s="3043"/>
      <c r="N25" s="3043"/>
      <c r="O25" s="3043"/>
      <c r="P25" s="3043"/>
    </row>
    <row r="26" spans="1:16" ht="21" customHeight="1"/>
    <row r="27" spans="1:16" ht="21" customHeight="1"/>
    <row r="28" spans="1:16" ht="21" customHeight="1"/>
    <row r="29" spans="1:16" ht="21" customHeight="1"/>
    <row r="30" spans="1:16" ht="21" customHeight="1"/>
    <row r="31" spans="1:16" ht="21" customHeight="1"/>
    <row r="32" spans="1:16" ht="21" customHeight="1"/>
    <row r="33" spans="1:16" ht="21" customHeight="1"/>
    <row r="34" spans="1:16" s="573" customFormat="1" ht="21" customHeight="1">
      <c r="A34" s="579"/>
      <c r="B34" s="579"/>
      <c r="C34" s="579"/>
      <c r="D34" s="579"/>
      <c r="E34" s="579"/>
      <c r="F34" s="579"/>
      <c r="G34" s="579"/>
      <c r="H34" s="579"/>
      <c r="I34" s="579"/>
      <c r="J34" s="579"/>
      <c r="K34" s="565"/>
      <c r="L34" s="565"/>
      <c r="M34" s="565"/>
      <c r="N34" s="565"/>
      <c r="O34" s="565"/>
      <c r="P34" s="565"/>
    </row>
    <row r="35" spans="1:16" s="573" customFormat="1" ht="21" customHeight="1">
      <c r="A35" s="579"/>
      <c r="B35" s="579"/>
      <c r="C35" s="579"/>
      <c r="D35" s="579"/>
      <c r="E35" s="579"/>
      <c r="F35" s="579"/>
      <c r="G35" s="579"/>
      <c r="H35" s="579"/>
      <c r="I35" s="579"/>
      <c r="J35" s="579"/>
      <c r="K35" s="565"/>
      <c r="L35" s="565"/>
      <c r="M35" s="565"/>
      <c r="N35" s="565"/>
      <c r="O35" s="565"/>
      <c r="P35" s="565"/>
    </row>
    <row r="36" spans="1:16" s="573" customFormat="1" ht="21" customHeight="1">
      <c r="A36" s="579"/>
      <c r="B36" s="579"/>
      <c r="C36" s="579"/>
      <c r="D36" s="579"/>
      <c r="E36" s="579"/>
      <c r="F36" s="579"/>
      <c r="G36" s="579"/>
      <c r="H36" s="579"/>
      <c r="I36" s="579"/>
      <c r="J36" s="579"/>
      <c r="K36" s="565"/>
      <c r="L36" s="565"/>
      <c r="M36" s="565"/>
      <c r="N36" s="565"/>
      <c r="O36" s="565"/>
      <c r="P36" s="565"/>
    </row>
    <row r="37" spans="1:16" s="573" customFormat="1" ht="21" customHeight="1">
      <c r="A37" s="579"/>
      <c r="B37" s="579"/>
      <c r="C37" s="579"/>
      <c r="D37" s="579"/>
      <c r="E37" s="579"/>
      <c r="F37" s="579"/>
      <c r="G37" s="579"/>
      <c r="H37" s="579"/>
      <c r="I37" s="579"/>
      <c r="J37" s="579"/>
      <c r="K37" s="565"/>
      <c r="L37" s="565"/>
      <c r="M37" s="565"/>
      <c r="N37" s="565"/>
      <c r="O37" s="565"/>
      <c r="P37" s="565"/>
    </row>
  </sheetData>
  <sheetProtection formatCells="0" selectLockedCells="1"/>
  <mergeCells count="24">
    <mergeCell ref="K23:P25"/>
    <mergeCell ref="A24:B24"/>
    <mergeCell ref="C24:J24"/>
    <mergeCell ref="A7:A13"/>
    <mergeCell ref="K12:P16"/>
    <mergeCell ref="B13:C13"/>
    <mergeCell ref="A14:A20"/>
    <mergeCell ref="K19:P21"/>
    <mergeCell ref="B20:C20"/>
    <mergeCell ref="A21:B21"/>
    <mergeCell ref="C21:F21"/>
    <mergeCell ref="G21:J21"/>
    <mergeCell ref="A22:B23"/>
    <mergeCell ref="D22:J22"/>
    <mergeCell ref="C23:J23"/>
    <mergeCell ref="K1:K6"/>
    <mergeCell ref="A3:B3"/>
    <mergeCell ref="A4:B4"/>
    <mergeCell ref="A5:J5"/>
    <mergeCell ref="H1:J1"/>
    <mergeCell ref="H2:J2"/>
    <mergeCell ref="A1:G2"/>
    <mergeCell ref="C3:F3"/>
    <mergeCell ref="C4:F4"/>
  </mergeCells>
  <phoneticPr fontId="135" type="noConversion"/>
  <dataValidations count="1">
    <dataValidation allowBlank="1" showErrorMessage="1" promptTitle="存在调整事项时" prompt="_x000a_选择 “E”" sqref="D22:J22">
      <formula1>0</formula1>
      <formula2>0</formula2>
    </dataValidation>
  </dataValidations>
  <hyperlinks>
    <hyperlink ref="K9" location="资产负债表!A1" display="资产负债表"/>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0"/>
  <dimension ref="A1:J36"/>
  <sheetViews>
    <sheetView topLeftCell="B1" workbookViewId="0">
      <selection activeCell="B8" sqref="B8"/>
    </sheetView>
  </sheetViews>
  <sheetFormatPr defaultColWidth="8.75" defaultRowHeight="16.5"/>
  <cols>
    <col min="1" max="1" width="7.125" style="774" customWidth="1"/>
    <col min="2" max="2" width="24.875" style="774" customWidth="1"/>
    <col min="3" max="8" width="14.625" style="774" customWidth="1"/>
    <col min="9" max="9" width="28.875" style="757" customWidth="1"/>
    <col min="10" max="16384" width="8.75" style="757"/>
  </cols>
  <sheetData>
    <row r="1" spans="1:10" ht="25.9" customHeight="1">
      <c r="A1" s="3056" t="s">
        <v>1670</v>
      </c>
      <c r="B1" s="3056"/>
      <c r="C1" s="3056"/>
      <c r="D1" s="3056"/>
      <c r="E1" s="3056"/>
      <c r="F1" s="2754" t="str">
        <f>基本情况!$F$10</f>
        <v>厦中汇税审（2018）第DS0001号</v>
      </c>
      <c r="G1" s="2754"/>
      <c r="H1" s="2754"/>
      <c r="I1" s="1911"/>
    </row>
    <row r="2" spans="1:10" ht="37.15" customHeight="1">
      <c r="A2" s="3056"/>
      <c r="B2" s="3056"/>
      <c r="C2" s="3056"/>
      <c r="D2" s="3056"/>
      <c r="E2" s="3056"/>
      <c r="F2" s="2949" t="str">
        <f>"底稿编号："&amp;开始!$F$11</f>
        <v>底稿编号：AS-09</v>
      </c>
      <c r="G2" s="2949"/>
      <c r="H2" s="2949"/>
      <c r="I2" s="1911"/>
    </row>
    <row r="3" spans="1:10" s="774" customFormat="1" ht="23.25" customHeight="1">
      <c r="A3" s="3060" t="str">
        <f>"委托单位："&amp;基本情况!$C$3</f>
        <v>委托单位：</v>
      </c>
      <c r="B3" s="3061"/>
      <c r="C3" s="3061"/>
      <c r="D3" s="3061"/>
      <c r="E3" s="3062"/>
      <c r="F3" s="1912"/>
      <c r="G3" s="1912" t="s">
        <v>4523</v>
      </c>
      <c r="H3" s="1913" t="s">
        <v>4511</v>
      </c>
      <c r="I3" s="1911"/>
    </row>
    <row r="4" spans="1:10" s="774" customFormat="1" ht="23.25" customHeight="1">
      <c r="A4" s="3063"/>
      <c r="B4" s="3064"/>
      <c r="C4" s="3064"/>
      <c r="D4" s="3064"/>
      <c r="E4" s="3065"/>
      <c r="F4" s="1427" t="s">
        <v>4407</v>
      </c>
      <c r="G4" s="1914" t="str">
        <f>基本情况!$F$19&amp;""</f>
        <v/>
      </c>
      <c r="H4" s="1908" t="str">
        <f>TEXT(基本情况!$F$27,"yyyy-mm-dd")</f>
        <v>2018-03-16</v>
      </c>
      <c r="I4" s="1911"/>
    </row>
    <row r="5" spans="1:10" s="774" customFormat="1" ht="23.25" customHeight="1">
      <c r="A5" s="3057" t="str">
        <f>"会计期间："&amp;基本情况!$F$9</f>
        <v>会计期间：2017年01月01日至2017年12月31日</v>
      </c>
      <c r="B5" s="3058"/>
      <c r="C5" s="3058"/>
      <c r="D5" s="3058"/>
      <c r="E5" s="3059"/>
      <c r="F5" s="1915" t="s">
        <v>4410</v>
      </c>
      <c r="G5" s="1909" t="str">
        <f>基本情况!$F$18&amp;""</f>
        <v/>
      </c>
      <c r="H5" s="1910" t="str">
        <f>TEXT(基本情况!$F$28,"yyyy-mm-dd")</f>
        <v>2018-05-04</v>
      </c>
      <c r="I5" s="1911"/>
    </row>
    <row r="6" spans="1:10" s="774" customFormat="1" ht="7.5" customHeight="1">
      <c r="A6" s="3055"/>
      <c r="B6" s="3055"/>
      <c r="C6" s="3055"/>
      <c r="D6" s="3055"/>
      <c r="E6" s="3055"/>
      <c r="F6" s="3055"/>
      <c r="G6" s="3055"/>
      <c r="H6" s="3055"/>
      <c r="I6" s="1916"/>
    </row>
    <row r="7" spans="1:10" s="774" customFormat="1" ht="23.25" customHeight="1">
      <c r="A7" s="1917" t="s">
        <v>4513</v>
      </c>
      <c r="B7" s="1918" t="s">
        <v>4524</v>
      </c>
      <c r="C7" s="1918" t="s">
        <v>4525</v>
      </c>
      <c r="D7" s="1918" t="s">
        <v>4526</v>
      </c>
      <c r="E7" s="1918" t="s">
        <v>4527</v>
      </c>
      <c r="F7" s="1918" t="s">
        <v>4528</v>
      </c>
      <c r="G7" s="1918" t="s">
        <v>4414</v>
      </c>
      <c r="H7" s="1919" t="s">
        <v>4529</v>
      </c>
      <c r="I7" s="757" t="s">
        <v>1724</v>
      </c>
    </row>
    <row r="8" spans="1:10" s="774" customFormat="1" ht="23.25" customHeight="1">
      <c r="A8" s="686"/>
      <c r="B8" s="687"/>
      <c r="C8" s="688"/>
      <c r="D8" s="649"/>
      <c r="E8" s="688"/>
      <c r="F8" s="688"/>
      <c r="G8" s="688"/>
      <c r="H8" s="689">
        <f>F8+G8</f>
        <v>0</v>
      </c>
      <c r="I8" s="601" t="s">
        <v>6080</v>
      </c>
      <c r="J8" s="1894"/>
    </row>
    <row r="9" spans="1:10" s="774" customFormat="1" ht="23.25" customHeight="1">
      <c r="A9" s="1868"/>
      <c r="B9" s="687"/>
      <c r="C9" s="1871"/>
      <c r="D9" s="1871"/>
      <c r="E9" s="1871"/>
      <c r="F9" s="1871"/>
      <c r="G9" s="1871"/>
      <c r="H9" s="689">
        <f t="shared" ref="H9:H15" si="0">F9+G9</f>
        <v>0</v>
      </c>
      <c r="I9" s="757"/>
      <c r="J9" s="1894"/>
    </row>
    <row r="10" spans="1:10" s="774" customFormat="1" ht="23.25" customHeight="1">
      <c r="A10" s="1868"/>
      <c r="B10" s="687"/>
      <c r="C10" s="1871"/>
      <c r="D10" s="1871"/>
      <c r="E10" s="1871"/>
      <c r="F10" s="1871"/>
      <c r="G10" s="1871"/>
      <c r="H10" s="689">
        <f t="shared" si="0"/>
        <v>0</v>
      </c>
      <c r="I10" s="601" t="s">
        <v>4530</v>
      </c>
      <c r="J10" s="1894"/>
    </row>
    <row r="11" spans="1:10" s="774" customFormat="1" ht="23.25" customHeight="1">
      <c r="A11" s="1868"/>
      <c r="B11" s="687"/>
      <c r="C11" s="1871"/>
      <c r="D11" s="1871"/>
      <c r="E11" s="1871"/>
      <c r="F11" s="1871"/>
      <c r="G11" s="1871"/>
      <c r="H11" s="689">
        <f t="shared" si="0"/>
        <v>0</v>
      </c>
      <c r="J11" s="1894"/>
    </row>
    <row r="12" spans="1:10" s="774" customFormat="1" ht="23.25" customHeight="1">
      <c r="A12" s="1868"/>
      <c r="B12" s="687"/>
      <c r="C12" s="1871"/>
      <c r="D12" s="1871"/>
      <c r="E12" s="1871"/>
      <c r="F12" s="1871"/>
      <c r="G12" s="1871"/>
      <c r="H12" s="689">
        <f t="shared" si="0"/>
        <v>0</v>
      </c>
    </row>
    <row r="13" spans="1:10" s="774" customFormat="1" ht="23.25" customHeight="1">
      <c r="A13" s="1868"/>
      <c r="B13" s="687"/>
      <c r="C13" s="1871"/>
      <c r="D13" s="1871"/>
      <c r="E13" s="1871"/>
      <c r="F13" s="1871"/>
      <c r="G13" s="1871"/>
      <c r="H13" s="689">
        <f t="shared" si="0"/>
        <v>0</v>
      </c>
    </row>
    <row r="14" spans="1:10" s="774" customFormat="1" ht="23.25" customHeight="1">
      <c r="A14" s="1868"/>
      <c r="B14" s="687"/>
      <c r="C14" s="1871"/>
      <c r="D14" s="1871"/>
      <c r="E14" s="1871"/>
      <c r="F14" s="1871"/>
      <c r="G14" s="1871"/>
      <c r="H14" s="689">
        <f t="shared" si="0"/>
        <v>0</v>
      </c>
    </row>
    <row r="15" spans="1:10" s="774" customFormat="1" ht="23.25" customHeight="1">
      <c r="A15" s="1868"/>
      <c r="B15" s="687"/>
      <c r="C15" s="1871"/>
      <c r="D15" s="1871"/>
      <c r="E15" s="1871"/>
      <c r="F15" s="1871"/>
      <c r="G15" s="1871"/>
      <c r="H15" s="689">
        <f t="shared" si="0"/>
        <v>0</v>
      </c>
    </row>
    <row r="16" spans="1:10" s="774" customFormat="1" ht="23.25" customHeight="1">
      <c r="A16" s="1873"/>
      <c r="B16" s="1920" t="s">
        <v>757</v>
      </c>
      <c r="C16" s="1863">
        <f t="shared" ref="C16:H16" si="1">SUM(C8:C15)</f>
        <v>0</v>
      </c>
      <c r="D16" s="1863">
        <f t="shared" si="1"/>
        <v>0</v>
      </c>
      <c r="E16" s="1863">
        <f t="shared" si="1"/>
        <v>0</v>
      </c>
      <c r="F16" s="1863">
        <f t="shared" si="1"/>
        <v>0</v>
      </c>
      <c r="G16" s="1863">
        <f t="shared" si="1"/>
        <v>0</v>
      </c>
      <c r="H16" s="1875">
        <f t="shared" si="1"/>
        <v>0</v>
      </c>
    </row>
    <row r="17" spans="1:8" s="774" customFormat="1" ht="23.25" customHeight="1">
      <c r="A17" s="3068" t="s">
        <v>4430</v>
      </c>
      <c r="B17" s="3068"/>
      <c r="C17" s="3069" t="str">
        <f>IF(F16&lt;&gt;资产负债表!$C$24,"账载数与报表数相差"&amp;DOLLAR(F16-资产负债表!$C$24,2)&amp;"元！","账载数与报表数相符！")</f>
        <v>账载数与报表数相符！</v>
      </c>
      <c r="D17" s="3069"/>
      <c r="E17" s="3069"/>
      <c r="F17" s="3069"/>
      <c r="G17" s="3069"/>
      <c r="H17" s="3069"/>
    </row>
    <row r="18" spans="1:8" s="774" customFormat="1" ht="15" customHeight="1">
      <c r="A18" s="3070" t="s">
        <v>4431</v>
      </c>
      <c r="B18" s="3070"/>
      <c r="C18" s="3071" t="s">
        <v>4474</v>
      </c>
      <c r="D18" s="3071"/>
      <c r="E18" s="3072" t="str">
        <f>IF(G16&lt;&gt;0,"、E","")</f>
        <v/>
      </c>
      <c r="F18" s="3072"/>
      <c r="G18" s="3072"/>
      <c r="H18" s="3072"/>
    </row>
    <row r="19" spans="1:8" s="774" customFormat="1" ht="62.25" customHeight="1">
      <c r="A19" s="3070"/>
      <c r="B19" s="3070"/>
      <c r="C19" s="3073"/>
      <c r="D19" s="3073"/>
      <c r="E19" s="3073"/>
      <c r="F19" s="3073"/>
      <c r="G19" s="3073"/>
      <c r="H19" s="3073"/>
    </row>
    <row r="20" spans="1:8" s="774" customFormat="1" ht="23.25" customHeight="1">
      <c r="A20" s="3066" t="s">
        <v>4433</v>
      </c>
      <c r="B20" s="3066"/>
      <c r="C20" s="3067" t="str">
        <f>IF(G16=0,"不存在调整事项，认可！","调整后认可！")</f>
        <v>不存在调整事项，认可！</v>
      </c>
      <c r="D20" s="3067"/>
      <c r="E20" s="3067"/>
      <c r="F20" s="3067"/>
      <c r="G20" s="3067"/>
      <c r="H20" s="3067"/>
    </row>
    <row r="21" spans="1:8" s="774" customFormat="1" ht="23.25" customHeight="1"/>
    <row r="22" spans="1:8" s="774" customFormat="1" ht="23.25" customHeight="1"/>
    <row r="23" spans="1:8" s="774" customFormat="1" ht="23.25" customHeight="1"/>
    <row r="24" spans="1:8" s="774" customFormat="1" ht="23.25" customHeight="1"/>
    <row r="25" spans="1:8" s="774" customFormat="1" ht="23.25" customHeight="1"/>
    <row r="26" spans="1:8" s="774" customFormat="1" ht="20.100000000000001" customHeight="1"/>
    <row r="27" spans="1:8" s="774" customFormat="1" ht="20.100000000000001" customHeight="1"/>
    <row r="28" spans="1:8" s="774" customFormat="1" ht="20.100000000000001" customHeight="1"/>
    <row r="29" spans="1:8" s="774" customFormat="1" ht="20.100000000000001" customHeight="1"/>
    <row r="30" spans="1:8" s="774" customFormat="1" ht="20.100000000000001" customHeight="1"/>
    <row r="31" spans="1:8" s="774" customFormat="1" ht="20.100000000000001" customHeight="1"/>
    <row r="32" spans="1:8" s="774" customFormat="1" ht="20.100000000000001" customHeight="1"/>
    <row r="33" ht="20.100000000000001" customHeight="1"/>
    <row r="34" ht="20.100000000000001" customHeight="1"/>
    <row r="35" ht="20.100000000000001" customHeight="1"/>
    <row r="36" ht="20.100000000000001" customHeight="1"/>
  </sheetData>
  <sheetProtection formatCells="0" selectLockedCells="1"/>
  <mergeCells count="14">
    <mergeCell ref="A20:B20"/>
    <mergeCell ref="C20:H20"/>
    <mergeCell ref="A17:B17"/>
    <mergeCell ref="C17:H17"/>
    <mergeCell ref="A18:B19"/>
    <mergeCell ref="C18:D18"/>
    <mergeCell ref="E18:H18"/>
    <mergeCell ref="C19:H19"/>
    <mergeCell ref="A6:H6"/>
    <mergeCell ref="F1:H1"/>
    <mergeCell ref="F2:H2"/>
    <mergeCell ref="A1:E2"/>
    <mergeCell ref="A5:E5"/>
    <mergeCell ref="A3:E4"/>
  </mergeCells>
  <phoneticPr fontId="135" type="noConversion"/>
  <dataValidations count="2">
    <dataValidation allowBlank="1" showErrorMessage="1" promptTitle="存在调整事项时" prompt="_x000a_选择 “E”" sqref="E18:H18">
      <formula1>0</formula1>
      <formula2>0</formula2>
    </dataValidation>
    <dataValidation allowBlank="1" showErrorMessage="1" sqref="G4">
      <formula1>0</formula1>
      <formula2>0</formula2>
    </dataValidation>
  </dataValidations>
  <hyperlinks>
    <hyperlink ref="I10" location="固资折旧!A1" display="固定资产与折旧"/>
    <hyperlink ref="I8" location="资产负债表!A1" display="资产负债表"/>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7">
    <pageSetUpPr fitToPage="1"/>
  </sheetPr>
  <dimension ref="A1:P43"/>
  <sheetViews>
    <sheetView topLeftCell="D1" workbookViewId="0">
      <selection activeCell="F12" sqref="F12"/>
    </sheetView>
  </sheetViews>
  <sheetFormatPr defaultColWidth="8.75" defaultRowHeight="16.5"/>
  <cols>
    <col min="1" max="1" width="4.75" style="573" customWidth="1"/>
    <col min="2" max="2" width="5.75" style="573" customWidth="1"/>
    <col min="3" max="3" width="24.375" style="573" customWidth="1"/>
    <col min="4" max="10" width="12.625" style="573" customWidth="1"/>
    <col min="11" max="11" width="24.375" style="565" customWidth="1"/>
    <col min="12" max="16384" width="8.75" style="565"/>
  </cols>
  <sheetData>
    <row r="1" spans="1:11" ht="25.9" customHeight="1">
      <c r="A1" s="3079" t="s">
        <v>4531</v>
      </c>
      <c r="B1" s="3079"/>
      <c r="C1" s="3079"/>
      <c r="D1" s="3079"/>
      <c r="E1" s="3079"/>
      <c r="F1" s="3079"/>
      <c r="G1" s="3079"/>
      <c r="H1" s="2754" t="str">
        <f>基本情况!$F$10</f>
        <v>厦中汇税审（2018）第DS0001号</v>
      </c>
      <c r="I1" s="2754"/>
      <c r="J1" s="2754"/>
    </row>
    <row r="2" spans="1:11" s="1850" customFormat="1" ht="37.15" customHeight="1">
      <c r="A2" s="3080"/>
      <c r="B2" s="3080"/>
      <c r="C2" s="3080"/>
      <c r="D2" s="3080"/>
      <c r="E2" s="3080"/>
      <c r="F2" s="3080"/>
      <c r="G2" s="3080"/>
      <c r="H2" s="2949" t="str">
        <f>"底稿编号："&amp;开始!$F$12</f>
        <v>底稿编号：AS-10</v>
      </c>
      <c r="I2" s="2949"/>
      <c r="J2" s="2949"/>
    </row>
    <row r="3" spans="1:11" ht="21.75" customHeight="1">
      <c r="A3" s="3083" t="s">
        <v>4510</v>
      </c>
      <c r="B3" s="3083"/>
      <c r="C3" s="3084" t="str">
        <f>基本情况!$C$3</f>
        <v/>
      </c>
      <c r="D3" s="3084"/>
      <c r="E3" s="656" t="s">
        <v>4407</v>
      </c>
      <c r="F3" s="657" t="str">
        <f>基本情况!$F$19&amp;""</f>
        <v/>
      </c>
      <c r="G3" s="656" t="s">
        <v>4511</v>
      </c>
      <c r="H3" s="658" t="str">
        <f>TEXT(基本情况!$F$27,"yyyy-mm-dd")</f>
        <v>2018-03-16</v>
      </c>
      <c r="I3" s="3085" t="s">
        <v>4409</v>
      </c>
      <c r="J3" s="3085"/>
    </row>
    <row r="4" spans="1:11" ht="21.75" customHeight="1">
      <c r="A4" s="3086" t="s">
        <v>4512</v>
      </c>
      <c r="B4" s="3086"/>
      <c r="C4" s="3087" t="str">
        <f>基本情况!$F$9</f>
        <v>2017年01月01日至2017年12月31日</v>
      </c>
      <c r="D4" s="3087"/>
      <c r="E4" s="660" t="s">
        <v>4410</v>
      </c>
      <c r="F4" s="661" t="str">
        <f>基本情况!$F$18&amp;""</f>
        <v/>
      </c>
      <c r="G4" s="660" t="s">
        <v>4511</v>
      </c>
      <c r="H4" s="661" t="str">
        <f>TEXT(基本情况!$F$28,"yyyy-mm-dd")</f>
        <v>2018-05-04</v>
      </c>
      <c r="I4" s="3088"/>
      <c r="J4" s="3088"/>
    </row>
    <row r="5" spans="1:11" ht="7.5" customHeight="1">
      <c r="A5" s="3089"/>
      <c r="B5" s="3089"/>
      <c r="C5" s="3089"/>
      <c r="D5" s="3089"/>
      <c r="E5" s="3089"/>
      <c r="F5" s="3089"/>
      <c r="G5" s="3089"/>
      <c r="H5" s="3089"/>
      <c r="I5" s="3089"/>
      <c r="J5" s="3089"/>
    </row>
    <row r="6" spans="1:11" ht="21.75" customHeight="1">
      <c r="A6" s="662" t="s">
        <v>750</v>
      </c>
      <c r="B6" s="663" t="s">
        <v>4513</v>
      </c>
      <c r="C6" s="663" t="s">
        <v>4514</v>
      </c>
      <c r="D6" s="663" t="s">
        <v>4532</v>
      </c>
      <c r="E6" s="663" t="s">
        <v>4516</v>
      </c>
      <c r="F6" s="663" t="s">
        <v>4517</v>
      </c>
      <c r="G6" s="663" t="s">
        <v>4518</v>
      </c>
      <c r="H6" s="663" t="s">
        <v>4519</v>
      </c>
      <c r="I6" s="663" t="s">
        <v>4414</v>
      </c>
      <c r="J6" s="664" t="s">
        <v>4415</v>
      </c>
    </row>
    <row r="7" spans="1:11" ht="21.75" customHeight="1">
      <c r="A7" s="3090" t="s">
        <v>4242</v>
      </c>
      <c r="B7" s="2154">
        <v>1</v>
      </c>
      <c r="C7" s="1862"/>
      <c r="D7" s="1921"/>
      <c r="E7" s="633"/>
      <c r="F7" s="633"/>
      <c r="G7" s="633"/>
      <c r="H7" s="666">
        <f t="shared" ref="H7:H25" si="0">E7+F7-G7</f>
        <v>0</v>
      </c>
      <c r="I7" s="633"/>
      <c r="J7" s="667">
        <f t="shared" ref="J7:J26" si="1">H7+I7</f>
        <v>0</v>
      </c>
      <c r="K7" s="619"/>
    </row>
    <row r="8" spans="1:11" ht="21.75" customHeight="1">
      <c r="A8" s="3090"/>
      <c r="B8" s="2155">
        <v>2</v>
      </c>
      <c r="C8" s="1861"/>
      <c r="D8" s="1922"/>
      <c r="E8" s="1871"/>
      <c r="F8" s="1871"/>
      <c r="G8" s="1871"/>
      <c r="H8" s="670">
        <f t="shared" si="0"/>
        <v>0</v>
      </c>
      <c r="I8" s="1871"/>
      <c r="J8" s="671">
        <f t="shared" si="1"/>
        <v>0</v>
      </c>
      <c r="K8" s="565" t="s">
        <v>1724</v>
      </c>
    </row>
    <row r="9" spans="1:11" ht="21.75" customHeight="1">
      <c r="A9" s="3090"/>
      <c r="B9" s="2155">
        <v>3</v>
      </c>
      <c r="C9" s="1861"/>
      <c r="D9" s="1922"/>
      <c r="E9" s="1871"/>
      <c r="F9" s="1871"/>
      <c r="G9" s="1871"/>
      <c r="H9" s="670">
        <f t="shared" si="0"/>
        <v>0</v>
      </c>
      <c r="I9" s="1871"/>
      <c r="J9" s="671">
        <f t="shared" si="1"/>
        <v>0</v>
      </c>
      <c r="K9" s="601" t="s">
        <v>6080</v>
      </c>
    </row>
    <row r="10" spans="1:11" ht="21.75" customHeight="1">
      <c r="A10" s="3090"/>
      <c r="B10" s="2155">
        <v>4</v>
      </c>
      <c r="C10" s="1861"/>
      <c r="D10" s="1922"/>
      <c r="E10" s="1871"/>
      <c r="F10" s="1871"/>
      <c r="G10" s="1871"/>
      <c r="H10" s="670">
        <f t="shared" si="0"/>
        <v>0</v>
      </c>
      <c r="I10" s="1871"/>
      <c r="J10" s="671">
        <f t="shared" si="1"/>
        <v>0</v>
      </c>
    </row>
    <row r="11" spans="1:11" ht="21.75" customHeight="1">
      <c r="A11" s="3090"/>
      <c r="B11" s="2155">
        <v>5</v>
      </c>
      <c r="C11" s="1861"/>
      <c r="D11" s="1922"/>
      <c r="E11" s="1871"/>
      <c r="F11" s="1871"/>
      <c r="G11" s="1871"/>
      <c r="H11" s="670">
        <f t="shared" si="0"/>
        <v>0</v>
      </c>
      <c r="I11" s="1871"/>
      <c r="J11" s="671">
        <f t="shared" si="1"/>
        <v>0</v>
      </c>
    </row>
    <row r="12" spans="1:11" ht="21.75" customHeight="1">
      <c r="A12" s="3090"/>
      <c r="B12" s="2155">
        <v>6</v>
      </c>
      <c r="C12" s="1861"/>
      <c r="D12" s="1922"/>
      <c r="E12" s="1871"/>
      <c r="F12" s="1871"/>
      <c r="G12" s="1871"/>
      <c r="H12" s="670">
        <f t="shared" si="0"/>
        <v>0</v>
      </c>
      <c r="I12" s="1871"/>
      <c r="J12" s="671">
        <f t="shared" si="1"/>
        <v>0</v>
      </c>
    </row>
    <row r="13" spans="1:11" ht="21.75" customHeight="1">
      <c r="A13" s="3090"/>
      <c r="B13" s="2155">
        <v>7</v>
      </c>
      <c r="C13" s="1923"/>
      <c r="D13" s="1924"/>
      <c r="E13" s="1262"/>
      <c r="F13" s="1262"/>
      <c r="G13" s="1262"/>
      <c r="H13" s="670">
        <f t="shared" si="0"/>
        <v>0</v>
      </c>
      <c r="I13" s="1262"/>
      <c r="J13" s="671">
        <f t="shared" si="1"/>
        <v>0</v>
      </c>
    </row>
    <row r="14" spans="1:11" ht="21.75" customHeight="1">
      <c r="A14" s="3090"/>
      <c r="B14" s="2155">
        <v>8</v>
      </c>
      <c r="C14" s="1923"/>
      <c r="D14" s="1924"/>
      <c r="E14" s="1262"/>
      <c r="F14" s="1262"/>
      <c r="G14" s="1262"/>
      <c r="H14" s="670">
        <f t="shared" si="0"/>
        <v>0</v>
      </c>
      <c r="I14" s="1262"/>
      <c r="J14" s="671">
        <f t="shared" si="1"/>
        <v>0</v>
      </c>
    </row>
    <row r="15" spans="1:11" ht="21.75" customHeight="1">
      <c r="A15" s="3090"/>
      <c r="B15" s="2155">
        <v>9</v>
      </c>
      <c r="C15" s="1923"/>
      <c r="D15" s="1924"/>
      <c r="E15" s="1262"/>
      <c r="F15" s="1262"/>
      <c r="G15" s="1262"/>
      <c r="H15" s="670">
        <f t="shared" si="0"/>
        <v>0</v>
      </c>
      <c r="I15" s="1262"/>
      <c r="J15" s="671">
        <f t="shared" si="1"/>
        <v>0</v>
      </c>
    </row>
    <row r="16" spans="1:11" ht="21.75" customHeight="1">
      <c r="A16" s="3090"/>
      <c r="B16" s="3091" t="s">
        <v>757</v>
      </c>
      <c r="C16" s="3091"/>
      <c r="D16" s="674"/>
      <c r="E16" s="674">
        <f>SUM(E7:E15)</f>
        <v>0</v>
      </c>
      <c r="F16" s="674">
        <f>SUM(F7:F15)</f>
        <v>0</v>
      </c>
      <c r="G16" s="674">
        <f>SUM(G7:G15)</f>
        <v>0</v>
      </c>
      <c r="H16" s="674">
        <f>SUM(H7:H15)</f>
        <v>0</v>
      </c>
      <c r="I16" s="674">
        <f>SUM(I7:I15)</f>
        <v>0</v>
      </c>
      <c r="J16" s="675">
        <f t="shared" si="1"/>
        <v>0</v>
      </c>
    </row>
    <row r="17" spans="1:16" ht="21.75" customHeight="1">
      <c r="A17" s="3092" t="s">
        <v>4533</v>
      </c>
      <c r="B17" s="2156">
        <v>1</v>
      </c>
      <c r="C17" s="1925"/>
      <c r="D17" s="1926"/>
      <c r="E17" s="1927"/>
      <c r="F17" s="1927"/>
      <c r="G17" s="1927"/>
      <c r="H17" s="676">
        <f t="shared" si="0"/>
        <v>0</v>
      </c>
      <c r="I17" s="652"/>
      <c r="J17" s="677">
        <f t="shared" si="1"/>
        <v>0</v>
      </c>
    </row>
    <row r="18" spans="1:16" ht="21.75" customHeight="1">
      <c r="A18" s="3092"/>
      <c r="B18" s="2155">
        <v>2</v>
      </c>
      <c r="C18" s="1861"/>
      <c r="D18" s="1922"/>
      <c r="E18" s="1928"/>
      <c r="F18" s="1928"/>
      <c r="G18" s="1928"/>
      <c r="H18" s="678">
        <f t="shared" si="0"/>
        <v>0</v>
      </c>
      <c r="I18" s="1871"/>
      <c r="J18" s="671">
        <f t="shared" si="1"/>
        <v>0</v>
      </c>
    </row>
    <row r="19" spans="1:16" ht="21.75" customHeight="1">
      <c r="A19" s="3092"/>
      <c r="B19" s="2155">
        <v>3</v>
      </c>
      <c r="C19" s="1861"/>
      <c r="D19" s="1922"/>
      <c r="E19" s="1928"/>
      <c r="F19" s="1928"/>
      <c r="G19" s="1928"/>
      <c r="H19" s="678">
        <f t="shared" si="0"/>
        <v>0</v>
      </c>
      <c r="I19" s="1871"/>
      <c r="J19" s="671">
        <f t="shared" si="1"/>
        <v>0</v>
      </c>
    </row>
    <row r="20" spans="1:16" ht="21.75" customHeight="1">
      <c r="A20" s="3092"/>
      <c r="B20" s="2155">
        <v>4</v>
      </c>
      <c r="C20" s="1861"/>
      <c r="D20" s="1922"/>
      <c r="E20" s="1928"/>
      <c r="F20" s="1928"/>
      <c r="G20" s="1928"/>
      <c r="H20" s="678">
        <f t="shared" si="0"/>
        <v>0</v>
      </c>
      <c r="I20" s="1871"/>
      <c r="J20" s="671">
        <f t="shared" si="1"/>
        <v>0</v>
      </c>
      <c r="K20" s="679"/>
      <c r="L20" s="680"/>
      <c r="M20" s="680"/>
      <c r="N20" s="680"/>
      <c r="O20" s="680"/>
      <c r="P20" s="680"/>
    </row>
    <row r="21" spans="1:16" ht="21.75" customHeight="1">
      <c r="A21" s="3092"/>
      <c r="B21" s="2155">
        <v>5</v>
      </c>
      <c r="C21" s="1861"/>
      <c r="D21" s="1922"/>
      <c r="E21" s="1928"/>
      <c r="F21" s="1928"/>
      <c r="G21" s="1928"/>
      <c r="H21" s="678">
        <f t="shared" si="0"/>
        <v>0</v>
      </c>
      <c r="I21" s="1871"/>
      <c r="J21" s="671">
        <f t="shared" si="1"/>
        <v>0</v>
      </c>
    </row>
    <row r="22" spans="1:16" ht="21.75" customHeight="1">
      <c r="A22" s="3092"/>
      <c r="B22" s="2155">
        <v>6</v>
      </c>
      <c r="C22" s="1861"/>
      <c r="D22" s="1922"/>
      <c r="E22" s="1871"/>
      <c r="F22" s="1871"/>
      <c r="G22" s="1871"/>
      <c r="H22" s="678">
        <f t="shared" si="0"/>
        <v>0</v>
      </c>
      <c r="I22" s="1871"/>
      <c r="J22" s="671">
        <f t="shared" si="1"/>
        <v>0</v>
      </c>
    </row>
    <row r="23" spans="1:16" ht="21.75" customHeight="1">
      <c r="A23" s="3092"/>
      <c r="B23" s="2155">
        <v>7</v>
      </c>
      <c r="C23" s="1923"/>
      <c r="D23" s="1924"/>
      <c r="E23" s="1262"/>
      <c r="F23" s="1262"/>
      <c r="G23" s="1262"/>
      <c r="H23" s="678">
        <f t="shared" si="0"/>
        <v>0</v>
      </c>
      <c r="I23" s="1262"/>
      <c r="J23" s="671">
        <f t="shared" si="1"/>
        <v>0</v>
      </c>
    </row>
    <row r="24" spans="1:16" ht="21.75" customHeight="1">
      <c r="A24" s="3092"/>
      <c r="B24" s="2155">
        <v>8</v>
      </c>
      <c r="C24" s="1923"/>
      <c r="D24" s="1924"/>
      <c r="E24" s="1262"/>
      <c r="F24" s="1262"/>
      <c r="G24" s="1262"/>
      <c r="H24" s="678">
        <f t="shared" si="0"/>
        <v>0</v>
      </c>
      <c r="I24" s="1262"/>
      <c r="J24" s="671">
        <f t="shared" si="1"/>
        <v>0</v>
      </c>
    </row>
    <row r="25" spans="1:16" ht="21.75" customHeight="1">
      <c r="A25" s="3092"/>
      <c r="B25" s="2155">
        <v>9</v>
      </c>
      <c r="C25" s="1923"/>
      <c r="D25" s="1924"/>
      <c r="E25" s="1262"/>
      <c r="F25" s="1262"/>
      <c r="G25" s="1262"/>
      <c r="H25" s="678">
        <f t="shared" si="0"/>
        <v>0</v>
      </c>
      <c r="I25" s="1262"/>
      <c r="J25" s="671">
        <f t="shared" si="1"/>
        <v>0</v>
      </c>
    </row>
    <row r="26" spans="1:16" ht="21.75" customHeight="1">
      <c r="A26" s="3092"/>
      <c r="B26" s="3091" t="s">
        <v>757</v>
      </c>
      <c r="C26" s="3091"/>
      <c r="D26" s="674"/>
      <c r="E26" s="674">
        <f>SUM(E17:E25)</f>
        <v>0</v>
      </c>
      <c r="F26" s="674">
        <f>SUM(F17:F25)</f>
        <v>0</v>
      </c>
      <c r="G26" s="674">
        <f>SUM(G17:G25)</f>
        <v>0</v>
      </c>
      <c r="H26" s="674">
        <f>SUM(H17:H25)</f>
        <v>0</v>
      </c>
      <c r="I26" s="674">
        <f>SUM(I17:I25)</f>
        <v>0</v>
      </c>
      <c r="J26" s="675">
        <f t="shared" si="1"/>
        <v>0</v>
      </c>
    </row>
    <row r="27" spans="1:16" ht="21" customHeight="1">
      <c r="A27" s="3076" t="s">
        <v>4430</v>
      </c>
      <c r="B27" s="3076"/>
      <c r="C27" s="3077" t="str">
        <f>IF($H$16&lt;&gt;资产负债表!$C$7,"短期投资账载数与报表数相差"&amp;DOLLAR($H$16-资产负债表!$C$7,2)&amp;"元！","短期投资账载数与报表数相符！")</f>
        <v>短期投资账载数与报表数相符！</v>
      </c>
      <c r="D27" s="3077"/>
      <c r="E27" s="3077"/>
      <c r="F27" s="3077"/>
      <c r="G27" s="3078" t="str">
        <f>IF($H$26&lt;&gt;资产负债表!$C$18+资产负债表!$C$19,"长期投资账载数与报表数相差"&amp;DOLLAR($H$26-资产负债表!$C$18-资产负债表!$C$19,2)&amp;"元！","长期投资账载数与报表数相符！")</f>
        <v>长期投资账载数与报表数相符！</v>
      </c>
      <c r="H27" s="3078"/>
      <c r="I27" s="3078"/>
      <c r="J27" s="3078"/>
    </row>
    <row r="28" spans="1:16" ht="15" customHeight="1">
      <c r="A28" s="3081" t="s">
        <v>4431</v>
      </c>
      <c r="B28" s="3081"/>
      <c r="C28" s="681" t="s">
        <v>4474</v>
      </c>
      <c r="D28" s="3082" t="str">
        <f>IF(OR(I16&lt;&gt;0,I26&lt;&gt;0),"、E","")</f>
        <v/>
      </c>
      <c r="E28" s="3082"/>
      <c r="F28" s="3082"/>
      <c r="G28" s="3082"/>
      <c r="H28" s="3082"/>
      <c r="I28" s="3082"/>
      <c r="J28" s="3082"/>
      <c r="K28" s="679"/>
      <c r="L28" s="682"/>
      <c r="M28" s="682"/>
      <c r="N28" s="682"/>
      <c r="O28" s="682"/>
      <c r="P28" s="682"/>
    </row>
    <row r="29" spans="1:16" ht="46.5" customHeight="1">
      <c r="A29" s="3081"/>
      <c r="B29" s="3081"/>
      <c r="C29" s="3073"/>
      <c r="D29" s="3073"/>
      <c r="E29" s="3073"/>
      <c r="F29" s="3073"/>
      <c r="G29" s="3073"/>
      <c r="H29" s="3073"/>
      <c r="I29" s="3073"/>
      <c r="J29" s="3073"/>
    </row>
    <row r="30" spans="1:16" ht="21" customHeight="1">
      <c r="A30" s="3074" t="s">
        <v>4433</v>
      </c>
      <c r="B30" s="3074"/>
      <c r="C30" s="3075" t="str">
        <f>IF(AND(I16=0,I26=0),"不存在调整事项，认可！","调整后认可！")</f>
        <v>不存在调整事项，认可！</v>
      </c>
      <c r="D30" s="3075"/>
      <c r="E30" s="3075"/>
      <c r="F30" s="3075"/>
      <c r="G30" s="3075"/>
      <c r="H30" s="3075"/>
      <c r="I30" s="3075"/>
      <c r="J30" s="3075"/>
    </row>
    <row r="31" spans="1:16" ht="13.5" customHeight="1"/>
    <row r="32" spans="1:16" ht="21" customHeight="1"/>
    <row r="33" spans="11:16" ht="21" customHeight="1"/>
    <row r="34" spans="11:16" ht="21" customHeight="1"/>
    <row r="35" spans="11:16" ht="21" customHeight="1"/>
    <row r="36" spans="11:16" ht="21" customHeight="1"/>
    <row r="37" spans="11:16" ht="21" customHeight="1"/>
    <row r="38" spans="11:16" ht="21" customHeight="1"/>
    <row r="39" spans="11:16" ht="21" customHeight="1"/>
    <row r="40" spans="11:16" s="573" customFormat="1" ht="21" customHeight="1">
      <c r="K40" s="565"/>
      <c r="L40" s="565"/>
      <c r="M40" s="565"/>
      <c r="N40" s="565"/>
      <c r="O40" s="565"/>
      <c r="P40" s="565"/>
    </row>
    <row r="41" spans="11:16" s="573" customFormat="1" ht="21" customHeight="1">
      <c r="K41" s="565"/>
      <c r="L41" s="565"/>
      <c r="M41" s="565"/>
      <c r="N41" s="565"/>
      <c r="O41" s="565"/>
      <c r="P41" s="565"/>
    </row>
    <row r="42" spans="11:16" s="573" customFormat="1" ht="21" customHeight="1">
      <c r="K42" s="565"/>
      <c r="L42" s="565"/>
      <c r="M42" s="565"/>
      <c r="N42" s="565"/>
      <c r="O42" s="565"/>
      <c r="P42" s="565"/>
    </row>
    <row r="43" spans="11:16" s="573" customFormat="1" ht="21" customHeight="1">
      <c r="K43" s="565"/>
      <c r="L43" s="565"/>
      <c r="M43" s="565"/>
      <c r="N43" s="565"/>
      <c r="O43" s="565"/>
      <c r="P43" s="565"/>
    </row>
  </sheetData>
  <sheetProtection formatCells="0" selectLockedCells="1"/>
  <mergeCells count="22">
    <mergeCell ref="I4:J4"/>
    <mergeCell ref="A5:J5"/>
    <mergeCell ref="A7:A16"/>
    <mergeCell ref="B16:C16"/>
    <mergeCell ref="A17:A26"/>
    <mergeCell ref="B26:C26"/>
    <mergeCell ref="H1:J1"/>
    <mergeCell ref="A30:B30"/>
    <mergeCell ref="C30:J30"/>
    <mergeCell ref="A27:B27"/>
    <mergeCell ref="C27:F27"/>
    <mergeCell ref="G27:J27"/>
    <mergeCell ref="H2:J2"/>
    <mergeCell ref="A1:G2"/>
    <mergeCell ref="A28:B29"/>
    <mergeCell ref="D28:J28"/>
    <mergeCell ref="C29:J29"/>
    <mergeCell ref="A3:B3"/>
    <mergeCell ref="C3:D3"/>
    <mergeCell ref="I3:J3"/>
    <mergeCell ref="A4:B4"/>
    <mergeCell ref="C4:D4"/>
  </mergeCells>
  <phoneticPr fontId="135" type="noConversion"/>
  <dataValidations count="1">
    <dataValidation allowBlank="1" showErrorMessage="1" promptTitle="存在调整事项时" prompt="_x000a_选择 “E”" sqref="D28:J28">
      <formula1>0</formula1>
      <formula2>0</formula2>
    </dataValidation>
  </dataValidations>
  <hyperlinks>
    <hyperlink ref="K9" location="资产负债表!A1" display="资产负债表"/>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1"/>
  <dimension ref="A1:H391"/>
  <sheetViews>
    <sheetView workbookViewId="0">
      <selection sqref="A1:C2"/>
    </sheetView>
  </sheetViews>
  <sheetFormatPr defaultColWidth="9" defaultRowHeight="14.25"/>
  <cols>
    <col min="1" max="1" width="23.125" style="774" customWidth="1"/>
    <col min="2" max="3" width="13.75" style="774" customWidth="1"/>
    <col min="4" max="4" width="9.125" style="774" customWidth="1"/>
    <col min="5" max="5" width="13.75" style="774" customWidth="1"/>
    <col min="6" max="6" width="9.75" style="774" customWidth="1"/>
    <col min="7" max="7" width="54.375" style="1894" customWidth="1"/>
    <col min="8" max="8" width="12" style="1894" customWidth="1"/>
    <col min="9" max="16384" width="9" style="1894"/>
  </cols>
  <sheetData>
    <row r="1" spans="1:8" ht="25.9" customHeight="1">
      <c r="A1" s="3099" t="s">
        <v>1671</v>
      </c>
      <c r="B1" s="3099"/>
      <c r="C1" s="3099"/>
      <c r="D1" s="2754" t="str">
        <f>基本情况!$F$10</f>
        <v>厦中汇税审（2018）第DS0001号</v>
      </c>
      <c r="E1" s="2754"/>
      <c r="F1" s="2754"/>
    </row>
    <row r="2" spans="1:8" ht="37.15" customHeight="1">
      <c r="A2" s="3100"/>
      <c r="B2" s="3100"/>
      <c r="C2" s="3100"/>
      <c r="D2" s="2949" t="str">
        <f>"底稿编号："&amp;开始!$H$3</f>
        <v>底稿编号：LR-01</v>
      </c>
      <c r="E2" s="2949"/>
      <c r="F2" s="2949"/>
    </row>
    <row r="3" spans="1:8" s="1929" customFormat="1" ht="20.25" customHeight="1">
      <c r="A3" s="3093" t="str">
        <f>"委托单位："&amp;基本情况!$C$3</f>
        <v>委托单位：</v>
      </c>
      <c r="B3" s="3094"/>
      <c r="C3" s="3095"/>
      <c r="D3" s="1939"/>
      <c r="E3" s="1912" t="s">
        <v>4472</v>
      </c>
      <c r="F3" s="1913" t="s">
        <v>4473</v>
      </c>
    </row>
    <row r="4" spans="1:8" s="1929" customFormat="1" ht="20.25" customHeight="1">
      <c r="A4" s="3096"/>
      <c r="B4" s="3097"/>
      <c r="C4" s="3098"/>
      <c r="D4" s="1427" t="s">
        <v>4407</v>
      </c>
      <c r="E4" s="1914" t="str">
        <f>基本情况!$F$19&amp;""</f>
        <v/>
      </c>
      <c r="F4" s="1908" t="str">
        <f>TEXT(基本情况!$F$27,"yyyy-mm-dd")</f>
        <v>2018-03-16</v>
      </c>
    </row>
    <row r="5" spans="1:8" s="1929" customFormat="1" ht="20.25" customHeight="1">
      <c r="A5" s="3057" t="str">
        <f>"会计期间："&amp;基本情况!$F$9</f>
        <v>会计期间：2017年01月01日至2017年12月31日</v>
      </c>
      <c r="B5" s="3058"/>
      <c r="C5" s="3059"/>
      <c r="D5" s="1915" t="s">
        <v>4410</v>
      </c>
      <c r="E5" s="1909" t="str">
        <f>基本情况!$F$18&amp;""</f>
        <v/>
      </c>
      <c r="F5" s="1910" t="str">
        <f>TEXT(基本情况!$F$28,"yyyy-mm-dd")</f>
        <v>2018-05-04</v>
      </c>
    </row>
    <row r="6" spans="1:8" s="1916" customFormat="1" ht="7.5" customHeight="1">
      <c r="A6" s="3055"/>
      <c r="B6" s="3055"/>
      <c r="C6" s="3055"/>
      <c r="D6" s="3055"/>
      <c r="E6" s="3055"/>
      <c r="F6" s="3055"/>
    </row>
    <row r="7" spans="1:8" s="1931" customFormat="1" ht="20.25" customHeight="1">
      <c r="A7" s="1930" t="s">
        <v>4430</v>
      </c>
      <c r="B7" s="3102" t="str">
        <f>IF(基本情况!$F$33="否",IF(C13-B13&lt;&gt;资产负债表!$G$8,"账载数与报表数相差"&amp;DOLLAR(C13-B13-资产负债表!$G$8,2)&amp;"元！","账载数与报表数相符！"),IF(C12&lt;&gt;资产负债表!$G$8,"账载数与报表数相差"&amp;DOLLAR(C12-资产负债表!$G$8,2)&amp;"元！","账载数与报表数相符！"))</f>
        <v>账载数与报表数相符！</v>
      </c>
      <c r="C7" s="3102"/>
      <c r="D7" s="3102"/>
      <c r="E7" s="3102"/>
      <c r="F7" s="3102"/>
      <c r="G7" s="757" t="s">
        <v>1724</v>
      </c>
    </row>
    <row r="8" spans="1:8" s="1931" customFormat="1" ht="15" customHeight="1">
      <c r="A8" s="3070" t="s">
        <v>4431</v>
      </c>
      <c r="B8" s="3071" t="s">
        <v>4474</v>
      </c>
      <c r="C8" s="3071"/>
      <c r="D8" s="3071"/>
      <c r="E8" s="3072" t="str">
        <f>IF(OR(D13&lt;&gt;0,D12&lt;&gt;0),"、E","")</f>
        <v/>
      </c>
      <c r="F8" s="3072"/>
      <c r="H8" s="1932"/>
    </row>
    <row r="9" spans="1:8" s="1931" customFormat="1" ht="61.5" customHeight="1">
      <c r="A9" s="3070"/>
      <c r="B9" s="3103"/>
      <c r="C9" s="3103"/>
      <c r="D9" s="3103"/>
      <c r="E9" s="3103"/>
      <c r="F9" s="3103"/>
      <c r="H9" s="1932"/>
    </row>
    <row r="10" spans="1:8" s="1931" customFormat="1" ht="20.25" customHeight="1">
      <c r="A10" s="1933" t="s">
        <v>4433</v>
      </c>
      <c r="B10" s="3067" t="str">
        <f>IF(OR(D13&lt;&gt;0,D12&lt;&gt;0),"调整后认可！","不存在调整事项,认可！")</f>
        <v>不存在调整事项,认可！</v>
      </c>
      <c r="C10" s="3067"/>
      <c r="D10" s="3067"/>
      <c r="E10" s="3067"/>
      <c r="F10" s="3067"/>
      <c r="G10" s="601" t="s">
        <v>6080</v>
      </c>
      <c r="H10" s="1932"/>
    </row>
    <row r="11" spans="1:8" s="1931" customFormat="1" ht="20.25" customHeight="1">
      <c r="A11" s="1917" t="s">
        <v>750</v>
      </c>
      <c r="B11" s="1934" t="s">
        <v>4479</v>
      </c>
      <c r="C11" s="1918" t="s">
        <v>4480</v>
      </c>
      <c r="D11" s="1918" t="s">
        <v>4414</v>
      </c>
      <c r="E11" s="1918" t="s">
        <v>4415</v>
      </c>
      <c r="F11" s="1919" t="s">
        <v>4487</v>
      </c>
      <c r="G11" s="672"/>
      <c r="H11" s="1932"/>
    </row>
    <row r="12" spans="1:8" s="1931" customFormat="1" ht="20.25" customHeight="1">
      <c r="A12" s="1935" t="s">
        <v>4535</v>
      </c>
      <c r="B12" s="628">
        <f>IF(基本情况!$F$33="否",0,B13+预付!B15)</f>
        <v>0</v>
      </c>
      <c r="C12" s="628">
        <f>IF(基本情况!$F$33="否",0,C13+预付!C15)</f>
        <v>0</v>
      </c>
      <c r="D12" s="646"/>
      <c r="E12" s="1866">
        <f>C12+D12</f>
        <v>0</v>
      </c>
      <c r="F12" s="647">
        <f>IF(基本情况!$F$33="否",0,F13+预付!F15)</f>
        <v>0</v>
      </c>
      <c r="G12" s="672"/>
      <c r="H12" s="1932"/>
    </row>
    <row r="13" spans="1:8" s="1931" customFormat="1" ht="20.25" customHeight="1">
      <c r="A13" s="1933" t="s">
        <v>4483</v>
      </c>
      <c r="B13" s="630">
        <f>SUM(B14:B3003)</f>
        <v>0</v>
      </c>
      <c r="C13" s="630">
        <f>SUM(C14:C3003)</f>
        <v>0</v>
      </c>
      <c r="D13" s="1863">
        <f>SUM(D14:D303)</f>
        <v>0</v>
      </c>
      <c r="E13" s="1863">
        <f>SUM(E14:E303)</f>
        <v>0</v>
      </c>
      <c r="F13" s="1875">
        <f>SUM(F14:F303)</f>
        <v>0</v>
      </c>
    </row>
    <row r="14" spans="1:8" s="1929" customFormat="1" ht="15" customHeight="1">
      <c r="A14" s="631"/>
      <c r="B14" s="632"/>
      <c r="C14" s="633"/>
      <c r="D14" s="633"/>
      <c r="E14" s="634">
        <f>C14-B14+D14</f>
        <v>0</v>
      </c>
      <c r="F14" s="635"/>
      <c r="G14" s="3101" t="s">
        <v>6082</v>
      </c>
      <c r="H14" s="3101"/>
    </row>
    <row r="15" spans="1:8" s="1929" customFormat="1" ht="15" customHeight="1">
      <c r="A15" s="1868"/>
      <c r="B15" s="637"/>
      <c r="C15" s="1871"/>
      <c r="D15" s="1871"/>
      <c r="E15" s="629">
        <f>C15-B15+D15</f>
        <v>0</v>
      </c>
      <c r="F15" s="639"/>
      <c r="G15" s="3101"/>
      <c r="H15" s="3101"/>
    </row>
    <row r="16" spans="1:8" s="1929" customFormat="1" ht="15" customHeight="1">
      <c r="A16" s="1868"/>
      <c r="B16" s="637"/>
      <c r="C16" s="1871"/>
      <c r="D16" s="1871"/>
      <c r="E16" s="629">
        <f t="shared" ref="E16:E79" si="0">C16-B16+D16</f>
        <v>0</v>
      </c>
      <c r="F16" s="639"/>
      <c r="G16" s="3101"/>
      <c r="H16" s="3101"/>
    </row>
    <row r="17" spans="1:8" s="1929" customFormat="1" ht="15" customHeight="1">
      <c r="A17" s="1868"/>
      <c r="B17" s="637"/>
      <c r="C17" s="1871"/>
      <c r="D17" s="1871"/>
      <c r="E17" s="629">
        <f t="shared" si="0"/>
        <v>0</v>
      </c>
      <c r="F17" s="639"/>
      <c r="G17" s="3101"/>
      <c r="H17" s="3101"/>
    </row>
    <row r="18" spans="1:8" s="1929" customFormat="1" ht="15" customHeight="1">
      <c r="A18" s="1868"/>
      <c r="B18" s="637"/>
      <c r="C18" s="1871"/>
      <c r="D18" s="1871"/>
      <c r="E18" s="629">
        <f t="shared" si="0"/>
        <v>0</v>
      </c>
      <c r="F18" s="639"/>
      <c r="G18" s="3101"/>
      <c r="H18" s="3101"/>
    </row>
    <row r="19" spans="1:8" s="1929" customFormat="1" ht="15" customHeight="1">
      <c r="A19" s="1868"/>
      <c r="B19" s="637"/>
      <c r="C19" s="1871"/>
      <c r="D19" s="1871"/>
      <c r="E19" s="629">
        <f t="shared" si="0"/>
        <v>0</v>
      </c>
      <c r="F19" s="639"/>
      <c r="G19" s="3101"/>
      <c r="H19" s="3101"/>
    </row>
    <row r="20" spans="1:8" s="1929" customFormat="1" ht="15" customHeight="1">
      <c r="A20" s="1868"/>
      <c r="B20" s="637"/>
      <c r="C20" s="1871"/>
      <c r="D20" s="1871"/>
      <c r="E20" s="629">
        <f t="shared" si="0"/>
        <v>0</v>
      </c>
      <c r="F20" s="639"/>
      <c r="G20" s="3101"/>
      <c r="H20" s="3101"/>
    </row>
    <row r="21" spans="1:8" s="1929" customFormat="1" ht="15" customHeight="1">
      <c r="A21" s="1868"/>
      <c r="B21" s="637"/>
      <c r="C21" s="1871"/>
      <c r="D21" s="1871"/>
      <c r="E21" s="629">
        <f t="shared" si="0"/>
        <v>0</v>
      </c>
      <c r="F21" s="639"/>
      <c r="G21" s="3101"/>
      <c r="H21" s="3101"/>
    </row>
    <row r="22" spans="1:8" s="1929" customFormat="1" ht="15" customHeight="1">
      <c r="A22" s="1868"/>
      <c r="B22" s="637"/>
      <c r="C22" s="1871"/>
      <c r="D22" s="1871"/>
      <c r="E22" s="629">
        <f t="shared" si="0"/>
        <v>0</v>
      </c>
      <c r="F22" s="639"/>
      <c r="G22" s="3101"/>
      <c r="H22" s="3101"/>
    </row>
    <row r="23" spans="1:8" s="1929" customFormat="1" ht="15" customHeight="1">
      <c r="A23" s="1868"/>
      <c r="B23" s="637"/>
      <c r="C23" s="1871"/>
      <c r="D23" s="1871"/>
      <c r="E23" s="629">
        <f t="shared" si="0"/>
        <v>0</v>
      </c>
      <c r="F23" s="639"/>
      <c r="G23" s="1936"/>
    </row>
    <row r="24" spans="1:8" s="1929" customFormat="1" ht="15" customHeight="1">
      <c r="A24" s="1868"/>
      <c r="B24" s="637"/>
      <c r="C24" s="1871"/>
      <c r="D24" s="1871"/>
      <c r="E24" s="629">
        <f t="shared" si="0"/>
        <v>0</v>
      </c>
      <c r="F24" s="639"/>
    </row>
    <row r="25" spans="1:8" s="1929" customFormat="1" ht="15" customHeight="1">
      <c r="A25" s="1868"/>
      <c r="B25" s="637"/>
      <c r="C25" s="1871"/>
      <c r="D25" s="1871"/>
      <c r="E25" s="629">
        <f t="shared" si="0"/>
        <v>0</v>
      </c>
      <c r="F25" s="639"/>
    </row>
    <row r="26" spans="1:8" s="1929" customFormat="1" ht="15" customHeight="1">
      <c r="A26" s="1868"/>
      <c r="B26" s="637"/>
      <c r="C26" s="1871"/>
      <c r="D26" s="1871"/>
      <c r="E26" s="629">
        <f t="shared" si="0"/>
        <v>0</v>
      </c>
      <c r="F26" s="639"/>
    </row>
    <row r="27" spans="1:8" s="1929" customFormat="1" ht="15" customHeight="1">
      <c r="A27" s="1868"/>
      <c r="B27" s="637"/>
      <c r="C27" s="1871"/>
      <c r="D27" s="1871"/>
      <c r="E27" s="629">
        <f t="shared" si="0"/>
        <v>0</v>
      </c>
      <c r="F27" s="639"/>
    </row>
    <row r="28" spans="1:8" s="1929" customFormat="1" ht="15" customHeight="1">
      <c r="A28" s="1868"/>
      <c r="B28" s="637"/>
      <c r="C28" s="1871"/>
      <c r="D28" s="1871"/>
      <c r="E28" s="629">
        <f t="shared" si="0"/>
        <v>0</v>
      </c>
      <c r="F28" s="639"/>
    </row>
    <row r="29" spans="1:8" s="1929" customFormat="1" ht="15" customHeight="1">
      <c r="A29" s="1868"/>
      <c r="B29" s="637"/>
      <c r="C29" s="1871"/>
      <c r="D29" s="1871"/>
      <c r="E29" s="629">
        <f t="shared" si="0"/>
        <v>0</v>
      </c>
      <c r="F29" s="639"/>
    </row>
    <row r="30" spans="1:8" s="1929" customFormat="1" ht="15" customHeight="1">
      <c r="A30" s="1868"/>
      <c r="B30" s="637"/>
      <c r="C30" s="1871"/>
      <c r="D30" s="1871"/>
      <c r="E30" s="629">
        <f t="shared" si="0"/>
        <v>0</v>
      </c>
      <c r="F30" s="639"/>
    </row>
    <row r="31" spans="1:8" s="1929" customFormat="1" ht="15" customHeight="1">
      <c r="A31" s="1868"/>
      <c r="B31" s="637"/>
      <c r="C31" s="1871"/>
      <c r="D31" s="1871"/>
      <c r="E31" s="629">
        <f t="shared" si="0"/>
        <v>0</v>
      </c>
      <c r="F31" s="639"/>
    </row>
    <row r="32" spans="1:8" s="1929" customFormat="1" ht="15" customHeight="1">
      <c r="A32" s="1868"/>
      <c r="B32" s="637"/>
      <c r="C32" s="1871"/>
      <c r="D32" s="1871"/>
      <c r="E32" s="629">
        <f t="shared" si="0"/>
        <v>0</v>
      </c>
      <c r="F32" s="639"/>
    </row>
    <row r="33" spans="1:6" s="1929" customFormat="1" ht="15" customHeight="1">
      <c r="A33" s="1868"/>
      <c r="B33" s="637"/>
      <c r="C33" s="1871"/>
      <c r="D33" s="1871"/>
      <c r="E33" s="629">
        <f t="shared" si="0"/>
        <v>0</v>
      </c>
      <c r="F33" s="639"/>
    </row>
    <row r="34" spans="1:6" s="1929" customFormat="1" ht="15" customHeight="1">
      <c r="A34" s="1868"/>
      <c r="B34" s="637"/>
      <c r="C34" s="1871"/>
      <c r="D34" s="1871"/>
      <c r="E34" s="629">
        <f t="shared" si="0"/>
        <v>0</v>
      </c>
      <c r="F34" s="639"/>
    </row>
    <row r="35" spans="1:6" s="1929" customFormat="1" ht="15" customHeight="1">
      <c r="A35" s="1868"/>
      <c r="B35" s="637"/>
      <c r="C35" s="1871"/>
      <c r="D35" s="1871"/>
      <c r="E35" s="629">
        <f t="shared" si="0"/>
        <v>0</v>
      </c>
      <c r="F35" s="639"/>
    </row>
    <row r="36" spans="1:6" s="1929" customFormat="1" ht="15" customHeight="1">
      <c r="A36" s="1868"/>
      <c r="B36" s="637"/>
      <c r="C36" s="1871"/>
      <c r="D36" s="1871"/>
      <c r="E36" s="629">
        <f t="shared" si="0"/>
        <v>0</v>
      </c>
      <c r="F36" s="639"/>
    </row>
    <row r="37" spans="1:6" s="1929" customFormat="1" ht="15" customHeight="1">
      <c r="A37" s="1868"/>
      <c r="B37" s="637"/>
      <c r="C37" s="1871"/>
      <c r="D37" s="1871"/>
      <c r="E37" s="629">
        <f t="shared" si="0"/>
        <v>0</v>
      </c>
      <c r="F37" s="639"/>
    </row>
    <row r="38" spans="1:6" s="1929" customFormat="1" ht="15" customHeight="1">
      <c r="A38" s="1868"/>
      <c r="B38" s="637"/>
      <c r="C38" s="1871"/>
      <c r="D38" s="1871"/>
      <c r="E38" s="629">
        <f t="shared" si="0"/>
        <v>0</v>
      </c>
      <c r="F38" s="639"/>
    </row>
    <row r="39" spans="1:6" s="1929" customFormat="1" ht="15" customHeight="1">
      <c r="A39" s="1868"/>
      <c r="B39" s="637"/>
      <c r="C39" s="1871"/>
      <c r="D39" s="1871"/>
      <c r="E39" s="629">
        <f t="shared" si="0"/>
        <v>0</v>
      </c>
      <c r="F39" s="639"/>
    </row>
    <row r="40" spans="1:6" s="1929" customFormat="1" ht="15" customHeight="1">
      <c r="A40" s="1868"/>
      <c r="B40" s="637"/>
      <c r="C40" s="1871"/>
      <c r="D40" s="1871"/>
      <c r="E40" s="629">
        <f t="shared" si="0"/>
        <v>0</v>
      </c>
      <c r="F40" s="639"/>
    </row>
    <row r="41" spans="1:6" s="1929" customFormat="1" ht="15" customHeight="1">
      <c r="A41" s="1868"/>
      <c r="B41" s="637"/>
      <c r="C41" s="1871"/>
      <c r="D41" s="1871"/>
      <c r="E41" s="629">
        <f t="shared" si="0"/>
        <v>0</v>
      </c>
      <c r="F41" s="639"/>
    </row>
    <row r="42" spans="1:6" s="1929" customFormat="1" ht="15" customHeight="1">
      <c r="A42" s="1868"/>
      <c r="B42" s="637"/>
      <c r="C42" s="1871"/>
      <c r="D42" s="1871"/>
      <c r="E42" s="629">
        <f t="shared" si="0"/>
        <v>0</v>
      </c>
      <c r="F42" s="639"/>
    </row>
    <row r="43" spans="1:6" s="1929" customFormat="1" ht="15" customHeight="1">
      <c r="A43" s="1868"/>
      <c r="B43" s="637"/>
      <c r="C43" s="1871"/>
      <c r="D43" s="1871"/>
      <c r="E43" s="629">
        <f t="shared" si="0"/>
        <v>0</v>
      </c>
      <c r="F43" s="639"/>
    </row>
    <row r="44" spans="1:6" s="1929" customFormat="1" ht="15" customHeight="1">
      <c r="A44" s="1868"/>
      <c r="B44" s="637"/>
      <c r="C44" s="1871"/>
      <c r="D44" s="1871"/>
      <c r="E44" s="629">
        <f t="shared" si="0"/>
        <v>0</v>
      </c>
      <c r="F44" s="639"/>
    </row>
    <row r="45" spans="1:6" s="1929" customFormat="1" ht="15" customHeight="1">
      <c r="A45" s="1868"/>
      <c r="B45" s="637"/>
      <c r="C45" s="1871"/>
      <c r="D45" s="1871"/>
      <c r="E45" s="629">
        <f t="shared" si="0"/>
        <v>0</v>
      </c>
      <c r="F45" s="639"/>
    </row>
    <row r="46" spans="1:6" s="1929" customFormat="1" ht="15" customHeight="1">
      <c r="A46" s="1868"/>
      <c r="B46" s="637"/>
      <c r="C46" s="1871"/>
      <c r="D46" s="1871"/>
      <c r="E46" s="629">
        <f t="shared" si="0"/>
        <v>0</v>
      </c>
      <c r="F46" s="639"/>
    </row>
    <row r="47" spans="1:6" s="1929" customFormat="1" ht="15" customHeight="1">
      <c r="A47" s="1868"/>
      <c r="B47" s="637"/>
      <c r="C47" s="1871"/>
      <c r="D47" s="1871"/>
      <c r="E47" s="629">
        <f t="shared" si="0"/>
        <v>0</v>
      </c>
      <c r="F47" s="639"/>
    </row>
    <row r="48" spans="1:6" s="1929" customFormat="1" ht="15" customHeight="1">
      <c r="A48" s="1868"/>
      <c r="B48" s="637"/>
      <c r="C48" s="1871"/>
      <c r="D48" s="1871"/>
      <c r="E48" s="629">
        <f t="shared" si="0"/>
        <v>0</v>
      </c>
      <c r="F48" s="639"/>
    </row>
    <row r="49" spans="1:6" s="1937" customFormat="1" ht="15" customHeight="1">
      <c r="A49" s="1868"/>
      <c r="B49" s="637"/>
      <c r="C49" s="1871"/>
      <c r="D49" s="1871"/>
      <c r="E49" s="629">
        <f t="shared" si="0"/>
        <v>0</v>
      </c>
      <c r="F49" s="639"/>
    </row>
    <row r="50" spans="1:6" s="1937" customFormat="1" ht="15" customHeight="1">
      <c r="A50" s="1868"/>
      <c r="B50" s="637"/>
      <c r="C50" s="1871"/>
      <c r="D50" s="1871"/>
      <c r="E50" s="629">
        <f t="shared" si="0"/>
        <v>0</v>
      </c>
      <c r="F50" s="639"/>
    </row>
    <row r="51" spans="1:6" s="1937" customFormat="1" ht="15" customHeight="1">
      <c r="A51" s="1868"/>
      <c r="B51" s="637"/>
      <c r="C51" s="1871"/>
      <c r="D51" s="1871"/>
      <c r="E51" s="629">
        <f t="shared" si="0"/>
        <v>0</v>
      </c>
      <c r="F51" s="639"/>
    </row>
    <row r="52" spans="1:6" s="1937" customFormat="1" ht="15" customHeight="1">
      <c r="A52" s="1868"/>
      <c r="B52" s="637"/>
      <c r="C52" s="1871"/>
      <c r="D52" s="1871"/>
      <c r="E52" s="629">
        <f t="shared" si="0"/>
        <v>0</v>
      </c>
      <c r="F52" s="639"/>
    </row>
    <row r="53" spans="1:6" s="1937" customFormat="1" ht="15" customHeight="1">
      <c r="A53" s="1868"/>
      <c r="B53" s="637"/>
      <c r="C53" s="1871"/>
      <c r="D53" s="1871"/>
      <c r="E53" s="629">
        <f t="shared" si="0"/>
        <v>0</v>
      </c>
      <c r="F53" s="639"/>
    </row>
    <row r="54" spans="1:6" ht="15" customHeight="1">
      <c r="A54" s="1868"/>
      <c r="B54" s="637"/>
      <c r="C54" s="1871"/>
      <c r="D54" s="1871"/>
      <c r="E54" s="629">
        <f t="shared" si="0"/>
        <v>0</v>
      </c>
      <c r="F54" s="639"/>
    </row>
    <row r="55" spans="1:6" ht="15" customHeight="1">
      <c r="A55" s="1868"/>
      <c r="B55" s="637"/>
      <c r="C55" s="1871"/>
      <c r="D55" s="1871"/>
      <c r="E55" s="629">
        <f t="shared" si="0"/>
        <v>0</v>
      </c>
      <c r="F55" s="639"/>
    </row>
    <row r="56" spans="1:6" ht="15" customHeight="1">
      <c r="A56" s="1868"/>
      <c r="B56" s="637"/>
      <c r="C56" s="1871"/>
      <c r="D56" s="1871"/>
      <c r="E56" s="629">
        <f t="shared" si="0"/>
        <v>0</v>
      </c>
      <c r="F56" s="639"/>
    </row>
    <row r="57" spans="1:6" ht="15" customHeight="1">
      <c r="A57" s="1868"/>
      <c r="B57" s="637"/>
      <c r="C57" s="1871"/>
      <c r="D57" s="1871"/>
      <c r="E57" s="629">
        <f t="shared" si="0"/>
        <v>0</v>
      </c>
      <c r="F57" s="639"/>
    </row>
    <row r="58" spans="1:6" ht="15" customHeight="1">
      <c r="A58" s="1868"/>
      <c r="B58" s="637"/>
      <c r="C58" s="1871"/>
      <c r="D58" s="1871"/>
      <c r="E58" s="629">
        <f t="shared" si="0"/>
        <v>0</v>
      </c>
      <c r="F58" s="639"/>
    </row>
    <row r="59" spans="1:6" ht="15" customHeight="1">
      <c r="A59" s="1868"/>
      <c r="B59" s="637"/>
      <c r="C59" s="1871"/>
      <c r="D59" s="1871"/>
      <c r="E59" s="629">
        <f t="shared" si="0"/>
        <v>0</v>
      </c>
      <c r="F59" s="639"/>
    </row>
    <row r="60" spans="1:6" ht="15" customHeight="1">
      <c r="A60" s="1868"/>
      <c r="B60" s="637"/>
      <c r="C60" s="1871"/>
      <c r="D60" s="1871"/>
      <c r="E60" s="629">
        <f t="shared" si="0"/>
        <v>0</v>
      </c>
      <c r="F60" s="639"/>
    </row>
    <row r="61" spans="1:6" ht="15" customHeight="1">
      <c r="A61" s="1868"/>
      <c r="B61" s="637"/>
      <c r="C61" s="1871"/>
      <c r="D61" s="1871"/>
      <c r="E61" s="629">
        <f t="shared" si="0"/>
        <v>0</v>
      </c>
      <c r="F61" s="639"/>
    </row>
    <row r="62" spans="1:6" ht="15" customHeight="1">
      <c r="A62" s="1868"/>
      <c r="B62" s="637"/>
      <c r="C62" s="1871"/>
      <c r="D62" s="1871"/>
      <c r="E62" s="629">
        <f t="shared" si="0"/>
        <v>0</v>
      </c>
      <c r="F62" s="639"/>
    </row>
    <row r="63" spans="1:6" ht="15" customHeight="1">
      <c r="A63" s="1868"/>
      <c r="B63" s="637"/>
      <c r="C63" s="1871"/>
      <c r="D63" s="1871"/>
      <c r="E63" s="629">
        <f t="shared" si="0"/>
        <v>0</v>
      </c>
      <c r="F63" s="639"/>
    </row>
    <row r="64" spans="1:6" ht="15" customHeight="1">
      <c r="A64" s="1868"/>
      <c r="B64" s="637"/>
      <c r="C64" s="1871"/>
      <c r="D64" s="1871"/>
      <c r="E64" s="629">
        <f t="shared" si="0"/>
        <v>0</v>
      </c>
      <c r="F64" s="639"/>
    </row>
    <row r="65" spans="1:6" ht="15" customHeight="1">
      <c r="A65" s="1868"/>
      <c r="B65" s="637"/>
      <c r="C65" s="1871"/>
      <c r="D65" s="1871"/>
      <c r="E65" s="629">
        <f t="shared" si="0"/>
        <v>0</v>
      </c>
      <c r="F65" s="639"/>
    </row>
    <row r="66" spans="1:6" ht="15" customHeight="1">
      <c r="A66" s="1868"/>
      <c r="B66" s="637"/>
      <c r="C66" s="1871"/>
      <c r="D66" s="1871"/>
      <c r="E66" s="629">
        <f t="shared" si="0"/>
        <v>0</v>
      </c>
      <c r="F66" s="639"/>
    </row>
    <row r="67" spans="1:6" ht="15" customHeight="1">
      <c r="A67" s="1868"/>
      <c r="B67" s="637"/>
      <c r="C67" s="1871"/>
      <c r="D67" s="1871"/>
      <c r="E67" s="629">
        <f t="shared" si="0"/>
        <v>0</v>
      </c>
      <c r="F67" s="639"/>
    </row>
    <row r="68" spans="1:6" ht="15" customHeight="1">
      <c r="A68" s="1868"/>
      <c r="B68" s="637"/>
      <c r="C68" s="1871"/>
      <c r="D68" s="1871"/>
      <c r="E68" s="629">
        <f t="shared" si="0"/>
        <v>0</v>
      </c>
      <c r="F68" s="639"/>
    </row>
    <row r="69" spans="1:6" ht="15" customHeight="1">
      <c r="A69" s="1868"/>
      <c r="B69" s="637"/>
      <c r="C69" s="1871"/>
      <c r="D69" s="1871"/>
      <c r="E69" s="629">
        <f t="shared" si="0"/>
        <v>0</v>
      </c>
      <c r="F69" s="639"/>
    </row>
    <row r="70" spans="1:6" ht="15" customHeight="1">
      <c r="A70" s="1868"/>
      <c r="B70" s="637"/>
      <c r="C70" s="1871"/>
      <c r="D70" s="1871"/>
      <c r="E70" s="629">
        <f t="shared" si="0"/>
        <v>0</v>
      </c>
      <c r="F70" s="639"/>
    </row>
    <row r="71" spans="1:6" ht="15" customHeight="1">
      <c r="A71" s="1868"/>
      <c r="B71" s="637"/>
      <c r="C71" s="1871"/>
      <c r="D71" s="1871"/>
      <c r="E71" s="629">
        <f t="shared" si="0"/>
        <v>0</v>
      </c>
      <c r="F71" s="639"/>
    </row>
    <row r="72" spans="1:6" ht="15" customHeight="1">
      <c r="A72" s="1868"/>
      <c r="B72" s="637"/>
      <c r="C72" s="1871"/>
      <c r="D72" s="1871"/>
      <c r="E72" s="629">
        <f t="shared" si="0"/>
        <v>0</v>
      </c>
      <c r="F72" s="639"/>
    </row>
    <row r="73" spans="1:6" ht="15" customHeight="1">
      <c r="A73" s="1868"/>
      <c r="B73" s="637"/>
      <c r="C73" s="1871"/>
      <c r="D73" s="1871"/>
      <c r="E73" s="629">
        <f t="shared" si="0"/>
        <v>0</v>
      </c>
      <c r="F73" s="639"/>
    </row>
    <row r="74" spans="1:6" ht="15" customHeight="1">
      <c r="A74" s="1868"/>
      <c r="B74" s="637"/>
      <c r="C74" s="1871"/>
      <c r="D74" s="1871"/>
      <c r="E74" s="629">
        <f t="shared" si="0"/>
        <v>0</v>
      </c>
      <c r="F74" s="639"/>
    </row>
    <row r="75" spans="1:6" ht="15" customHeight="1">
      <c r="A75" s="1868"/>
      <c r="B75" s="637"/>
      <c r="C75" s="1871"/>
      <c r="D75" s="1871"/>
      <c r="E75" s="629">
        <f t="shared" si="0"/>
        <v>0</v>
      </c>
      <c r="F75" s="639"/>
    </row>
    <row r="76" spans="1:6" ht="15" customHeight="1">
      <c r="A76" s="1868"/>
      <c r="B76" s="637"/>
      <c r="C76" s="1871"/>
      <c r="D76" s="1871"/>
      <c r="E76" s="629">
        <f t="shared" si="0"/>
        <v>0</v>
      </c>
      <c r="F76" s="639"/>
    </row>
    <row r="77" spans="1:6" ht="15" customHeight="1">
      <c r="A77" s="1868"/>
      <c r="B77" s="637"/>
      <c r="C77" s="1871"/>
      <c r="D77" s="1871"/>
      <c r="E77" s="629">
        <f t="shared" si="0"/>
        <v>0</v>
      </c>
      <c r="F77" s="639"/>
    </row>
    <row r="78" spans="1:6" ht="15" customHeight="1">
      <c r="A78" s="1868"/>
      <c r="B78" s="637"/>
      <c r="C78" s="1871"/>
      <c r="D78" s="1871"/>
      <c r="E78" s="629">
        <f t="shared" si="0"/>
        <v>0</v>
      </c>
      <c r="F78" s="639"/>
    </row>
    <row r="79" spans="1:6" ht="15" customHeight="1">
      <c r="A79" s="1868"/>
      <c r="B79" s="637"/>
      <c r="C79" s="1871"/>
      <c r="D79" s="1871"/>
      <c r="E79" s="629">
        <f t="shared" si="0"/>
        <v>0</v>
      </c>
      <c r="F79" s="639"/>
    </row>
    <row r="80" spans="1:6" ht="15" customHeight="1">
      <c r="A80" s="1868"/>
      <c r="B80" s="637"/>
      <c r="C80" s="1871"/>
      <c r="D80" s="1871"/>
      <c r="E80" s="629">
        <f t="shared" ref="E80:E143" si="1">C80-B80+D80</f>
        <v>0</v>
      </c>
      <c r="F80" s="639"/>
    </row>
    <row r="81" spans="1:6" ht="15" customHeight="1">
      <c r="A81" s="1868"/>
      <c r="B81" s="637"/>
      <c r="C81" s="1871"/>
      <c r="D81" s="1871"/>
      <c r="E81" s="629">
        <f t="shared" si="1"/>
        <v>0</v>
      </c>
      <c r="F81" s="639"/>
    </row>
    <row r="82" spans="1:6" ht="15" customHeight="1">
      <c r="A82" s="1868"/>
      <c r="B82" s="637"/>
      <c r="C82" s="1871"/>
      <c r="D82" s="1871"/>
      <c r="E82" s="629">
        <f t="shared" si="1"/>
        <v>0</v>
      </c>
      <c r="F82" s="639"/>
    </row>
    <row r="83" spans="1:6" ht="15" customHeight="1">
      <c r="A83" s="1868"/>
      <c r="B83" s="637"/>
      <c r="C83" s="1871"/>
      <c r="D83" s="1871"/>
      <c r="E83" s="629">
        <f t="shared" si="1"/>
        <v>0</v>
      </c>
      <c r="F83" s="639"/>
    </row>
    <row r="84" spans="1:6" ht="15" customHeight="1">
      <c r="A84" s="1868"/>
      <c r="B84" s="637"/>
      <c r="C84" s="1871"/>
      <c r="D84" s="1871"/>
      <c r="E84" s="629">
        <f t="shared" si="1"/>
        <v>0</v>
      </c>
      <c r="F84" s="639"/>
    </row>
    <row r="85" spans="1:6" ht="15" customHeight="1">
      <c r="A85" s="1868"/>
      <c r="B85" s="637"/>
      <c r="C85" s="1871"/>
      <c r="D85" s="1871"/>
      <c r="E85" s="629">
        <f t="shared" si="1"/>
        <v>0</v>
      </c>
      <c r="F85" s="639"/>
    </row>
    <row r="86" spans="1:6" ht="15" customHeight="1">
      <c r="A86" s="1868"/>
      <c r="B86" s="637"/>
      <c r="C86" s="1871"/>
      <c r="D86" s="1871"/>
      <c r="E86" s="629">
        <f t="shared" si="1"/>
        <v>0</v>
      </c>
      <c r="F86" s="639"/>
    </row>
    <row r="87" spans="1:6" ht="15" customHeight="1">
      <c r="A87" s="1868"/>
      <c r="B87" s="637"/>
      <c r="C87" s="1871"/>
      <c r="D87" s="1871"/>
      <c r="E87" s="629">
        <f t="shared" si="1"/>
        <v>0</v>
      </c>
      <c r="F87" s="639"/>
    </row>
    <row r="88" spans="1:6" ht="15" customHeight="1">
      <c r="A88" s="1868"/>
      <c r="B88" s="637"/>
      <c r="C88" s="1871"/>
      <c r="D88" s="1871"/>
      <c r="E88" s="629">
        <f t="shared" si="1"/>
        <v>0</v>
      </c>
      <c r="F88" s="639"/>
    </row>
    <row r="89" spans="1:6" ht="15" customHeight="1">
      <c r="A89" s="1868"/>
      <c r="B89" s="637"/>
      <c r="C89" s="1871"/>
      <c r="D89" s="1871"/>
      <c r="E89" s="629">
        <f t="shared" si="1"/>
        <v>0</v>
      </c>
      <c r="F89" s="639"/>
    </row>
    <row r="90" spans="1:6" ht="15" customHeight="1">
      <c r="A90" s="1868"/>
      <c r="B90" s="637"/>
      <c r="C90" s="1871"/>
      <c r="D90" s="1871"/>
      <c r="E90" s="629">
        <f t="shared" si="1"/>
        <v>0</v>
      </c>
      <c r="F90" s="639"/>
    </row>
    <row r="91" spans="1:6" ht="15" customHeight="1">
      <c r="A91" s="1868"/>
      <c r="B91" s="637"/>
      <c r="C91" s="1871"/>
      <c r="D91" s="1871"/>
      <c r="E91" s="629">
        <f t="shared" si="1"/>
        <v>0</v>
      </c>
      <c r="F91" s="639"/>
    </row>
    <row r="92" spans="1:6" ht="15" customHeight="1">
      <c r="A92" s="1868"/>
      <c r="B92" s="637"/>
      <c r="C92" s="1871"/>
      <c r="D92" s="1871"/>
      <c r="E92" s="629">
        <f t="shared" si="1"/>
        <v>0</v>
      </c>
      <c r="F92" s="639"/>
    </row>
    <row r="93" spans="1:6" ht="15" customHeight="1">
      <c r="A93" s="1868"/>
      <c r="B93" s="637"/>
      <c r="C93" s="1871"/>
      <c r="D93" s="1871"/>
      <c r="E93" s="629">
        <f t="shared" si="1"/>
        <v>0</v>
      </c>
      <c r="F93" s="639"/>
    </row>
    <row r="94" spans="1:6" ht="15" customHeight="1">
      <c r="A94" s="1868"/>
      <c r="B94" s="637"/>
      <c r="C94" s="1871"/>
      <c r="D94" s="1871"/>
      <c r="E94" s="629">
        <f t="shared" si="1"/>
        <v>0</v>
      </c>
      <c r="F94" s="639"/>
    </row>
    <row r="95" spans="1:6" ht="15" customHeight="1">
      <c r="A95" s="1868"/>
      <c r="B95" s="637"/>
      <c r="C95" s="1871"/>
      <c r="D95" s="1871"/>
      <c r="E95" s="629">
        <f t="shared" si="1"/>
        <v>0</v>
      </c>
      <c r="F95" s="639"/>
    </row>
    <row r="96" spans="1:6" ht="15" customHeight="1">
      <c r="A96" s="1868"/>
      <c r="B96" s="637"/>
      <c r="C96" s="1871"/>
      <c r="D96" s="1871"/>
      <c r="E96" s="629">
        <f t="shared" si="1"/>
        <v>0</v>
      </c>
      <c r="F96" s="639"/>
    </row>
    <row r="97" spans="1:6" ht="15" customHeight="1">
      <c r="A97" s="1868"/>
      <c r="B97" s="637"/>
      <c r="C97" s="1871"/>
      <c r="D97" s="1871"/>
      <c r="E97" s="629">
        <f t="shared" si="1"/>
        <v>0</v>
      </c>
      <c r="F97" s="639"/>
    </row>
    <row r="98" spans="1:6" ht="15" customHeight="1">
      <c r="A98" s="1868"/>
      <c r="B98" s="637"/>
      <c r="C98" s="1871"/>
      <c r="D98" s="1871"/>
      <c r="E98" s="629">
        <f t="shared" si="1"/>
        <v>0</v>
      </c>
      <c r="F98" s="639"/>
    </row>
    <row r="99" spans="1:6" ht="15" customHeight="1">
      <c r="A99" s="1868"/>
      <c r="B99" s="637"/>
      <c r="C99" s="1871"/>
      <c r="D99" s="1871"/>
      <c r="E99" s="629">
        <f t="shared" si="1"/>
        <v>0</v>
      </c>
      <c r="F99" s="639"/>
    </row>
    <row r="100" spans="1:6" ht="15" customHeight="1">
      <c r="A100" s="1868"/>
      <c r="B100" s="637"/>
      <c r="C100" s="1871"/>
      <c r="D100" s="1871"/>
      <c r="E100" s="629">
        <f t="shared" si="1"/>
        <v>0</v>
      </c>
      <c r="F100" s="639"/>
    </row>
    <row r="101" spans="1:6" ht="15" customHeight="1">
      <c r="A101" s="1868"/>
      <c r="B101" s="637"/>
      <c r="C101" s="1871"/>
      <c r="D101" s="1871"/>
      <c r="E101" s="629">
        <f t="shared" si="1"/>
        <v>0</v>
      </c>
      <c r="F101" s="639"/>
    </row>
    <row r="102" spans="1:6" ht="15" customHeight="1">
      <c r="A102" s="1868"/>
      <c r="B102" s="637"/>
      <c r="C102" s="1871"/>
      <c r="D102" s="1871"/>
      <c r="E102" s="629">
        <f t="shared" si="1"/>
        <v>0</v>
      </c>
      <c r="F102" s="639"/>
    </row>
    <row r="103" spans="1:6" ht="15" customHeight="1">
      <c r="A103" s="1868"/>
      <c r="B103" s="637"/>
      <c r="C103" s="1871"/>
      <c r="D103" s="1871"/>
      <c r="E103" s="629">
        <f t="shared" si="1"/>
        <v>0</v>
      </c>
      <c r="F103" s="639"/>
    </row>
    <row r="104" spans="1:6" ht="15" customHeight="1">
      <c r="A104" s="1868"/>
      <c r="B104" s="637"/>
      <c r="C104" s="1871"/>
      <c r="D104" s="1871"/>
      <c r="E104" s="629">
        <f t="shared" si="1"/>
        <v>0</v>
      </c>
      <c r="F104" s="639"/>
    </row>
    <row r="105" spans="1:6" ht="15" customHeight="1">
      <c r="A105" s="1868"/>
      <c r="B105" s="637"/>
      <c r="C105" s="1871"/>
      <c r="D105" s="1871"/>
      <c r="E105" s="629">
        <f t="shared" si="1"/>
        <v>0</v>
      </c>
      <c r="F105" s="639"/>
    </row>
    <row r="106" spans="1:6" ht="15" customHeight="1">
      <c r="A106" s="1868"/>
      <c r="B106" s="637"/>
      <c r="C106" s="1871"/>
      <c r="D106" s="1871"/>
      <c r="E106" s="629">
        <f t="shared" si="1"/>
        <v>0</v>
      </c>
      <c r="F106" s="639"/>
    </row>
    <row r="107" spans="1:6" ht="15" customHeight="1">
      <c r="A107" s="1868"/>
      <c r="B107" s="637"/>
      <c r="C107" s="1871"/>
      <c r="D107" s="1871"/>
      <c r="E107" s="629">
        <f t="shared" si="1"/>
        <v>0</v>
      </c>
      <c r="F107" s="639"/>
    </row>
    <row r="108" spans="1:6" ht="15" customHeight="1">
      <c r="A108" s="1868"/>
      <c r="B108" s="637"/>
      <c r="C108" s="1871"/>
      <c r="D108" s="1871"/>
      <c r="E108" s="629">
        <f t="shared" si="1"/>
        <v>0</v>
      </c>
      <c r="F108" s="639"/>
    </row>
    <row r="109" spans="1:6" ht="15" customHeight="1">
      <c r="A109" s="1868"/>
      <c r="B109" s="637"/>
      <c r="C109" s="1871"/>
      <c r="D109" s="1871"/>
      <c r="E109" s="629">
        <f t="shared" si="1"/>
        <v>0</v>
      </c>
      <c r="F109" s="639"/>
    </row>
    <row r="110" spans="1:6" ht="15" customHeight="1">
      <c r="A110" s="1868"/>
      <c r="B110" s="637"/>
      <c r="C110" s="1871"/>
      <c r="D110" s="1871"/>
      <c r="E110" s="629">
        <f t="shared" si="1"/>
        <v>0</v>
      </c>
      <c r="F110" s="639"/>
    </row>
    <row r="111" spans="1:6" ht="15" customHeight="1">
      <c r="A111" s="1868"/>
      <c r="B111" s="637"/>
      <c r="C111" s="1871"/>
      <c r="D111" s="1871"/>
      <c r="E111" s="629">
        <f t="shared" si="1"/>
        <v>0</v>
      </c>
      <c r="F111" s="639"/>
    </row>
    <row r="112" spans="1:6" ht="15" customHeight="1">
      <c r="A112" s="1868"/>
      <c r="B112" s="637"/>
      <c r="C112" s="1871"/>
      <c r="D112" s="1871"/>
      <c r="E112" s="629">
        <f t="shared" si="1"/>
        <v>0</v>
      </c>
      <c r="F112" s="639"/>
    </row>
    <row r="113" spans="1:6" ht="15" customHeight="1">
      <c r="A113" s="1868"/>
      <c r="B113" s="637"/>
      <c r="C113" s="1871"/>
      <c r="D113" s="1871"/>
      <c r="E113" s="629">
        <f t="shared" si="1"/>
        <v>0</v>
      </c>
      <c r="F113" s="639"/>
    </row>
    <row r="114" spans="1:6" ht="15" customHeight="1">
      <c r="A114" s="1868"/>
      <c r="B114" s="637"/>
      <c r="C114" s="1871"/>
      <c r="D114" s="1871"/>
      <c r="E114" s="629">
        <f t="shared" si="1"/>
        <v>0</v>
      </c>
      <c r="F114" s="639"/>
    </row>
    <row r="115" spans="1:6" ht="15" customHeight="1">
      <c r="A115" s="1868"/>
      <c r="B115" s="637"/>
      <c r="C115" s="1871"/>
      <c r="D115" s="1871"/>
      <c r="E115" s="629">
        <f t="shared" si="1"/>
        <v>0</v>
      </c>
      <c r="F115" s="639"/>
    </row>
    <row r="116" spans="1:6" ht="15" customHeight="1">
      <c r="A116" s="1868"/>
      <c r="B116" s="637"/>
      <c r="C116" s="1871"/>
      <c r="D116" s="1871"/>
      <c r="E116" s="629">
        <f t="shared" si="1"/>
        <v>0</v>
      </c>
      <c r="F116" s="639"/>
    </row>
    <row r="117" spans="1:6" ht="15" customHeight="1">
      <c r="A117" s="1868"/>
      <c r="B117" s="637"/>
      <c r="C117" s="1871"/>
      <c r="D117" s="1871"/>
      <c r="E117" s="629">
        <f t="shared" si="1"/>
        <v>0</v>
      </c>
      <c r="F117" s="639"/>
    </row>
    <row r="118" spans="1:6" ht="15" customHeight="1">
      <c r="A118" s="1868"/>
      <c r="B118" s="637"/>
      <c r="C118" s="1871"/>
      <c r="D118" s="1871"/>
      <c r="E118" s="629">
        <f t="shared" si="1"/>
        <v>0</v>
      </c>
      <c r="F118" s="639"/>
    </row>
    <row r="119" spans="1:6" ht="15" customHeight="1">
      <c r="A119" s="1868"/>
      <c r="B119" s="637"/>
      <c r="C119" s="1871"/>
      <c r="D119" s="1871"/>
      <c r="E119" s="629">
        <f t="shared" si="1"/>
        <v>0</v>
      </c>
      <c r="F119" s="639"/>
    </row>
    <row r="120" spans="1:6" ht="15" customHeight="1">
      <c r="A120" s="1868"/>
      <c r="B120" s="637"/>
      <c r="C120" s="1871"/>
      <c r="D120" s="1871"/>
      <c r="E120" s="629">
        <f t="shared" si="1"/>
        <v>0</v>
      </c>
      <c r="F120" s="639"/>
    </row>
    <row r="121" spans="1:6" ht="15" customHeight="1">
      <c r="A121" s="1868"/>
      <c r="B121" s="637"/>
      <c r="C121" s="1871"/>
      <c r="D121" s="1871"/>
      <c r="E121" s="629">
        <f t="shared" si="1"/>
        <v>0</v>
      </c>
      <c r="F121" s="639"/>
    </row>
    <row r="122" spans="1:6" ht="15" customHeight="1">
      <c r="A122" s="1868"/>
      <c r="B122" s="637"/>
      <c r="C122" s="1871"/>
      <c r="D122" s="1871"/>
      <c r="E122" s="629">
        <f t="shared" si="1"/>
        <v>0</v>
      </c>
      <c r="F122" s="639"/>
    </row>
    <row r="123" spans="1:6" ht="15" customHeight="1">
      <c r="A123" s="1868"/>
      <c r="B123" s="637"/>
      <c r="C123" s="1871"/>
      <c r="D123" s="1871"/>
      <c r="E123" s="629">
        <f t="shared" si="1"/>
        <v>0</v>
      </c>
      <c r="F123" s="639"/>
    </row>
    <row r="124" spans="1:6" ht="15" customHeight="1">
      <c r="A124" s="1868"/>
      <c r="B124" s="637"/>
      <c r="C124" s="1871"/>
      <c r="D124" s="1871"/>
      <c r="E124" s="629">
        <f t="shared" si="1"/>
        <v>0</v>
      </c>
      <c r="F124" s="639"/>
    </row>
    <row r="125" spans="1:6" ht="15" customHeight="1">
      <c r="A125" s="1868"/>
      <c r="B125" s="637"/>
      <c r="C125" s="1871"/>
      <c r="D125" s="1871"/>
      <c r="E125" s="629">
        <f t="shared" si="1"/>
        <v>0</v>
      </c>
      <c r="F125" s="639"/>
    </row>
    <row r="126" spans="1:6" ht="15" customHeight="1">
      <c r="A126" s="1868"/>
      <c r="B126" s="637"/>
      <c r="C126" s="1871"/>
      <c r="D126" s="1871"/>
      <c r="E126" s="629">
        <f t="shared" si="1"/>
        <v>0</v>
      </c>
      <c r="F126" s="639"/>
    </row>
    <row r="127" spans="1:6" ht="15" customHeight="1">
      <c r="A127" s="1868"/>
      <c r="B127" s="637"/>
      <c r="C127" s="1871"/>
      <c r="D127" s="1871"/>
      <c r="E127" s="629">
        <f t="shared" si="1"/>
        <v>0</v>
      </c>
      <c r="F127" s="639"/>
    </row>
    <row r="128" spans="1:6" ht="15" customHeight="1">
      <c r="A128" s="1868"/>
      <c r="B128" s="637"/>
      <c r="C128" s="1871"/>
      <c r="D128" s="1871"/>
      <c r="E128" s="629">
        <f t="shared" si="1"/>
        <v>0</v>
      </c>
      <c r="F128" s="639"/>
    </row>
    <row r="129" spans="1:6" ht="15" customHeight="1">
      <c r="A129" s="1868"/>
      <c r="B129" s="637"/>
      <c r="C129" s="1871"/>
      <c r="D129" s="1871"/>
      <c r="E129" s="629">
        <f t="shared" si="1"/>
        <v>0</v>
      </c>
      <c r="F129" s="639"/>
    </row>
    <row r="130" spans="1:6" ht="15" customHeight="1">
      <c r="A130" s="1868"/>
      <c r="B130" s="637"/>
      <c r="C130" s="1871"/>
      <c r="D130" s="1871"/>
      <c r="E130" s="629">
        <f t="shared" si="1"/>
        <v>0</v>
      </c>
      <c r="F130" s="639"/>
    </row>
    <row r="131" spans="1:6" ht="15" customHeight="1">
      <c r="A131" s="1868"/>
      <c r="B131" s="637"/>
      <c r="C131" s="1871"/>
      <c r="D131" s="1871"/>
      <c r="E131" s="629">
        <f t="shared" si="1"/>
        <v>0</v>
      </c>
      <c r="F131" s="639"/>
    </row>
    <row r="132" spans="1:6" ht="15" customHeight="1">
      <c r="A132" s="1868"/>
      <c r="B132" s="637"/>
      <c r="C132" s="1871"/>
      <c r="D132" s="1871"/>
      <c r="E132" s="629">
        <f t="shared" si="1"/>
        <v>0</v>
      </c>
      <c r="F132" s="639"/>
    </row>
    <row r="133" spans="1:6" ht="15" customHeight="1">
      <c r="A133" s="1868"/>
      <c r="B133" s="637"/>
      <c r="C133" s="1871"/>
      <c r="D133" s="1871"/>
      <c r="E133" s="629">
        <f t="shared" si="1"/>
        <v>0</v>
      </c>
      <c r="F133" s="639"/>
    </row>
    <row r="134" spans="1:6" ht="15" customHeight="1">
      <c r="A134" s="1868"/>
      <c r="B134" s="637"/>
      <c r="C134" s="1871"/>
      <c r="D134" s="1871"/>
      <c r="E134" s="629">
        <f t="shared" si="1"/>
        <v>0</v>
      </c>
      <c r="F134" s="639"/>
    </row>
    <row r="135" spans="1:6" ht="15" customHeight="1">
      <c r="A135" s="1868"/>
      <c r="B135" s="637"/>
      <c r="C135" s="1871"/>
      <c r="D135" s="1871"/>
      <c r="E135" s="629">
        <f t="shared" si="1"/>
        <v>0</v>
      </c>
      <c r="F135" s="639"/>
    </row>
    <row r="136" spans="1:6" ht="15" customHeight="1">
      <c r="A136" s="1868"/>
      <c r="B136" s="637"/>
      <c r="C136" s="1871"/>
      <c r="D136" s="1871"/>
      <c r="E136" s="629">
        <f t="shared" si="1"/>
        <v>0</v>
      </c>
      <c r="F136" s="639"/>
    </row>
    <row r="137" spans="1:6" ht="15" customHeight="1">
      <c r="A137" s="1868"/>
      <c r="B137" s="637"/>
      <c r="C137" s="1871"/>
      <c r="D137" s="1871"/>
      <c r="E137" s="629">
        <f t="shared" si="1"/>
        <v>0</v>
      </c>
      <c r="F137" s="639"/>
    </row>
    <row r="138" spans="1:6" ht="15" customHeight="1">
      <c r="A138" s="1868"/>
      <c r="B138" s="637"/>
      <c r="C138" s="1871"/>
      <c r="D138" s="1871"/>
      <c r="E138" s="629">
        <f t="shared" si="1"/>
        <v>0</v>
      </c>
      <c r="F138" s="639"/>
    </row>
    <row r="139" spans="1:6" ht="15" customHeight="1">
      <c r="A139" s="1868"/>
      <c r="B139" s="637"/>
      <c r="C139" s="1871"/>
      <c r="D139" s="1871"/>
      <c r="E139" s="629">
        <f t="shared" si="1"/>
        <v>0</v>
      </c>
      <c r="F139" s="639"/>
    </row>
    <row r="140" spans="1:6" ht="15" customHeight="1">
      <c r="A140" s="1868"/>
      <c r="B140" s="637"/>
      <c r="C140" s="1871"/>
      <c r="D140" s="1871"/>
      <c r="E140" s="629">
        <f t="shared" si="1"/>
        <v>0</v>
      </c>
      <c r="F140" s="639"/>
    </row>
    <row r="141" spans="1:6" ht="15" customHeight="1">
      <c r="A141" s="1868"/>
      <c r="B141" s="637"/>
      <c r="C141" s="1871"/>
      <c r="D141" s="1871"/>
      <c r="E141" s="629">
        <f t="shared" si="1"/>
        <v>0</v>
      </c>
      <c r="F141" s="639"/>
    </row>
    <row r="142" spans="1:6" ht="15" customHeight="1">
      <c r="A142" s="1868"/>
      <c r="B142" s="637"/>
      <c r="C142" s="1871"/>
      <c r="D142" s="1871"/>
      <c r="E142" s="629">
        <f t="shared" si="1"/>
        <v>0</v>
      </c>
      <c r="F142" s="639"/>
    </row>
    <row r="143" spans="1:6" ht="15" customHeight="1">
      <c r="A143" s="1868"/>
      <c r="B143" s="637"/>
      <c r="C143" s="1871"/>
      <c r="D143" s="1871"/>
      <c r="E143" s="629">
        <f t="shared" si="1"/>
        <v>0</v>
      </c>
      <c r="F143" s="639"/>
    </row>
    <row r="144" spans="1:6" ht="15" customHeight="1">
      <c r="A144" s="1868"/>
      <c r="B144" s="637"/>
      <c r="C144" s="1871"/>
      <c r="D144" s="1871"/>
      <c r="E144" s="629">
        <f t="shared" ref="E144:E207" si="2">C144-B144+D144</f>
        <v>0</v>
      </c>
      <c r="F144" s="639"/>
    </row>
    <row r="145" spans="1:6" ht="15" customHeight="1">
      <c r="A145" s="1868"/>
      <c r="B145" s="637"/>
      <c r="C145" s="1871"/>
      <c r="D145" s="1871"/>
      <c r="E145" s="629">
        <f t="shared" si="2"/>
        <v>0</v>
      </c>
      <c r="F145" s="639"/>
    </row>
    <row r="146" spans="1:6" ht="15" customHeight="1">
      <c r="A146" s="1868"/>
      <c r="B146" s="637"/>
      <c r="C146" s="1871"/>
      <c r="D146" s="1871"/>
      <c r="E146" s="629">
        <f t="shared" si="2"/>
        <v>0</v>
      </c>
      <c r="F146" s="639"/>
    </row>
    <row r="147" spans="1:6" ht="15" customHeight="1">
      <c r="A147" s="1868"/>
      <c r="B147" s="637"/>
      <c r="C147" s="1871"/>
      <c r="D147" s="1871"/>
      <c r="E147" s="629">
        <f t="shared" si="2"/>
        <v>0</v>
      </c>
      <c r="F147" s="639"/>
    </row>
    <row r="148" spans="1:6" ht="15" customHeight="1">
      <c r="A148" s="1868"/>
      <c r="B148" s="637"/>
      <c r="C148" s="1871"/>
      <c r="D148" s="1871"/>
      <c r="E148" s="629">
        <f t="shared" si="2"/>
        <v>0</v>
      </c>
      <c r="F148" s="639"/>
    </row>
    <row r="149" spans="1:6" ht="15" customHeight="1">
      <c r="A149" s="1868"/>
      <c r="B149" s="637"/>
      <c r="C149" s="1871"/>
      <c r="D149" s="1871"/>
      <c r="E149" s="629">
        <f t="shared" si="2"/>
        <v>0</v>
      </c>
      <c r="F149" s="639"/>
    </row>
    <row r="150" spans="1:6" ht="15" customHeight="1">
      <c r="A150" s="1868"/>
      <c r="B150" s="637"/>
      <c r="C150" s="1871"/>
      <c r="D150" s="1871"/>
      <c r="E150" s="629">
        <f t="shared" si="2"/>
        <v>0</v>
      </c>
      <c r="F150" s="639"/>
    </row>
    <row r="151" spans="1:6" ht="15" customHeight="1">
      <c r="A151" s="1868"/>
      <c r="B151" s="637"/>
      <c r="C151" s="1871"/>
      <c r="D151" s="1871"/>
      <c r="E151" s="629">
        <f t="shared" si="2"/>
        <v>0</v>
      </c>
      <c r="F151" s="639"/>
    </row>
    <row r="152" spans="1:6" ht="15" customHeight="1">
      <c r="A152" s="1868"/>
      <c r="B152" s="637"/>
      <c r="C152" s="1871"/>
      <c r="D152" s="1871"/>
      <c r="E152" s="629">
        <f t="shared" si="2"/>
        <v>0</v>
      </c>
      <c r="F152" s="639"/>
    </row>
    <row r="153" spans="1:6" ht="15" customHeight="1">
      <c r="A153" s="1868"/>
      <c r="B153" s="637"/>
      <c r="C153" s="1871"/>
      <c r="D153" s="1871"/>
      <c r="E153" s="629">
        <f t="shared" si="2"/>
        <v>0</v>
      </c>
      <c r="F153" s="639"/>
    </row>
    <row r="154" spans="1:6" ht="15" customHeight="1">
      <c r="A154" s="1868"/>
      <c r="B154" s="637"/>
      <c r="C154" s="1871"/>
      <c r="D154" s="1871"/>
      <c r="E154" s="629">
        <f t="shared" si="2"/>
        <v>0</v>
      </c>
      <c r="F154" s="639"/>
    </row>
    <row r="155" spans="1:6" ht="15" customHeight="1">
      <c r="A155" s="1868"/>
      <c r="B155" s="637"/>
      <c r="C155" s="1871"/>
      <c r="D155" s="1871"/>
      <c r="E155" s="629">
        <f t="shared" si="2"/>
        <v>0</v>
      </c>
      <c r="F155" s="639"/>
    </row>
    <row r="156" spans="1:6" ht="15" customHeight="1">
      <c r="A156" s="1868"/>
      <c r="B156" s="637"/>
      <c r="C156" s="1871"/>
      <c r="D156" s="1871"/>
      <c r="E156" s="629">
        <f t="shared" si="2"/>
        <v>0</v>
      </c>
      <c r="F156" s="639"/>
    </row>
    <row r="157" spans="1:6" ht="15" customHeight="1">
      <c r="A157" s="1868"/>
      <c r="B157" s="637"/>
      <c r="C157" s="1871"/>
      <c r="D157" s="1871"/>
      <c r="E157" s="629">
        <f t="shared" si="2"/>
        <v>0</v>
      </c>
      <c r="F157" s="639"/>
    </row>
    <row r="158" spans="1:6" ht="15" customHeight="1">
      <c r="A158" s="1868"/>
      <c r="B158" s="637"/>
      <c r="C158" s="1871"/>
      <c r="D158" s="1871"/>
      <c r="E158" s="629">
        <f t="shared" si="2"/>
        <v>0</v>
      </c>
      <c r="F158" s="639"/>
    </row>
    <row r="159" spans="1:6" ht="15" customHeight="1">
      <c r="A159" s="1868"/>
      <c r="B159" s="637"/>
      <c r="C159" s="1871"/>
      <c r="D159" s="1871"/>
      <c r="E159" s="629">
        <f t="shared" si="2"/>
        <v>0</v>
      </c>
      <c r="F159" s="639"/>
    </row>
    <row r="160" spans="1:6" ht="15" customHeight="1">
      <c r="A160" s="1868"/>
      <c r="B160" s="637"/>
      <c r="C160" s="1871"/>
      <c r="D160" s="1871"/>
      <c r="E160" s="629">
        <f t="shared" si="2"/>
        <v>0</v>
      </c>
      <c r="F160" s="639"/>
    </row>
    <row r="161" spans="1:6" ht="15" customHeight="1">
      <c r="A161" s="1868"/>
      <c r="B161" s="637"/>
      <c r="C161" s="1871"/>
      <c r="D161" s="1871"/>
      <c r="E161" s="629">
        <f t="shared" si="2"/>
        <v>0</v>
      </c>
      <c r="F161" s="639"/>
    </row>
    <row r="162" spans="1:6" ht="15" customHeight="1">
      <c r="A162" s="1868"/>
      <c r="B162" s="637"/>
      <c r="C162" s="1871"/>
      <c r="D162" s="1871"/>
      <c r="E162" s="629">
        <f t="shared" si="2"/>
        <v>0</v>
      </c>
      <c r="F162" s="639"/>
    </row>
    <row r="163" spans="1:6" ht="15" customHeight="1">
      <c r="A163" s="1868"/>
      <c r="B163" s="637"/>
      <c r="C163" s="1871"/>
      <c r="D163" s="1871"/>
      <c r="E163" s="629">
        <f t="shared" si="2"/>
        <v>0</v>
      </c>
      <c r="F163" s="639"/>
    </row>
    <row r="164" spans="1:6" ht="15" customHeight="1">
      <c r="A164" s="1868"/>
      <c r="B164" s="637"/>
      <c r="C164" s="1871"/>
      <c r="D164" s="1871"/>
      <c r="E164" s="629">
        <f t="shared" si="2"/>
        <v>0</v>
      </c>
      <c r="F164" s="639"/>
    </row>
    <row r="165" spans="1:6" ht="15" customHeight="1">
      <c r="A165" s="1868"/>
      <c r="B165" s="637"/>
      <c r="C165" s="1871"/>
      <c r="D165" s="1871"/>
      <c r="E165" s="629">
        <f t="shared" si="2"/>
        <v>0</v>
      </c>
      <c r="F165" s="639"/>
    </row>
    <row r="166" spans="1:6" ht="15" customHeight="1">
      <c r="A166" s="1868"/>
      <c r="B166" s="637"/>
      <c r="C166" s="1871"/>
      <c r="D166" s="1871"/>
      <c r="E166" s="629">
        <f t="shared" si="2"/>
        <v>0</v>
      </c>
      <c r="F166" s="639"/>
    </row>
    <row r="167" spans="1:6" ht="15" customHeight="1">
      <c r="A167" s="1868"/>
      <c r="B167" s="637"/>
      <c r="C167" s="1871"/>
      <c r="D167" s="1871"/>
      <c r="E167" s="629">
        <f t="shared" si="2"/>
        <v>0</v>
      </c>
      <c r="F167" s="639"/>
    </row>
    <row r="168" spans="1:6" ht="15" customHeight="1">
      <c r="A168" s="1868"/>
      <c r="B168" s="637"/>
      <c r="C168" s="1871"/>
      <c r="D168" s="1871"/>
      <c r="E168" s="629">
        <f t="shared" si="2"/>
        <v>0</v>
      </c>
      <c r="F168" s="639"/>
    </row>
    <row r="169" spans="1:6" ht="15" customHeight="1">
      <c r="A169" s="1868"/>
      <c r="B169" s="637"/>
      <c r="C169" s="1871"/>
      <c r="D169" s="1871"/>
      <c r="E169" s="629">
        <f t="shared" si="2"/>
        <v>0</v>
      </c>
      <c r="F169" s="639"/>
    </row>
    <row r="170" spans="1:6" ht="15" customHeight="1">
      <c r="A170" s="1868"/>
      <c r="B170" s="637"/>
      <c r="C170" s="1871"/>
      <c r="D170" s="1871"/>
      <c r="E170" s="629">
        <f t="shared" si="2"/>
        <v>0</v>
      </c>
      <c r="F170" s="639"/>
    </row>
    <row r="171" spans="1:6" ht="15" customHeight="1">
      <c r="A171" s="1868"/>
      <c r="B171" s="637"/>
      <c r="C171" s="1871"/>
      <c r="D171" s="1871"/>
      <c r="E171" s="629">
        <f t="shared" si="2"/>
        <v>0</v>
      </c>
      <c r="F171" s="639"/>
    </row>
    <row r="172" spans="1:6" ht="15" customHeight="1">
      <c r="A172" s="1868"/>
      <c r="B172" s="637"/>
      <c r="C172" s="1871"/>
      <c r="D172" s="1871"/>
      <c r="E172" s="629">
        <f t="shared" si="2"/>
        <v>0</v>
      </c>
      <c r="F172" s="639"/>
    </row>
    <row r="173" spans="1:6" ht="15" customHeight="1">
      <c r="A173" s="1868"/>
      <c r="B173" s="637"/>
      <c r="C173" s="1871"/>
      <c r="D173" s="1871"/>
      <c r="E173" s="629">
        <f t="shared" si="2"/>
        <v>0</v>
      </c>
      <c r="F173" s="639"/>
    </row>
    <row r="174" spans="1:6" ht="15" customHeight="1">
      <c r="A174" s="1868"/>
      <c r="B174" s="637"/>
      <c r="C174" s="1871"/>
      <c r="D174" s="1871"/>
      <c r="E174" s="629">
        <f t="shared" si="2"/>
        <v>0</v>
      </c>
      <c r="F174" s="639"/>
    </row>
    <row r="175" spans="1:6" ht="15" customHeight="1">
      <c r="A175" s="1868"/>
      <c r="B175" s="637"/>
      <c r="C175" s="1871"/>
      <c r="D175" s="1871"/>
      <c r="E175" s="629">
        <f t="shared" si="2"/>
        <v>0</v>
      </c>
      <c r="F175" s="639"/>
    </row>
    <row r="176" spans="1:6" ht="15" customHeight="1">
      <c r="A176" s="1868"/>
      <c r="B176" s="637"/>
      <c r="C176" s="1871"/>
      <c r="D176" s="1871"/>
      <c r="E176" s="629">
        <f t="shared" si="2"/>
        <v>0</v>
      </c>
      <c r="F176" s="639"/>
    </row>
    <row r="177" spans="1:6" ht="15" customHeight="1">
      <c r="A177" s="1868"/>
      <c r="B177" s="637"/>
      <c r="C177" s="1871"/>
      <c r="D177" s="1871"/>
      <c r="E177" s="629">
        <f t="shared" si="2"/>
        <v>0</v>
      </c>
      <c r="F177" s="639"/>
    </row>
    <row r="178" spans="1:6" ht="15" customHeight="1">
      <c r="A178" s="1868"/>
      <c r="B178" s="637"/>
      <c r="C178" s="1871"/>
      <c r="D178" s="1871"/>
      <c r="E178" s="629">
        <f t="shared" si="2"/>
        <v>0</v>
      </c>
      <c r="F178" s="639"/>
    </row>
    <row r="179" spans="1:6" ht="15" customHeight="1">
      <c r="A179" s="1868"/>
      <c r="B179" s="637"/>
      <c r="C179" s="1871"/>
      <c r="D179" s="1871"/>
      <c r="E179" s="629">
        <f t="shared" si="2"/>
        <v>0</v>
      </c>
      <c r="F179" s="639"/>
    </row>
    <row r="180" spans="1:6" ht="15" customHeight="1">
      <c r="A180" s="1868"/>
      <c r="B180" s="637"/>
      <c r="C180" s="1871"/>
      <c r="D180" s="1871"/>
      <c r="E180" s="629">
        <f t="shared" si="2"/>
        <v>0</v>
      </c>
      <c r="F180" s="639"/>
    </row>
    <row r="181" spans="1:6" ht="15" customHeight="1">
      <c r="A181" s="1868"/>
      <c r="B181" s="637"/>
      <c r="C181" s="1871"/>
      <c r="D181" s="1871"/>
      <c r="E181" s="629">
        <f t="shared" si="2"/>
        <v>0</v>
      </c>
      <c r="F181" s="639"/>
    </row>
    <row r="182" spans="1:6" ht="15" customHeight="1">
      <c r="A182" s="1868"/>
      <c r="B182" s="637"/>
      <c r="C182" s="1871"/>
      <c r="D182" s="1871"/>
      <c r="E182" s="629">
        <f t="shared" si="2"/>
        <v>0</v>
      </c>
      <c r="F182" s="639"/>
    </row>
    <row r="183" spans="1:6" ht="15" customHeight="1">
      <c r="A183" s="1868"/>
      <c r="B183" s="637"/>
      <c r="C183" s="1871"/>
      <c r="D183" s="1871"/>
      <c r="E183" s="629">
        <f t="shared" si="2"/>
        <v>0</v>
      </c>
      <c r="F183" s="639"/>
    </row>
    <row r="184" spans="1:6" ht="15" customHeight="1">
      <c r="A184" s="1868"/>
      <c r="B184" s="637"/>
      <c r="C184" s="1871"/>
      <c r="D184" s="1871"/>
      <c r="E184" s="629">
        <f t="shared" si="2"/>
        <v>0</v>
      </c>
      <c r="F184" s="639"/>
    </row>
    <row r="185" spans="1:6" ht="15" customHeight="1">
      <c r="A185" s="1868"/>
      <c r="B185" s="637"/>
      <c r="C185" s="1871"/>
      <c r="D185" s="1871"/>
      <c r="E185" s="629">
        <f t="shared" si="2"/>
        <v>0</v>
      </c>
      <c r="F185" s="639"/>
    </row>
    <row r="186" spans="1:6" ht="15" customHeight="1">
      <c r="A186" s="1868"/>
      <c r="B186" s="637"/>
      <c r="C186" s="1871"/>
      <c r="D186" s="1871"/>
      <c r="E186" s="629">
        <f t="shared" si="2"/>
        <v>0</v>
      </c>
      <c r="F186" s="639"/>
    </row>
    <row r="187" spans="1:6" ht="15" customHeight="1">
      <c r="A187" s="1868"/>
      <c r="B187" s="637"/>
      <c r="C187" s="1871"/>
      <c r="D187" s="1871"/>
      <c r="E187" s="629">
        <f t="shared" si="2"/>
        <v>0</v>
      </c>
      <c r="F187" s="639"/>
    </row>
    <row r="188" spans="1:6" ht="15" customHeight="1">
      <c r="A188" s="1868"/>
      <c r="B188" s="637"/>
      <c r="C188" s="1871"/>
      <c r="D188" s="1871"/>
      <c r="E188" s="629">
        <f t="shared" si="2"/>
        <v>0</v>
      </c>
      <c r="F188" s="639"/>
    </row>
    <row r="189" spans="1:6" ht="15" customHeight="1">
      <c r="A189" s="1868"/>
      <c r="B189" s="637"/>
      <c r="C189" s="1871"/>
      <c r="D189" s="1871"/>
      <c r="E189" s="629">
        <f t="shared" si="2"/>
        <v>0</v>
      </c>
      <c r="F189" s="639"/>
    </row>
    <row r="190" spans="1:6" ht="15" customHeight="1">
      <c r="A190" s="1868"/>
      <c r="B190" s="637"/>
      <c r="C190" s="1871"/>
      <c r="D190" s="1871"/>
      <c r="E190" s="629">
        <f t="shared" si="2"/>
        <v>0</v>
      </c>
      <c r="F190" s="639"/>
    </row>
    <row r="191" spans="1:6" ht="15" customHeight="1">
      <c r="A191" s="1868"/>
      <c r="B191" s="637"/>
      <c r="C191" s="1871"/>
      <c r="D191" s="1871"/>
      <c r="E191" s="629">
        <f t="shared" si="2"/>
        <v>0</v>
      </c>
      <c r="F191" s="639"/>
    </row>
    <row r="192" spans="1:6" ht="15" customHeight="1">
      <c r="A192" s="1868"/>
      <c r="B192" s="637"/>
      <c r="C192" s="1871"/>
      <c r="D192" s="1871"/>
      <c r="E192" s="629">
        <f t="shared" si="2"/>
        <v>0</v>
      </c>
      <c r="F192" s="639"/>
    </row>
    <row r="193" spans="1:6" ht="15" customHeight="1">
      <c r="A193" s="1868"/>
      <c r="B193" s="637"/>
      <c r="C193" s="1871"/>
      <c r="D193" s="1871"/>
      <c r="E193" s="629">
        <f t="shared" si="2"/>
        <v>0</v>
      </c>
      <c r="F193" s="639"/>
    </row>
    <row r="194" spans="1:6" ht="15" customHeight="1">
      <c r="A194" s="1868"/>
      <c r="B194" s="637"/>
      <c r="C194" s="1871"/>
      <c r="D194" s="1871"/>
      <c r="E194" s="629">
        <f t="shared" si="2"/>
        <v>0</v>
      </c>
      <c r="F194" s="639"/>
    </row>
    <row r="195" spans="1:6" ht="15" customHeight="1">
      <c r="A195" s="1868"/>
      <c r="B195" s="637"/>
      <c r="C195" s="1871"/>
      <c r="D195" s="1871"/>
      <c r="E195" s="629">
        <f t="shared" si="2"/>
        <v>0</v>
      </c>
      <c r="F195" s="639"/>
    </row>
    <row r="196" spans="1:6" ht="15" customHeight="1">
      <c r="A196" s="1868"/>
      <c r="B196" s="637"/>
      <c r="C196" s="1871"/>
      <c r="D196" s="1871"/>
      <c r="E196" s="629">
        <f t="shared" si="2"/>
        <v>0</v>
      </c>
      <c r="F196" s="639"/>
    </row>
    <row r="197" spans="1:6" ht="15" customHeight="1">
      <c r="A197" s="1868"/>
      <c r="B197" s="637"/>
      <c r="C197" s="1871"/>
      <c r="D197" s="1871"/>
      <c r="E197" s="629">
        <f t="shared" si="2"/>
        <v>0</v>
      </c>
      <c r="F197" s="639"/>
    </row>
    <row r="198" spans="1:6" ht="15" customHeight="1">
      <c r="A198" s="1868"/>
      <c r="B198" s="637"/>
      <c r="C198" s="1871"/>
      <c r="D198" s="1871"/>
      <c r="E198" s="629">
        <f t="shared" si="2"/>
        <v>0</v>
      </c>
      <c r="F198" s="639"/>
    </row>
    <row r="199" spans="1:6" ht="15" customHeight="1">
      <c r="A199" s="1868"/>
      <c r="B199" s="637"/>
      <c r="C199" s="1871"/>
      <c r="D199" s="1871"/>
      <c r="E199" s="629">
        <f t="shared" si="2"/>
        <v>0</v>
      </c>
      <c r="F199" s="639"/>
    </row>
    <row r="200" spans="1:6" ht="15" customHeight="1">
      <c r="A200" s="1868"/>
      <c r="B200" s="637"/>
      <c r="C200" s="1871"/>
      <c r="D200" s="1871"/>
      <c r="E200" s="629">
        <f t="shared" si="2"/>
        <v>0</v>
      </c>
      <c r="F200" s="639"/>
    </row>
    <row r="201" spans="1:6" ht="15" customHeight="1">
      <c r="A201" s="1868"/>
      <c r="B201" s="637"/>
      <c r="C201" s="1871"/>
      <c r="D201" s="1871"/>
      <c r="E201" s="629">
        <f t="shared" si="2"/>
        <v>0</v>
      </c>
      <c r="F201" s="639"/>
    </row>
    <row r="202" spans="1:6" ht="15" customHeight="1">
      <c r="A202" s="1868"/>
      <c r="B202" s="637"/>
      <c r="C202" s="1871"/>
      <c r="D202" s="1871"/>
      <c r="E202" s="629">
        <f t="shared" si="2"/>
        <v>0</v>
      </c>
      <c r="F202" s="639"/>
    </row>
    <row r="203" spans="1:6" ht="15" customHeight="1">
      <c r="A203" s="1868"/>
      <c r="B203" s="637"/>
      <c r="C203" s="1871"/>
      <c r="D203" s="1871"/>
      <c r="E203" s="629">
        <f t="shared" si="2"/>
        <v>0</v>
      </c>
      <c r="F203" s="639"/>
    </row>
    <row r="204" spans="1:6" ht="15" customHeight="1">
      <c r="A204" s="1868"/>
      <c r="B204" s="637"/>
      <c r="C204" s="1871"/>
      <c r="D204" s="1871"/>
      <c r="E204" s="629">
        <f t="shared" si="2"/>
        <v>0</v>
      </c>
      <c r="F204" s="639"/>
    </row>
    <row r="205" spans="1:6" ht="15" customHeight="1">
      <c r="A205" s="1868"/>
      <c r="B205" s="637"/>
      <c r="C205" s="1871"/>
      <c r="D205" s="1871"/>
      <c r="E205" s="629">
        <f t="shared" si="2"/>
        <v>0</v>
      </c>
      <c r="F205" s="639"/>
    </row>
    <row r="206" spans="1:6" ht="15" customHeight="1">
      <c r="A206" s="1868"/>
      <c r="B206" s="637"/>
      <c r="C206" s="1871"/>
      <c r="D206" s="1871"/>
      <c r="E206" s="629">
        <f t="shared" si="2"/>
        <v>0</v>
      </c>
      <c r="F206" s="639"/>
    </row>
    <row r="207" spans="1:6" ht="15" customHeight="1">
      <c r="A207" s="1868"/>
      <c r="B207" s="637"/>
      <c r="C207" s="1871"/>
      <c r="D207" s="1871"/>
      <c r="E207" s="629">
        <f t="shared" si="2"/>
        <v>0</v>
      </c>
      <c r="F207" s="639"/>
    </row>
    <row r="208" spans="1:6" ht="15" customHeight="1">
      <c r="A208" s="1868"/>
      <c r="B208" s="637"/>
      <c r="C208" s="1871"/>
      <c r="D208" s="1871"/>
      <c r="E208" s="629">
        <f t="shared" ref="E208:E271" si="3">C208-B208+D208</f>
        <v>0</v>
      </c>
      <c r="F208" s="639"/>
    </row>
    <row r="209" spans="1:6" ht="15" customHeight="1">
      <c r="A209" s="1868"/>
      <c r="B209" s="637"/>
      <c r="C209" s="1871"/>
      <c r="D209" s="1871"/>
      <c r="E209" s="629">
        <f t="shared" si="3"/>
        <v>0</v>
      </c>
      <c r="F209" s="639"/>
    </row>
    <row r="210" spans="1:6" ht="15" customHeight="1">
      <c r="A210" s="1868"/>
      <c r="B210" s="637"/>
      <c r="C210" s="1871"/>
      <c r="D210" s="1871"/>
      <c r="E210" s="629">
        <f t="shared" si="3"/>
        <v>0</v>
      </c>
      <c r="F210" s="639"/>
    </row>
    <row r="211" spans="1:6" ht="15" customHeight="1">
      <c r="A211" s="1868"/>
      <c r="B211" s="637"/>
      <c r="C211" s="1871"/>
      <c r="D211" s="1871"/>
      <c r="E211" s="629">
        <f t="shared" si="3"/>
        <v>0</v>
      </c>
      <c r="F211" s="639"/>
    </row>
    <row r="212" spans="1:6" ht="15" customHeight="1">
      <c r="A212" s="1868"/>
      <c r="B212" s="637"/>
      <c r="C212" s="1871"/>
      <c r="D212" s="1871"/>
      <c r="E212" s="629">
        <f t="shared" si="3"/>
        <v>0</v>
      </c>
      <c r="F212" s="639"/>
    </row>
    <row r="213" spans="1:6" ht="15" customHeight="1">
      <c r="A213" s="1868"/>
      <c r="B213" s="637"/>
      <c r="C213" s="1871"/>
      <c r="D213" s="1871"/>
      <c r="E213" s="629">
        <f t="shared" si="3"/>
        <v>0</v>
      </c>
      <c r="F213" s="639"/>
    </row>
    <row r="214" spans="1:6" ht="15" customHeight="1">
      <c r="A214" s="1868"/>
      <c r="B214" s="637"/>
      <c r="C214" s="1871"/>
      <c r="D214" s="1871"/>
      <c r="E214" s="629">
        <f t="shared" si="3"/>
        <v>0</v>
      </c>
      <c r="F214" s="639"/>
    </row>
    <row r="215" spans="1:6" ht="15" customHeight="1">
      <c r="A215" s="1868"/>
      <c r="B215" s="637"/>
      <c r="C215" s="1871"/>
      <c r="D215" s="1871"/>
      <c r="E215" s="629">
        <f t="shared" si="3"/>
        <v>0</v>
      </c>
      <c r="F215" s="639"/>
    </row>
    <row r="216" spans="1:6" ht="15" customHeight="1">
      <c r="A216" s="1868"/>
      <c r="B216" s="637"/>
      <c r="C216" s="1871"/>
      <c r="D216" s="1871"/>
      <c r="E216" s="629">
        <f t="shared" si="3"/>
        <v>0</v>
      </c>
      <c r="F216" s="639"/>
    </row>
    <row r="217" spans="1:6" ht="15" customHeight="1">
      <c r="A217" s="1868"/>
      <c r="B217" s="637"/>
      <c r="C217" s="1871"/>
      <c r="D217" s="1871"/>
      <c r="E217" s="629">
        <f t="shared" si="3"/>
        <v>0</v>
      </c>
      <c r="F217" s="639"/>
    </row>
    <row r="218" spans="1:6" ht="15" customHeight="1">
      <c r="A218" s="1868"/>
      <c r="B218" s="637"/>
      <c r="C218" s="1871"/>
      <c r="D218" s="1871"/>
      <c r="E218" s="629">
        <f t="shared" si="3"/>
        <v>0</v>
      </c>
      <c r="F218" s="639"/>
    </row>
    <row r="219" spans="1:6" ht="15" customHeight="1">
      <c r="A219" s="1868"/>
      <c r="B219" s="637"/>
      <c r="C219" s="1871"/>
      <c r="D219" s="1871"/>
      <c r="E219" s="629">
        <f t="shared" si="3"/>
        <v>0</v>
      </c>
      <c r="F219" s="639"/>
    </row>
    <row r="220" spans="1:6" ht="15" customHeight="1">
      <c r="A220" s="1868"/>
      <c r="B220" s="637"/>
      <c r="C220" s="1871"/>
      <c r="D220" s="1871"/>
      <c r="E220" s="629">
        <f t="shared" si="3"/>
        <v>0</v>
      </c>
      <c r="F220" s="639"/>
    </row>
    <row r="221" spans="1:6" ht="15" customHeight="1">
      <c r="A221" s="1868"/>
      <c r="B221" s="637"/>
      <c r="C221" s="1871"/>
      <c r="D221" s="1871"/>
      <c r="E221" s="629">
        <f t="shared" si="3"/>
        <v>0</v>
      </c>
      <c r="F221" s="639"/>
    </row>
    <row r="222" spans="1:6" ht="15" customHeight="1">
      <c r="A222" s="1868"/>
      <c r="B222" s="637"/>
      <c r="C222" s="1871"/>
      <c r="D222" s="1871"/>
      <c r="E222" s="629">
        <f t="shared" si="3"/>
        <v>0</v>
      </c>
      <c r="F222" s="639"/>
    </row>
    <row r="223" spans="1:6" ht="15" customHeight="1">
      <c r="A223" s="1868"/>
      <c r="B223" s="637"/>
      <c r="C223" s="1871"/>
      <c r="D223" s="1871"/>
      <c r="E223" s="629">
        <f t="shared" si="3"/>
        <v>0</v>
      </c>
      <c r="F223" s="639"/>
    </row>
    <row r="224" spans="1:6" ht="15" customHeight="1">
      <c r="A224" s="1868"/>
      <c r="B224" s="637"/>
      <c r="C224" s="1871"/>
      <c r="D224" s="1871"/>
      <c r="E224" s="629">
        <f t="shared" si="3"/>
        <v>0</v>
      </c>
      <c r="F224" s="639"/>
    </row>
    <row r="225" spans="1:6" ht="15" customHeight="1">
      <c r="A225" s="1868"/>
      <c r="B225" s="637"/>
      <c r="C225" s="1871"/>
      <c r="D225" s="1871"/>
      <c r="E225" s="629">
        <f t="shared" si="3"/>
        <v>0</v>
      </c>
      <c r="F225" s="639"/>
    </row>
    <row r="226" spans="1:6" ht="15" customHeight="1">
      <c r="A226" s="1868"/>
      <c r="B226" s="637"/>
      <c r="C226" s="1871"/>
      <c r="D226" s="1871"/>
      <c r="E226" s="629">
        <f t="shared" si="3"/>
        <v>0</v>
      </c>
      <c r="F226" s="639"/>
    </row>
    <row r="227" spans="1:6" ht="15" customHeight="1">
      <c r="A227" s="1868"/>
      <c r="B227" s="637"/>
      <c r="C227" s="1871"/>
      <c r="D227" s="1871"/>
      <c r="E227" s="629">
        <f t="shared" si="3"/>
        <v>0</v>
      </c>
      <c r="F227" s="639"/>
    </row>
    <row r="228" spans="1:6" ht="15" customHeight="1">
      <c r="A228" s="1868"/>
      <c r="B228" s="637"/>
      <c r="C228" s="1871"/>
      <c r="D228" s="1871"/>
      <c r="E228" s="629">
        <f t="shared" si="3"/>
        <v>0</v>
      </c>
      <c r="F228" s="639"/>
    </row>
    <row r="229" spans="1:6" ht="15" customHeight="1">
      <c r="A229" s="1868"/>
      <c r="B229" s="637"/>
      <c r="C229" s="1871"/>
      <c r="D229" s="1871"/>
      <c r="E229" s="629">
        <f t="shared" si="3"/>
        <v>0</v>
      </c>
      <c r="F229" s="639"/>
    </row>
    <row r="230" spans="1:6" ht="15" customHeight="1">
      <c r="A230" s="1868"/>
      <c r="B230" s="637"/>
      <c r="C230" s="1871"/>
      <c r="D230" s="1871"/>
      <c r="E230" s="629">
        <f t="shared" si="3"/>
        <v>0</v>
      </c>
      <c r="F230" s="639"/>
    </row>
    <row r="231" spans="1:6" ht="15" customHeight="1">
      <c r="A231" s="1868"/>
      <c r="B231" s="637"/>
      <c r="C231" s="1871"/>
      <c r="D231" s="1871"/>
      <c r="E231" s="629">
        <f t="shared" si="3"/>
        <v>0</v>
      </c>
      <c r="F231" s="639"/>
    </row>
    <row r="232" spans="1:6" ht="15" customHeight="1">
      <c r="A232" s="1868"/>
      <c r="B232" s="637"/>
      <c r="C232" s="1871"/>
      <c r="D232" s="1871"/>
      <c r="E232" s="629">
        <f t="shared" si="3"/>
        <v>0</v>
      </c>
      <c r="F232" s="639"/>
    </row>
    <row r="233" spans="1:6" ht="15" customHeight="1">
      <c r="A233" s="1868"/>
      <c r="B233" s="637"/>
      <c r="C233" s="1871"/>
      <c r="D233" s="1871"/>
      <c r="E233" s="629">
        <f t="shared" si="3"/>
        <v>0</v>
      </c>
      <c r="F233" s="639"/>
    </row>
    <row r="234" spans="1:6" ht="15" customHeight="1">
      <c r="A234" s="1868"/>
      <c r="B234" s="637"/>
      <c r="C234" s="1871"/>
      <c r="D234" s="1871"/>
      <c r="E234" s="629">
        <f t="shared" si="3"/>
        <v>0</v>
      </c>
      <c r="F234" s="639"/>
    </row>
    <row r="235" spans="1:6" ht="15" customHeight="1">
      <c r="A235" s="1868"/>
      <c r="B235" s="637"/>
      <c r="C235" s="1871"/>
      <c r="D235" s="1871"/>
      <c r="E235" s="629">
        <f t="shared" si="3"/>
        <v>0</v>
      </c>
      <c r="F235" s="639"/>
    </row>
    <row r="236" spans="1:6" ht="15" customHeight="1">
      <c r="A236" s="1868"/>
      <c r="B236" s="637"/>
      <c r="C236" s="1871"/>
      <c r="D236" s="1871"/>
      <c r="E236" s="629">
        <f t="shared" si="3"/>
        <v>0</v>
      </c>
      <c r="F236" s="639"/>
    </row>
    <row r="237" spans="1:6" ht="15" customHeight="1">
      <c r="A237" s="1868"/>
      <c r="B237" s="637"/>
      <c r="C237" s="1871"/>
      <c r="D237" s="1871"/>
      <c r="E237" s="629">
        <f t="shared" si="3"/>
        <v>0</v>
      </c>
      <c r="F237" s="639"/>
    </row>
    <row r="238" spans="1:6" ht="15" customHeight="1">
      <c r="A238" s="1868"/>
      <c r="B238" s="637"/>
      <c r="C238" s="1871"/>
      <c r="D238" s="1871"/>
      <c r="E238" s="629">
        <f t="shared" si="3"/>
        <v>0</v>
      </c>
      <c r="F238" s="639"/>
    </row>
    <row r="239" spans="1:6" ht="15" customHeight="1">
      <c r="A239" s="1868"/>
      <c r="B239" s="637"/>
      <c r="C239" s="1871"/>
      <c r="D239" s="1871"/>
      <c r="E239" s="629">
        <f t="shared" si="3"/>
        <v>0</v>
      </c>
      <c r="F239" s="639"/>
    </row>
    <row r="240" spans="1:6" ht="15" customHeight="1">
      <c r="A240" s="1868"/>
      <c r="B240" s="637"/>
      <c r="C240" s="1871"/>
      <c r="D240" s="1871"/>
      <c r="E240" s="629">
        <f t="shared" si="3"/>
        <v>0</v>
      </c>
      <c r="F240" s="639"/>
    </row>
    <row r="241" spans="1:6" ht="15" customHeight="1">
      <c r="A241" s="1868"/>
      <c r="B241" s="637"/>
      <c r="C241" s="1871"/>
      <c r="D241" s="1871"/>
      <c r="E241" s="629">
        <f t="shared" si="3"/>
        <v>0</v>
      </c>
      <c r="F241" s="639"/>
    </row>
    <row r="242" spans="1:6" ht="15" customHeight="1">
      <c r="A242" s="1868"/>
      <c r="B242" s="637"/>
      <c r="C242" s="1871"/>
      <c r="D242" s="1871"/>
      <c r="E242" s="629">
        <f t="shared" si="3"/>
        <v>0</v>
      </c>
      <c r="F242" s="639"/>
    </row>
    <row r="243" spans="1:6" ht="15" customHeight="1">
      <c r="A243" s="1868"/>
      <c r="B243" s="637"/>
      <c r="C243" s="1871"/>
      <c r="D243" s="1871"/>
      <c r="E243" s="629">
        <f t="shared" si="3"/>
        <v>0</v>
      </c>
      <c r="F243" s="639"/>
    </row>
    <row r="244" spans="1:6" ht="15" customHeight="1">
      <c r="A244" s="1868"/>
      <c r="B244" s="637"/>
      <c r="C244" s="1871"/>
      <c r="D244" s="1871"/>
      <c r="E244" s="629">
        <f t="shared" si="3"/>
        <v>0</v>
      </c>
      <c r="F244" s="639"/>
    </row>
    <row r="245" spans="1:6" ht="15" customHeight="1">
      <c r="A245" s="1868"/>
      <c r="B245" s="637"/>
      <c r="C245" s="1871"/>
      <c r="D245" s="1871"/>
      <c r="E245" s="629">
        <f t="shared" si="3"/>
        <v>0</v>
      </c>
      <c r="F245" s="639"/>
    </row>
    <row r="246" spans="1:6" ht="15" customHeight="1">
      <c r="A246" s="1868"/>
      <c r="B246" s="637"/>
      <c r="C246" s="1871"/>
      <c r="D246" s="1871"/>
      <c r="E246" s="629">
        <f t="shared" si="3"/>
        <v>0</v>
      </c>
      <c r="F246" s="639"/>
    </row>
    <row r="247" spans="1:6" ht="15" customHeight="1">
      <c r="A247" s="1868"/>
      <c r="B247" s="637"/>
      <c r="C247" s="1871"/>
      <c r="D247" s="1871"/>
      <c r="E247" s="629">
        <f t="shared" si="3"/>
        <v>0</v>
      </c>
      <c r="F247" s="639"/>
    </row>
    <row r="248" spans="1:6" ht="15" customHeight="1">
      <c r="A248" s="1868"/>
      <c r="B248" s="637"/>
      <c r="C248" s="1871"/>
      <c r="D248" s="1871"/>
      <c r="E248" s="629">
        <f t="shared" si="3"/>
        <v>0</v>
      </c>
      <c r="F248" s="639"/>
    </row>
    <row r="249" spans="1:6" ht="15" customHeight="1">
      <c r="A249" s="1868"/>
      <c r="B249" s="637"/>
      <c r="C249" s="1871"/>
      <c r="D249" s="1871"/>
      <c r="E249" s="629">
        <f t="shared" si="3"/>
        <v>0</v>
      </c>
      <c r="F249" s="639"/>
    </row>
    <row r="250" spans="1:6" ht="15" customHeight="1">
      <c r="A250" s="1868"/>
      <c r="B250" s="637"/>
      <c r="C250" s="1871"/>
      <c r="D250" s="1871"/>
      <c r="E250" s="629">
        <f t="shared" si="3"/>
        <v>0</v>
      </c>
      <c r="F250" s="639"/>
    </row>
    <row r="251" spans="1:6" ht="15" customHeight="1">
      <c r="A251" s="1868"/>
      <c r="B251" s="637"/>
      <c r="C251" s="1871"/>
      <c r="D251" s="1871"/>
      <c r="E251" s="629">
        <f t="shared" si="3"/>
        <v>0</v>
      </c>
      <c r="F251" s="639"/>
    </row>
    <row r="252" spans="1:6" ht="15" customHeight="1">
      <c r="A252" s="1868"/>
      <c r="B252" s="637"/>
      <c r="C252" s="1871"/>
      <c r="D252" s="1871"/>
      <c r="E252" s="629">
        <f t="shared" si="3"/>
        <v>0</v>
      </c>
      <c r="F252" s="639"/>
    </row>
    <row r="253" spans="1:6" ht="15" customHeight="1">
      <c r="A253" s="1868"/>
      <c r="B253" s="637"/>
      <c r="C253" s="1871"/>
      <c r="D253" s="1871"/>
      <c r="E253" s="629">
        <f t="shared" si="3"/>
        <v>0</v>
      </c>
      <c r="F253" s="639"/>
    </row>
    <row r="254" spans="1:6" ht="15" customHeight="1">
      <c r="A254" s="1868"/>
      <c r="B254" s="637"/>
      <c r="C254" s="1871"/>
      <c r="D254" s="1871"/>
      <c r="E254" s="629">
        <f t="shared" si="3"/>
        <v>0</v>
      </c>
      <c r="F254" s="639"/>
    </row>
    <row r="255" spans="1:6" ht="15" customHeight="1">
      <c r="A255" s="1868"/>
      <c r="B255" s="637"/>
      <c r="C255" s="1871"/>
      <c r="D255" s="1871"/>
      <c r="E255" s="629">
        <f t="shared" si="3"/>
        <v>0</v>
      </c>
      <c r="F255" s="639"/>
    </row>
    <row r="256" spans="1:6" ht="15" customHeight="1">
      <c r="A256" s="1868"/>
      <c r="B256" s="637"/>
      <c r="C256" s="1871"/>
      <c r="D256" s="1871"/>
      <c r="E256" s="629">
        <f t="shared" si="3"/>
        <v>0</v>
      </c>
      <c r="F256" s="639"/>
    </row>
    <row r="257" spans="1:6" ht="15" customHeight="1">
      <c r="A257" s="1868"/>
      <c r="B257" s="637"/>
      <c r="C257" s="1871"/>
      <c r="D257" s="1871"/>
      <c r="E257" s="629">
        <f t="shared" si="3"/>
        <v>0</v>
      </c>
      <c r="F257" s="639"/>
    </row>
    <row r="258" spans="1:6" ht="15" customHeight="1">
      <c r="A258" s="1868"/>
      <c r="B258" s="637"/>
      <c r="C258" s="1871"/>
      <c r="D258" s="1871"/>
      <c r="E258" s="629">
        <f t="shared" si="3"/>
        <v>0</v>
      </c>
      <c r="F258" s="639"/>
    </row>
    <row r="259" spans="1:6" ht="15" customHeight="1">
      <c r="A259" s="1868"/>
      <c r="B259" s="637"/>
      <c r="C259" s="1871"/>
      <c r="D259" s="1871"/>
      <c r="E259" s="629">
        <f t="shared" si="3"/>
        <v>0</v>
      </c>
      <c r="F259" s="639"/>
    </row>
    <row r="260" spans="1:6" ht="15" customHeight="1">
      <c r="A260" s="1868"/>
      <c r="B260" s="637"/>
      <c r="C260" s="1871"/>
      <c r="D260" s="1871"/>
      <c r="E260" s="629">
        <f t="shared" si="3"/>
        <v>0</v>
      </c>
      <c r="F260" s="639"/>
    </row>
    <row r="261" spans="1:6" ht="15" customHeight="1">
      <c r="A261" s="1868"/>
      <c r="B261" s="637"/>
      <c r="C261" s="1871"/>
      <c r="D261" s="1871"/>
      <c r="E261" s="629">
        <f t="shared" si="3"/>
        <v>0</v>
      </c>
      <c r="F261" s="639"/>
    </row>
    <row r="262" spans="1:6" ht="15" customHeight="1">
      <c r="A262" s="1868"/>
      <c r="B262" s="637"/>
      <c r="C262" s="1871"/>
      <c r="D262" s="1871"/>
      <c r="E262" s="629">
        <f t="shared" si="3"/>
        <v>0</v>
      </c>
      <c r="F262" s="639"/>
    </row>
    <row r="263" spans="1:6" ht="15" customHeight="1">
      <c r="A263" s="1868"/>
      <c r="B263" s="637"/>
      <c r="C263" s="1871"/>
      <c r="D263" s="1871"/>
      <c r="E263" s="629">
        <f t="shared" si="3"/>
        <v>0</v>
      </c>
      <c r="F263" s="639"/>
    </row>
    <row r="264" spans="1:6" ht="15" customHeight="1">
      <c r="A264" s="1868"/>
      <c r="B264" s="637"/>
      <c r="C264" s="1871"/>
      <c r="D264" s="1871"/>
      <c r="E264" s="629">
        <f t="shared" si="3"/>
        <v>0</v>
      </c>
      <c r="F264" s="639"/>
    </row>
    <row r="265" spans="1:6" ht="15" customHeight="1">
      <c r="A265" s="1868"/>
      <c r="B265" s="637"/>
      <c r="C265" s="1871"/>
      <c r="D265" s="1871"/>
      <c r="E265" s="629">
        <f t="shared" si="3"/>
        <v>0</v>
      </c>
      <c r="F265" s="639"/>
    </row>
    <row r="266" spans="1:6" ht="15" customHeight="1">
      <c r="A266" s="1868"/>
      <c r="B266" s="637"/>
      <c r="C266" s="1871"/>
      <c r="D266" s="1871"/>
      <c r="E266" s="629">
        <f t="shared" si="3"/>
        <v>0</v>
      </c>
      <c r="F266" s="639"/>
    </row>
    <row r="267" spans="1:6" ht="15" customHeight="1">
      <c r="A267" s="1868"/>
      <c r="B267" s="637"/>
      <c r="C267" s="1871"/>
      <c r="D267" s="1871"/>
      <c r="E267" s="629">
        <f t="shared" si="3"/>
        <v>0</v>
      </c>
      <c r="F267" s="639"/>
    </row>
    <row r="268" spans="1:6" ht="15" customHeight="1">
      <c r="A268" s="1868"/>
      <c r="B268" s="637"/>
      <c r="C268" s="1871"/>
      <c r="D268" s="1871"/>
      <c r="E268" s="629">
        <f t="shared" si="3"/>
        <v>0</v>
      </c>
      <c r="F268" s="639"/>
    </row>
    <row r="269" spans="1:6" ht="15" customHeight="1">
      <c r="A269" s="1868"/>
      <c r="B269" s="637"/>
      <c r="C269" s="1871"/>
      <c r="D269" s="1871"/>
      <c r="E269" s="629">
        <f t="shared" si="3"/>
        <v>0</v>
      </c>
      <c r="F269" s="639"/>
    </row>
    <row r="270" spans="1:6" ht="15" customHeight="1">
      <c r="A270" s="1868"/>
      <c r="B270" s="637"/>
      <c r="C270" s="1871"/>
      <c r="D270" s="1871"/>
      <c r="E270" s="629">
        <f t="shared" si="3"/>
        <v>0</v>
      </c>
      <c r="F270" s="639"/>
    </row>
    <row r="271" spans="1:6" ht="15" customHeight="1">
      <c r="A271" s="1868"/>
      <c r="B271" s="637"/>
      <c r="C271" s="1871"/>
      <c r="D271" s="1871"/>
      <c r="E271" s="629">
        <f t="shared" si="3"/>
        <v>0</v>
      </c>
      <c r="F271" s="639"/>
    </row>
    <row r="272" spans="1:6" ht="15" customHeight="1">
      <c r="A272" s="1868"/>
      <c r="B272" s="637"/>
      <c r="C272" s="1871"/>
      <c r="D272" s="1871"/>
      <c r="E272" s="629">
        <f t="shared" ref="E272:E303" si="4">C272-B272+D272</f>
        <v>0</v>
      </c>
      <c r="F272" s="639"/>
    </row>
    <row r="273" spans="1:6" ht="15" customHeight="1">
      <c r="A273" s="1868"/>
      <c r="B273" s="637"/>
      <c r="C273" s="1871"/>
      <c r="D273" s="1871"/>
      <c r="E273" s="629">
        <f t="shared" si="4"/>
        <v>0</v>
      </c>
      <c r="F273" s="639"/>
    </row>
    <row r="274" spans="1:6" ht="15" customHeight="1">
      <c r="A274" s="1868"/>
      <c r="B274" s="637"/>
      <c r="C274" s="1871"/>
      <c r="D274" s="1871"/>
      <c r="E274" s="629">
        <f t="shared" si="4"/>
        <v>0</v>
      </c>
      <c r="F274" s="639"/>
    </row>
    <row r="275" spans="1:6" ht="15" customHeight="1">
      <c r="A275" s="1868"/>
      <c r="B275" s="637"/>
      <c r="C275" s="1871"/>
      <c r="D275" s="1871"/>
      <c r="E275" s="629">
        <f t="shared" si="4"/>
        <v>0</v>
      </c>
      <c r="F275" s="639"/>
    </row>
    <row r="276" spans="1:6" ht="15" customHeight="1">
      <c r="A276" s="1868"/>
      <c r="B276" s="637"/>
      <c r="C276" s="1871"/>
      <c r="D276" s="1871"/>
      <c r="E276" s="629">
        <f t="shared" si="4"/>
        <v>0</v>
      </c>
      <c r="F276" s="639"/>
    </row>
    <row r="277" spans="1:6" ht="15" customHeight="1">
      <c r="A277" s="1868"/>
      <c r="B277" s="637"/>
      <c r="C277" s="1871"/>
      <c r="D277" s="1871"/>
      <c r="E277" s="629">
        <f t="shared" si="4"/>
        <v>0</v>
      </c>
      <c r="F277" s="639"/>
    </row>
    <row r="278" spans="1:6" ht="15" customHeight="1">
      <c r="A278" s="1868"/>
      <c r="B278" s="637"/>
      <c r="C278" s="1871"/>
      <c r="D278" s="1871"/>
      <c r="E278" s="629">
        <f t="shared" si="4"/>
        <v>0</v>
      </c>
      <c r="F278" s="639"/>
    </row>
    <row r="279" spans="1:6" ht="15" customHeight="1">
      <c r="A279" s="1868"/>
      <c r="B279" s="637"/>
      <c r="C279" s="1871"/>
      <c r="D279" s="1871"/>
      <c r="E279" s="629">
        <f t="shared" si="4"/>
        <v>0</v>
      </c>
      <c r="F279" s="639"/>
    </row>
    <row r="280" spans="1:6" ht="15" customHeight="1">
      <c r="A280" s="1868"/>
      <c r="B280" s="637"/>
      <c r="C280" s="1871"/>
      <c r="D280" s="1871"/>
      <c r="E280" s="629">
        <f t="shared" si="4"/>
        <v>0</v>
      </c>
      <c r="F280" s="639"/>
    </row>
    <row r="281" spans="1:6" ht="15" customHeight="1">
      <c r="A281" s="1868"/>
      <c r="B281" s="637"/>
      <c r="C281" s="1871"/>
      <c r="D281" s="1871"/>
      <c r="E281" s="629">
        <f t="shared" si="4"/>
        <v>0</v>
      </c>
      <c r="F281" s="639"/>
    </row>
    <row r="282" spans="1:6" ht="15" customHeight="1">
      <c r="A282" s="1868"/>
      <c r="B282" s="637"/>
      <c r="C282" s="1871"/>
      <c r="D282" s="1871"/>
      <c r="E282" s="629">
        <f t="shared" si="4"/>
        <v>0</v>
      </c>
      <c r="F282" s="639"/>
    </row>
    <row r="283" spans="1:6" ht="15" customHeight="1">
      <c r="A283" s="1868"/>
      <c r="B283" s="637"/>
      <c r="C283" s="1871"/>
      <c r="D283" s="1871"/>
      <c r="E283" s="629">
        <f t="shared" si="4"/>
        <v>0</v>
      </c>
      <c r="F283" s="639"/>
    </row>
    <row r="284" spans="1:6" ht="15" customHeight="1">
      <c r="A284" s="1868"/>
      <c r="B284" s="637"/>
      <c r="C284" s="1871"/>
      <c r="D284" s="1871"/>
      <c r="E284" s="629">
        <f t="shared" si="4"/>
        <v>0</v>
      </c>
      <c r="F284" s="639"/>
    </row>
    <row r="285" spans="1:6" ht="15" customHeight="1">
      <c r="A285" s="1868"/>
      <c r="B285" s="637"/>
      <c r="C285" s="1871"/>
      <c r="D285" s="1871"/>
      <c r="E285" s="629">
        <f t="shared" si="4"/>
        <v>0</v>
      </c>
      <c r="F285" s="639"/>
    </row>
    <row r="286" spans="1:6" ht="15" customHeight="1">
      <c r="A286" s="1868"/>
      <c r="B286" s="637"/>
      <c r="C286" s="1871"/>
      <c r="D286" s="1871"/>
      <c r="E286" s="629">
        <f t="shared" si="4"/>
        <v>0</v>
      </c>
      <c r="F286" s="639"/>
    </row>
    <row r="287" spans="1:6" ht="15" customHeight="1">
      <c r="A287" s="1868"/>
      <c r="B287" s="637"/>
      <c r="C287" s="1871"/>
      <c r="D287" s="1871"/>
      <c r="E287" s="629">
        <f t="shared" si="4"/>
        <v>0</v>
      </c>
      <c r="F287" s="639"/>
    </row>
    <row r="288" spans="1:6" ht="15" customHeight="1">
      <c r="A288" s="1868"/>
      <c r="B288" s="637"/>
      <c r="C288" s="1871"/>
      <c r="D288" s="1871"/>
      <c r="E288" s="629">
        <f t="shared" si="4"/>
        <v>0</v>
      </c>
      <c r="F288" s="639"/>
    </row>
    <row r="289" spans="1:6" ht="15" customHeight="1">
      <c r="A289" s="1868"/>
      <c r="B289" s="637"/>
      <c r="C289" s="1871"/>
      <c r="D289" s="1871"/>
      <c r="E289" s="629">
        <f t="shared" si="4"/>
        <v>0</v>
      </c>
      <c r="F289" s="639"/>
    </row>
    <row r="290" spans="1:6" ht="15" customHeight="1">
      <c r="A290" s="1868"/>
      <c r="B290" s="637"/>
      <c r="C290" s="1871"/>
      <c r="D290" s="1871"/>
      <c r="E290" s="629">
        <f t="shared" si="4"/>
        <v>0</v>
      </c>
      <c r="F290" s="639"/>
    </row>
    <row r="291" spans="1:6" ht="15" customHeight="1">
      <c r="A291" s="1868"/>
      <c r="B291" s="637"/>
      <c r="C291" s="1871"/>
      <c r="D291" s="1871"/>
      <c r="E291" s="629">
        <f t="shared" si="4"/>
        <v>0</v>
      </c>
      <c r="F291" s="639"/>
    </row>
    <row r="292" spans="1:6" ht="15" customHeight="1">
      <c r="A292" s="1868"/>
      <c r="B292" s="637"/>
      <c r="C292" s="1871"/>
      <c r="D292" s="1871"/>
      <c r="E292" s="629">
        <f t="shared" si="4"/>
        <v>0</v>
      </c>
      <c r="F292" s="639"/>
    </row>
    <row r="293" spans="1:6" ht="15" customHeight="1">
      <c r="A293" s="1868"/>
      <c r="B293" s="637"/>
      <c r="C293" s="1871"/>
      <c r="D293" s="1871"/>
      <c r="E293" s="629">
        <f t="shared" si="4"/>
        <v>0</v>
      </c>
      <c r="F293" s="639"/>
    </row>
    <row r="294" spans="1:6" ht="15" customHeight="1">
      <c r="A294" s="1868"/>
      <c r="B294" s="637"/>
      <c r="C294" s="1871"/>
      <c r="D294" s="1871"/>
      <c r="E294" s="629">
        <f t="shared" si="4"/>
        <v>0</v>
      </c>
      <c r="F294" s="639"/>
    </row>
    <row r="295" spans="1:6" ht="15" customHeight="1">
      <c r="A295" s="1868"/>
      <c r="B295" s="637"/>
      <c r="C295" s="1871"/>
      <c r="D295" s="1871"/>
      <c r="E295" s="629">
        <f t="shared" si="4"/>
        <v>0</v>
      </c>
      <c r="F295" s="639"/>
    </row>
    <row r="296" spans="1:6" ht="15" customHeight="1">
      <c r="A296" s="1868"/>
      <c r="B296" s="637"/>
      <c r="C296" s="1871"/>
      <c r="D296" s="1871"/>
      <c r="E296" s="629">
        <f t="shared" si="4"/>
        <v>0</v>
      </c>
      <c r="F296" s="639"/>
    </row>
    <row r="297" spans="1:6" ht="15" customHeight="1">
      <c r="A297" s="1868"/>
      <c r="B297" s="637"/>
      <c r="C297" s="1871"/>
      <c r="D297" s="1871"/>
      <c r="E297" s="629">
        <f t="shared" si="4"/>
        <v>0</v>
      </c>
      <c r="F297" s="639"/>
    </row>
    <row r="298" spans="1:6" ht="15" customHeight="1">
      <c r="A298" s="1868"/>
      <c r="B298" s="637"/>
      <c r="C298" s="1871"/>
      <c r="D298" s="1871"/>
      <c r="E298" s="629">
        <f t="shared" si="4"/>
        <v>0</v>
      </c>
      <c r="F298" s="639"/>
    </row>
    <row r="299" spans="1:6" ht="15" customHeight="1">
      <c r="A299" s="1868"/>
      <c r="B299" s="637"/>
      <c r="C299" s="1871"/>
      <c r="D299" s="1871"/>
      <c r="E299" s="629">
        <f t="shared" si="4"/>
        <v>0</v>
      </c>
      <c r="F299" s="639"/>
    </row>
    <row r="300" spans="1:6" ht="15" customHeight="1">
      <c r="A300" s="1868"/>
      <c r="B300" s="637"/>
      <c r="C300" s="1871"/>
      <c r="D300" s="1871"/>
      <c r="E300" s="629">
        <f t="shared" si="4"/>
        <v>0</v>
      </c>
      <c r="F300" s="639"/>
    </row>
    <row r="301" spans="1:6" ht="15" customHeight="1">
      <c r="A301" s="1868"/>
      <c r="B301" s="637"/>
      <c r="C301" s="1871"/>
      <c r="D301" s="1871"/>
      <c r="E301" s="629">
        <f t="shared" si="4"/>
        <v>0</v>
      </c>
      <c r="F301" s="639"/>
    </row>
    <row r="302" spans="1:6" ht="15" customHeight="1">
      <c r="A302" s="1868"/>
      <c r="B302" s="637"/>
      <c r="C302" s="1871"/>
      <c r="D302" s="1871"/>
      <c r="E302" s="629">
        <f t="shared" si="4"/>
        <v>0</v>
      </c>
      <c r="F302" s="639"/>
    </row>
    <row r="303" spans="1:6" ht="15" customHeight="1">
      <c r="A303" s="1870"/>
      <c r="B303" s="641"/>
      <c r="C303" s="1872"/>
      <c r="D303" s="1872"/>
      <c r="E303" s="643">
        <f t="shared" si="4"/>
        <v>0</v>
      </c>
      <c r="F303" s="644"/>
    </row>
    <row r="304" spans="1:6" ht="15" customHeight="1">
      <c r="A304" s="841"/>
      <c r="B304" s="841"/>
      <c r="C304" s="841"/>
      <c r="D304" s="841"/>
      <c r="E304" s="841"/>
      <c r="F304" s="841"/>
    </row>
    <row r="305" spans="1:6" ht="15" customHeight="1">
      <c r="A305" s="841"/>
      <c r="B305" s="841"/>
      <c r="C305" s="841"/>
      <c r="D305" s="841"/>
      <c r="E305" s="841"/>
      <c r="F305" s="841"/>
    </row>
    <row r="306" spans="1:6" ht="15" customHeight="1">
      <c r="A306" s="841"/>
      <c r="B306" s="841"/>
      <c r="C306" s="841"/>
      <c r="D306" s="841"/>
      <c r="E306" s="841"/>
      <c r="F306" s="841"/>
    </row>
    <row r="307" spans="1:6" ht="15" customHeight="1">
      <c r="A307" s="841"/>
      <c r="B307" s="841"/>
      <c r="C307" s="841"/>
      <c r="D307" s="841"/>
      <c r="E307" s="841"/>
      <c r="F307" s="841"/>
    </row>
    <row r="308" spans="1:6" ht="15" customHeight="1">
      <c r="A308" s="841"/>
      <c r="B308" s="841"/>
      <c r="C308" s="841"/>
      <c r="D308" s="841"/>
      <c r="E308" s="841"/>
      <c r="F308" s="841"/>
    </row>
    <row r="309" spans="1:6" ht="15" customHeight="1">
      <c r="A309" s="841"/>
      <c r="B309" s="841"/>
      <c r="C309" s="841"/>
      <c r="D309" s="841"/>
      <c r="E309" s="841"/>
      <c r="F309" s="841"/>
    </row>
    <row r="310" spans="1:6" ht="15" customHeight="1">
      <c r="A310" s="841"/>
      <c r="B310" s="841"/>
      <c r="C310" s="841"/>
      <c r="D310" s="841"/>
      <c r="E310" s="841"/>
      <c r="F310" s="841"/>
    </row>
    <row r="311" spans="1:6" ht="15" customHeight="1">
      <c r="A311" s="841"/>
      <c r="B311" s="841"/>
      <c r="C311" s="841"/>
      <c r="D311" s="841"/>
      <c r="E311" s="841"/>
      <c r="F311" s="841"/>
    </row>
    <row r="312" spans="1:6" ht="15" customHeight="1">
      <c r="A312" s="841"/>
      <c r="B312" s="841"/>
      <c r="C312" s="841"/>
      <c r="D312" s="841"/>
      <c r="E312" s="841"/>
      <c r="F312" s="841"/>
    </row>
    <row r="313" spans="1:6" ht="15" customHeight="1">
      <c r="A313" s="841"/>
      <c r="B313" s="841"/>
      <c r="C313" s="841"/>
      <c r="D313" s="841"/>
      <c r="E313" s="841"/>
      <c r="F313" s="841"/>
    </row>
    <row r="314" spans="1:6" ht="15" customHeight="1">
      <c r="A314" s="841"/>
      <c r="B314" s="841"/>
      <c r="C314" s="841"/>
      <c r="D314" s="841"/>
      <c r="E314" s="841"/>
      <c r="F314" s="841"/>
    </row>
    <row r="315" spans="1:6" ht="15" customHeight="1">
      <c r="A315" s="841"/>
      <c r="B315" s="841"/>
      <c r="C315" s="841"/>
      <c r="D315" s="841"/>
      <c r="E315" s="841"/>
      <c r="F315" s="841"/>
    </row>
    <row r="316" spans="1:6" ht="15" customHeight="1">
      <c r="A316" s="841"/>
      <c r="B316" s="841"/>
      <c r="C316" s="841"/>
      <c r="D316" s="841"/>
      <c r="E316" s="841"/>
      <c r="F316" s="841"/>
    </row>
    <row r="317" spans="1:6" ht="15" customHeight="1">
      <c r="A317" s="841"/>
      <c r="B317" s="841"/>
      <c r="C317" s="841"/>
      <c r="D317" s="841"/>
      <c r="E317" s="841"/>
      <c r="F317" s="841"/>
    </row>
    <row r="318" spans="1:6" ht="15" customHeight="1">
      <c r="A318" s="841"/>
      <c r="B318" s="841"/>
      <c r="C318" s="841"/>
      <c r="D318" s="841"/>
      <c r="E318" s="841"/>
      <c r="F318" s="841"/>
    </row>
    <row r="319" spans="1:6" ht="15" customHeight="1">
      <c r="A319" s="841"/>
      <c r="B319" s="841"/>
      <c r="C319" s="841"/>
      <c r="D319" s="841"/>
      <c r="E319" s="841"/>
      <c r="F319" s="841"/>
    </row>
    <row r="320" spans="1:6" ht="15" customHeight="1">
      <c r="A320" s="841"/>
      <c r="B320" s="841"/>
      <c r="C320" s="841"/>
      <c r="D320" s="841"/>
      <c r="E320" s="841"/>
      <c r="F320" s="841"/>
    </row>
    <row r="321" spans="1:6" ht="15" customHeight="1">
      <c r="A321" s="841"/>
      <c r="B321" s="841"/>
      <c r="C321" s="841"/>
      <c r="D321" s="841"/>
      <c r="E321" s="841"/>
      <c r="F321" s="841"/>
    </row>
    <row r="322" spans="1:6" ht="15" customHeight="1">
      <c r="A322" s="841"/>
      <c r="B322" s="841"/>
      <c r="C322" s="841"/>
      <c r="D322" s="841"/>
      <c r="E322" s="841"/>
      <c r="F322" s="841"/>
    </row>
    <row r="323" spans="1:6" ht="15" customHeight="1">
      <c r="A323" s="841"/>
      <c r="B323" s="841"/>
      <c r="C323" s="841"/>
      <c r="D323" s="841"/>
      <c r="E323" s="841"/>
      <c r="F323" s="841"/>
    </row>
    <row r="324" spans="1:6" ht="15" customHeight="1">
      <c r="A324" s="841"/>
      <c r="B324" s="841"/>
      <c r="C324" s="841"/>
      <c r="D324" s="841"/>
      <c r="E324" s="841"/>
      <c r="F324" s="841"/>
    </row>
    <row r="325" spans="1:6" ht="15" customHeight="1">
      <c r="A325" s="841"/>
      <c r="B325" s="841"/>
      <c r="C325" s="841"/>
      <c r="D325" s="841"/>
      <c r="E325" s="841"/>
      <c r="F325" s="841"/>
    </row>
    <row r="326" spans="1:6" ht="15" customHeight="1">
      <c r="A326" s="841"/>
      <c r="B326" s="841"/>
      <c r="C326" s="841"/>
      <c r="D326" s="841"/>
      <c r="E326" s="841"/>
      <c r="F326" s="841"/>
    </row>
    <row r="327" spans="1:6" ht="15" customHeight="1">
      <c r="A327" s="841"/>
      <c r="B327" s="841"/>
      <c r="C327" s="841"/>
      <c r="D327" s="841"/>
      <c r="E327" s="841"/>
      <c r="F327" s="841"/>
    </row>
    <row r="328" spans="1:6" ht="15" customHeight="1">
      <c r="A328" s="841"/>
      <c r="B328" s="841"/>
      <c r="C328" s="841"/>
      <c r="D328" s="841"/>
      <c r="E328" s="841"/>
      <c r="F328" s="841"/>
    </row>
    <row r="329" spans="1:6" ht="15" customHeight="1">
      <c r="A329" s="841"/>
      <c r="B329" s="841"/>
      <c r="C329" s="841"/>
      <c r="D329" s="841"/>
      <c r="E329" s="841"/>
      <c r="F329" s="841"/>
    </row>
    <row r="330" spans="1:6" ht="15" customHeight="1">
      <c r="A330" s="841"/>
      <c r="B330" s="841"/>
      <c r="C330" s="841"/>
      <c r="D330" s="841"/>
      <c r="E330" s="841"/>
      <c r="F330" s="841"/>
    </row>
    <row r="331" spans="1:6" ht="15" customHeight="1">
      <c r="A331" s="841"/>
      <c r="B331" s="841"/>
      <c r="C331" s="841"/>
      <c r="D331" s="841"/>
      <c r="E331" s="841"/>
      <c r="F331" s="841"/>
    </row>
    <row r="332" spans="1:6" ht="15" customHeight="1">
      <c r="A332" s="1938"/>
      <c r="B332" s="1938"/>
      <c r="C332" s="1938"/>
      <c r="D332" s="1938"/>
      <c r="E332" s="1938"/>
      <c r="F332" s="1938"/>
    </row>
    <row r="333" spans="1:6" ht="15" customHeight="1">
      <c r="A333" s="1938"/>
      <c r="B333" s="1938"/>
      <c r="C333" s="1938"/>
      <c r="D333" s="1938"/>
      <c r="E333" s="1938"/>
      <c r="F333" s="1938"/>
    </row>
    <row r="334" spans="1:6" ht="15" customHeight="1">
      <c r="A334" s="1938"/>
      <c r="B334" s="1938"/>
      <c r="C334" s="1938"/>
      <c r="D334" s="1938"/>
      <c r="E334" s="1938"/>
      <c r="F334" s="1938"/>
    </row>
    <row r="335" spans="1:6" ht="15" customHeight="1">
      <c r="A335" s="1938"/>
      <c r="B335" s="1938"/>
      <c r="C335" s="1938"/>
      <c r="D335" s="1938"/>
      <c r="E335" s="1938"/>
      <c r="F335" s="1938"/>
    </row>
    <row r="336" spans="1:6" ht="15" customHeight="1">
      <c r="A336" s="1938"/>
      <c r="B336" s="1938"/>
      <c r="C336" s="1938"/>
      <c r="D336" s="1938"/>
      <c r="E336" s="1938"/>
      <c r="F336" s="1938"/>
    </row>
    <row r="337" spans="1:6" ht="15" customHeight="1">
      <c r="A337" s="1938"/>
      <c r="B337" s="1938"/>
      <c r="C337" s="1938"/>
      <c r="D337" s="1938"/>
      <c r="E337" s="1938"/>
      <c r="F337" s="1938"/>
    </row>
    <row r="338" spans="1:6" ht="15" customHeight="1">
      <c r="A338" s="1938"/>
      <c r="B338" s="1938"/>
      <c r="C338" s="1938"/>
      <c r="D338" s="1938"/>
      <c r="E338" s="1938"/>
      <c r="F338" s="1938"/>
    </row>
    <row r="339" spans="1:6" ht="15" customHeight="1">
      <c r="A339" s="1938"/>
      <c r="B339" s="1938"/>
      <c r="C339" s="1938"/>
      <c r="D339" s="1938"/>
      <c r="E339" s="1938"/>
      <c r="F339" s="1938"/>
    </row>
    <row r="340" spans="1:6" ht="15" customHeight="1">
      <c r="A340" s="1938"/>
      <c r="B340" s="1938"/>
      <c r="C340" s="1938"/>
      <c r="D340" s="1938"/>
      <c r="E340" s="1938"/>
      <c r="F340" s="1938"/>
    </row>
    <row r="341" spans="1:6" ht="15" customHeight="1">
      <c r="A341" s="1938"/>
      <c r="B341" s="1938"/>
      <c r="C341" s="1938"/>
      <c r="D341" s="1938"/>
      <c r="E341" s="1938"/>
      <c r="F341" s="1938"/>
    </row>
    <row r="342" spans="1:6" ht="15" customHeight="1">
      <c r="A342" s="1938"/>
      <c r="B342" s="1938"/>
      <c r="C342" s="1938"/>
      <c r="D342" s="1938"/>
      <c r="E342" s="1938"/>
      <c r="F342" s="1938"/>
    </row>
    <row r="343" spans="1:6" ht="15" customHeight="1">
      <c r="A343" s="1938"/>
      <c r="B343" s="1938"/>
      <c r="C343" s="1938"/>
      <c r="D343" s="1938"/>
      <c r="E343" s="1938"/>
      <c r="F343" s="1938"/>
    </row>
    <row r="344" spans="1:6" ht="15" customHeight="1">
      <c r="A344" s="1938"/>
      <c r="B344" s="1938"/>
      <c r="C344" s="1938"/>
      <c r="D344" s="1938"/>
      <c r="E344" s="1938"/>
      <c r="F344" s="1938"/>
    </row>
    <row r="345" spans="1:6" ht="15" customHeight="1">
      <c r="A345" s="1938"/>
      <c r="B345" s="1938"/>
      <c r="C345" s="1938"/>
      <c r="D345" s="1938"/>
      <c r="E345" s="1938"/>
      <c r="F345" s="1938"/>
    </row>
    <row r="346" spans="1:6" ht="15" customHeight="1">
      <c r="A346" s="1938"/>
      <c r="B346" s="1938"/>
      <c r="C346" s="1938"/>
      <c r="D346" s="1938"/>
      <c r="E346" s="1938"/>
      <c r="F346" s="1938"/>
    </row>
    <row r="347" spans="1:6" ht="15" customHeight="1">
      <c r="A347" s="1938"/>
      <c r="B347" s="1938"/>
      <c r="C347" s="1938"/>
      <c r="D347" s="1938"/>
      <c r="E347" s="1938"/>
      <c r="F347" s="1938"/>
    </row>
    <row r="348" spans="1:6" ht="15" customHeight="1">
      <c r="A348" s="1938"/>
      <c r="B348" s="1938"/>
      <c r="C348" s="1938"/>
      <c r="D348" s="1938"/>
      <c r="E348" s="1938"/>
      <c r="F348" s="1938"/>
    </row>
    <row r="349" spans="1:6" ht="15" customHeight="1">
      <c r="A349" s="1938"/>
      <c r="B349" s="1938"/>
      <c r="C349" s="1938"/>
      <c r="D349" s="1938"/>
      <c r="E349" s="1938"/>
      <c r="F349" s="1938"/>
    </row>
    <row r="350" spans="1:6" ht="15" customHeight="1">
      <c r="A350" s="1938"/>
      <c r="B350" s="1938"/>
      <c r="C350" s="1938"/>
      <c r="D350" s="1938"/>
      <c r="E350" s="1938"/>
      <c r="F350" s="1938"/>
    </row>
    <row r="351" spans="1:6" ht="15" customHeight="1">
      <c r="A351" s="1938"/>
      <c r="B351" s="1938"/>
      <c r="C351" s="1938"/>
      <c r="D351" s="1938"/>
      <c r="E351" s="1938"/>
      <c r="F351" s="1938"/>
    </row>
    <row r="352" spans="1:6" ht="15" customHeight="1">
      <c r="A352" s="1938"/>
      <c r="B352" s="1938"/>
      <c r="C352" s="1938"/>
      <c r="D352" s="1938"/>
      <c r="E352" s="1938"/>
      <c r="F352" s="1938"/>
    </row>
    <row r="353" spans="1:6" ht="15" customHeight="1">
      <c r="A353" s="1938"/>
      <c r="B353" s="1938"/>
      <c r="C353" s="1938"/>
      <c r="D353" s="1938"/>
      <c r="E353" s="1938"/>
      <c r="F353" s="1938"/>
    </row>
    <row r="354" spans="1:6" ht="15" customHeight="1">
      <c r="A354" s="1938"/>
      <c r="B354" s="1938"/>
      <c r="C354" s="1938"/>
      <c r="D354" s="1938"/>
      <c r="E354" s="1938"/>
      <c r="F354" s="1938"/>
    </row>
    <row r="355" spans="1:6" ht="15" customHeight="1">
      <c r="A355" s="1938"/>
      <c r="B355" s="1938"/>
      <c r="C355" s="1938"/>
      <c r="D355" s="1938"/>
      <c r="E355" s="1938"/>
      <c r="F355" s="1938"/>
    </row>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A3:C4"/>
    <mergeCell ref="A5:C5"/>
    <mergeCell ref="A1:C2"/>
    <mergeCell ref="G14:H22"/>
    <mergeCell ref="A6:F6"/>
    <mergeCell ref="B7:F7"/>
    <mergeCell ref="A8:A9"/>
    <mergeCell ref="B8:D8"/>
    <mergeCell ref="E8:F8"/>
    <mergeCell ref="B9:F9"/>
    <mergeCell ref="B10:F10"/>
    <mergeCell ref="D1:F1"/>
    <mergeCell ref="D2:F2"/>
  </mergeCells>
  <phoneticPr fontId="135"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2"/>
  <dimension ref="A1:H401"/>
  <sheetViews>
    <sheetView workbookViewId="0">
      <selection activeCell="C16" sqref="C16"/>
    </sheetView>
  </sheetViews>
  <sheetFormatPr defaultColWidth="9" defaultRowHeight="14.25"/>
  <cols>
    <col min="1" max="1" width="23.125" style="774" customWidth="1"/>
    <col min="2" max="3" width="13.75" style="774" customWidth="1"/>
    <col min="4" max="4" width="9.125" style="774" customWidth="1"/>
    <col min="5" max="5" width="13.75" style="774" customWidth="1"/>
    <col min="6" max="6" width="9.75" style="774" customWidth="1"/>
    <col min="7" max="7" width="55.375" style="1894" customWidth="1"/>
    <col min="8" max="16384" width="9" style="1894"/>
  </cols>
  <sheetData>
    <row r="1" spans="1:8" ht="25.9" customHeight="1">
      <c r="A1" s="2994" t="s">
        <v>1672</v>
      </c>
      <c r="B1" s="2994"/>
      <c r="C1" s="2994"/>
      <c r="D1" s="2754" t="str">
        <f>基本情况!$F$10</f>
        <v>厦中汇税审（2018）第DS0001号</v>
      </c>
      <c r="E1" s="2754"/>
      <c r="F1" s="2754"/>
    </row>
    <row r="2" spans="1:8" ht="37.15" customHeight="1">
      <c r="A2" s="2994"/>
      <c r="B2" s="2994"/>
      <c r="C2" s="2994"/>
      <c r="D2" s="2949" t="str">
        <f>"底稿编号："&amp;开始!$H$4</f>
        <v>底稿编号：LR-02</v>
      </c>
      <c r="E2" s="2949"/>
      <c r="F2" s="2949"/>
    </row>
    <row r="3" spans="1:8" s="1929" customFormat="1" ht="20.25" customHeight="1">
      <c r="A3" s="3093" t="str">
        <f>"委托单位："&amp;基本情况!$C$3</f>
        <v>委托单位：</v>
      </c>
      <c r="B3" s="3094"/>
      <c r="C3" s="3095"/>
      <c r="D3" s="1939"/>
      <c r="E3" s="1912" t="s">
        <v>4472</v>
      </c>
      <c r="F3" s="1913" t="s">
        <v>4473</v>
      </c>
    </row>
    <row r="4" spans="1:8" s="1929" customFormat="1" ht="20.25" customHeight="1">
      <c r="A4" s="3096"/>
      <c r="B4" s="3097"/>
      <c r="C4" s="3098"/>
      <c r="D4" s="1427" t="s">
        <v>4407</v>
      </c>
      <c r="E4" s="1914" t="str">
        <f>基本情况!$F$19&amp;""</f>
        <v/>
      </c>
      <c r="F4" s="1908" t="str">
        <f>TEXT(基本情况!$F$27,"yyyy-mm-dd")</f>
        <v>2018-03-16</v>
      </c>
    </row>
    <row r="5" spans="1:8" s="1929" customFormat="1" ht="20.25" customHeight="1">
      <c r="A5" s="3057" t="str">
        <f>"会计期间："&amp;基本情况!$F$9</f>
        <v>会计期间：2017年01月01日至2017年12月31日</v>
      </c>
      <c r="B5" s="3058"/>
      <c r="C5" s="3059"/>
      <c r="D5" s="1915" t="s">
        <v>4410</v>
      </c>
      <c r="E5" s="1909" t="str">
        <f>基本情况!$F$18&amp;""</f>
        <v/>
      </c>
      <c r="F5" s="1910" t="str">
        <f>TEXT(基本情况!$F$28,"yyyy-mm-dd")</f>
        <v>2018-05-04</v>
      </c>
    </row>
    <row r="6" spans="1:8" s="1916" customFormat="1" ht="7.5" customHeight="1">
      <c r="A6" s="3055"/>
      <c r="B6" s="3055"/>
      <c r="C6" s="3055"/>
      <c r="D6" s="3055"/>
      <c r="E6" s="3055"/>
      <c r="F6" s="3055"/>
    </row>
    <row r="7" spans="1:8" s="1931" customFormat="1" ht="20.25" customHeight="1">
      <c r="A7" s="1930" t="s">
        <v>4430</v>
      </c>
      <c r="B7" s="3102" t="str">
        <f>IF(基本情况!$F$33="否",IF(C13-B13&lt;&gt;资产负债表!$G$9,"账载数与报表数相差"&amp;DOLLAR(C13-B13-资产负债表!$G$9,2)&amp;"元！","账载数与报表数相符！"),IF(C12&lt;&gt;资产负债表!$G$9,"账载数与报表数相差"&amp;DOLLAR(C12-资产负债表!$G$9,2)&amp;"元！","账载数与报表数相符！"))</f>
        <v>账载数与报表数相符！</v>
      </c>
      <c r="C7" s="3102"/>
      <c r="D7" s="3102"/>
      <c r="E7" s="3102"/>
      <c r="F7" s="3102"/>
      <c r="G7" s="757" t="s">
        <v>1724</v>
      </c>
      <c r="H7" s="1932"/>
    </row>
    <row r="8" spans="1:8" s="1931" customFormat="1" ht="15" customHeight="1">
      <c r="A8" s="3070" t="s">
        <v>4431</v>
      </c>
      <c r="B8" s="3071" t="s">
        <v>4474</v>
      </c>
      <c r="C8" s="3071"/>
      <c r="D8" s="3071"/>
      <c r="E8" s="3072" t="str">
        <f>IF(OR(D12&lt;&gt;0,D13&lt;&gt;0),"、E","")</f>
        <v/>
      </c>
      <c r="F8" s="3072"/>
      <c r="H8" s="1932"/>
    </row>
    <row r="9" spans="1:8" s="1931" customFormat="1" ht="61.5" customHeight="1">
      <c r="A9" s="3070"/>
      <c r="B9" s="3103"/>
      <c r="C9" s="3103"/>
      <c r="D9" s="3103"/>
      <c r="E9" s="3103"/>
      <c r="F9" s="3103"/>
      <c r="G9" s="1932"/>
      <c r="H9" s="1932"/>
    </row>
    <row r="10" spans="1:8" s="1931" customFormat="1" ht="20.25" customHeight="1">
      <c r="A10" s="1933" t="s">
        <v>4433</v>
      </c>
      <c r="B10" s="3067" t="str">
        <f>IF(OR(D13&lt;&gt;0,D12&lt;&gt;0),"调整后认可！","不存在调整事项,认可！")</f>
        <v>不存在调整事项,认可！</v>
      </c>
      <c r="C10" s="3067"/>
      <c r="D10" s="3067"/>
      <c r="E10" s="3067"/>
      <c r="F10" s="3067"/>
      <c r="G10" s="601" t="s">
        <v>6080</v>
      </c>
      <c r="H10" s="1932"/>
    </row>
    <row r="11" spans="1:8" s="1931" customFormat="1" ht="20.25" customHeight="1">
      <c r="A11" s="1917" t="s">
        <v>750</v>
      </c>
      <c r="B11" s="1934" t="s">
        <v>4479</v>
      </c>
      <c r="C11" s="1918" t="s">
        <v>4480</v>
      </c>
      <c r="D11" s="1918" t="s">
        <v>4414</v>
      </c>
      <c r="E11" s="1918" t="s">
        <v>4415</v>
      </c>
      <c r="F11" s="1919" t="s">
        <v>4481</v>
      </c>
      <c r="G11" s="672"/>
    </row>
    <row r="12" spans="1:8" s="1931" customFormat="1" ht="20.25" customHeight="1">
      <c r="A12" s="1935" t="s">
        <v>4535</v>
      </c>
      <c r="B12" s="628">
        <f>IF(基本情况!$F$33="否",0,B13+应收!B15)</f>
        <v>0</v>
      </c>
      <c r="C12" s="628">
        <f>IF(基本情况!$F$33="否",0,C13+应收!C15)</f>
        <v>0</v>
      </c>
      <c r="D12" s="646"/>
      <c r="E12" s="693">
        <f>C12+D12</f>
        <v>0</v>
      </c>
      <c r="F12" s="647">
        <f>IF(基本情况!$F$33="否",0,F13+应收!F15)</f>
        <v>0</v>
      </c>
      <c r="G12" s="672"/>
    </row>
    <row r="13" spans="1:8" s="1931" customFormat="1" ht="20.25" customHeight="1">
      <c r="A13" s="1933" t="s">
        <v>4483</v>
      </c>
      <c r="B13" s="630">
        <f>SUM(B14:B3003)</f>
        <v>0</v>
      </c>
      <c r="C13" s="630">
        <f>SUM(C14:C3003)</f>
        <v>0</v>
      </c>
      <c r="D13" s="1863">
        <f>SUM(D14:D303)</f>
        <v>0</v>
      </c>
      <c r="E13" s="1863">
        <f>SUM(E14:E303)</f>
        <v>0</v>
      </c>
      <c r="F13" s="1875">
        <f>SUM(F14:F303)</f>
        <v>0</v>
      </c>
    </row>
    <row r="14" spans="1:8" s="1929" customFormat="1" ht="15" customHeight="1">
      <c r="A14" s="631"/>
      <c r="B14" s="632"/>
      <c r="C14" s="633"/>
      <c r="D14" s="633"/>
      <c r="E14" s="634">
        <f>C14-B14+D14</f>
        <v>0</v>
      </c>
      <c r="F14" s="635"/>
      <c r="G14" s="3101" t="s">
        <v>4536</v>
      </c>
    </row>
    <row r="15" spans="1:8" s="1929" customFormat="1" ht="15" customHeight="1">
      <c r="A15" s="1868"/>
      <c r="B15" s="637"/>
      <c r="C15" s="1871"/>
      <c r="D15" s="1871"/>
      <c r="E15" s="629">
        <f>C15-B15+D15</f>
        <v>0</v>
      </c>
      <c r="F15" s="639"/>
      <c r="G15" s="3101"/>
    </row>
    <row r="16" spans="1:8" s="1929" customFormat="1" ht="15" customHeight="1">
      <c r="A16" s="1868"/>
      <c r="B16" s="637"/>
      <c r="C16" s="1871"/>
      <c r="D16" s="1871"/>
      <c r="E16" s="629">
        <f t="shared" ref="E16:E79" si="0">C16-B16+D16</f>
        <v>0</v>
      </c>
      <c r="F16" s="639"/>
      <c r="G16" s="3101"/>
    </row>
    <row r="17" spans="1:7" s="1929" customFormat="1" ht="15" customHeight="1">
      <c r="A17" s="1868"/>
      <c r="B17" s="637"/>
      <c r="C17" s="1871"/>
      <c r="D17" s="1871"/>
      <c r="E17" s="629">
        <f t="shared" si="0"/>
        <v>0</v>
      </c>
      <c r="F17" s="639"/>
      <c r="G17" s="3101"/>
    </row>
    <row r="18" spans="1:7" s="1929" customFormat="1" ht="15" customHeight="1">
      <c r="A18" s="1868"/>
      <c r="B18" s="637"/>
      <c r="C18" s="1871"/>
      <c r="D18" s="1871"/>
      <c r="E18" s="629">
        <f t="shared" si="0"/>
        <v>0</v>
      </c>
      <c r="F18" s="639"/>
      <c r="G18" s="3101"/>
    </row>
    <row r="19" spans="1:7" s="1929" customFormat="1" ht="15" customHeight="1">
      <c r="A19" s="1868"/>
      <c r="B19" s="637"/>
      <c r="C19" s="1871"/>
      <c r="D19" s="1871"/>
      <c r="E19" s="629">
        <f t="shared" si="0"/>
        <v>0</v>
      </c>
      <c r="F19" s="639"/>
      <c r="G19" s="3101"/>
    </row>
    <row r="20" spans="1:7" s="1929" customFormat="1" ht="15" customHeight="1">
      <c r="A20" s="1868"/>
      <c r="B20" s="637"/>
      <c r="C20" s="1871"/>
      <c r="D20" s="1871"/>
      <c r="E20" s="629">
        <f t="shared" si="0"/>
        <v>0</v>
      </c>
      <c r="F20" s="639"/>
      <c r="G20" s="3101"/>
    </row>
    <row r="21" spans="1:7" s="1929" customFormat="1" ht="15" customHeight="1">
      <c r="A21" s="1868"/>
      <c r="B21" s="637"/>
      <c r="C21" s="1871"/>
      <c r="D21" s="1871"/>
      <c r="E21" s="629">
        <f t="shared" si="0"/>
        <v>0</v>
      </c>
      <c r="F21" s="639"/>
      <c r="G21" s="3101"/>
    </row>
    <row r="22" spans="1:7" s="1929" customFormat="1" ht="15" customHeight="1">
      <c r="A22" s="1868"/>
      <c r="B22" s="637"/>
      <c r="C22" s="1871"/>
      <c r="D22" s="1871"/>
      <c r="E22" s="629">
        <f t="shared" si="0"/>
        <v>0</v>
      </c>
      <c r="F22" s="639"/>
      <c r="G22" s="3101"/>
    </row>
    <row r="23" spans="1:7" s="1929" customFormat="1" ht="15" customHeight="1">
      <c r="A23" s="1868"/>
      <c r="B23" s="637"/>
      <c r="C23" s="1871"/>
      <c r="D23" s="1871"/>
      <c r="E23" s="629">
        <f t="shared" si="0"/>
        <v>0</v>
      </c>
      <c r="F23" s="639"/>
      <c r="G23" s="1940"/>
    </row>
    <row r="24" spans="1:7" s="1929" customFormat="1" ht="15" customHeight="1">
      <c r="A24" s="1868"/>
      <c r="B24" s="637"/>
      <c r="C24" s="1871"/>
      <c r="D24" s="1871"/>
      <c r="E24" s="629">
        <f t="shared" si="0"/>
        <v>0</v>
      </c>
      <c r="F24" s="639"/>
    </row>
    <row r="25" spans="1:7" s="1929" customFormat="1" ht="15" customHeight="1">
      <c r="A25" s="1868"/>
      <c r="B25" s="637"/>
      <c r="C25" s="1871"/>
      <c r="D25" s="1871"/>
      <c r="E25" s="629">
        <f t="shared" si="0"/>
        <v>0</v>
      </c>
      <c r="F25" s="639"/>
    </row>
    <row r="26" spans="1:7" s="1929" customFormat="1" ht="15" customHeight="1">
      <c r="A26" s="1868"/>
      <c r="B26" s="637"/>
      <c r="C26" s="1871"/>
      <c r="D26" s="1871"/>
      <c r="E26" s="629">
        <f t="shared" si="0"/>
        <v>0</v>
      </c>
      <c r="F26" s="639"/>
    </row>
    <row r="27" spans="1:7" s="1929" customFormat="1" ht="15" customHeight="1">
      <c r="A27" s="1868"/>
      <c r="B27" s="637"/>
      <c r="C27" s="1871"/>
      <c r="D27" s="1871"/>
      <c r="E27" s="629">
        <f t="shared" si="0"/>
        <v>0</v>
      </c>
      <c r="F27" s="639"/>
    </row>
    <row r="28" spans="1:7" s="1929" customFormat="1" ht="15" customHeight="1">
      <c r="A28" s="1868"/>
      <c r="B28" s="637"/>
      <c r="C28" s="1871"/>
      <c r="D28" s="1871"/>
      <c r="E28" s="629">
        <f t="shared" si="0"/>
        <v>0</v>
      </c>
      <c r="F28" s="639"/>
    </row>
    <row r="29" spans="1:7" s="1929" customFormat="1" ht="15" customHeight="1">
      <c r="A29" s="1868"/>
      <c r="B29" s="637"/>
      <c r="C29" s="1871"/>
      <c r="D29" s="1871"/>
      <c r="E29" s="629">
        <f t="shared" si="0"/>
        <v>0</v>
      </c>
      <c r="F29" s="639"/>
    </row>
    <row r="30" spans="1:7" s="1929" customFormat="1" ht="15" customHeight="1">
      <c r="A30" s="1868"/>
      <c r="B30" s="637"/>
      <c r="C30" s="1871"/>
      <c r="D30" s="1871"/>
      <c r="E30" s="629">
        <f t="shared" si="0"/>
        <v>0</v>
      </c>
      <c r="F30" s="639"/>
    </row>
    <row r="31" spans="1:7" s="1929" customFormat="1" ht="15" customHeight="1">
      <c r="A31" s="1868"/>
      <c r="B31" s="637"/>
      <c r="C31" s="1871"/>
      <c r="D31" s="1871"/>
      <c r="E31" s="629">
        <f t="shared" si="0"/>
        <v>0</v>
      </c>
      <c r="F31" s="639"/>
    </row>
    <row r="32" spans="1:7" s="1929" customFormat="1" ht="15" customHeight="1">
      <c r="A32" s="1868"/>
      <c r="B32" s="637"/>
      <c r="C32" s="1871"/>
      <c r="D32" s="1871"/>
      <c r="E32" s="629">
        <f t="shared" si="0"/>
        <v>0</v>
      </c>
      <c r="F32" s="639"/>
    </row>
    <row r="33" spans="1:6" s="1929" customFormat="1" ht="15" customHeight="1">
      <c r="A33" s="1868"/>
      <c r="B33" s="637"/>
      <c r="C33" s="1871"/>
      <c r="D33" s="1871"/>
      <c r="E33" s="629">
        <f t="shared" si="0"/>
        <v>0</v>
      </c>
      <c r="F33" s="639"/>
    </row>
    <row r="34" spans="1:6" s="1929" customFormat="1" ht="15" customHeight="1">
      <c r="A34" s="1868"/>
      <c r="B34" s="637"/>
      <c r="C34" s="1871"/>
      <c r="D34" s="1871"/>
      <c r="E34" s="629">
        <f t="shared" si="0"/>
        <v>0</v>
      </c>
      <c r="F34" s="639"/>
    </row>
    <row r="35" spans="1:6" s="1929" customFormat="1" ht="15" customHeight="1">
      <c r="A35" s="1868"/>
      <c r="B35" s="637"/>
      <c r="C35" s="1871"/>
      <c r="D35" s="1871"/>
      <c r="E35" s="629">
        <f t="shared" si="0"/>
        <v>0</v>
      </c>
      <c r="F35" s="639"/>
    </row>
    <row r="36" spans="1:6" s="1929" customFormat="1" ht="15" customHeight="1">
      <c r="A36" s="1868"/>
      <c r="B36" s="637"/>
      <c r="C36" s="1871"/>
      <c r="D36" s="1871"/>
      <c r="E36" s="629">
        <f t="shared" si="0"/>
        <v>0</v>
      </c>
      <c r="F36" s="639"/>
    </row>
    <row r="37" spans="1:6" s="1929" customFormat="1" ht="15" customHeight="1">
      <c r="A37" s="1868"/>
      <c r="B37" s="637"/>
      <c r="C37" s="1871"/>
      <c r="D37" s="1871"/>
      <c r="E37" s="629">
        <f t="shared" si="0"/>
        <v>0</v>
      </c>
      <c r="F37" s="639"/>
    </row>
    <row r="38" spans="1:6" s="1929" customFormat="1" ht="15" customHeight="1">
      <c r="A38" s="1868"/>
      <c r="B38" s="637"/>
      <c r="C38" s="1871"/>
      <c r="D38" s="1871"/>
      <c r="E38" s="629">
        <f t="shared" si="0"/>
        <v>0</v>
      </c>
      <c r="F38" s="639"/>
    </row>
    <row r="39" spans="1:6" s="1929" customFormat="1" ht="15" customHeight="1">
      <c r="A39" s="1868"/>
      <c r="B39" s="637"/>
      <c r="C39" s="1871"/>
      <c r="D39" s="1871"/>
      <c r="E39" s="629">
        <f t="shared" si="0"/>
        <v>0</v>
      </c>
      <c r="F39" s="639"/>
    </row>
    <row r="40" spans="1:6" s="1929" customFormat="1" ht="15" customHeight="1">
      <c r="A40" s="1868"/>
      <c r="B40" s="637"/>
      <c r="C40" s="1871"/>
      <c r="D40" s="1871"/>
      <c r="E40" s="629">
        <f t="shared" si="0"/>
        <v>0</v>
      </c>
      <c r="F40" s="639"/>
    </row>
    <row r="41" spans="1:6" s="1929" customFormat="1" ht="15" customHeight="1">
      <c r="A41" s="1868"/>
      <c r="B41" s="637"/>
      <c r="C41" s="1871"/>
      <c r="D41" s="1871"/>
      <c r="E41" s="629">
        <f t="shared" si="0"/>
        <v>0</v>
      </c>
      <c r="F41" s="639"/>
    </row>
    <row r="42" spans="1:6" s="1929" customFormat="1" ht="15" customHeight="1">
      <c r="A42" s="1868"/>
      <c r="B42" s="637"/>
      <c r="C42" s="1871"/>
      <c r="D42" s="1871"/>
      <c r="E42" s="629">
        <f t="shared" si="0"/>
        <v>0</v>
      </c>
      <c r="F42" s="639"/>
    </row>
    <row r="43" spans="1:6" s="1929" customFormat="1" ht="15" customHeight="1">
      <c r="A43" s="1868"/>
      <c r="B43" s="637"/>
      <c r="C43" s="1871"/>
      <c r="D43" s="1871"/>
      <c r="E43" s="629">
        <f t="shared" si="0"/>
        <v>0</v>
      </c>
      <c r="F43" s="639"/>
    </row>
    <row r="44" spans="1:6" s="1929" customFormat="1" ht="15" customHeight="1">
      <c r="A44" s="1868"/>
      <c r="B44" s="637"/>
      <c r="C44" s="1871"/>
      <c r="D44" s="1871"/>
      <c r="E44" s="629">
        <f t="shared" si="0"/>
        <v>0</v>
      </c>
      <c r="F44" s="639"/>
    </row>
    <row r="45" spans="1:6" s="1929" customFormat="1" ht="15" customHeight="1">
      <c r="A45" s="1868"/>
      <c r="B45" s="637"/>
      <c r="C45" s="1871"/>
      <c r="D45" s="1871"/>
      <c r="E45" s="629">
        <f t="shared" si="0"/>
        <v>0</v>
      </c>
      <c r="F45" s="639"/>
    </row>
    <row r="46" spans="1:6" s="1929" customFormat="1" ht="15" customHeight="1">
      <c r="A46" s="1868"/>
      <c r="B46" s="637"/>
      <c r="C46" s="1871"/>
      <c r="D46" s="1871"/>
      <c r="E46" s="629">
        <f t="shared" si="0"/>
        <v>0</v>
      </c>
      <c r="F46" s="639"/>
    </row>
    <row r="47" spans="1:6" s="1929" customFormat="1" ht="15" customHeight="1">
      <c r="A47" s="1868"/>
      <c r="B47" s="637"/>
      <c r="C47" s="1871"/>
      <c r="D47" s="1871"/>
      <c r="E47" s="629">
        <f t="shared" si="0"/>
        <v>0</v>
      </c>
      <c r="F47" s="639"/>
    </row>
    <row r="48" spans="1:6" s="1929" customFormat="1" ht="15" customHeight="1">
      <c r="A48" s="1868"/>
      <c r="B48" s="637"/>
      <c r="C48" s="1871"/>
      <c r="D48" s="1871"/>
      <c r="E48" s="629">
        <f t="shared" si="0"/>
        <v>0</v>
      </c>
      <c r="F48" s="639"/>
    </row>
    <row r="49" spans="1:6" s="1937" customFormat="1" ht="15" customHeight="1">
      <c r="A49" s="1868"/>
      <c r="B49" s="637"/>
      <c r="C49" s="1871"/>
      <c r="D49" s="1871"/>
      <c r="E49" s="629">
        <f t="shared" si="0"/>
        <v>0</v>
      </c>
      <c r="F49" s="639"/>
    </row>
    <row r="50" spans="1:6" s="1937" customFormat="1" ht="15" customHeight="1">
      <c r="A50" s="1868"/>
      <c r="B50" s="637"/>
      <c r="C50" s="1871"/>
      <c r="D50" s="1871"/>
      <c r="E50" s="629">
        <f t="shared" si="0"/>
        <v>0</v>
      </c>
      <c r="F50" s="639"/>
    </row>
    <row r="51" spans="1:6" s="1937" customFormat="1" ht="15" customHeight="1">
      <c r="A51" s="1868"/>
      <c r="B51" s="637"/>
      <c r="C51" s="1871"/>
      <c r="D51" s="1871"/>
      <c r="E51" s="629">
        <f t="shared" si="0"/>
        <v>0</v>
      </c>
      <c r="F51" s="639"/>
    </row>
    <row r="52" spans="1:6" s="1937" customFormat="1" ht="15" customHeight="1">
      <c r="A52" s="1868"/>
      <c r="B52" s="637"/>
      <c r="C52" s="1871"/>
      <c r="D52" s="1871"/>
      <c r="E52" s="629">
        <f t="shared" si="0"/>
        <v>0</v>
      </c>
      <c r="F52" s="639"/>
    </row>
    <row r="53" spans="1:6" s="1937" customFormat="1" ht="15" customHeight="1">
      <c r="A53" s="1868"/>
      <c r="B53" s="637"/>
      <c r="C53" s="1871"/>
      <c r="D53" s="1871"/>
      <c r="E53" s="629">
        <f t="shared" si="0"/>
        <v>0</v>
      </c>
      <c r="F53" s="639"/>
    </row>
    <row r="54" spans="1:6" ht="15" customHeight="1">
      <c r="A54" s="1868"/>
      <c r="B54" s="637"/>
      <c r="C54" s="1871"/>
      <c r="D54" s="1871"/>
      <c r="E54" s="629">
        <f t="shared" si="0"/>
        <v>0</v>
      </c>
      <c r="F54" s="639"/>
    </row>
    <row r="55" spans="1:6" ht="15" customHeight="1">
      <c r="A55" s="1868"/>
      <c r="B55" s="637"/>
      <c r="C55" s="1871"/>
      <c r="D55" s="1871"/>
      <c r="E55" s="629">
        <f t="shared" si="0"/>
        <v>0</v>
      </c>
      <c r="F55" s="639"/>
    </row>
    <row r="56" spans="1:6" ht="15" customHeight="1">
      <c r="A56" s="1868"/>
      <c r="B56" s="637"/>
      <c r="C56" s="1871"/>
      <c r="D56" s="1871"/>
      <c r="E56" s="629">
        <f t="shared" si="0"/>
        <v>0</v>
      </c>
      <c r="F56" s="639"/>
    </row>
    <row r="57" spans="1:6" ht="15" customHeight="1">
      <c r="A57" s="1868"/>
      <c r="B57" s="637"/>
      <c r="C57" s="1871"/>
      <c r="D57" s="1871"/>
      <c r="E57" s="629">
        <f t="shared" si="0"/>
        <v>0</v>
      </c>
      <c r="F57" s="639"/>
    </row>
    <row r="58" spans="1:6" ht="15" customHeight="1">
      <c r="A58" s="1868"/>
      <c r="B58" s="637"/>
      <c r="C58" s="1871"/>
      <c r="D58" s="1871"/>
      <c r="E58" s="629">
        <f t="shared" si="0"/>
        <v>0</v>
      </c>
      <c r="F58" s="639"/>
    </row>
    <row r="59" spans="1:6" ht="15" customHeight="1">
      <c r="A59" s="1868"/>
      <c r="B59" s="637"/>
      <c r="C59" s="1871"/>
      <c r="D59" s="1871"/>
      <c r="E59" s="629">
        <f t="shared" si="0"/>
        <v>0</v>
      </c>
      <c r="F59" s="639"/>
    </row>
    <row r="60" spans="1:6" ht="15" customHeight="1">
      <c r="A60" s="1868"/>
      <c r="B60" s="637"/>
      <c r="C60" s="1871"/>
      <c r="D60" s="1871"/>
      <c r="E60" s="629">
        <f t="shared" si="0"/>
        <v>0</v>
      </c>
      <c r="F60" s="639"/>
    </row>
    <row r="61" spans="1:6" ht="15" customHeight="1">
      <c r="A61" s="1868"/>
      <c r="B61" s="637"/>
      <c r="C61" s="1871"/>
      <c r="D61" s="1871"/>
      <c r="E61" s="629">
        <f t="shared" si="0"/>
        <v>0</v>
      </c>
      <c r="F61" s="639"/>
    </row>
    <row r="62" spans="1:6" ht="15" customHeight="1">
      <c r="A62" s="1868"/>
      <c r="B62" s="637"/>
      <c r="C62" s="1871"/>
      <c r="D62" s="1871"/>
      <c r="E62" s="629">
        <f t="shared" si="0"/>
        <v>0</v>
      </c>
      <c r="F62" s="639"/>
    </row>
    <row r="63" spans="1:6" ht="15" customHeight="1">
      <c r="A63" s="1868"/>
      <c r="B63" s="637"/>
      <c r="C63" s="1871"/>
      <c r="D63" s="1871"/>
      <c r="E63" s="629">
        <f t="shared" si="0"/>
        <v>0</v>
      </c>
      <c r="F63" s="639"/>
    </row>
    <row r="64" spans="1:6" ht="15" customHeight="1">
      <c r="A64" s="1868"/>
      <c r="B64" s="637"/>
      <c r="C64" s="1871"/>
      <c r="D64" s="1871"/>
      <c r="E64" s="629">
        <f t="shared" si="0"/>
        <v>0</v>
      </c>
      <c r="F64" s="639"/>
    </row>
    <row r="65" spans="1:6" ht="15" customHeight="1">
      <c r="A65" s="1868"/>
      <c r="B65" s="637"/>
      <c r="C65" s="1871"/>
      <c r="D65" s="1871"/>
      <c r="E65" s="629">
        <f t="shared" si="0"/>
        <v>0</v>
      </c>
      <c r="F65" s="639"/>
    </row>
    <row r="66" spans="1:6" ht="15" customHeight="1">
      <c r="A66" s="1868"/>
      <c r="B66" s="637"/>
      <c r="C66" s="1871"/>
      <c r="D66" s="1871"/>
      <c r="E66" s="629">
        <f t="shared" si="0"/>
        <v>0</v>
      </c>
      <c r="F66" s="639"/>
    </row>
    <row r="67" spans="1:6" ht="15" customHeight="1">
      <c r="A67" s="1868"/>
      <c r="B67" s="637"/>
      <c r="C67" s="1871"/>
      <c r="D67" s="1871"/>
      <c r="E67" s="629">
        <f t="shared" si="0"/>
        <v>0</v>
      </c>
      <c r="F67" s="639"/>
    </row>
    <row r="68" spans="1:6" ht="15" customHeight="1">
      <c r="A68" s="1868"/>
      <c r="B68" s="637"/>
      <c r="C68" s="1871"/>
      <c r="D68" s="1871"/>
      <c r="E68" s="629">
        <f t="shared" si="0"/>
        <v>0</v>
      </c>
      <c r="F68" s="639"/>
    </row>
    <row r="69" spans="1:6" ht="15" customHeight="1">
      <c r="A69" s="1868"/>
      <c r="B69" s="637"/>
      <c r="C69" s="1871"/>
      <c r="D69" s="1871"/>
      <c r="E69" s="629">
        <f t="shared" si="0"/>
        <v>0</v>
      </c>
      <c r="F69" s="639"/>
    </row>
    <row r="70" spans="1:6" ht="15" customHeight="1">
      <c r="A70" s="1868"/>
      <c r="B70" s="637"/>
      <c r="C70" s="1871"/>
      <c r="D70" s="1871"/>
      <c r="E70" s="629">
        <f t="shared" si="0"/>
        <v>0</v>
      </c>
      <c r="F70" s="639"/>
    </row>
    <row r="71" spans="1:6" ht="15" customHeight="1">
      <c r="A71" s="1868"/>
      <c r="B71" s="637"/>
      <c r="C71" s="1871"/>
      <c r="D71" s="1871"/>
      <c r="E71" s="629">
        <f t="shared" si="0"/>
        <v>0</v>
      </c>
      <c r="F71" s="639"/>
    </row>
    <row r="72" spans="1:6" ht="15" customHeight="1">
      <c r="A72" s="1868"/>
      <c r="B72" s="637"/>
      <c r="C72" s="1871"/>
      <c r="D72" s="1871"/>
      <c r="E72" s="629">
        <f t="shared" si="0"/>
        <v>0</v>
      </c>
      <c r="F72" s="639"/>
    </row>
    <row r="73" spans="1:6" ht="15" customHeight="1">
      <c r="A73" s="1868"/>
      <c r="B73" s="637"/>
      <c r="C73" s="1871"/>
      <c r="D73" s="1871"/>
      <c r="E73" s="629">
        <f t="shared" si="0"/>
        <v>0</v>
      </c>
      <c r="F73" s="639"/>
    </row>
    <row r="74" spans="1:6" ht="15" customHeight="1">
      <c r="A74" s="1868"/>
      <c r="B74" s="637"/>
      <c r="C74" s="1871"/>
      <c r="D74" s="1871"/>
      <c r="E74" s="629">
        <f t="shared" si="0"/>
        <v>0</v>
      </c>
      <c r="F74" s="639"/>
    </row>
    <row r="75" spans="1:6" ht="15" customHeight="1">
      <c r="A75" s="1868"/>
      <c r="B75" s="637"/>
      <c r="C75" s="1871"/>
      <c r="D75" s="1871"/>
      <c r="E75" s="629">
        <f t="shared" si="0"/>
        <v>0</v>
      </c>
      <c r="F75" s="639"/>
    </row>
    <row r="76" spans="1:6" ht="15" customHeight="1">
      <c r="A76" s="1868"/>
      <c r="B76" s="637"/>
      <c r="C76" s="1871"/>
      <c r="D76" s="1871"/>
      <c r="E76" s="629">
        <f t="shared" si="0"/>
        <v>0</v>
      </c>
      <c r="F76" s="639"/>
    </row>
    <row r="77" spans="1:6" ht="15" customHeight="1">
      <c r="A77" s="1868"/>
      <c r="B77" s="637"/>
      <c r="C77" s="1871"/>
      <c r="D77" s="1871"/>
      <c r="E77" s="629">
        <f t="shared" si="0"/>
        <v>0</v>
      </c>
      <c r="F77" s="639"/>
    </row>
    <row r="78" spans="1:6" ht="15" customHeight="1">
      <c r="A78" s="1868"/>
      <c r="B78" s="637"/>
      <c r="C78" s="1871"/>
      <c r="D78" s="1871"/>
      <c r="E78" s="629">
        <f t="shared" si="0"/>
        <v>0</v>
      </c>
      <c r="F78" s="639"/>
    </row>
    <row r="79" spans="1:6" ht="15" customHeight="1">
      <c r="A79" s="1868"/>
      <c r="B79" s="637"/>
      <c r="C79" s="1871"/>
      <c r="D79" s="1871"/>
      <c r="E79" s="629">
        <f t="shared" si="0"/>
        <v>0</v>
      </c>
      <c r="F79" s="639"/>
    </row>
    <row r="80" spans="1:6" ht="15" customHeight="1">
      <c r="A80" s="1868"/>
      <c r="B80" s="637"/>
      <c r="C80" s="1871"/>
      <c r="D80" s="1871"/>
      <c r="E80" s="629">
        <f t="shared" ref="E80:E143" si="1">C80-B80+D80</f>
        <v>0</v>
      </c>
      <c r="F80" s="639"/>
    </row>
    <row r="81" spans="1:6" ht="15" customHeight="1">
      <c r="A81" s="1868"/>
      <c r="B81" s="637"/>
      <c r="C81" s="1871"/>
      <c r="D81" s="1871"/>
      <c r="E81" s="629">
        <f t="shared" si="1"/>
        <v>0</v>
      </c>
      <c r="F81" s="639"/>
    </row>
    <row r="82" spans="1:6" ht="15" customHeight="1">
      <c r="A82" s="1868"/>
      <c r="B82" s="637"/>
      <c r="C82" s="1871"/>
      <c r="D82" s="1871"/>
      <c r="E82" s="629">
        <f t="shared" si="1"/>
        <v>0</v>
      </c>
      <c r="F82" s="639"/>
    </row>
    <row r="83" spans="1:6" ht="15" customHeight="1">
      <c r="A83" s="1868"/>
      <c r="B83" s="637"/>
      <c r="C83" s="1871"/>
      <c r="D83" s="1871"/>
      <c r="E83" s="629">
        <f t="shared" si="1"/>
        <v>0</v>
      </c>
      <c r="F83" s="639"/>
    </row>
    <row r="84" spans="1:6" ht="15" customHeight="1">
      <c r="A84" s="1868"/>
      <c r="B84" s="637"/>
      <c r="C84" s="1871"/>
      <c r="D84" s="1871"/>
      <c r="E84" s="629">
        <f t="shared" si="1"/>
        <v>0</v>
      </c>
      <c r="F84" s="639"/>
    </row>
    <row r="85" spans="1:6" ht="15" customHeight="1">
      <c r="A85" s="1868"/>
      <c r="B85" s="637"/>
      <c r="C85" s="1871"/>
      <c r="D85" s="1871"/>
      <c r="E85" s="629">
        <f t="shared" si="1"/>
        <v>0</v>
      </c>
      <c r="F85" s="639"/>
    </row>
    <row r="86" spans="1:6" ht="15" customHeight="1">
      <c r="A86" s="1868"/>
      <c r="B86" s="637"/>
      <c r="C86" s="1871"/>
      <c r="D86" s="1871"/>
      <c r="E86" s="629">
        <f t="shared" si="1"/>
        <v>0</v>
      </c>
      <c r="F86" s="639"/>
    </row>
    <row r="87" spans="1:6" ht="15" customHeight="1">
      <c r="A87" s="1868"/>
      <c r="B87" s="637"/>
      <c r="C87" s="1871"/>
      <c r="D87" s="1871"/>
      <c r="E87" s="629">
        <f t="shared" si="1"/>
        <v>0</v>
      </c>
      <c r="F87" s="639"/>
    </row>
    <row r="88" spans="1:6" ht="15" customHeight="1">
      <c r="A88" s="1868"/>
      <c r="B88" s="637"/>
      <c r="C88" s="1871"/>
      <c r="D88" s="1871"/>
      <c r="E88" s="629">
        <f t="shared" si="1"/>
        <v>0</v>
      </c>
      <c r="F88" s="639"/>
    </row>
    <row r="89" spans="1:6" ht="15" customHeight="1">
      <c r="A89" s="1868"/>
      <c r="B89" s="637"/>
      <c r="C89" s="1871"/>
      <c r="D89" s="1871"/>
      <c r="E89" s="629">
        <f t="shared" si="1"/>
        <v>0</v>
      </c>
      <c r="F89" s="639"/>
    </row>
    <row r="90" spans="1:6" ht="15" customHeight="1">
      <c r="A90" s="1868"/>
      <c r="B90" s="637"/>
      <c r="C90" s="1871"/>
      <c r="D90" s="1871"/>
      <c r="E90" s="629">
        <f t="shared" si="1"/>
        <v>0</v>
      </c>
      <c r="F90" s="639"/>
    </row>
    <row r="91" spans="1:6" ht="15" customHeight="1">
      <c r="A91" s="1868"/>
      <c r="B91" s="637"/>
      <c r="C91" s="1871"/>
      <c r="D91" s="1871"/>
      <c r="E91" s="629">
        <f t="shared" si="1"/>
        <v>0</v>
      </c>
      <c r="F91" s="639"/>
    </row>
    <row r="92" spans="1:6" ht="15" customHeight="1">
      <c r="A92" s="1868"/>
      <c r="B92" s="637"/>
      <c r="C92" s="1871"/>
      <c r="D92" s="1871"/>
      <c r="E92" s="629">
        <f t="shared" si="1"/>
        <v>0</v>
      </c>
      <c r="F92" s="639"/>
    </row>
    <row r="93" spans="1:6" ht="15" customHeight="1">
      <c r="A93" s="1868"/>
      <c r="B93" s="637"/>
      <c r="C93" s="1871"/>
      <c r="D93" s="1871"/>
      <c r="E93" s="629">
        <f t="shared" si="1"/>
        <v>0</v>
      </c>
      <c r="F93" s="639"/>
    </row>
    <row r="94" spans="1:6" ht="15" customHeight="1">
      <c r="A94" s="1868"/>
      <c r="B94" s="637"/>
      <c r="C94" s="1871"/>
      <c r="D94" s="1871"/>
      <c r="E94" s="629">
        <f t="shared" si="1"/>
        <v>0</v>
      </c>
      <c r="F94" s="639"/>
    </row>
    <row r="95" spans="1:6" ht="15" customHeight="1">
      <c r="A95" s="1868"/>
      <c r="B95" s="637"/>
      <c r="C95" s="1871"/>
      <c r="D95" s="1871"/>
      <c r="E95" s="629">
        <f t="shared" si="1"/>
        <v>0</v>
      </c>
      <c r="F95" s="639"/>
    </row>
    <row r="96" spans="1:6" ht="15" customHeight="1">
      <c r="A96" s="1868"/>
      <c r="B96" s="637"/>
      <c r="C96" s="1871"/>
      <c r="D96" s="1871"/>
      <c r="E96" s="629">
        <f t="shared" si="1"/>
        <v>0</v>
      </c>
      <c r="F96" s="639"/>
    </row>
    <row r="97" spans="1:6" ht="15" customHeight="1">
      <c r="A97" s="1868"/>
      <c r="B97" s="637"/>
      <c r="C97" s="1871"/>
      <c r="D97" s="1871"/>
      <c r="E97" s="629">
        <f t="shared" si="1"/>
        <v>0</v>
      </c>
      <c r="F97" s="639"/>
    </row>
    <row r="98" spans="1:6" ht="15" customHeight="1">
      <c r="A98" s="1868"/>
      <c r="B98" s="637"/>
      <c r="C98" s="1871"/>
      <c r="D98" s="1871"/>
      <c r="E98" s="629">
        <f t="shared" si="1"/>
        <v>0</v>
      </c>
      <c r="F98" s="639"/>
    </row>
    <row r="99" spans="1:6" ht="15" customHeight="1">
      <c r="A99" s="1868"/>
      <c r="B99" s="637"/>
      <c r="C99" s="1871"/>
      <c r="D99" s="1871"/>
      <c r="E99" s="629">
        <f t="shared" si="1"/>
        <v>0</v>
      </c>
      <c r="F99" s="639"/>
    </row>
    <row r="100" spans="1:6" ht="15" customHeight="1">
      <c r="A100" s="1868"/>
      <c r="B100" s="637"/>
      <c r="C100" s="1871"/>
      <c r="D100" s="1871"/>
      <c r="E100" s="629">
        <f t="shared" si="1"/>
        <v>0</v>
      </c>
      <c r="F100" s="639"/>
    </row>
    <row r="101" spans="1:6" ht="15" customHeight="1">
      <c r="A101" s="1868"/>
      <c r="B101" s="637"/>
      <c r="C101" s="1871"/>
      <c r="D101" s="1871"/>
      <c r="E101" s="629">
        <f t="shared" si="1"/>
        <v>0</v>
      </c>
      <c r="F101" s="639"/>
    </row>
    <row r="102" spans="1:6" ht="15" customHeight="1">
      <c r="A102" s="1868"/>
      <c r="B102" s="637"/>
      <c r="C102" s="1871"/>
      <c r="D102" s="1871"/>
      <c r="E102" s="629">
        <f t="shared" si="1"/>
        <v>0</v>
      </c>
      <c r="F102" s="639"/>
    </row>
    <row r="103" spans="1:6" ht="15" customHeight="1">
      <c r="A103" s="1868"/>
      <c r="B103" s="637"/>
      <c r="C103" s="1871"/>
      <c r="D103" s="1871"/>
      <c r="E103" s="629">
        <f t="shared" si="1"/>
        <v>0</v>
      </c>
      <c r="F103" s="639"/>
    </row>
    <row r="104" spans="1:6" ht="15" customHeight="1">
      <c r="A104" s="1868"/>
      <c r="B104" s="637"/>
      <c r="C104" s="1871"/>
      <c r="D104" s="1871"/>
      <c r="E104" s="629">
        <f t="shared" si="1"/>
        <v>0</v>
      </c>
      <c r="F104" s="639"/>
    </row>
    <row r="105" spans="1:6" ht="15" customHeight="1">
      <c r="A105" s="1868"/>
      <c r="B105" s="637"/>
      <c r="C105" s="1871"/>
      <c r="D105" s="1871"/>
      <c r="E105" s="629">
        <f t="shared" si="1"/>
        <v>0</v>
      </c>
      <c r="F105" s="639"/>
    </row>
    <row r="106" spans="1:6" ht="15" customHeight="1">
      <c r="A106" s="1868"/>
      <c r="B106" s="637"/>
      <c r="C106" s="1871"/>
      <c r="D106" s="1871"/>
      <c r="E106" s="629">
        <f t="shared" si="1"/>
        <v>0</v>
      </c>
      <c r="F106" s="639"/>
    </row>
    <row r="107" spans="1:6" ht="15" customHeight="1">
      <c r="A107" s="1868"/>
      <c r="B107" s="637"/>
      <c r="C107" s="1871"/>
      <c r="D107" s="1871"/>
      <c r="E107" s="629">
        <f t="shared" si="1"/>
        <v>0</v>
      </c>
      <c r="F107" s="639"/>
    </row>
    <row r="108" spans="1:6" ht="15" customHeight="1">
      <c r="A108" s="1868"/>
      <c r="B108" s="637"/>
      <c r="C108" s="1871"/>
      <c r="D108" s="1871"/>
      <c r="E108" s="629">
        <f t="shared" si="1"/>
        <v>0</v>
      </c>
      <c r="F108" s="639"/>
    </row>
    <row r="109" spans="1:6" ht="15" customHeight="1">
      <c r="A109" s="1868"/>
      <c r="B109" s="637"/>
      <c r="C109" s="1871"/>
      <c r="D109" s="1871"/>
      <c r="E109" s="629">
        <f t="shared" si="1"/>
        <v>0</v>
      </c>
      <c r="F109" s="639"/>
    </row>
    <row r="110" spans="1:6" ht="15" customHeight="1">
      <c r="A110" s="1868"/>
      <c r="B110" s="637"/>
      <c r="C110" s="1871"/>
      <c r="D110" s="1871"/>
      <c r="E110" s="629">
        <f t="shared" si="1"/>
        <v>0</v>
      </c>
      <c r="F110" s="639"/>
    </row>
    <row r="111" spans="1:6" ht="15" customHeight="1">
      <c r="A111" s="1868"/>
      <c r="B111" s="637"/>
      <c r="C111" s="1871"/>
      <c r="D111" s="1871"/>
      <c r="E111" s="629">
        <f t="shared" si="1"/>
        <v>0</v>
      </c>
      <c r="F111" s="639"/>
    </row>
    <row r="112" spans="1:6" ht="15" customHeight="1">
      <c r="A112" s="1868"/>
      <c r="B112" s="637"/>
      <c r="C112" s="1871"/>
      <c r="D112" s="1871"/>
      <c r="E112" s="629">
        <f t="shared" si="1"/>
        <v>0</v>
      </c>
      <c r="F112" s="639"/>
    </row>
    <row r="113" spans="1:6" ht="15" customHeight="1">
      <c r="A113" s="1868"/>
      <c r="B113" s="637"/>
      <c r="C113" s="1871"/>
      <c r="D113" s="1871"/>
      <c r="E113" s="629">
        <f t="shared" si="1"/>
        <v>0</v>
      </c>
      <c r="F113" s="639"/>
    </row>
    <row r="114" spans="1:6" ht="15" customHeight="1">
      <c r="A114" s="1868"/>
      <c r="B114" s="637"/>
      <c r="C114" s="1871"/>
      <c r="D114" s="1871"/>
      <c r="E114" s="629">
        <f t="shared" si="1"/>
        <v>0</v>
      </c>
      <c r="F114" s="639"/>
    </row>
    <row r="115" spans="1:6" ht="15" customHeight="1">
      <c r="A115" s="1868"/>
      <c r="B115" s="637"/>
      <c r="C115" s="1871"/>
      <c r="D115" s="1871"/>
      <c r="E115" s="629">
        <f t="shared" si="1"/>
        <v>0</v>
      </c>
      <c r="F115" s="639"/>
    </row>
    <row r="116" spans="1:6" ht="15" customHeight="1">
      <c r="A116" s="1868"/>
      <c r="B116" s="637"/>
      <c r="C116" s="1871"/>
      <c r="D116" s="1871"/>
      <c r="E116" s="629">
        <f t="shared" si="1"/>
        <v>0</v>
      </c>
      <c r="F116" s="639"/>
    </row>
    <row r="117" spans="1:6" ht="15" customHeight="1">
      <c r="A117" s="1868"/>
      <c r="B117" s="637"/>
      <c r="C117" s="1871"/>
      <c r="D117" s="1871"/>
      <c r="E117" s="629">
        <f t="shared" si="1"/>
        <v>0</v>
      </c>
      <c r="F117" s="639"/>
    </row>
    <row r="118" spans="1:6" ht="15" customHeight="1">
      <c r="A118" s="1868"/>
      <c r="B118" s="637"/>
      <c r="C118" s="1871"/>
      <c r="D118" s="1871"/>
      <c r="E118" s="629">
        <f t="shared" si="1"/>
        <v>0</v>
      </c>
      <c r="F118" s="639"/>
    </row>
    <row r="119" spans="1:6" ht="15" customHeight="1">
      <c r="A119" s="1868"/>
      <c r="B119" s="637"/>
      <c r="C119" s="1871"/>
      <c r="D119" s="1871"/>
      <c r="E119" s="629">
        <f t="shared" si="1"/>
        <v>0</v>
      </c>
      <c r="F119" s="639"/>
    </row>
    <row r="120" spans="1:6" ht="15" customHeight="1">
      <c r="A120" s="1868"/>
      <c r="B120" s="637"/>
      <c r="C120" s="1871"/>
      <c r="D120" s="1871"/>
      <c r="E120" s="629">
        <f t="shared" si="1"/>
        <v>0</v>
      </c>
      <c r="F120" s="639"/>
    </row>
    <row r="121" spans="1:6" ht="15" customHeight="1">
      <c r="A121" s="1868"/>
      <c r="B121" s="637"/>
      <c r="C121" s="1871"/>
      <c r="D121" s="1871"/>
      <c r="E121" s="629">
        <f t="shared" si="1"/>
        <v>0</v>
      </c>
      <c r="F121" s="639"/>
    </row>
    <row r="122" spans="1:6" ht="15" customHeight="1">
      <c r="A122" s="1868"/>
      <c r="B122" s="637"/>
      <c r="C122" s="1871"/>
      <c r="D122" s="1871"/>
      <c r="E122" s="629">
        <f t="shared" si="1"/>
        <v>0</v>
      </c>
      <c r="F122" s="639"/>
    </row>
    <row r="123" spans="1:6" ht="15" customHeight="1">
      <c r="A123" s="1868"/>
      <c r="B123" s="637"/>
      <c r="C123" s="1871"/>
      <c r="D123" s="1871"/>
      <c r="E123" s="629">
        <f t="shared" si="1"/>
        <v>0</v>
      </c>
      <c r="F123" s="639"/>
    </row>
    <row r="124" spans="1:6" ht="15" customHeight="1">
      <c r="A124" s="1868"/>
      <c r="B124" s="637"/>
      <c r="C124" s="1871"/>
      <c r="D124" s="1871"/>
      <c r="E124" s="629">
        <f t="shared" si="1"/>
        <v>0</v>
      </c>
      <c r="F124" s="639"/>
    </row>
    <row r="125" spans="1:6" ht="15" customHeight="1">
      <c r="A125" s="1868"/>
      <c r="B125" s="637"/>
      <c r="C125" s="1871"/>
      <c r="D125" s="1871"/>
      <c r="E125" s="629">
        <f t="shared" si="1"/>
        <v>0</v>
      </c>
      <c r="F125" s="639"/>
    </row>
    <row r="126" spans="1:6" ht="15" customHeight="1">
      <c r="A126" s="1868"/>
      <c r="B126" s="637"/>
      <c r="C126" s="1871"/>
      <c r="D126" s="1871"/>
      <c r="E126" s="629">
        <f t="shared" si="1"/>
        <v>0</v>
      </c>
      <c r="F126" s="639"/>
    </row>
    <row r="127" spans="1:6" ht="15" customHeight="1">
      <c r="A127" s="1868"/>
      <c r="B127" s="637"/>
      <c r="C127" s="1871"/>
      <c r="D127" s="1871"/>
      <c r="E127" s="629">
        <f t="shared" si="1"/>
        <v>0</v>
      </c>
      <c r="F127" s="639"/>
    </row>
    <row r="128" spans="1:6" ht="15" customHeight="1">
      <c r="A128" s="1868"/>
      <c r="B128" s="637"/>
      <c r="C128" s="1871"/>
      <c r="D128" s="1871"/>
      <c r="E128" s="629">
        <f t="shared" si="1"/>
        <v>0</v>
      </c>
      <c r="F128" s="639"/>
    </row>
    <row r="129" spans="1:6" ht="15" customHeight="1">
      <c r="A129" s="1868"/>
      <c r="B129" s="637"/>
      <c r="C129" s="1871"/>
      <c r="D129" s="1871"/>
      <c r="E129" s="629">
        <f t="shared" si="1"/>
        <v>0</v>
      </c>
      <c r="F129" s="639"/>
    </row>
    <row r="130" spans="1:6" ht="15" customHeight="1">
      <c r="A130" s="1868"/>
      <c r="B130" s="637"/>
      <c r="C130" s="1871"/>
      <c r="D130" s="1871"/>
      <c r="E130" s="629">
        <f t="shared" si="1"/>
        <v>0</v>
      </c>
      <c r="F130" s="639"/>
    </row>
    <row r="131" spans="1:6" ht="15" customHeight="1">
      <c r="A131" s="1868"/>
      <c r="B131" s="637"/>
      <c r="C131" s="1871"/>
      <c r="D131" s="1871"/>
      <c r="E131" s="629">
        <f t="shared" si="1"/>
        <v>0</v>
      </c>
      <c r="F131" s="639"/>
    </row>
    <row r="132" spans="1:6" ht="15" customHeight="1">
      <c r="A132" s="1868"/>
      <c r="B132" s="637"/>
      <c r="C132" s="1871"/>
      <c r="D132" s="1871"/>
      <c r="E132" s="629">
        <f t="shared" si="1"/>
        <v>0</v>
      </c>
      <c r="F132" s="639"/>
    </row>
    <row r="133" spans="1:6" ht="15" customHeight="1">
      <c r="A133" s="1868"/>
      <c r="B133" s="637"/>
      <c r="C133" s="1871"/>
      <c r="D133" s="1871"/>
      <c r="E133" s="629">
        <f t="shared" si="1"/>
        <v>0</v>
      </c>
      <c r="F133" s="639"/>
    </row>
    <row r="134" spans="1:6" ht="15" customHeight="1">
      <c r="A134" s="1868"/>
      <c r="B134" s="637"/>
      <c r="C134" s="1871"/>
      <c r="D134" s="1871"/>
      <c r="E134" s="629">
        <f t="shared" si="1"/>
        <v>0</v>
      </c>
      <c r="F134" s="639"/>
    </row>
    <row r="135" spans="1:6" ht="15" customHeight="1">
      <c r="A135" s="1868"/>
      <c r="B135" s="637"/>
      <c r="C135" s="1871"/>
      <c r="D135" s="1871"/>
      <c r="E135" s="629">
        <f t="shared" si="1"/>
        <v>0</v>
      </c>
      <c r="F135" s="639"/>
    </row>
    <row r="136" spans="1:6" ht="15" customHeight="1">
      <c r="A136" s="1868"/>
      <c r="B136" s="637"/>
      <c r="C136" s="1871"/>
      <c r="D136" s="1871"/>
      <c r="E136" s="629">
        <f t="shared" si="1"/>
        <v>0</v>
      </c>
      <c r="F136" s="639"/>
    </row>
    <row r="137" spans="1:6" ht="15" customHeight="1">
      <c r="A137" s="1868"/>
      <c r="B137" s="637"/>
      <c r="C137" s="1871"/>
      <c r="D137" s="1871"/>
      <c r="E137" s="629">
        <f t="shared" si="1"/>
        <v>0</v>
      </c>
      <c r="F137" s="639"/>
    </row>
    <row r="138" spans="1:6" ht="15" customHeight="1">
      <c r="A138" s="1868"/>
      <c r="B138" s="637"/>
      <c r="C138" s="1871"/>
      <c r="D138" s="1871"/>
      <c r="E138" s="629">
        <f t="shared" si="1"/>
        <v>0</v>
      </c>
      <c r="F138" s="639"/>
    </row>
    <row r="139" spans="1:6" ht="15" customHeight="1">
      <c r="A139" s="1868"/>
      <c r="B139" s="637"/>
      <c r="C139" s="1871"/>
      <c r="D139" s="1871"/>
      <c r="E139" s="629">
        <f t="shared" si="1"/>
        <v>0</v>
      </c>
      <c r="F139" s="639"/>
    </row>
    <row r="140" spans="1:6" ht="15" customHeight="1">
      <c r="A140" s="1868"/>
      <c r="B140" s="637"/>
      <c r="C140" s="1871"/>
      <c r="D140" s="1871"/>
      <c r="E140" s="629">
        <f t="shared" si="1"/>
        <v>0</v>
      </c>
      <c r="F140" s="639"/>
    </row>
    <row r="141" spans="1:6" ht="15" customHeight="1">
      <c r="A141" s="1868"/>
      <c r="B141" s="637"/>
      <c r="C141" s="1871"/>
      <c r="D141" s="1871"/>
      <c r="E141" s="629">
        <f t="shared" si="1"/>
        <v>0</v>
      </c>
      <c r="F141" s="639"/>
    </row>
    <row r="142" spans="1:6" ht="15" customHeight="1">
      <c r="A142" s="1868"/>
      <c r="B142" s="637"/>
      <c r="C142" s="1871"/>
      <c r="D142" s="1871"/>
      <c r="E142" s="629">
        <f t="shared" si="1"/>
        <v>0</v>
      </c>
      <c r="F142" s="639"/>
    </row>
    <row r="143" spans="1:6" ht="15" customHeight="1">
      <c r="A143" s="1868"/>
      <c r="B143" s="637"/>
      <c r="C143" s="1871"/>
      <c r="D143" s="1871"/>
      <c r="E143" s="629">
        <f t="shared" si="1"/>
        <v>0</v>
      </c>
      <c r="F143" s="639"/>
    </row>
    <row r="144" spans="1:6" ht="15" customHeight="1">
      <c r="A144" s="1868"/>
      <c r="B144" s="637"/>
      <c r="C144" s="1871"/>
      <c r="D144" s="1871"/>
      <c r="E144" s="629">
        <f t="shared" ref="E144:E207" si="2">C144-B144+D144</f>
        <v>0</v>
      </c>
      <c r="F144" s="639"/>
    </row>
    <row r="145" spans="1:6" ht="15" customHeight="1">
      <c r="A145" s="1868"/>
      <c r="B145" s="637"/>
      <c r="C145" s="1871"/>
      <c r="D145" s="1871"/>
      <c r="E145" s="629">
        <f t="shared" si="2"/>
        <v>0</v>
      </c>
      <c r="F145" s="639"/>
    </row>
    <row r="146" spans="1:6" ht="15" customHeight="1">
      <c r="A146" s="1868"/>
      <c r="B146" s="637"/>
      <c r="C146" s="1871"/>
      <c r="D146" s="1871"/>
      <c r="E146" s="629">
        <f t="shared" si="2"/>
        <v>0</v>
      </c>
      <c r="F146" s="639"/>
    </row>
    <row r="147" spans="1:6" ht="15" customHeight="1">
      <c r="A147" s="1868"/>
      <c r="B147" s="637"/>
      <c r="C147" s="1871"/>
      <c r="D147" s="1871"/>
      <c r="E147" s="629">
        <f t="shared" si="2"/>
        <v>0</v>
      </c>
      <c r="F147" s="639"/>
    </row>
    <row r="148" spans="1:6" ht="15" customHeight="1">
      <c r="A148" s="1868"/>
      <c r="B148" s="637"/>
      <c r="C148" s="1871"/>
      <c r="D148" s="1871"/>
      <c r="E148" s="629">
        <f t="shared" si="2"/>
        <v>0</v>
      </c>
      <c r="F148" s="639"/>
    </row>
    <row r="149" spans="1:6" ht="15" customHeight="1">
      <c r="A149" s="1868"/>
      <c r="B149" s="637"/>
      <c r="C149" s="1871"/>
      <c r="D149" s="1871"/>
      <c r="E149" s="629">
        <f t="shared" si="2"/>
        <v>0</v>
      </c>
      <c r="F149" s="639"/>
    </row>
    <row r="150" spans="1:6" ht="15" customHeight="1">
      <c r="A150" s="1868"/>
      <c r="B150" s="637"/>
      <c r="C150" s="1871"/>
      <c r="D150" s="1871"/>
      <c r="E150" s="629">
        <f t="shared" si="2"/>
        <v>0</v>
      </c>
      <c r="F150" s="639"/>
    </row>
    <row r="151" spans="1:6" ht="15" customHeight="1">
      <c r="A151" s="1868"/>
      <c r="B151" s="637"/>
      <c r="C151" s="1871"/>
      <c r="D151" s="1871"/>
      <c r="E151" s="629">
        <f t="shared" si="2"/>
        <v>0</v>
      </c>
      <c r="F151" s="639"/>
    </row>
    <row r="152" spans="1:6" ht="15" customHeight="1">
      <c r="A152" s="1868"/>
      <c r="B152" s="637"/>
      <c r="C152" s="1871"/>
      <c r="D152" s="1871"/>
      <c r="E152" s="629">
        <f t="shared" si="2"/>
        <v>0</v>
      </c>
      <c r="F152" s="639"/>
    </row>
    <row r="153" spans="1:6" ht="15" customHeight="1">
      <c r="A153" s="1868"/>
      <c r="B153" s="637"/>
      <c r="C153" s="1871"/>
      <c r="D153" s="1871"/>
      <c r="E153" s="629">
        <f t="shared" si="2"/>
        <v>0</v>
      </c>
      <c r="F153" s="639"/>
    </row>
    <row r="154" spans="1:6" ht="15" customHeight="1">
      <c r="A154" s="1868"/>
      <c r="B154" s="637"/>
      <c r="C154" s="1871"/>
      <c r="D154" s="1871"/>
      <c r="E154" s="629">
        <f t="shared" si="2"/>
        <v>0</v>
      </c>
      <c r="F154" s="639"/>
    </row>
    <row r="155" spans="1:6" ht="15" customHeight="1">
      <c r="A155" s="1868"/>
      <c r="B155" s="637"/>
      <c r="C155" s="1871"/>
      <c r="D155" s="1871"/>
      <c r="E155" s="629">
        <f t="shared" si="2"/>
        <v>0</v>
      </c>
      <c r="F155" s="639"/>
    </row>
    <row r="156" spans="1:6" ht="15" customHeight="1">
      <c r="A156" s="1868"/>
      <c r="B156" s="637"/>
      <c r="C156" s="1871"/>
      <c r="D156" s="1871"/>
      <c r="E156" s="629">
        <f t="shared" si="2"/>
        <v>0</v>
      </c>
      <c r="F156" s="639"/>
    </row>
    <row r="157" spans="1:6" ht="15" customHeight="1">
      <c r="A157" s="1868"/>
      <c r="B157" s="637"/>
      <c r="C157" s="1871"/>
      <c r="D157" s="1871"/>
      <c r="E157" s="629">
        <f t="shared" si="2"/>
        <v>0</v>
      </c>
      <c r="F157" s="639"/>
    </row>
    <row r="158" spans="1:6" ht="15" customHeight="1">
      <c r="A158" s="1868"/>
      <c r="B158" s="637"/>
      <c r="C158" s="1871"/>
      <c r="D158" s="1871"/>
      <c r="E158" s="629">
        <f t="shared" si="2"/>
        <v>0</v>
      </c>
      <c r="F158" s="639"/>
    </row>
    <row r="159" spans="1:6" ht="15" customHeight="1">
      <c r="A159" s="1868"/>
      <c r="B159" s="637"/>
      <c r="C159" s="1871"/>
      <c r="D159" s="1871"/>
      <c r="E159" s="629">
        <f t="shared" si="2"/>
        <v>0</v>
      </c>
      <c r="F159" s="639"/>
    </row>
    <row r="160" spans="1:6" ht="15" customHeight="1">
      <c r="A160" s="1868"/>
      <c r="B160" s="637"/>
      <c r="C160" s="1871"/>
      <c r="D160" s="1871"/>
      <c r="E160" s="629">
        <f t="shared" si="2"/>
        <v>0</v>
      </c>
      <c r="F160" s="639"/>
    </row>
    <row r="161" spans="1:6" ht="15" customHeight="1">
      <c r="A161" s="1868"/>
      <c r="B161" s="637"/>
      <c r="C161" s="1871"/>
      <c r="D161" s="1871"/>
      <c r="E161" s="629">
        <f t="shared" si="2"/>
        <v>0</v>
      </c>
      <c r="F161" s="639"/>
    </row>
    <row r="162" spans="1:6" ht="15" customHeight="1">
      <c r="A162" s="1868"/>
      <c r="B162" s="637"/>
      <c r="C162" s="1871"/>
      <c r="D162" s="1871"/>
      <c r="E162" s="629">
        <f t="shared" si="2"/>
        <v>0</v>
      </c>
      <c r="F162" s="639"/>
    </row>
    <row r="163" spans="1:6" ht="15" customHeight="1">
      <c r="A163" s="1868"/>
      <c r="B163" s="637"/>
      <c r="C163" s="1871"/>
      <c r="D163" s="1871"/>
      <c r="E163" s="629">
        <f t="shared" si="2"/>
        <v>0</v>
      </c>
      <c r="F163" s="639"/>
    </row>
    <row r="164" spans="1:6" ht="15" customHeight="1">
      <c r="A164" s="1868"/>
      <c r="B164" s="637"/>
      <c r="C164" s="1871"/>
      <c r="D164" s="1871"/>
      <c r="E164" s="629">
        <f t="shared" si="2"/>
        <v>0</v>
      </c>
      <c r="F164" s="639"/>
    </row>
    <row r="165" spans="1:6" ht="15" customHeight="1">
      <c r="A165" s="1868"/>
      <c r="B165" s="637"/>
      <c r="C165" s="1871"/>
      <c r="D165" s="1871"/>
      <c r="E165" s="629">
        <f t="shared" si="2"/>
        <v>0</v>
      </c>
      <c r="F165" s="639"/>
    </row>
    <row r="166" spans="1:6" ht="15" customHeight="1">
      <c r="A166" s="1868"/>
      <c r="B166" s="637"/>
      <c r="C166" s="1871"/>
      <c r="D166" s="1871"/>
      <c r="E166" s="629">
        <f t="shared" si="2"/>
        <v>0</v>
      </c>
      <c r="F166" s="639"/>
    </row>
    <row r="167" spans="1:6" ht="15" customHeight="1">
      <c r="A167" s="1868"/>
      <c r="B167" s="637"/>
      <c r="C167" s="1871"/>
      <c r="D167" s="1871"/>
      <c r="E167" s="629">
        <f t="shared" si="2"/>
        <v>0</v>
      </c>
      <c r="F167" s="639"/>
    </row>
    <row r="168" spans="1:6" ht="15" customHeight="1">
      <c r="A168" s="1868"/>
      <c r="B168" s="637"/>
      <c r="C168" s="1871"/>
      <c r="D168" s="1871"/>
      <c r="E168" s="629">
        <f t="shared" si="2"/>
        <v>0</v>
      </c>
      <c r="F168" s="639"/>
    </row>
    <row r="169" spans="1:6" ht="15" customHeight="1">
      <c r="A169" s="1868"/>
      <c r="B169" s="637"/>
      <c r="C169" s="1871"/>
      <c r="D169" s="1871"/>
      <c r="E169" s="629">
        <f t="shared" si="2"/>
        <v>0</v>
      </c>
      <c r="F169" s="639"/>
    </row>
    <row r="170" spans="1:6" ht="15" customHeight="1">
      <c r="A170" s="1868"/>
      <c r="B170" s="637"/>
      <c r="C170" s="1871"/>
      <c r="D170" s="1871"/>
      <c r="E170" s="629">
        <f t="shared" si="2"/>
        <v>0</v>
      </c>
      <c r="F170" s="639"/>
    </row>
    <row r="171" spans="1:6" ht="15" customHeight="1">
      <c r="A171" s="1868"/>
      <c r="B171" s="637"/>
      <c r="C171" s="1871"/>
      <c r="D171" s="1871"/>
      <c r="E171" s="629">
        <f t="shared" si="2"/>
        <v>0</v>
      </c>
      <c r="F171" s="639"/>
    </row>
    <row r="172" spans="1:6" ht="15" customHeight="1">
      <c r="A172" s="1868"/>
      <c r="B172" s="637"/>
      <c r="C172" s="1871"/>
      <c r="D172" s="1871"/>
      <c r="E172" s="629">
        <f t="shared" si="2"/>
        <v>0</v>
      </c>
      <c r="F172" s="639"/>
    </row>
    <row r="173" spans="1:6" ht="15" customHeight="1">
      <c r="A173" s="1868"/>
      <c r="B173" s="637"/>
      <c r="C173" s="1871"/>
      <c r="D173" s="1871"/>
      <c r="E173" s="629">
        <f t="shared" si="2"/>
        <v>0</v>
      </c>
      <c r="F173" s="639"/>
    </row>
    <row r="174" spans="1:6" ht="15" customHeight="1">
      <c r="A174" s="1868"/>
      <c r="B174" s="637"/>
      <c r="C174" s="1871"/>
      <c r="D174" s="1871"/>
      <c r="E174" s="629">
        <f t="shared" si="2"/>
        <v>0</v>
      </c>
      <c r="F174" s="639"/>
    </row>
    <row r="175" spans="1:6" ht="15" customHeight="1">
      <c r="A175" s="1868"/>
      <c r="B175" s="637"/>
      <c r="C175" s="1871"/>
      <c r="D175" s="1871"/>
      <c r="E175" s="629">
        <f t="shared" si="2"/>
        <v>0</v>
      </c>
      <c r="F175" s="639"/>
    </row>
    <row r="176" spans="1:6" ht="15" customHeight="1">
      <c r="A176" s="1868"/>
      <c r="B176" s="637"/>
      <c r="C176" s="1871"/>
      <c r="D176" s="1871"/>
      <c r="E176" s="629">
        <f t="shared" si="2"/>
        <v>0</v>
      </c>
      <c r="F176" s="639"/>
    </row>
    <row r="177" spans="1:6" ht="15" customHeight="1">
      <c r="A177" s="1868"/>
      <c r="B177" s="637"/>
      <c r="C177" s="1871"/>
      <c r="D177" s="1871"/>
      <c r="E177" s="629">
        <f t="shared" si="2"/>
        <v>0</v>
      </c>
      <c r="F177" s="639"/>
    </row>
    <row r="178" spans="1:6" ht="15" customHeight="1">
      <c r="A178" s="1868"/>
      <c r="B178" s="637"/>
      <c r="C178" s="1871"/>
      <c r="D178" s="1871"/>
      <c r="E178" s="629">
        <f t="shared" si="2"/>
        <v>0</v>
      </c>
      <c r="F178" s="639"/>
    </row>
    <row r="179" spans="1:6" ht="15" customHeight="1">
      <c r="A179" s="1868"/>
      <c r="B179" s="637"/>
      <c r="C179" s="1871"/>
      <c r="D179" s="1871"/>
      <c r="E179" s="629">
        <f t="shared" si="2"/>
        <v>0</v>
      </c>
      <c r="F179" s="639"/>
    </row>
    <row r="180" spans="1:6" ht="15" customHeight="1">
      <c r="A180" s="1868"/>
      <c r="B180" s="637"/>
      <c r="C180" s="1871"/>
      <c r="D180" s="1871"/>
      <c r="E180" s="629">
        <f t="shared" si="2"/>
        <v>0</v>
      </c>
      <c r="F180" s="639"/>
    </row>
    <row r="181" spans="1:6" ht="15" customHeight="1">
      <c r="A181" s="1868"/>
      <c r="B181" s="637"/>
      <c r="C181" s="1871"/>
      <c r="D181" s="1871"/>
      <c r="E181" s="629">
        <f t="shared" si="2"/>
        <v>0</v>
      </c>
      <c r="F181" s="639"/>
    </row>
    <row r="182" spans="1:6" ht="15" customHeight="1">
      <c r="A182" s="1868"/>
      <c r="B182" s="637"/>
      <c r="C182" s="1871"/>
      <c r="D182" s="1871"/>
      <c r="E182" s="629">
        <f t="shared" si="2"/>
        <v>0</v>
      </c>
      <c r="F182" s="639"/>
    </row>
    <row r="183" spans="1:6" ht="15" customHeight="1">
      <c r="A183" s="1868"/>
      <c r="B183" s="637"/>
      <c r="C183" s="1871"/>
      <c r="D183" s="1871"/>
      <c r="E183" s="629">
        <f t="shared" si="2"/>
        <v>0</v>
      </c>
      <c r="F183" s="639"/>
    </row>
    <row r="184" spans="1:6" ht="15" customHeight="1">
      <c r="A184" s="1868"/>
      <c r="B184" s="637"/>
      <c r="C184" s="1871"/>
      <c r="D184" s="1871"/>
      <c r="E184" s="629">
        <f t="shared" si="2"/>
        <v>0</v>
      </c>
      <c r="F184" s="639"/>
    </row>
    <row r="185" spans="1:6" ht="15" customHeight="1">
      <c r="A185" s="1868"/>
      <c r="B185" s="637"/>
      <c r="C185" s="1871"/>
      <c r="D185" s="1871"/>
      <c r="E185" s="629">
        <f t="shared" si="2"/>
        <v>0</v>
      </c>
      <c r="F185" s="639"/>
    </row>
    <row r="186" spans="1:6" ht="15" customHeight="1">
      <c r="A186" s="1868"/>
      <c r="B186" s="637"/>
      <c r="C186" s="1871"/>
      <c r="D186" s="1871"/>
      <c r="E186" s="629">
        <f t="shared" si="2"/>
        <v>0</v>
      </c>
      <c r="F186" s="639"/>
    </row>
    <row r="187" spans="1:6" ht="15" customHeight="1">
      <c r="A187" s="1868"/>
      <c r="B187" s="637"/>
      <c r="C187" s="1871"/>
      <c r="D187" s="1871"/>
      <c r="E187" s="629">
        <f t="shared" si="2"/>
        <v>0</v>
      </c>
      <c r="F187" s="639"/>
    </row>
    <row r="188" spans="1:6" ht="15" customHeight="1">
      <c r="A188" s="1868"/>
      <c r="B188" s="637"/>
      <c r="C188" s="1871"/>
      <c r="D188" s="1871"/>
      <c r="E188" s="629">
        <f t="shared" si="2"/>
        <v>0</v>
      </c>
      <c r="F188" s="639"/>
    </row>
    <row r="189" spans="1:6" ht="15" customHeight="1">
      <c r="A189" s="1868"/>
      <c r="B189" s="637"/>
      <c r="C189" s="1871"/>
      <c r="D189" s="1871"/>
      <c r="E189" s="629">
        <f t="shared" si="2"/>
        <v>0</v>
      </c>
      <c r="F189" s="639"/>
    </row>
    <row r="190" spans="1:6" ht="15" customHeight="1">
      <c r="A190" s="1868"/>
      <c r="B190" s="637"/>
      <c r="C190" s="1871"/>
      <c r="D190" s="1871"/>
      <c r="E190" s="629">
        <f t="shared" si="2"/>
        <v>0</v>
      </c>
      <c r="F190" s="639"/>
    </row>
    <row r="191" spans="1:6" ht="15" customHeight="1">
      <c r="A191" s="1868"/>
      <c r="B191" s="637"/>
      <c r="C191" s="1871"/>
      <c r="D191" s="1871"/>
      <c r="E191" s="629">
        <f t="shared" si="2"/>
        <v>0</v>
      </c>
      <c r="F191" s="639"/>
    </row>
    <row r="192" spans="1:6" ht="15" customHeight="1">
      <c r="A192" s="1868"/>
      <c r="B192" s="637"/>
      <c r="C192" s="1871"/>
      <c r="D192" s="1871"/>
      <c r="E192" s="629">
        <f t="shared" si="2"/>
        <v>0</v>
      </c>
      <c r="F192" s="639"/>
    </row>
    <row r="193" spans="1:6" ht="15" customHeight="1">
      <c r="A193" s="1868"/>
      <c r="B193" s="637"/>
      <c r="C193" s="1871"/>
      <c r="D193" s="1871"/>
      <c r="E193" s="629">
        <f t="shared" si="2"/>
        <v>0</v>
      </c>
      <c r="F193" s="639"/>
    </row>
    <row r="194" spans="1:6" ht="15" customHeight="1">
      <c r="A194" s="1868"/>
      <c r="B194" s="637"/>
      <c r="C194" s="1871"/>
      <c r="D194" s="1871"/>
      <c r="E194" s="629">
        <f t="shared" si="2"/>
        <v>0</v>
      </c>
      <c r="F194" s="639"/>
    </row>
    <row r="195" spans="1:6" ht="15" customHeight="1">
      <c r="A195" s="1868"/>
      <c r="B195" s="637"/>
      <c r="C195" s="1871"/>
      <c r="D195" s="1871"/>
      <c r="E195" s="629">
        <f t="shared" si="2"/>
        <v>0</v>
      </c>
      <c r="F195" s="639"/>
    </row>
    <row r="196" spans="1:6" ht="15" customHeight="1">
      <c r="A196" s="1868"/>
      <c r="B196" s="637"/>
      <c r="C196" s="1871"/>
      <c r="D196" s="1871"/>
      <c r="E196" s="629">
        <f t="shared" si="2"/>
        <v>0</v>
      </c>
      <c r="F196" s="639"/>
    </row>
    <row r="197" spans="1:6" ht="15" customHeight="1">
      <c r="A197" s="1868"/>
      <c r="B197" s="637"/>
      <c r="C197" s="1871"/>
      <c r="D197" s="1871"/>
      <c r="E197" s="629">
        <f t="shared" si="2"/>
        <v>0</v>
      </c>
      <c r="F197" s="639"/>
    </row>
    <row r="198" spans="1:6" ht="15" customHeight="1">
      <c r="A198" s="1868"/>
      <c r="B198" s="637"/>
      <c r="C198" s="1871"/>
      <c r="D198" s="1871"/>
      <c r="E198" s="629">
        <f t="shared" si="2"/>
        <v>0</v>
      </c>
      <c r="F198" s="639"/>
    </row>
    <row r="199" spans="1:6" ht="15" customHeight="1">
      <c r="A199" s="1868"/>
      <c r="B199" s="637"/>
      <c r="C199" s="1871"/>
      <c r="D199" s="1871"/>
      <c r="E199" s="629">
        <f t="shared" si="2"/>
        <v>0</v>
      </c>
      <c r="F199" s="639"/>
    </row>
    <row r="200" spans="1:6" ht="15" customHeight="1">
      <c r="A200" s="1868"/>
      <c r="B200" s="637"/>
      <c r="C200" s="1871"/>
      <c r="D200" s="1871"/>
      <c r="E200" s="629">
        <f t="shared" si="2"/>
        <v>0</v>
      </c>
      <c r="F200" s="639"/>
    </row>
    <row r="201" spans="1:6" ht="15" customHeight="1">
      <c r="A201" s="1868"/>
      <c r="B201" s="637"/>
      <c r="C201" s="1871"/>
      <c r="D201" s="1871"/>
      <c r="E201" s="629">
        <f t="shared" si="2"/>
        <v>0</v>
      </c>
      <c r="F201" s="639"/>
    </row>
    <row r="202" spans="1:6" ht="15" customHeight="1">
      <c r="A202" s="1868"/>
      <c r="B202" s="637"/>
      <c r="C202" s="1871"/>
      <c r="D202" s="1871"/>
      <c r="E202" s="629">
        <f t="shared" si="2"/>
        <v>0</v>
      </c>
      <c r="F202" s="639"/>
    </row>
    <row r="203" spans="1:6" ht="15" customHeight="1">
      <c r="A203" s="1868"/>
      <c r="B203" s="637"/>
      <c r="C203" s="1871"/>
      <c r="D203" s="1871"/>
      <c r="E203" s="629">
        <f t="shared" si="2"/>
        <v>0</v>
      </c>
      <c r="F203" s="639"/>
    </row>
    <row r="204" spans="1:6" ht="15" customHeight="1">
      <c r="A204" s="1868"/>
      <c r="B204" s="637"/>
      <c r="C204" s="1871"/>
      <c r="D204" s="1871"/>
      <c r="E204" s="629">
        <f t="shared" si="2"/>
        <v>0</v>
      </c>
      <c r="F204" s="639"/>
    </row>
    <row r="205" spans="1:6" ht="15" customHeight="1">
      <c r="A205" s="1868"/>
      <c r="B205" s="637"/>
      <c r="C205" s="1871"/>
      <c r="D205" s="1871"/>
      <c r="E205" s="629">
        <f t="shared" si="2"/>
        <v>0</v>
      </c>
      <c r="F205" s="639"/>
    </row>
    <row r="206" spans="1:6" ht="15" customHeight="1">
      <c r="A206" s="1868"/>
      <c r="B206" s="637"/>
      <c r="C206" s="1871"/>
      <c r="D206" s="1871"/>
      <c r="E206" s="629">
        <f t="shared" si="2"/>
        <v>0</v>
      </c>
      <c r="F206" s="639"/>
    </row>
    <row r="207" spans="1:6" ht="15" customHeight="1">
      <c r="A207" s="1868"/>
      <c r="B207" s="637"/>
      <c r="C207" s="1871"/>
      <c r="D207" s="1871"/>
      <c r="E207" s="629">
        <f t="shared" si="2"/>
        <v>0</v>
      </c>
      <c r="F207" s="639"/>
    </row>
    <row r="208" spans="1:6" ht="15" customHeight="1">
      <c r="A208" s="1868"/>
      <c r="B208" s="637"/>
      <c r="C208" s="1871"/>
      <c r="D208" s="1871"/>
      <c r="E208" s="629">
        <f t="shared" ref="E208:E271" si="3">C208-B208+D208</f>
        <v>0</v>
      </c>
      <c r="F208" s="639"/>
    </row>
    <row r="209" spans="1:6" ht="15" customHeight="1">
      <c r="A209" s="1868"/>
      <c r="B209" s="637"/>
      <c r="C209" s="1871"/>
      <c r="D209" s="1871"/>
      <c r="E209" s="629">
        <f t="shared" si="3"/>
        <v>0</v>
      </c>
      <c r="F209" s="639"/>
    </row>
    <row r="210" spans="1:6" ht="15" customHeight="1">
      <c r="A210" s="1868"/>
      <c r="B210" s="637"/>
      <c r="C210" s="1871"/>
      <c r="D210" s="1871"/>
      <c r="E210" s="629">
        <f t="shared" si="3"/>
        <v>0</v>
      </c>
      <c r="F210" s="639"/>
    </row>
    <row r="211" spans="1:6" ht="15" customHeight="1">
      <c r="A211" s="1868"/>
      <c r="B211" s="637"/>
      <c r="C211" s="1871"/>
      <c r="D211" s="1871"/>
      <c r="E211" s="629">
        <f t="shared" si="3"/>
        <v>0</v>
      </c>
      <c r="F211" s="639"/>
    </row>
    <row r="212" spans="1:6" ht="15" customHeight="1">
      <c r="A212" s="1868"/>
      <c r="B212" s="637"/>
      <c r="C212" s="1871"/>
      <c r="D212" s="1871"/>
      <c r="E212" s="629">
        <f t="shared" si="3"/>
        <v>0</v>
      </c>
      <c r="F212" s="639"/>
    </row>
    <row r="213" spans="1:6" ht="15" customHeight="1">
      <c r="A213" s="1868"/>
      <c r="B213" s="637"/>
      <c r="C213" s="1871"/>
      <c r="D213" s="1871"/>
      <c r="E213" s="629">
        <f t="shared" si="3"/>
        <v>0</v>
      </c>
      <c r="F213" s="639"/>
    </row>
    <row r="214" spans="1:6" ht="15" customHeight="1">
      <c r="A214" s="1868"/>
      <c r="B214" s="637"/>
      <c r="C214" s="1871"/>
      <c r="D214" s="1871"/>
      <c r="E214" s="629">
        <f t="shared" si="3"/>
        <v>0</v>
      </c>
      <c r="F214" s="639"/>
    </row>
    <row r="215" spans="1:6" ht="15" customHeight="1">
      <c r="A215" s="1868"/>
      <c r="B215" s="637"/>
      <c r="C215" s="1871"/>
      <c r="D215" s="1871"/>
      <c r="E215" s="629">
        <f t="shared" si="3"/>
        <v>0</v>
      </c>
      <c r="F215" s="639"/>
    </row>
    <row r="216" spans="1:6" ht="15" customHeight="1">
      <c r="A216" s="1868"/>
      <c r="B216" s="637"/>
      <c r="C216" s="1871"/>
      <c r="D216" s="1871"/>
      <c r="E216" s="629">
        <f t="shared" si="3"/>
        <v>0</v>
      </c>
      <c r="F216" s="639"/>
    </row>
    <row r="217" spans="1:6" ht="15" customHeight="1">
      <c r="A217" s="1868"/>
      <c r="B217" s="637"/>
      <c r="C217" s="1871"/>
      <c r="D217" s="1871"/>
      <c r="E217" s="629">
        <f t="shared" si="3"/>
        <v>0</v>
      </c>
      <c r="F217" s="639"/>
    </row>
    <row r="218" spans="1:6" ht="15" customHeight="1">
      <c r="A218" s="1868"/>
      <c r="B218" s="637"/>
      <c r="C218" s="1871"/>
      <c r="D218" s="1871"/>
      <c r="E218" s="629">
        <f t="shared" si="3"/>
        <v>0</v>
      </c>
      <c r="F218" s="639"/>
    </row>
    <row r="219" spans="1:6" ht="15" customHeight="1">
      <c r="A219" s="1868"/>
      <c r="B219" s="637"/>
      <c r="C219" s="1871"/>
      <c r="D219" s="1871"/>
      <c r="E219" s="629">
        <f t="shared" si="3"/>
        <v>0</v>
      </c>
      <c r="F219" s="639"/>
    </row>
    <row r="220" spans="1:6" ht="15" customHeight="1">
      <c r="A220" s="1868"/>
      <c r="B220" s="637"/>
      <c r="C220" s="1871"/>
      <c r="D220" s="1871"/>
      <c r="E220" s="629">
        <f t="shared" si="3"/>
        <v>0</v>
      </c>
      <c r="F220" s="639"/>
    </row>
    <row r="221" spans="1:6" ht="15" customHeight="1">
      <c r="A221" s="1868"/>
      <c r="B221" s="637"/>
      <c r="C221" s="1871"/>
      <c r="D221" s="1871"/>
      <c r="E221" s="629">
        <f t="shared" si="3"/>
        <v>0</v>
      </c>
      <c r="F221" s="639"/>
    </row>
    <row r="222" spans="1:6" ht="15" customHeight="1">
      <c r="A222" s="1868"/>
      <c r="B222" s="637"/>
      <c r="C222" s="1871"/>
      <c r="D222" s="1871"/>
      <c r="E222" s="629">
        <f t="shared" si="3"/>
        <v>0</v>
      </c>
      <c r="F222" s="639"/>
    </row>
    <row r="223" spans="1:6" ht="15" customHeight="1">
      <c r="A223" s="1868"/>
      <c r="B223" s="637"/>
      <c r="C223" s="1871"/>
      <c r="D223" s="1871"/>
      <c r="E223" s="629">
        <f t="shared" si="3"/>
        <v>0</v>
      </c>
      <c r="F223" s="639"/>
    </row>
    <row r="224" spans="1:6" ht="15" customHeight="1">
      <c r="A224" s="1868"/>
      <c r="B224" s="637"/>
      <c r="C224" s="1871"/>
      <c r="D224" s="1871"/>
      <c r="E224" s="629">
        <f t="shared" si="3"/>
        <v>0</v>
      </c>
      <c r="F224" s="639"/>
    </row>
    <row r="225" spans="1:6" ht="15" customHeight="1">
      <c r="A225" s="1868"/>
      <c r="B225" s="637"/>
      <c r="C225" s="1871"/>
      <c r="D225" s="1871"/>
      <c r="E225" s="629">
        <f t="shared" si="3"/>
        <v>0</v>
      </c>
      <c r="F225" s="639"/>
    </row>
    <row r="226" spans="1:6" ht="15" customHeight="1">
      <c r="A226" s="1868"/>
      <c r="B226" s="637"/>
      <c r="C226" s="1871"/>
      <c r="D226" s="1871"/>
      <c r="E226" s="629">
        <f t="shared" si="3"/>
        <v>0</v>
      </c>
      <c r="F226" s="639"/>
    </row>
    <row r="227" spans="1:6" ht="15" customHeight="1">
      <c r="A227" s="1868"/>
      <c r="B227" s="637"/>
      <c r="C227" s="1871"/>
      <c r="D227" s="1871"/>
      <c r="E227" s="629">
        <f t="shared" si="3"/>
        <v>0</v>
      </c>
      <c r="F227" s="639"/>
    </row>
    <row r="228" spans="1:6" ht="15" customHeight="1">
      <c r="A228" s="1868"/>
      <c r="B228" s="637"/>
      <c r="C228" s="1871"/>
      <c r="D228" s="1871"/>
      <c r="E228" s="629">
        <f t="shared" si="3"/>
        <v>0</v>
      </c>
      <c r="F228" s="639"/>
    </row>
    <row r="229" spans="1:6" ht="15" customHeight="1">
      <c r="A229" s="1868"/>
      <c r="B229" s="637"/>
      <c r="C229" s="1871"/>
      <c r="D229" s="1871"/>
      <c r="E229" s="629">
        <f t="shared" si="3"/>
        <v>0</v>
      </c>
      <c r="F229" s="639"/>
    </row>
    <row r="230" spans="1:6" ht="15" customHeight="1">
      <c r="A230" s="1868"/>
      <c r="B230" s="637"/>
      <c r="C230" s="1871"/>
      <c r="D230" s="1871"/>
      <c r="E230" s="629">
        <f t="shared" si="3"/>
        <v>0</v>
      </c>
      <c r="F230" s="639"/>
    </row>
    <row r="231" spans="1:6" ht="15" customHeight="1">
      <c r="A231" s="1868"/>
      <c r="B231" s="637"/>
      <c r="C231" s="1871"/>
      <c r="D231" s="1871"/>
      <c r="E231" s="629">
        <f t="shared" si="3"/>
        <v>0</v>
      </c>
      <c r="F231" s="639"/>
    </row>
    <row r="232" spans="1:6" ht="15" customHeight="1">
      <c r="A232" s="1868"/>
      <c r="B232" s="637"/>
      <c r="C232" s="1871"/>
      <c r="D232" s="1871"/>
      <c r="E232" s="629">
        <f t="shared" si="3"/>
        <v>0</v>
      </c>
      <c r="F232" s="639"/>
    </row>
    <row r="233" spans="1:6" ht="15" customHeight="1">
      <c r="A233" s="1868"/>
      <c r="B233" s="637"/>
      <c r="C233" s="1871"/>
      <c r="D233" s="1871"/>
      <c r="E233" s="629">
        <f t="shared" si="3"/>
        <v>0</v>
      </c>
      <c r="F233" s="639"/>
    </row>
    <row r="234" spans="1:6" ht="15" customHeight="1">
      <c r="A234" s="1868"/>
      <c r="B234" s="637"/>
      <c r="C234" s="1871"/>
      <c r="D234" s="1871"/>
      <c r="E234" s="629">
        <f t="shared" si="3"/>
        <v>0</v>
      </c>
      <c r="F234" s="639"/>
    </row>
    <row r="235" spans="1:6" ht="15" customHeight="1">
      <c r="A235" s="1868"/>
      <c r="B235" s="637"/>
      <c r="C235" s="1871"/>
      <c r="D235" s="1871"/>
      <c r="E235" s="629">
        <f t="shared" si="3"/>
        <v>0</v>
      </c>
      <c r="F235" s="639"/>
    </row>
    <row r="236" spans="1:6" ht="15" customHeight="1">
      <c r="A236" s="1868"/>
      <c r="B236" s="637"/>
      <c r="C236" s="1871"/>
      <c r="D236" s="1871"/>
      <c r="E236" s="629">
        <f t="shared" si="3"/>
        <v>0</v>
      </c>
      <c r="F236" s="639"/>
    </row>
    <row r="237" spans="1:6" ht="15" customHeight="1">
      <c r="A237" s="1868"/>
      <c r="B237" s="637"/>
      <c r="C237" s="1871"/>
      <c r="D237" s="1871"/>
      <c r="E237" s="629">
        <f t="shared" si="3"/>
        <v>0</v>
      </c>
      <c r="F237" s="639"/>
    </row>
    <row r="238" spans="1:6" ht="15" customHeight="1">
      <c r="A238" s="1868"/>
      <c r="B238" s="637"/>
      <c r="C238" s="1871"/>
      <c r="D238" s="1871"/>
      <c r="E238" s="629">
        <f t="shared" si="3"/>
        <v>0</v>
      </c>
      <c r="F238" s="639"/>
    </row>
    <row r="239" spans="1:6" ht="15" customHeight="1">
      <c r="A239" s="1868"/>
      <c r="B239" s="637"/>
      <c r="C239" s="1871"/>
      <c r="D239" s="1871"/>
      <c r="E239" s="629">
        <f t="shared" si="3"/>
        <v>0</v>
      </c>
      <c r="F239" s="639"/>
    </row>
    <row r="240" spans="1:6" ht="15" customHeight="1">
      <c r="A240" s="1868"/>
      <c r="B240" s="637"/>
      <c r="C240" s="1871"/>
      <c r="D240" s="1871"/>
      <c r="E240" s="629">
        <f t="shared" si="3"/>
        <v>0</v>
      </c>
      <c r="F240" s="639"/>
    </row>
    <row r="241" spans="1:6" ht="15" customHeight="1">
      <c r="A241" s="1868"/>
      <c r="B241" s="637"/>
      <c r="C241" s="1871"/>
      <c r="D241" s="1871"/>
      <c r="E241" s="629">
        <f t="shared" si="3"/>
        <v>0</v>
      </c>
      <c r="F241" s="639"/>
    </row>
    <row r="242" spans="1:6" ht="15" customHeight="1">
      <c r="A242" s="1868"/>
      <c r="B242" s="637"/>
      <c r="C242" s="1871"/>
      <c r="D242" s="1871"/>
      <c r="E242" s="629">
        <f t="shared" si="3"/>
        <v>0</v>
      </c>
      <c r="F242" s="639"/>
    </row>
    <row r="243" spans="1:6" ht="15" customHeight="1">
      <c r="A243" s="1868"/>
      <c r="B243" s="637"/>
      <c r="C243" s="1871"/>
      <c r="D243" s="1871"/>
      <c r="E243" s="629">
        <f t="shared" si="3"/>
        <v>0</v>
      </c>
      <c r="F243" s="639"/>
    </row>
    <row r="244" spans="1:6" ht="15" customHeight="1">
      <c r="A244" s="1868"/>
      <c r="B244" s="637"/>
      <c r="C244" s="1871"/>
      <c r="D244" s="1871"/>
      <c r="E244" s="629">
        <f t="shared" si="3"/>
        <v>0</v>
      </c>
      <c r="F244" s="639"/>
    </row>
    <row r="245" spans="1:6" ht="15" customHeight="1">
      <c r="A245" s="1868"/>
      <c r="B245" s="637"/>
      <c r="C245" s="1871"/>
      <c r="D245" s="1871"/>
      <c r="E245" s="629">
        <f t="shared" si="3"/>
        <v>0</v>
      </c>
      <c r="F245" s="639"/>
    </row>
    <row r="246" spans="1:6" ht="15" customHeight="1">
      <c r="A246" s="1868"/>
      <c r="B246" s="637"/>
      <c r="C246" s="1871"/>
      <c r="D246" s="1871"/>
      <c r="E246" s="629">
        <f t="shared" si="3"/>
        <v>0</v>
      </c>
      <c r="F246" s="639"/>
    </row>
    <row r="247" spans="1:6" ht="15" customHeight="1">
      <c r="A247" s="1868"/>
      <c r="B247" s="637"/>
      <c r="C247" s="1871"/>
      <c r="D247" s="1871"/>
      <c r="E247" s="629">
        <f t="shared" si="3"/>
        <v>0</v>
      </c>
      <c r="F247" s="639"/>
    </row>
    <row r="248" spans="1:6" ht="15" customHeight="1">
      <c r="A248" s="1868"/>
      <c r="B248" s="637"/>
      <c r="C248" s="1871"/>
      <c r="D248" s="1871"/>
      <c r="E248" s="629">
        <f t="shared" si="3"/>
        <v>0</v>
      </c>
      <c r="F248" s="639"/>
    </row>
    <row r="249" spans="1:6" ht="15" customHeight="1">
      <c r="A249" s="1868"/>
      <c r="B249" s="637"/>
      <c r="C249" s="1871"/>
      <c r="D249" s="1871"/>
      <c r="E249" s="629">
        <f t="shared" si="3"/>
        <v>0</v>
      </c>
      <c r="F249" s="639"/>
    </row>
    <row r="250" spans="1:6" ht="15" customHeight="1">
      <c r="A250" s="1868"/>
      <c r="B250" s="637"/>
      <c r="C250" s="1871"/>
      <c r="D250" s="1871"/>
      <c r="E250" s="629">
        <f t="shared" si="3"/>
        <v>0</v>
      </c>
      <c r="F250" s="639"/>
    </row>
    <row r="251" spans="1:6" ht="15" customHeight="1">
      <c r="A251" s="1868"/>
      <c r="B251" s="637"/>
      <c r="C251" s="1871"/>
      <c r="D251" s="1871"/>
      <c r="E251" s="629">
        <f t="shared" si="3"/>
        <v>0</v>
      </c>
      <c r="F251" s="639"/>
    </row>
    <row r="252" spans="1:6" ht="15" customHeight="1">
      <c r="A252" s="1868"/>
      <c r="B252" s="637"/>
      <c r="C252" s="1871"/>
      <c r="D252" s="1871"/>
      <c r="E252" s="629">
        <f t="shared" si="3"/>
        <v>0</v>
      </c>
      <c r="F252" s="639"/>
    </row>
    <row r="253" spans="1:6" ht="15" customHeight="1">
      <c r="A253" s="1868"/>
      <c r="B253" s="637"/>
      <c r="C253" s="1871"/>
      <c r="D253" s="1871"/>
      <c r="E253" s="629">
        <f t="shared" si="3"/>
        <v>0</v>
      </c>
      <c r="F253" s="639"/>
    </row>
    <row r="254" spans="1:6" ht="15" customHeight="1">
      <c r="A254" s="1868"/>
      <c r="B254" s="637"/>
      <c r="C254" s="1871"/>
      <c r="D254" s="1871"/>
      <c r="E254" s="629">
        <f t="shared" si="3"/>
        <v>0</v>
      </c>
      <c r="F254" s="639"/>
    </row>
    <row r="255" spans="1:6" ht="15" customHeight="1">
      <c r="A255" s="1868"/>
      <c r="B255" s="637"/>
      <c r="C255" s="1871"/>
      <c r="D255" s="1871"/>
      <c r="E255" s="629">
        <f t="shared" si="3"/>
        <v>0</v>
      </c>
      <c r="F255" s="639"/>
    </row>
    <row r="256" spans="1:6" ht="15" customHeight="1">
      <c r="A256" s="1868"/>
      <c r="B256" s="637"/>
      <c r="C256" s="1871"/>
      <c r="D256" s="1871"/>
      <c r="E256" s="629">
        <f t="shared" si="3"/>
        <v>0</v>
      </c>
      <c r="F256" s="639"/>
    </row>
    <row r="257" spans="1:6" ht="15" customHeight="1">
      <c r="A257" s="1868"/>
      <c r="B257" s="637"/>
      <c r="C257" s="1871"/>
      <c r="D257" s="1871"/>
      <c r="E257" s="629">
        <f t="shared" si="3"/>
        <v>0</v>
      </c>
      <c r="F257" s="639"/>
    </row>
    <row r="258" spans="1:6" ht="15" customHeight="1">
      <c r="A258" s="1868"/>
      <c r="B258" s="637"/>
      <c r="C258" s="1871"/>
      <c r="D258" s="1871"/>
      <c r="E258" s="629">
        <f t="shared" si="3"/>
        <v>0</v>
      </c>
      <c r="F258" s="639"/>
    </row>
    <row r="259" spans="1:6" ht="15" customHeight="1">
      <c r="A259" s="1868"/>
      <c r="B259" s="637"/>
      <c r="C259" s="1871"/>
      <c r="D259" s="1871"/>
      <c r="E259" s="629">
        <f t="shared" si="3"/>
        <v>0</v>
      </c>
      <c r="F259" s="639"/>
    </row>
    <row r="260" spans="1:6" ht="15" customHeight="1">
      <c r="A260" s="1868"/>
      <c r="B260" s="637"/>
      <c r="C260" s="1871"/>
      <c r="D260" s="1871"/>
      <c r="E260" s="629">
        <f t="shared" si="3"/>
        <v>0</v>
      </c>
      <c r="F260" s="639"/>
    </row>
    <row r="261" spans="1:6" ht="15" customHeight="1">
      <c r="A261" s="1868"/>
      <c r="B261" s="637"/>
      <c r="C261" s="1871"/>
      <c r="D261" s="1871"/>
      <c r="E261" s="629">
        <f t="shared" si="3"/>
        <v>0</v>
      </c>
      <c r="F261" s="639"/>
    </row>
    <row r="262" spans="1:6" ht="15" customHeight="1">
      <c r="A262" s="1868"/>
      <c r="B262" s="637"/>
      <c r="C262" s="1871"/>
      <c r="D262" s="1871"/>
      <c r="E262" s="629">
        <f t="shared" si="3"/>
        <v>0</v>
      </c>
      <c r="F262" s="639"/>
    </row>
    <row r="263" spans="1:6" ht="15" customHeight="1">
      <c r="A263" s="1868"/>
      <c r="B263" s="637"/>
      <c r="C263" s="1871"/>
      <c r="D263" s="1871"/>
      <c r="E263" s="629">
        <f t="shared" si="3"/>
        <v>0</v>
      </c>
      <c r="F263" s="639"/>
    </row>
    <row r="264" spans="1:6" ht="15" customHeight="1">
      <c r="A264" s="1868"/>
      <c r="B264" s="637"/>
      <c r="C264" s="1871"/>
      <c r="D264" s="1871"/>
      <c r="E264" s="629">
        <f t="shared" si="3"/>
        <v>0</v>
      </c>
      <c r="F264" s="639"/>
    </row>
    <row r="265" spans="1:6" ht="15" customHeight="1">
      <c r="A265" s="1868"/>
      <c r="B265" s="637"/>
      <c r="C265" s="1871"/>
      <c r="D265" s="1871"/>
      <c r="E265" s="629">
        <f t="shared" si="3"/>
        <v>0</v>
      </c>
      <c r="F265" s="639"/>
    </row>
    <row r="266" spans="1:6" ht="15" customHeight="1">
      <c r="A266" s="1868"/>
      <c r="B266" s="637"/>
      <c r="C266" s="1871"/>
      <c r="D266" s="1871"/>
      <c r="E266" s="629">
        <f t="shared" si="3"/>
        <v>0</v>
      </c>
      <c r="F266" s="639"/>
    </row>
    <row r="267" spans="1:6" ht="15" customHeight="1">
      <c r="A267" s="1868"/>
      <c r="B267" s="637"/>
      <c r="C267" s="1871"/>
      <c r="D267" s="1871"/>
      <c r="E267" s="629">
        <f t="shared" si="3"/>
        <v>0</v>
      </c>
      <c r="F267" s="639"/>
    </row>
    <row r="268" spans="1:6" ht="15" customHeight="1">
      <c r="A268" s="1868"/>
      <c r="B268" s="637"/>
      <c r="C268" s="1871"/>
      <c r="D268" s="1871"/>
      <c r="E268" s="629">
        <f t="shared" si="3"/>
        <v>0</v>
      </c>
      <c r="F268" s="639"/>
    </row>
    <row r="269" spans="1:6" ht="15" customHeight="1">
      <c r="A269" s="1868"/>
      <c r="B269" s="637"/>
      <c r="C269" s="1871"/>
      <c r="D269" s="1871"/>
      <c r="E269" s="629">
        <f t="shared" si="3"/>
        <v>0</v>
      </c>
      <c r="F269" s="639"/>
    </row>
    <row r="270" spans="1:6" ht="15" customHeight="1">
      <c r="A270" s="1868"/>
      <c r="B270" s="637"/>
      <c r="C270" s="1871"/>
      <c r="D270" s="1871"/>
      <c r="E270" s="629">
        <f t="shared" si="3"/>
        <v>0</v>
      </c>
      <c r="F270" s="639"/>
    </row>
    <row r="271" spans="1:6" ht="15" customHeight="1">
      <c r="A271" s="1868"/>
      <c r="B271" s="637"/>
      <c r="C271" s="1871"/>
      <c r="D271" s="1871"/>
      <c r="E271" s="629">
        <f t="shared" si="3"/>
        <v>0</v>
      </c>
      <c r="F271" s="639"/>
    </row>
    <row r="272" spans="1:6" ht="15" customHeight="1">
      <c r="A272" s="1868"/>
      <c r="B272" s="637"/>
      <c r="C272" s="1871"/>
      <c r="D272" s="1871"/>
      <c r="E272" s="629">
        <f t="shared" ref="E272:E303" si="4">C272-B272+D272</f>
        <v>0</v>
      </c>
      <c r="F272" s="639"/>
    </row>
    <row r="273" spans="1:6" ht="15" customHeight="1">
      <c r="A273" s="1868"/>
      <c r="B273" s="637"/>
      <c r="C273" s="1871"/>
      <c r="D273" s="1871"/>
      <c r="E273" s="629">
        <f t="shared" si="4"/>
        <v>0</v>
      </c>
      <c r="F273" s="639"/>
    </row>
    <row r="274" spans="1:6" ht="15" customHeight="1">
      <c r="A274" s="1868"/>
      <c r="B274" s="637"/>
      <c r="C274" s="1871"/>
      <c r="D274" s="1871"/>
      <c r="E274" s="629">
        <f t="shared" si="4"/>
        <v>0</v>
      </c>
      <c r="F274" s="639"/>
    </row>
    <row r="275" spans="1:6" ht="15" customHeight="1">
      <c r="A275" s="1868"/>
      <c r="B275" s="637"/>
      <c r="C275" s="1871"/>
      <c r="D275" s="1871"/>
      <c r="E275" s="629">
        <f t="shared" si="4"/>
        <v>0</v>
      </c>
      <c r="F275" s="639"/>
    </row>
    <row r="276" spans="1:6" ht="15" customHeight="1">
      <c r="A276" s="1868"/>
      <c r="B276" s="637"/>
      <c r="C276" s="1871"/>
      <c r="D276" s="1871"/>
      <c r="E276" s="629">
        <f t="shared" si="4"/>
        <v>0</v>
      </c>
      <c r="F276" s="639"/>
    </row>
    <row r="277" spans="1:6" ht="15" customHeight="1">
      <c r="A277" s="1868"/>
      <c r="B277" s="637"/>
      <c r="C277" s="1871"/>
      <c r="D277" s="1871"/>
      <c r="E277" s="629">
        <f t="shared" si="4"/>
        <v>0</v>
      </c>
      <c r="F277" s="639"/>
    </row>
    <row r="278" spans="1:6" ht="15" customHeight="1">
      <c r="A278" s="1868"/>
      <c r="B278" s="637"/>
      <c r="C278" s="1871"/>
      <c r="D278" s="1871"/>
      <c r="E278" s="629">
        <f t="shared" si="4"/>
        <v>0</v>
      </c>
      <c r="F278" s="639"/>
    </row>
    <row r="279" spans="1:6" ht="15" customHeight="1">
      <c r="A279" s="1868"/>
      <c r="B279" s="637"/>
      <c r="C279" s="1871"/>
      <c r="D279" s="1871"/>
      <c r="E279" s="629">
        <f t="shared" si="4"/>
        <v>0</v>
      </c>
      <c r="F279" s="639"/>
    </row>
    <row r="280" spans="1:6" ht="15" customHeight="1">
      <c r="A280" s="1868"/>
      <c r="B280" s="637"/>
      <c r="C280" s="1871"/>
      <c r="D280" s="1871"/>
      <c r="E280" s="629">
        <f t="shared" si="4"/>
        <v>0</v>
      </c>
      <c r="F280" s="639"/>
    </row>
    <row r="281" spans="1:6" ht="15" customHeight="1">
      <c r="A281" s="1868"/>
      <c r="B281" s="637"/>
      <c r="C281" s="1871"/>
      <c r="D281" s="1871"/>
      <c r="E281" s="629">
        <f t="shared" si="4"/>
        <v>0</v>
      </c>
      <c r="F281" s="639"/>
    </row>
    <row r="282" spans="1:6" ht="15" customHeight="1">
      <c r="A282" s="1868"/>
      <c r="B282" s="637"/>
      <c r="C282" s="1871"/>
      <c r="D282" s="1871"/>
      <c r="E282" s="629">
        <f t="shared" si="4"/>
        <v>0</v>
      </c>
      <c r="F282" s="639"/>
    </row>
    <row r="283" spans="1:6" ht="15" customHeight="1">
      <c r="A283" s="1868"/>
      <c r="B283" s="637"/>
      <c r="C283" s="1871"/>
      <c r="D283" s="1871"/>
      <c r="E283" s="629">
        <f t="shared" si="4"/>
        <v>0</v>
      </c>
      <c r="F283" s="639"/>
    </row>
    <row r="284" spans="1:6" ht="15" customHeight="1">
      <c r="A284" s="1868"/>
      <c r="B284" s="637"/>
      <c r="C284" s="1871"/>
      <c r="D284" s="1871"/>
      <c r="E284" s="629">
        <f t="shared" si="4"/>
        <v>0</v>
      </c>
      <c r="F284" s="639"/>
    </row>
    <row r="285" spans="1:6" ht="15" customHeight="1">
      <c r="A285" s="1868"/>
      <c r="B285" s="637"/>
      <c r="C285" s="1871"/>
      <c r="D285" s="1871"/>
      <c r="E285" s="629">
        <f t="shared" si="4"/>
        <v>0</v>
      </c>
      <c r="F285" s="639"/>
    </row>
    <row r="286" spans="1:6" ht="15" customHeight="1">
      <c r="A286" s="1868"/>
      <c r="B286" s="637"/>
      <c r="C286" s="1871"/>
      <c r="D286" s="1871"/>
      <c r="E286" s="629">
        <f t="shared" si="4"/>
        <v>0</v>
      </c>
      <c r="F286" s="639"/>
    </row>
    <row r="287" spans="1:6" ht="15" customHeight="1">
      <c r="A287" s="1868"/>
      <c r="B287" s="637"/>
      <c r="C287" s="1871"/>
      <c r="D287" s="1871"/>
      <c r="E287" s="629">
        <f t="shared" si="4"/>
        <v>0</v>
      </c>
      <c r="F287" s="639"/>
    </row>
    <row r="288" spans="1:6" ht="15" customHeight="1">
      <c r="A288" s="1868"/>
      <c r="B288" s="637"/>
      <c r="C288" s="1871"/>
      <c r="D288" s="1871"/>
      <c r="E288" s="629">
        <f t="shared" si="4"/>
        <v>0</v>
      </c>
      <c r="F288" s="639"/>
    </row>
    <row r="289" spans="1:6" ht="15" customHeight="1">
      <c r="A289" s="1868"/>
      <c r="B289" s="637"/>
      <c r="C289" s="1871"/>
      <c r="D289" s="1871"/>
      <c r="E289" s="629">
        <f t="shared" si="4"/>
        <v>0</v>
      </c>
      <c r="F289" s="639"/>
    </row>
    <row r="290" spans="1:6" ht="15" customHeight="1">
      <c r="A290" s="1868"/>
      <c r="B290" s="637"/>
      <c r="C290" s="1871"/>
      <c r="D290" s="1871"/>
      <c r="E290" s="629">
        <f t="shared" si="4"/>
        <v>0</v>
      </c>
      <c r="F290" s="639"/>
    </row>
    <row r="291" spans="1:6" ht="15" customHeight="1">
      <c r="A291" s="1868"/>
      <c r="B291" s="637"/>
      <c r="C291" s="1871"/>
      <c r="D291" s="1871"/>
      <c r="E291" s="629">
        <f t="shared" si="4"/>
        <v>0</v>
      </c>
      <c r="F291" s="639"/>
    </row>
    <row r="292" spans="1:6" ht="15" customHeight="1">
      <c r="A292" s="1868"/>
      <c r="B292" s="637"/>
      <c r="C292" s="1871"/>
      <c r="D292" s="1871"/>
      <c r="E292" s="629">
        <f t="shared" si="4"/>
        <v>0</v>
      </c>
      <c r="F292" s="639"/>
    </row>
    <row r="293" spans="1:6" ht="15" customHeight="1">
      <c r="A293" s="1868"/>
      <c r="B293" s="637"/>
      <c r="C293" s="1871"/>
      <c r="D293" s="1871"/>
      <c r="E293" s="629">
        <f t="shared" si="4"/>
        <v>0</v>
      </c>
      <c r="F293" s="639"/>
    </row>
    <row r="294" spans="1:6" ht="15" customHeight="1">
      <c r="A294" s="1868"/>
      <c r="B294" s="637"/>
      <c r="C294" s="1871"/>
      <c r="D294" s="1871"/>
      <c r="E294" s="629">
        <f t="shared" si="4"/>
        <v>0</v>
      </c>
      <c r="F294" s="639"/>
    </row>
    <row r="295" spans="1:6" ht="15" customHeight="1">
      <c r="A295" s="1868"/>
      <c r="B295" s="637"/>
      <c r="C295" s="1871"/>
      <c r="D295" s="1871"/>
      <c r="E295" s="629">
        <f t="shared" si="4"/>
        <v>0</v>
      </c>
      <c r="F295" s="639"/>
    </row>
    <row r="296" spans="1:6" ht="15" customHeight="1">
      <c r="A296" s="1868"/>
      <c r="B296" s="637"/>
      <c r="C296" s="1871"/>
      <c r="D296" s="1871"/>
      <c r="E296" s="629">
        <f t="shared" si="4"/>
        <v>0</v>
      </c>
      <c r="F296" s="639"/>
    </row>
    <row r="297" spans="1:6" ht="15" customHeight="1">
      <c r="A297" s="1868"/>
      <c r="B297" s="637"/>
      <c r="C297" s="1871"/>
      <c r="D297" s="1871"/>
      <c r="E297" s="629">
        <f t="shared" si="4"/>
        <v>0</v>
      </c>
      <c r="F297" s="639"/>
    </row>
    <row r="298" spans="1:6" ht="15" customHeight="1">
      <c r="A298" s="1868"/>
      <c r="B298" s="637"/>
      <c r="C298" s="1871"/>
      <c r="D298" s="1871"/>
      <c r="E298" s="629">
        <f t="shared" si="4"/>
        <v>0</v>
      </c>
      <c r="F298" s="639"/>
    </row>
    <row r="299" spans="1:6" ht="15" customHeight="1">
      <c r="A299" s="1868"/>
      <c r="B299" s="637"/>
      <c r="C299" s="1871"/>
      <c r="D299" s="1871"/>
      <c r="E299" s="629">
        <f t="shared" si="4"/>
        <v>0</v>
      </c>
      <c r="F299" s="639"/>
    </row>
    <row r="300" spans="1:6" ht="15" customHeight="1">
      <c r="A300" s="1868"/>
      <c r="B300" s="637"/>
      <c r="C300" s="1871"/>
      <c r="D300" s="1871"/>
      <c r="E300" s="629">
        <f t="shared" si="4"/>
        <v>0</v>
      </c>
      <c r="F300" s="639"/>
    </row>
    <row r="301" spans="1:6" ht="15" customHeight="1">
      <c r="A301" s="1868"/>
      <c r="B301" s="637"/>
      <c r="C301" s="1871"/>
      <c r="D301" s="1871"/>
      <c r="E301" s="629">
        <f t="shared" si="4"/>
        <v>0</v>
      </c>
      <c r="F301" s="639"/>
    </row>
    <row r="302" spans="1:6" ht="15" customHeight="1">
      <c r="A302" s="1868"/>
      <c r="B302" s="637"/>
      <c r="C302" s="1871"/>
      <c r="D302" s="1871"/>
      <c r="E302" s="629">
        <f t="shared" si="4"/>
        <v>0</v>
      </c>
      <c r="F302" s="639"/>
    </row>
    <row r="303" spans="1:6" ht="15" customHeight="1">
      <c r="A303" s="1870"/>
      <c r="B303" s="641"/>
      <c r="C303" s="1872"/>
      <c r="D303" s="1872"/>
      <c r="E303" s="643">
        <f t="shared" si="4"/>
        <v>0</v>
      </c>
      <c r="F303" s="644"/>
    </row>
    <row r="304" spans="1:6" ht="15" customHeight="1">
      <c r="A304" s="1894"/>
      <c r="B304" s="1894"/>
      <c r="C304" s="1894"/>
      <c r="D304" s="1894"/>
      <c r="E304" s="1894"/>
      <c r="F304" s="1894"/>
    </row>
    <row r="305" spans="1:6" ht="15" customHeight="1">
      <c r="A305" s="1894"/>
      <c r="B305" s="1894"/>
      <c r="C305" s="1894"/>
      <c r="D305" s="1894"/>
      <c r="E305" s="1894"/>
      <c r="F305" s="1894"/>
    </row>
    <row r="306" spans="1:6" ht="15" customHeight="1">
      <c r="A306" s="1894"/>
      <c r="B306" s="1894"/>
      <c r="C306" s="1894"/>
      <c r="D306" s="1894"/>
      <c r="E306" s="1894"/>
      <c r="F306" s="1894"/>
    </row>
    <row r="307" spans="1:6" ht="15" customHeight="1">
      <c r="A307" s="1894"/>
      <c r="B307" s="1894"/>
      <c r="C307" s="1894"/>
      <c r="D307" s="1894"/>
      <c r="E307" s="1894"/>
      <c r="F307" s="1894"/>
    </row>
    <row r="308" spans="1:6" ht="15" customHeight="1">
      <c r="A308" s="1894"/>
      <c r="B308" s="1894"/>
      <c r="C308" s="1894"/>
      <c r="D308" s="1894"/>
      <c r="E308" s="1894"/>
      <c r="F308" s="1894"/>
    </row>
    <row r="309" spans="1:6" ht="15" customHeight="1">
      <c r="A309" s="1894"/>
      <c r="B309" s="1894"/>
      <c r="C309" s="1894"/>
      <c r="D309" s="1894"/>
      <c r="E309" s="1894"/>
      <c r="F309" s="1894"/>
    </row>
    <row r="310" spans="1:6" ht="15" customHeight="1">
      <c r="A310" s="1894"/>
      <c r="B310" s="1894"/>
      <c r="C310" s="1894"/>
      <c r="D310" s="1894"/>
      <c r="E310" s="1894"/>
      <c r="F310" s="1894"/>
    </row>
    <row r="311" spans="1:6" ht="15" customHeight="1">
      <c r="A311" s="1894"/>
      <c r="B311" s="1894"/>
      <c r="C311" s="1894"/>
      <c r="D311" s="1894"/>
      <c r="E311" s="1894"/>
      <c r="F311" s="1894"/>
    </row>
    <row r="312" spans="1:6" ht="15" customHeight="1">
      <c r="A312" s="1894"/>
      <c r="B312" s="1894"/>
      <c r="C312" s="1894"/>
      <c r="D312" s="1894"/>
      <c r="E312" s="1894"/>
      <c r="F312" s="1894"/>
    </row>
    <row r="313" spans="1:6" ht="15" customHeight="1">
      <c r="A313" s="1894"/>
      <c r="B313" s="1894"/>
      <c r="C313" s="1894"/>
      <c r="D313" s="1894"/>
      <c r="E313" s="1894"/>
      <c r="F313" s="1894"/>
    </row>
    <row r="314" spans="1:6" ht="15" customHeight="1">
      <c r="A314" s="1894"/>
      <c r="B314" s="1894"/>
      <c r="C314" s="1894"/>
      <c r="D314" s="1894"/>
      <c r="E314" s="1894"/>
      <c r="F314" s="1894"/>
    </row>
    <row r="315" spans="1:6" ht="15" customHeight="1">
      <c r="A315" s="1894"/>
      <c r="B315" s="1894"/>
      <c r="C315" s="1894"/>
      <c r="D315" s="1894"/>
      <c r="E315" s="1894"/>
      <c r="F315" s="1894"/>
    </row>
    <row r="316" spans="1:6" ht="15" customHeight="1">
      <c r="A316" s="1894"/>
      <c r="B316" s="1894"/>
      <c r="C316" s="1894"/>
      <c r="D316" s="1894"/>
      <c r="E316" s="1894"/>
      <c r="F316" s="1894"/>
    </row>
    <row r="317" spans="1:6" ht="15" customHeight="1">
      <c r="A317" s="1894"/>
      <c r="B317" s="1894"/>
      <c r="C317" s="1894"/>
      <c r="D317" s="1894"/>
      <c r="E317" s="1894"/>
      <c r="F317" s="1894"/>
    </row>
    <row r="318" spans="1:6" ht="15" customHeight="1">
      <c r="A318" s="1894"/>
      <c r="B318" s="1894"/>
      <c r="C318" s="1894"/>
      <c r="D318" s="1894"/>
      <c r="E318" s="1894"/>
      <c r="F318" s="1894"/>
    </row>
    <row r="319" spans="1:6" ht="15" customHeight="1">
      <c r="A319" s="1894"/>
      <c r="B319" s="1894"/>
      <c r="C319" s="1894"/>
      <c r="D319" s="1894"/>
      <c r="E319" s="1894"/>
      <c r="F319" s="1894"/>
    </row>
    <row r="320" spans="1:6" ht="15" customHeight="1">
      <c r="A320" s="1894"/>
      <c r="B320" s="1894"/>
      <c r="C320" s="1894"/>
      <c r="D320" s="1894"/>
      <c r="E320" s="1894"/>
      <c r="F320" s="1894"/>
    </row>
    <row r="321" spans="1:6" ht="15" customHeight="1">
      <c r="A321" s="1894"/>
      <c r="B321" s="1894"/>
      <c r="C321" s="1894"/>
      <c r="D321" s="1894"/>
      <c r="E321" s="1894"/>
      <c r="F321" s="1894"/>
    </row>
    <row r="322" spans="1:6" ht="15" customHeight="1">
      <c r="A322" s="1894"/>
      <c r="B322" s="1894"/>
      <c r="C322" s="1894"/>
      <c r="D322" s="1894"/>
      <c r="E322" s="1894"/>
      <c r="F322" s="1894"/>
    </row>
    <row r="323" spans="1:6" ht="15" customHeight="1">
      <c r="A323" s="1894"/>
      <c r="B323" s="1894"/>
      <c r="C323" s="1894"/>
      <c r="D323" s="1894"/>
      <c r="E323" s="1894"/>
      <c r="F323" s="1894"/>
    </row>
    <row r="324" spans="1:6" ht="15" customHeight="1">
      <c r="A324" s="1894"/>
      <c r="B324" s="1894"/>
      <c r="C324" s="1894"/>
      <c r="D324" s="1894"/>
      <c r="E324" s="1894"/>
      <c r="F324" s="1894"/>
    </row>
    <row r="325" spans="1:6" ht="15" customHeight="1">
      <c r="A325" s="1894"/>
      <c r="B325" s="1894"/>
      <c r="C325" s="1894"/>
      <c r="D325" s="1894"/>
      <c r="E325" s="1894"/>
      <c r="F325" s="1894"/>
    </row>
    <row r="326" spans="1:6" ht="15" customHeight="1">
      <c r="A326" s="1894"/>
      <c r="B326" s="1894"/>
      <c r="C326" s="1894"/>
      <c r="D326" s="1894"/>
      <c r="E326" s="1894"/>
      <c r="F326" s="1894"/>
    </row>
    <row r="327" spans="1:6" ht="15" customHeight="1">
      <c r="A327" s="1894"/>
      <c r="B327" s="1894"/>
      <c r="C327" s="1894"/>
      <c r="D327" s="1894"/>
      <c r="E327" s="1894"/>
      <c r="F327" s="1894"/>
    </row>
    <row r="328" spans="1:6" ht="15" customHeight="1">
      <c r="A328" s="1894"/>
      <c r="B328" s="1894"/>
      <c r="C328" s="1894"/>
      <c r="D328" s="1894"/>
      <c r="E328" s="1894"/>
      <c r="F328" s="1894"/>
    </row>
    <row r="329" spans="1:6" ht="15" customHeight="1">
      <c r="A329" s="1894"/>
      <c r="B329" s="1894"/>
      <c r="C329" s="1894"/>
      <c r="D329" s="1894"/>
      <c r="E329" s="1894"/>
      <c r="F329" s="1894"/>
    </row>
    <row r="330" spans="1:6" ht="15" customHeight="1">
      <c r="A330" s="1894"/>
      <c r="B330" s="1894"/>
      <c r="C330" s="1894"/>
      <c r="D330" s="1894"/>
      <c r="E330" s="1894"/>
      <c r="F330" s="1894"/>
    </row>
    <row r="331" spans="1:6" ht="15" customHeight="1">
      <c r="A331" s="1894"/>
      <c r="B331" s="1894"/>
      <c r="C331" s="1894"/>
      <c r="D331" s="1894"/>
      <c r="E331" s="1894"/>
      <c r="F331" s="1894"/>
    </row>
    <row r="332" spans="1:6" ht="15" customHeight="1">
      <c r="A332" s="1894"/>
      <c r="B332" s="1894"/>
      <c r="C332" s="1894"/>
      <c r="D332" s="1894"/>
      <c r="E332" s="1894"/>
      <c r="F332" s="1894"/>
    </row>
    <row r="333" spans="1:6" ht="15" customHeight="1">
      <c r="A333" s="1894"/>
      <c r="B333" s="1894"/>
      <c r="C333" s="1894"/>
      <c r="D333" s="1894"/>
      <c r="E333" s="1894"/>
      <c r="F333" s="1894"/>
    </row>
    <row r="334" spans="1:6" ht="15" customHeight="1">
      <c r="A334" s="1894"/>
      <c r="B334" s="1894"/>
      <c r="C334" s="1894"/>
      <c r="D334" s="1894"/>
      <c r="E334" s="1894"/>
      <c r="F334" s="1894"/>
    </row>
    <row r="335" spans="1:6" ht="15" customHeight="1">
      <c r="A335" s="1894"/>
      <c r="B335" s="1894"/>
      <c r="C335" s="1894"/>
      <c r="D335" s="1894"/>
      <c r="E335" s="1894"/>
      <c r="F335" s="1894"/>
    </row>
    <row r="336" spans="1:6" ht="15" customHeight="1">
      <c r="A336" s="1894"/>
      <c r="B336" s="1894"/>
      <c r="C336" s="1894"/>
      <c r="D336" s="1894"/>
      <c r="E336" s="1894"/>
      <c r="F336" s="1894"/>
    </row>
    <row r="337" spans="1:6" ht="15" customHeight="1">
      <c r="A337" s="1894"/>
      <c r="B337" s="1894"/>
      <c r="C337" s="1894"/>
      <c r="D337" s="1894"/>
      <c r="E337" s="1894"/>
      <c r="F337" s="1894"/>
    </row>
    <row r="338" spans="1:6" ht="15" customHeight="1">
      <c r="A338" s="1894"/>
      <c r="B338" s="1894"/>
      <c r="C338" s="1894"/>
      <c r="D338" s="1894"/>
      <c r="E338" s="1894"/>
      <c r="F338" s="1894"/>
    </row>
    <row r="339" spans="1:6" ht="15" customHeight="1">
      <c r="A339" s="1894"/>
      <c r="B339" s="1894"/>
      <c r="C339" s="1894"/>
      <c r="D339" s="1894"/>
      <c r="E339" s="1894"/>
      <c r="F339" s="1894"/>
    </row>
    <row r="340" spans="1:6" ht="15" customHeight="1">
      <c r="A340" s="1894"/>
      <c r="B340" s="1894"/>
      <c r="C340" s="1894"/>
      <c r="D340" s="1894"/>
      <c r="E340" s="1894"/>
      <c r="F340" s="1894"/>
    </row>
    <row r="341" spans="1:6" ht="15" customHeight="1">
      <c r="A341" s="1894"/>
      <c r="B341" s="1894"/>
      <c r="C341" s="1894"/>
      <c r="D341" s="1894"/>
      <c r="E341" s="1894"/>
      <c r="F341" s="1894"/>
    </row>
    <row r="342" spans="1:6" ht="15" customHeight="1">
      <c r="A342" s="1894"/>
      <c r="B342" s="1894"/>
      <c r="C342" s="1894"/>
      <c r="D342" s="1894"/>
      <c r="E342" s="1894"/>
      <c r="F342" s="1894"/>
    </row>
    <row r="343" spans="1:6" ht="15" customHeight="1">
      <c r="A343" s="1894"/>
      <c r="B343" s="1894"/>
      <c r="C343" s="1894"/>
      <c r="D343" s="1894"/>
      <c r="E343" s="1894"/>
      <c r="F343" s="1894"/>
    </row>
    <row r="344" spans="1:6" ht="15" customHeight="1">
      <c r="A344" s="1894"/>
      <c r="B344" s="1894"/>
      <c r="C344" s="1894"/>
      <c r="D344" s="1894"/>
      <c r="E344" s="1894"/>
      <c r="F344" s="1894"/>
    </row>
    <row r="345" spans="1:6" ht="15" customHeight="1">
      <c r="A345" s="1894"/>
      <c r="B345" s="1894"/>
      <c r="C345" s="1894"/>
      <c r="D345" s="1894"/>
      <c r="E345" s="1894"/>
      <c r="F345" s="1894"/>
    </row>
    <row r="346" spans="1:6" ht="15" customHeight="1">
      <c r="A346" s="1894"/>
      <c r="B346" s="1894"/>
      <c r="C346" s="1894"/>
      <c r="D346" s="1894"/>
      <c r="E346" s="1894"/>
      <c r="F346" s="1894"/>
    </row>
    <row r="347" spans="1:6" ht="15" customHeight="1">
      <c r="A347" s="1894"/>
      <c r="B347" s="1894"/>
      <c r="C347" s="1894"/>
      <c r="D347" s="1894"/>
      <c r="E347" s="1894"/>
      <c r="F347" s="1894"/>
    </row>
    <row r="348" spans="1:6" ht="15" customHeight="1">
      <c r="A348" s="1894"/>
      <c r="B348" s="1894"/>
      <c r="C348" s="1894"/>
      <c r="D348" s="1894"/>
      <c r="E348" s="1894"/>
      <c r="F348" s="1894"/>
    </row>
    <row r="349" spans="1:6" ht="15" customHeight="1">
      <c r="A349" s="1894"/>
      <c r="B349" s="1894"/>
      <c r="C349" s="1894"/>
      <c r="D349" s="1894"/>
      <c r="E349" s="1894"/>
      <c r="F349" s="1894"/>
    </row>
    <row r="350" spans="1:6" ht="15" customHeight="1">
      <c r="A350" s="1894"/>
      <c r="B350" s="1894"/>
      <c r="C350" s="1894"/>
      <c r="D350" s="1894"/>
      <c r="E350" s="1894"/>
      <c r="F350" s="1894"/>
    </row>
    <row r="351" spans="1:6" ht="15" customHeight="1">
      <c r="A351" s="1894"/>
      <c r="B351" s="1894"/>
      <c r="C351" s="1894"/>
      <c r="D351" s="1894"/>
      <c r="E351" s="1894"/>
      <c r="F351" s="1894"/>
    </row>
    <row r="352" spans="1:6" ht="15" customHeight="1">
      <c r="A352" s="1894"/>
      <c r="B352" s="1894"/>
      <c r="C352" s="1894"/>
      <c r="D352" s="1894"/>
      <c r="E352" s="1894"/>
      <c r="F352" s="1894"/>
    </row>
    <row r="353" spans="1:6" ht="15" customHeight="1">
      <c r="A353" s="1894"/>
      <c r="B353" s="1894"/>
      <c r="C353" s="1894"/>
      <c r="D353" s="1894"/>
      <c r="E353" s="1894"/>
      <c r="F353" s="1894"/>
    </row>
    <row r="354" spans="1:6" ht="15" customHeight="1">
      <c r="A354" s="1894"/>
      <c r="B354" s="1894"/>
      <c r="C354" s="1894"/>
      <c r="D354" s="1894"/>
      <c r="E354" s="1894"/>
      <c r="F354" s="1894"/>
    </row>
    <row r="355" spans="1:6" ht="15" customHeight="1">
      <c r="A355" s="1894"/>
      <c r="B355" s="1894"/>
      <c r="C355" s="1894"/>
      <c r="D355" s="1894"/>
      <c r="E355" s="1894"/>
      <c r="F355" s="1894"/>
    </row>
    <row r="356" spans="1:6" ht="15" customHeight="1">
      <c r="A356" s="1894"/>
      <c r="B356" s="1894"/>
      <c r="C356" s="1894"/>
      <c r="D356" s="1894"/>
      <c r="E356" s="1894"/>
      <c r="F356" s="1894"/>
    </row>
    <row r="357" spans="1:6" ht="15" customHeight="1">
      <c r="A357" s="1894"/>
      <c r="B357" s="1894"/>
      <c r="C357" s="1894"/>
      <c r="D357" s="1894"/>
      <c r="E357" s="1894"/>
      <c r="F357" s="1894"/>
    </row>
    <row r="358" spans="1:6" ht="15" customHeight="1">
      <c r="A358" s="1894"/>
      <c r="B358" s="1894"/>
      <c r="C358" s="1894"/>
      <c r="D358" s="1894"/>
      <c r="E358" s="1894"/>
      <c r="F358" s="1894"/>
    </row>
    <row r="359" spans="1:6" ht="15" customHeight="1">
      <c r="A359" s="1894"/>
      <c r="B359" s="1894"/>
      <c r="C359" s="1894"/>
      <c r="D359" s="1894"/>
      <c r="E359" s="1894"/>
      <c r="F359" s="1894"/>
    </row>
    <row r="360" spans="1:6" ht="15" customHeight="1">
      <c r="A360" s="1894"/>
      <c r="B360" s="1894"/>
      <c r="C360" s="1894"/>
      <c r="D360" s="1894"/>
      <c r="E360" s="1894"/>
      <c r="F360" s="1894"/>
    </row>
    <row r="361" spans="1:6" ht="15" customHeight="1">
      <c r="A361" s="1894"/>
      <c r="B361" s="1894"/>
      <c r="C361" s="1894"/>
      <c r="D361" s="1894"/>
      <c r="E361" s="1894"/>
      <c r="F361" s="1894"/>
    </row>
    <row r="362" spans="1:6" ht="15" customHeight="1">
      <c r="A362" s="1894"/>
      <c r="B362" s="1894"/>
      <c r="C362" s="1894"/>
      <c r="D362" s="1894"/>
      <c r="E362" s="1894"/>
      <c r="F362" s="1894"/>
    </row>
    <row r="363" spans="1:6" ht="15" customHeight="1">
      <c r="A363" s="1894"/>
      <c r="B363" s="1894"/>
      <c r="C363" s="1894"/>
      <c r="D363" s="1894"/>
      <c r="E363" s="1894"/>
      <c r="F363" s="1894"/>
    </row>
    <row r="364" spans="1:6" ht="15" customHeight="1">
      <c r="A364" s="1894"/>
      <c r="B364" s="1894"/>
      <c r="C364" s="1894"/>
      <c r="D364" s="1894"/>
      <c r="E364" s="1894"/>
      <c r="F364" s="1894"/>
    </row>
    <row r="365" spans="1:6" ht="15" customHeight="1">
      <c r="A365" s="1894"/>
      <c r="B365" s="1894"/>
      <c r="C365" s="1894"/>
      <c r="D365" s="1894"/>
      <c r="E365" s="1894"/>
      <c r="F365" s="1894"/>
    </row>
    <row r="366" spans="1:6" ht="15" customHeight="1">
      <c r="A366" s="1894"/>
      <c r="B366" s="1894"/>
      <c r="C366" s="1894"/>
      <c r="D366" s="1894"/>
      <c r="E366" s="1894"/>
      <c r="F366" s="1894"/>
    </row>
    <row r="367" spans="1:6" ht="15" customHeight="1">
      <c r="A367" s="1894"/>
      <c r="B367" s="1894"/>
      <c r="C367" s="1894"/>
      <c r="D367" s="1894"/>
      <c r="E367" s="1894"/>
      <c r="F367" s="1894"/>
    </row>
    <row r="368" spans="1:6" ht="15" customHeight="1">
      <c r="A368" s="1894"/>
      <c r="B368" s="1894"/>
      <c r="C368" s="1894"/>
      <c r="D368" s="1894"/>
      <c r="E368" s="1894"/>
      <c r="F368" s="1894"/>
    </row>
    <row r="369" spans="1:6" ht="15" customHeight="1">
      <c r="A369" s="1894"/>
      <c r="B369" s="1894"/>
      <c r="C369" s="1894"/>
      <c r="D369" s="1894"/>
      <c r="E369" s="1894"/>
      <c r="F369" s="1894"/>
    </row>
    <row r="370" spans="1:6" ht="15" customHeight="1">
      <c r="A370" s="1894"/>
      <c r="B370" s="1894"/>
      <c r="C370" s="1894"/>
      <c r="D370" s="1894"/>
      <c r="E370" s="1894"/>
      <c r="F370" s="1894"/>
    </row>
    <row r="371" spans="1:6" ht="15" customHeight="1">
      <c r="A371" s="1894"/>
      <c r="B371" s="1894"/>
      <c r="C371" s="1894"/>
      <c r="D371" s="1894"/>
      <c r="E371" s="1894"/>
      <c r="F371" s="1894"/>
    </row>
    <row r="372" spans="1:6" ht="15" customHeight="1">
      <c r="A372" s="1894"/>
      <c r="B372" s="1894"/>
      <c r="C372" s="1894"/>
      <c r="D372" s="1894"/>
      <c r="E372" s="1894"/>
      <c r="F372" s="1894"/>
    </row>
    <row r="373" spans="1:6" ht="15" customHeight="1">
      <c r="A373" s="1894"/>
      <c r="B373" s="1894"/>
      <c r="C373" s="1894"/>
      <c r="D373" s="1894"/>
      <c r="E373" s="1894"/>
      <c r="F373" s="1894"/>
    </row>
    <row r="374" spans="1:6" ht="15" customHeight="1">
      <c r="A374" s="1894"/>
      <c r="B374" s="1894"/>
      <c r="C374" s="1894"/>
      <c r="D374" s="1894"/>
      <c r="E374" s="1894"/>
      <c r="F374" s="1894"/>
    </row>
    <row r="375" spans="1:6" ht="15" customHeight="1">
      <c r="A375" s="1894"/>
      <c r="B375" s="1894"/>
      <c r="C375" s="1894"/>
      <c r="D375" s="1894"/>
      <c r="E375" s="1894"/>
      <c r="F375" s="1894"/>
    </row>
    <row r="376" spans="1:6" ht="15" customHeight="1">
      <c r="A376" s="1894"/>
      <c r="B376" s="1894"/>
      <c r="C376" s="1894"/>
      <c r="D376" s="1894"/>
      <c r="E376" s="1894"/>
      <c r="F376" s="1894"/>
    </row>
    <row r="377" spans="1:6" ht="15" customHeight="1">
      <c r="A377" s="1894"/>
      <c r="B377" s="1894"/>
      <c r="C377" s="1894"/>
      <c r="D377" s="1894"/>
      <c r="E377" s="1894"/>
      <c r="F377" s="1894"/>
    </row>
    <row r="378" spans="1:6" ht="15" customHeight="1">
      <c r="A378" s="1894"/>
      <c r="B378" s="1894"/>
      <c r="C378" s="1894"/>
      <c r="D378" s="1894"/>
      <c r="E378" s="1894"/>
      <c r="F378" s="1894"/>
    </row>
    <row r="379" spans="1:6" ht="15" customHeight="1">
      <c r="A379" s="1894"/>
      <c r="B379" s="1894"/>
      <c r="C379" s="1894"/>
      <c r="D379" s="1894"/>
      <c r="E379" s="1894"/>
      <c r="F379" s="1894"/>
    </row>
    <row r="380" spans="1:6" ht="15" customHeight="1">
      <c r="A380" s="1894"/>
      <c r="B380" s="1894"/>
      <c r="C380" s="1894"/>
      <c r="D380" s="1894"/>
      <c r="E380" s="1894"/>
      <c r="F380" s="1894"/>
    </row>
    <row r="381" spans="1:6" ht="15" customHeight="1">
      <c r="A381" s="1894"/>
      <c r="B381" s="1894"/>
      <c r="C381" s="1894"/>
      <c r="D381" s="1894"/>
      <c r="E381" s="1894"/>
      <c r="F381" s="1894"/>
    </row>
    <row r="382" spans="1:6" ht="15" customHeight="1">
      <c r="A382" s="1894"/>
      <c r="B382" s="1894"/>
      <c r="C382" s="1894"/>
      <c r="D382" s="1894"/>
      <c r="E382" s="1894"/>
      <c r="F382" s="1894"/>
    </row>
    <row r="383" spans="1:6" ht="15" customHeight="1">
      <c r="A383" s="1894"/>
      <c r="B383" s="1894"/>
      <c r="C383" s="1894"/>
      <c r="D383" s="1894"/>
      <c r="E383" s="1894"/>
      <c r="F383" s="1894"/>
    </row>
    <row r="384" spans="1:6" ht="15" customHeight="1">
      <c r="A384" s="1894"/>
      <c r="B384" s="1894"/>
      <c r="C384" s="1894"/>
      <c r="D384" s="1894"/>
      <c r="E384" s="1894"/>
      <c r="F384" s="1894"/>
    </row>
    <row r="385" spans="1:6" ht="15" customHeight="1">
      <c r="A385" s="1894"/>
      <c r="B385" s="1894"/>
      <c r="C385" s="1894"/>
      <c r="D385" s="1894"/>
      <c r="E385" s="1894"/>
      <c r="F385" s="1894"/>
    </row>
    <row r="386" spans="1:6" ht="15" customHeight="1">
      <c r="A386" s="1894"/>
      <c r="B386" s="1894"/>
      <c r="C386" s="1894"/>
      <c r="D386" s="1894"/>
      <c r="E386" s="1894"/>
      <c r="F386" s="1894"/>
    </row>
    <row r="387" spans="1:6" ht="15" customHeight="1">
      <c r="A387" s="1894"/>
      <c r="B387" s="1894"/>
      <c r="C387" s="1894"/>
      <c r="D387" s="1894"/>
      <c r="E387" s="1894"/>
      <c r="F387" s="1894"/>
    </row>
    <row r="388" spans="1:6" ht="15" customHeight="1">
      <c r="A388" s="1894"/>
      <c r="B388" s="1894"/>
      <c r="C388" s="1894"/>
      <c r="D388" s="1894"/>
      <c r="E388" s="1894"/>
      <c r="F388" s="1894"/>
    </row>
    <row r="389" spans="1:6" ht="15" customHeight="1">
      <c r="A389" s="1894"/>
      <c r="B389" s="1894"/>
      <c r="C389" s="1894"/>
      <c r="D389" s="1894"/>
      <c r="E389" s="1894"/>
      <c r="F389" s="1894"/>
    </row>
    <row r="390" spans="1:6" ht="15" customHeight="1">
      <c r="A390" s="1894"/>
      <c r="B390" s="1894"/>
      <c r="C390" s="1894"/>
      <c r="D390" s="1894"/>
      <c r="E390" s="1894"/>
      <c r="F390" s="1894"/>
    </row>
    <row r="391" spans="1:6" ht="15" customHeight="1">
      <c r="A391" s="1894"/>
      <c r="B391" s="1894"/>
      <c r="C391" s="1894"/>
      <c r="D391" s="1894"/>
      <c r="E391" s="1894"/>
      <c r="F391" s="1894"/>
    </row>
    <row r="392" spans="1:6">
      <c r="A392" s="1894"/>
      <c r="B392" s="1894"/>
      <c r="C392" s="1894"/>
      <c r="D392" s="1894"/>
      <c r="E392" s="1894"/>
      <c r="F392" s="1894"/>
    </row>
    <row r="393" spans="1:6">
      <c r="A393" s="1894"/>
      <c r="B393" s="1894"/>
      <c r="C393" s="1894"/>
      <c r="D393" s="1894"/>
      <c r="E393" s="1894"/>
      <c r="F393" s="1894"/>
    </row>
    <row r="394" spans="1:6">
      <c r="A394" s="1894"/>
      <c r="B394" s="1894"/>
      <c r="C394" s="1894"/>
      <c r="D394" s="1894"/>
      <c r="E394" s="1894"/>
      <c r="F394" s="1894"/>
    </row>
    <row r="395" spans="1:6">
      <c r="A395" s="1894"/>
      <c r="B395" s="1894"/>
      <c r="C395" s="1894"/>
      <c r="D395" s="1894"/>
      <c r="E395" s="1894"/>
      <c r="F395" s="1894"/>
    </row>
    <row r="396" spans="1:6">
      <c r="A396" s="1894"/>
      <c r="B396" s="1894"/>
      <c r="C396" s="1894"/>
      <c r="D396" s="1894"/>
      <c r="E396" s="1894"/>
      <c r="F396" s="1894"/>
    </row>
    <row r="397" spans="1:6">
      <c r="A397" s="1894"/>
      <c r="B397" s="1894"/>
      <c r="C397" s="1894"/>
      <c r="D397" s="1894"/>
      <c r="E397" s="1894"/>
      <c r="F397" s="1894"/>
    </row>
    <row r="398" spans="1:6">
      <c r="A398" s="1894"/>
      <c r="B398" s="1894"/>
      <c r="C398" s="1894"/>
      <c r="D398" s="1894"/>
      <c r="E398" s="1894"/>
      <c r="F398" s="1894"/>
    </row>
    <row r="399" spans="1:6">
      <c r="A399" s="1894"/>
      <c r="B399" s="1894"/>
      <c r="C399" s="1894"/>
      <c r="D399" s="1894"/>
      <c r="E399" s="1894"/>
      <c r="F399" s="1894"/>
    </row>
    <row r="400" spans="1:6">
      <c r="A400" s="1894"/>
      <c r="B400" s="1894"/>
      <c r="C400" s="1894"/>
      <c r="D400" s="1894"/>
      <c r="E400" s="1894"/>
      <c r="F400" s="1894"/>
    </row>
    <row r="401" spans="1:6">
      <c r="A401" s="1894"/>
      <c r="B401" s="1894"/>
      <c r="C401" s="1894"/>
      <c r="D401" s="1894"/>
      <c r="E401" s="1894"/>
      <c r="F401" s="1894"/>
    </row>
  </sheetData>
  <sheetProtection formatCells="0" selectLockedCells="1"/>
  <mergeCells count="13">
    <mergeCell ref="G14:G22"/>
    <mergeCell ref="A6:F6"/>
    <mergeCell ref="B7:F7"/>
    <mergeCell ref="A8:A9"/>
    <mergeCell ref="B8:D8"/>
    <mergeCell ref="E8:F8"/>
    <mergeCell ref="B9:F9"/>
    <mergeCell ref="B10:F10"/>
    <mergeCell ref="D1:F1"/>
    <mergeCell ref="D2:F2"/>
    <mergeCell ref="A1:C2"/>
    <mergeCell ref="A3:C4"/>
    <mergeCell ref="A5:C5"/>
  </mergeCells>
  <phoneticPr fontId="135"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3"/>
  <dimension ref="A1:H391"/>
  <sheetViews>
    <sheetView workbookViewId="0">
      <selection sqref="A1:C2"/>
    </sheetView>
  </sheetViews>
  <sheetFormatPr defaultColWidth="9" defaultRowHeight="14.25"/>
  <cols>
    <col min="1" max="1" width="23.125" style="774" customWidth="1"/>
    <col min="2" max="3" width="13.75" style="774" customWidth="1"/>
    <col min="4" max="4" width="9.125" style="774" customWidth="1"/>
    <col min="5" max="5" width="13.75" style="774" customWidth="1"/>
    <col min="6" max="6" width="9.75" style="774" customWidth="1"/>
    <col min="7" max="7" width="63.875" style="856" customWidth="1"/>
    <col min="8" max="16384" width="9" style="1894"/>
  </cols>
  <sheetData>
    <row r="1" spans="1:8" ht="30" customHeight="1">
      <c r="A1" s="2994" t="s">
        <v>1673</v>
      </c>
      <c r="B1" s="2994"/>
      <c r="C1" s="2994"/>
      <c r="D1" s="2754" t="str">
        <f>基本情况!$F$10</f>
        <v>厦中汇税审（2018）第DS0001号</v>
      </c>
      <c r="E1" s="2754"/>
      <c r="F1" s="2754"/>
    </row>
    <row r="2" spans="1:8" ht="30" customHeight="1">
      <c r="A2" s="2994"/>
      <c r="B2" s="2994"/>
      <c r="C2" s="2994"/>
      <c r="D2" s="2949" t="str">
        <f>"底稿编号："&amp;开始!$H$5</f>
        <v>底稿编号：LR-03</v>
      </c>
      <c r="E2" s="2949"/>
      <c r="F2" s="2949"/>
    </row>
    <row r="3" spans="1:8" s="1929" customFormat="1" ht="20.25" customHeight="1">
      <c r="A3" s="3093" t="str">
        <f>"委托单位："&amp;基本情况!$C$3</f>
        <v>委托单位：</v>
      </c>
      <c r="B3" s="3094"/>
      <c r="C3" s="3095"/>
      <c r="D3" s="1939"/>
      <c r="E3" s="1912" t="s">
        <v>4472</v>
      </c>
      <c r="F3" s="1913" t="s">
        <v>4473</v>
      </c>
      <c r="G3" s="1941"/>
    </row>
    <row r="4" spans="1:8" s="1929" customFormat="1" ht="20.25" customHeight="1">
      <c r="A4" s="3096"/>
      <c r="B4" s="3097"/>
      <c r="C4" s="3098"/>
      <c r="D4" s="1427" t="s">
        <v>4407</v>
      </c>
      <c r="E4" s="1914" t="str">
        <f>基本情况!$F$19&amp;""</f>
        <v/>
      </c>
      <c r="F4" s="1908" t="str">
        <f>TEXT(基本情况!$F$27,"yyyy-mm-dd")</f>
        <v>2018-03-16</v>
      </c>
      <c r="G4" s="1941"/>
    </row>
    <row r="5" spans="1:8" s="1929" customFormat="1" ht="20.25" customHeight="1">
      <c r="A5" s="3057" t="str">
        <f>"会计期间："&amp;基本情况!$F$9</f>
        <v>会计期间：2017年01月01日至2017年12月31日</v>
      </c>
      <c r="B5" s="3058"/>
      <c r="C5" s="3059"/>
      <c r="D5" s="1915" t="s">
        <v>4410</v>
      </c>
      <c r="E5" s="1909" t="str">
        <f>基本情况!$F$18&amp;""</f>
        <v/>
      </c>
      <c r="F5" s="1910" t="str">
        <f>TEXT(基本情况!$F$28,"yyyy-mm-dd")</f>
        <v>2018-05-04</v>
      </c>
      <c r="G5" s="1941"/>
    </row>
    <row r="6" spans="1:8" s="1916" customFormat="1" ht="7.5" customHeight="1">
      <c r="A6" s="3055"/>
      <c r="B6" s="3055"/>
      <c r="C6" s="3055"/>
      <c r="D6" s="3055"/>
      <c r="E6" s="3055"/>
      <c r="F6" s="3055"/>
      <c r="G6" s="1942"/>
    </row>
    <row r="7" spans="1:8" s="1931" customFormat="1" ht="20.25" customHeight="1">
      <c r="A7" s="1930" t="s">
        <v>4430</v>
      </c>
      <c r="B7" s="3102" t="str">
        <f>IF(基本情况!$F$33="否",IF(C13-B13&lt;&gt;资产负债表!$G$14,"账载数与报表数相差"&amp;DOLLAR(C13-B13-资产负债表!$G$14,2)&amp;"元！","账载数与报表数相符！"),IF(C12&lt;&gt;资产负债表!$G$14,"账载数与报表数相差"&amp;DOLLAR(C12-资产负债表!$G$14,2)&amp;"元！","账载数与报表数相符！"))</f>
        <v>账载数与报表数相符！</v>
      </c>
      <c r="C7" s="3102"/>
      <c r="D7" s="3102"/>
      <c r="E7" s="3102"/>
      <c r="F7" s="3102"/>
      <c r="G7" s="1943" t="s">
        <v>1724</v>
      </c>
      <c r="H7" s="1932"/>
    </row>
    <row r="8" spans="1:8" s="1931" customFormat="1" ht="15" customHeight="1">
      <c r="A8" s="3070" t="s">
        <v>4431</v>
      </c>
      <c r="B8" s="3071" t="s">
        <v>4474</v>
      </c>
      <c r="C8" s="3071"/>
      <c r="D8" s="3071"/>
      <c r="E8" s="3072" t="str">
        <f>IF(D13&lt;&gt;0,"、E","")</f>
        <v/>
      </c>
      <c r="F8" s="3072"/>
      <c r="G8" s="859"/>
      <c r="H8" s="1932"/>
    </row>
    <row r="9" spans="1:8" s="1931" customFormat="1" ht="61.5" customHeight="1">
      <c r="A9" s="3070"/>
      <c r="B9" s="3103"/>
      <c r="C9" s="3103"/>
      <c r="D9" s="3103"/>
      <c r="E9" s="3103"/>
      <c r="F9" s="3103"/>
      <c r="G9" s="858"/>
      <c r="H9" s="1932"/>
    </row>
    <row r="10" spans="1:8" s="1931" customFormat="1" ht="20.25" customHeight="1">
      <c r="A10" s="1933" t="s">
        <v>4433</v>
      </c>
      <c r="B10" s="3067" t="str">
        <f>IF(D13&lt;&gt;0,"调整后认可！","不存在调整事项,认可！")</f>
        <v>不存在调整事项,认可！</v>
      </c>
      <c r="C10" s="3067"/>
      <c r="D10" s="3067"/>
      <c r="E10" s="3067"/>
      <c r="F10" s="3067"/>
      <c r="G10" s="601" t="s">
        <v>6080</v>
      </c>
      <c r="H10" s="1932"/>
    </row>
    <row r="11" spans="1:8" s="1931" customFormat="1" ht="20.25" customHeight="1">
      <c r="A11" s="1917" t="s">
        <v>750</v>
      </c>
      <c r="B11" s="1934" t="s">
        <v>4479</v>
      </c>
      <c r="C11" s="1918" t="s">
        <v>4480</v>
      </c>
      <c r="D11" s="1918" t="s">
        <v>4414</v>
      </c>
      <c r="E11" s="1918" t="s">
        <v>4415</v>
      </c>
      <c r="F11" s="1919" t="s">
        <v>4487</v>
      </c>
      <c r="G11" s="857"/>
    </row>
    <row r="12" spans="1:8" s="1931" customFormat="1" ht="20.25" customHeight="1">
      <c r="A12" s="1935" t="s">
        <v>4482</v>
      </c>
      <c r="B12" s="628">
        <f>IF(基本情况!$F$33="否",0,B13+其他应收!B15)</f>
        <v>0</v>
      </c>
      <c r="C12" s="628">
        <f>IF(基本情况!$F$33="否",0,C13+其他应收!C15)</f>
        <v>0</v>
      </c>
      <c r="D12" s="646"/>
      <c r="E12" s="1865">
        <f>C12+D12</f>
        <v>0</v>
      </c>
      <c r="F12" s="647">
        <f>IF(基本情况!$F$33="否",0,F13+其他应收!F15)</f>
        <v>0</v>
      </c>
      <c r="G12" s="1944"/>
    </row>
    <row r="13" spans="1:8" s="1931" customFormat="1" ht="20.25" customHeight="1">
      <c r="A13" s="1933" t="s">
        <v>4483</v>
      </c>
      <c r="B13" s="630">
        <f>SUM(B14:B3003)</f>
        <v>0</v>
      </c>
      <c r="C13" s="630">
        <f>SUM(C14:C3003)</f>
        <v>0</v>
      </c>
      <c r="D13" s="1863">
        <f>SUM(D14:D303)</f>
        <v>0</v>
      </c>
      <c r="E13" s="1863">
        <f>SUM(E14:E303)</f>
        <v>0</v>
      </c>
      <c r="F13" s="1875">
        <f>SUM(F14:F303)</f>
        <v>0</v>
      </c>
      <c r="G13" s="859"/>
    </row>
    <row r="14" spans="1:8" s="1929" customFormat="1" ht="15" customHeight="1">
      <c r="A14" s="631"/>
      <c r="B14" s="632"/>
      <c r="C14" s="633"/>
      <c r="D14" s="633"/>
      <c r="E14" s="634">
        <f>C14-B14+D14</f>
        <v>0</v>
      </c>
      <c r="F14" s="635"/>
      <c r="G14" s="2986" t="s">
        <v>4489</v>
      </c>
    </row>
    <row r="15" spans="1:8" s="1929" customFormat="1" ht="15" customHeight="1">
      <c r="A15" s="1868"/>
      <c r="B15" s="637"/>
      <c r="C15" s="1871"/>
      <c r="D15" s="1871"/>
      <c r="E15" s="629">
        <f>C15-B15+D15</f>
        <v>0</v>
      </c>
      <c r="F15" s="639"/>
      <c r="G15" s="2986"/>
    </row>
    <row r="16" spans="1:8" s="1929" customFormat="1" ht="15" customHeight="1">
      <c r="A16" s="1868"/>
      <c r="B16" s="637"/>
      <c r="C16" s="1871"/>
      <c r="D16" s="1871"/>
      <c r="E16" s="629">
        <f t="shared" ref="E16:E79" si="0">C16-B16+D16</f>
        <v>0</v>
      </c>
      <c r="F16" s="639"/>
      <c r="G16" s="1945" t="s">
        <v>4490</v>
      </c>
    </row>
    <row r="17" spans="1:7" s="1929" customFormat="1" ht="15" customHeight="1">
      <c r="A17" s="1868"/>
      <c r="B17" s="637"/>
      <c r="C17" s="1871"/>
      <c r="D17" s="1871"/>
      <c r="E17" s="629">
        <f t="shared" si="0"/>
        <v>0</v>
      </c>
      <c r="F17" s="639"/>
      <c r="G17" s="1945" t="s">
        <v>4491</v>
      </c>
    </row>
    <row r="18" spans="1:7" s="1929" customFormat="1" ht="15" customHeight="1">
      <c r="A18" s="1868"/>
      <c r="B18" s="637"/>
      <c r="C18" s="1871"/>
      <c r="D18" s="1871"/>
      <c r="E18" s="629">
        <f t="shared" si="0"/>
        <v>0</v>
      </c>
      <c r="F18" s="639"/>
      <c r="G18" s="1945" t="s">
        <v>4492</v>
      </c>
    </row>
    <row r="19" spans="1:7" s="1929" customFormat="1" ht="15" customHeight="1">
      <c r="A19" s="1868"/>
      <c r="B19" s="637"/>
      <c r="C19" s="1871"/>
      <c r="D19" s="1871"/>
      <c r="E19" s="629">
        <f t="shared" si="0"/>
        <v>0</v>
      </c>
      <c r="F19" s="639"/>
      <c r="G19" s="1945" t="s">
        <v>4493</v>
      </c>
    </row>
    <row r="20" spans="1:7" s="1929" customFormat="1" ht="15" customHeight="1">
      <c r="A20" s="1868"/>
      <c r="B20" s="637"/>
      <c r="C20" s="1871"/>
      <c r="D20" s="1871"/>
      <c r="E20" s="629">
        <f t="shared" si="0"/>
        <v>0</v>
      </c>
      <c r="F20" s="639"/>
      <c r="G20" s="1945" t="s">
        <v>4494</v>
      </c>
    </row>
    <row r="21" spans="1:7" s="1929" customFormat="1" ht="15" customHeight="1">
      <c r="A21" s="1868"/>
      <c r="B21" s="637"/>
      <c r="C21" s="1871"/>
      <c r="D21" s="1871"/>
      <c r="E21" s="629">
        <f t="shared" si="0"/>
        <v>0</v>
      </c>
      <c r="F21" s="639"/>
      <c r="G21" s="1945" t="s">
        <v>4495</v>
      </c>
    </row>
    <row r="22" spans="1:7" s="1929" customFormat="1" ht="15" customHeight="1">
      <c r="A22" s="1868"/>
      <c r="B22" s="637"/>
      <c r="C22" s="1871"/>
      <c r="D22" s="1871"/>
      <c r="E22" s="629">
        <f t="shared" si="0"/>
        <v>0</v>
      </c>
      <c r="F22" s="639"/>
      <c r="G22" s="1941"/>
    </row>
    <row r="23" spans="1:7" s="1929" customFormat="1" ht="15" customHeight="1">
      <c r="A23" s="1868"/>
      <c r="B23" s="637"/>
      <c r="C23" s="1871"/>
      <c r="D23" s="1871"/>
      <c r="E23" s="629">
        <f t="shared" si="0"/>
        <v>0</v>
      </c>
      <c r="F23" s="639"/>
      <c r="G23" s="1941"/>
    </row>
    <row r="24" spans="1:7" s="1929" customFormat="1" ht="15" customHeight="1">
      <c r="A24" s="1868"/>
      <c r="B24" s="637"/>
      <c r="C24" s="1871"/>
      <c r="D24" s="1871"/>
      <c r="E24" s="629">
        <f t="shared" si="0"/>
        <v>0</v>
      </c>
      <c r="F24" s="639"/>
      <c r="G24" s="1941"/>
    </row>
    <row r="25" spans="1:7" s="1929" customFormat="1" ht="15" customHeight="1">
      <c r="A25" s="1868"/>
      <c r="B25" s="637"/>
      <c r="C25" s="1871"/>
      <c r="D25" s="1871"/>
      <c r="E25" s="629">
        <f t="shared" si="0"/>
        <v>0</v>
      </c>
      <c r="F25" s="639"/>
      <c r="G25" s="1941"/>
    </row>
    <row r="26" spans="1:7" s="1929" customFormat="1" ht="15" customHeight="1">
      <c r="A26" s="1868"/>
      <c r="B26" s="637"/>
      <c r="C26" s="1871"/>
      <c r="D26" s="1871"/>
      <c r="E26" s="629">
        <f t="shared" si="0"/>
        <v>0</v>
      </c>
      <c r="F26" s="639"/>
      <c r="G26" s="1941"/>
    </row>
    <row r="27" spans="1:7" s="1929" customFormat="1" ht="15" customHeight="1">
      <c r="A27" s="1868"/>
      <c r="B27" s="637"/>
      <c r="C27" s="1871"/>
      <c r="D27" s="1871"/>
      <c r="E27" s="629">
        <f t="shared" si="0"/>
        <v>0</v>
      </c>
      <c r="F27" s="639"/>
      <c r="G27" s="1941"/>
    </row>
    <row r="28" spans="1:7" s="1929" customFormat="1" ht="15" customHeight="1">
      <c r="A28" s="1868"/>
      <c r="B28" s="637"/>
      <c r="C28" s="1871"/>
      <c r="D28" s="1871"/>
      <c r="E28" s="629">
        <f t="shared" si="0"/>
        <v>0</v>
      </c>
      <c r="F28" s="639"/>
      <c r="G28" s="1941"/>
    </row>
    <row r="29" spans="1:7" s="1929" customFormat="1" ht="15" customHeight="1">
      <c r="A29" s="1868"/>
      <c r="B29" s="637"/>
      <c r="C29" s="1871"/>
      <c r="D29" s="1871"/>
      <c r="E29" s="629">
        <f t="shared" si="0"/>
        <v>0</v>
      </c>
      <c r="F29" s="639"/>
      <c r="G29" s="1941"/>
    </row>
    <row r="30" spans="1:7" s="1929" customFormat="1" ht="15" customHeight="1">
      <c r="A30" s="1868"/>
      <c r="B30" s="637"/>
      <c r="C30" s="1871"/>
      <c r="D30" s="1871"/>
      <c r="E30" s="629">
        <f t="shared" si="0"/>
        <v>0</v>
      </c>
      <c r="F30" s="639"/>
      <c r="G30" s="1941"/>
    </row>
    <row r="31" spans="1:7" s="1929" customFormat="1" ht="15" customHeight="1">
      <c r="A31" s="1868"/>
      <c r="B31" s="637"/>
      <c r="C31" s="1871"/>
      <c r="D31" s="1871"/>
      <c r="E31" s="629">
        <f t="shared" si="0"/>
        <v>0</v>
      </c>
      <c r="F31" s="639"/>
      <c r="G31" s="1941"/>
    </row>
    <row r="32" spans="1:7" s="1929" customFormat="1" ht="15" customHeight="1">
      <c r="A32" s="1868"/>
      <c r="B32" s="637"/>
      <c r="C32" s="1871"/>
      <c r="D32" s="1871"/>
      <c r="E32" s="629">
        <f t="shared" si="0"/>
        <v>0</v>
      </c>
      <c r="F32" s="639"/>
      <c r="G32" s="1941"/>
    </row>
    <row r="33" spans="1:7" s="1929" customFormat="1" ht="15" customHeight="1">
      <c r="A33" s="1868"/>
      <c r="B33" s="637"/>
      <c r="C33" s="1871"/>
      <c r="D33" s="1871"/>
      <c r="E33" s="629">
        <f t="shared" si="0"/>
        <v>0</v>
      </c>
      <c r="F33" s="639"/>
      <c r="G33" s="1941"/>
    </row>
    <row r="34" spans="1:7" s="1929" customFormat="1" ht="15" customHeight="1">
      <c r="A34" s="1868"/>
      <c r="B34" s="637"/>
      <c r="C34" s="1871"/>
      <c r="D34" s="1871"/>
      <c r="E34" s="629">
        <f t="shared" si="0"/>
        <v>0</v>
      </c>
      <c r="F34" s="639"/>
      <c r="G34" s="1941"/>
    </row>
    <row r="35" spans="1:7" s="1929" customFormat="1" ht="15" customHeight="1">
      <c r="A35" s="1868"/>
      <c r="B35" s="637"/>
      <c r="C35" s="1871"/>
      <c r="D35" s="1871"/>
      <c r="E35" s="629">
        <f t="shared" si="0"/>
        <v>0</v>
      </c>
      <c r="F35" s="639"/>
      <c r="G35" s="1941"/>
    </row>
    <row r="36" spans="1:7" s="1929" customFormat="1" ht="15" customHeight="1">
      <c r="A36" s="1868"/>
      <c r="B36" s="637"/>
      <c r="C36" s="1871"/>
      <c r="D36" s="1871"/>
      <c r="E36" s="629">
        <f t="shared" si="0"/>
        <v>0</v>
      </c>
      <c r="F36" s="639"/>
      <c r="G36" s="1941"/>
    </row>
    <row r="37" spans="1:7" s="1929" customFormat="1" ht="15" customHeight="1">
      <c r="A37" s="1868"/>
      <c r="B37" s="637"/>
      <c r="C37" s="1871"/>
      <c r="D37" s="1871"/>
      <c r="E37" s="629">
        <f t="shared" si="0"/>
        <v>0</v>
      </c>
      <c r="F37" s="639"/>
      <c r="G37" s="1941"/>
    </row>
    <row r="38" spans="1:7" s="1929" customFormat="1" ht="15" customHeight="1">
      <c r="A38" s="1868"/>
      <c r="B38" s="637"/>
      <c r="C38" s="1871"/>
      <c r="D38" s="1871"/>
      <c r="E38" s="629">
        <f t="shared" si="0"/>
        <v>0</v>
      </c>
      <c r="F38" s="639"/>
      <c r="G38" s="1941"/>
    </row>
    <row r="39" spans="1:7" s="1929" customFormat="1" ht="15" customHeight="1">
      <c r="A39" s="1868"/>
      <c r="B39" s="637"/>
      <c r="C39" s="1871"/>
      <c r="D39" s="1871"/>
      <c r="E39" s="629">
        <f t="shared" si="0"/>
        <v>0</v>
      </c>
      <c r="F39" s="639"/>
      <c r="G39" s="1941"/>
    </row>
    <row r="40" spans="1:7" s="1929" customFormat="1" ht="15" customHeight="1">
      <c r="A40" s="1868"/>
      <c r="B40" s="637"/>
      <c r="C40" s="1871"/>
      <c r="D40" s="1871"/>
      <c r="E40" s="629">
        <f t="shared" si="0"/>
        <v>0</v>
      </c>
      <c r="F40" s="639"/>
      <c r="G40" s="1941"/>
    </row>
    <row r="41" spans="1:7" s="1929" customFormat="1" ht="15" customHeight="1">
      <c r="A41" s="1868"/>
      <c r="B41" s="637"/>
      <c r="C41" s="1871"/>
      <c r="D41" s="1871"/>
      <c r="E41" s="629">
        <f t="shared" si="0"/>
        <v>0</v>
      </c>
      <c r="F41" s="639"/>
      <c r="G41" s="1941"/>
    </row>
    <row r="42" spans="1:7" s="1929" customFormat="1" ht="15" customHeight="1">
      <c r="A42" s="1868"/>
      <c r="B42" s="637"/>
      <c r="C42" s="1871"/>
      <c r="D42" s="1871"/>
      <c r="E42" s="629">
        <f t="shared" si="0"/>
        <v>0</v>
      </c>
      <c r="F42" s="639"/>
      <c r="G42" s="1941"/>
    </row>
    <row r="43" spans="1:7" s="1929" customFormat="1" ht="15" customHeight="1">
      <c r="A43" s="1868"/>
      <c r="B43" s="637"/>
      <c r="C43" s="1871"/>
      <c r="D43" s="1871"/>
      <c r="E43" s="629">
        <f t="shared" si="0"/>
        <v>0</v>
      </c>
      <c r="F43" s="639"/>
      <c r="G43" s="1941"/>
    </row>
    <row r="44" spans="1:7" s="1929" customFormat="1" ht="15" customHeight="1">
      <c r="A44" s="1868"/>
      <c r="B44" s="637"/>
      <c r="C44" s="1871"/>
      <c r="D44" s="1871"/>
      <c r="E44" s="629">
        <f t="shared" si="0"/>
        <v>0</v>
      </c>
      <c r="F44" s="639"/>
      <c r="G44" s="1941"/>
    </row>
    <row r="45" spans="1:7" s="1929" customFormat="1" ht="15" customHeight="1">
      <c r="A45" s="1868"/>
      <c r="B45" s="637"/>
      <c r="C45" s="1871"/>
      <c r="D45" s="1871"/>
      <c r="E45" s="629">
        <f t="shared" si="0"/>
        <v>0</v>
      </c>
      <c r="F45" s="639"/>
      <c r="G45" s="1941"/>
    </row>
    <row r="46" spans="1:7" s="1929" customFormat="1" ht="15" customHeight="1">
      <c r="A46" s="1868"/>
      <c r="B46" s="637"/>
      <c r="C46" s="1871"/>
      <c r="D46" s="1871"/>
      <c r="E46" s="629">
        <f t="shared" si="0"/>
        <v>0</v>
      </c>
      <c r="F46" s="639"/>
      <c r="G46" s="1941"/>
    </row>
    <row r="47" spans="1:7" s="1929" customFormat="1" ht="15" customHeight="1">
      <c r="A47" s="1868"/>
      <c r="B47" s="637"/>
      <c r="C47" s="1871"/>
      <c r="D47" s="1871"/>
      <c r="E47" s="629">
        <f t="shared" si="0"/>
        <v>0</v>
      </c>
      <c r="F47" s="639"/>
      <c r="G47" s="1941"/>
    </row>
    <row r="48" spans="1:7" s="1929" customFormat="1" ht="15" customHeight="1">
      <c r="A48" s="1868"/>
      <c r="B48" s="637"/>
      <c r="C48" s="1871"/>
      <c r="D48" s="1871"/>
      <c r="E48" s="629">
        <f t="shared" si="0"/>
        <v>0</v>
      </c>
      <c r="F48" s="639"/>
      <c r="G48" s="1941"/>
    </row>
    <row r="49" spans="1:7" s="1937" customFormat="1" ht="15" customHeight="1">
      <c r="A49" s="1868"/>
      <c r="B49" s="637"/>
      <c r="C49" s="1871"/>
      <c r="D49" s="1871"/>
      <c r="E49" s="629">
        <f t="shared" si="0"/>
        <v>0</v>
      </c>
      <c r="F49" s="639"/>
      <c r="G49" s="854"/>
    </row>
    <row r="50" spans="1:7" s="1937" customFormat="1" ht="15" customHeight="1">
      <c r="A50" s="1868"/>
      <c r="B50" s="637"/>
      <c r="C50" s="1871"/>
      <c r="D50" s="1871"/>
      <c r="E50" s="629">
        <f t="shared" si="0"/>
        <v>0</v>
      </c>
      <c r="F50" s="639"/>
      <c r="G50" s="854"/>
    </row>
    <row r="51" spans="1:7" s="1937" customFormat="1" ht="15" customHeight="1">
      <c r="A51" s="1868"/>
      <c r="B51" s="637"/>
      <c r="C51" s="1871"/>
      <c r="D51" s="1871"/>
      <c r="E51" s="629">
        <f t="shared" si="0"/>
        <v>0</v>
      </c>
      <c r="F51" s="639"/>
      <c r="G51" s="854"/>
    </row>
    <row r="52" spans="1:7" s="1937" customFormat="1" ht="15" customHeight="1">
      <c r="A52" s="1868"/>
      <c r="B52" s="637"/>
      <c r="C52" s="1871"/>
      <c r="D52" s="1871"/>
      <c r="E52" s="629">
        <f t="shared" si="0"/>
        <v>0</v>
      </c>
      <c r="F52" s="639"/>
      <c r="G52" s="854"/>
    </row>
    <row r="53" spans="1:7" s="1937" customFormat="1" ht="15" customHeight="1">
      <c r="A53" s="1868"/>
      <c r="B53" s="637"/>
      <c r="C53" s="1871"/>
      <c r="D53" s="1871"/>
      <c r="E53" s="629">
        <f t="shared" si="0"/>
        <v>0</v>
      </c>
      <c r="F53" s="639"/>
      <c r="G53" s="854"/>
    </row>
    <row r="54" spans="1:7" ht="15" customHeight="1">
      <c r="A54" s="1868"/>
      <c r="B54" s="637"/>
      <c r="C54" s="1871"/>
      <c r="D54" s="1871"/>
      <c r="E54" s="629">
        <f t="shared" si="0"/>
        <v>0</v>
      </c>
      <c r="F54" s="639"/>
    </row>
    <row r="55" spans="1:7" ht="15" customHeight="1">
      <c r="A55" s="1868"/>
      <c r="B55" s="637"/>
      <c r="C55" s="1871"/>
      <c r="D55" s="1871"/>
      <c r="E55" s="629">
        <f t="shared" si="0"/>
        <v>0</v>
      </c>
      <c r="F55" s="639"/>
    </row>
    <row r="56" spans="1:7" ht="15" customHeight="1">
      <c r="A56" s="1868"/>
      <c r="B56" s="637"/>
      <c r="C56" s="1871"/>
      <c r="D56" s="1871"/>
      <c r="E56" s="629">
        <f t="shared" si="0"/>
        <v>0</v>
      </c>
      <c r="F56" s="639"/>
    </row>
    <row r="57" spans="1:7" ht="15" customHeight="1">
      <c r="A57" s="1868"/>
      <c r="B57" s="637"/>
      <c r="C57" s="1871"/>
      <c r="D57" s="1871"/>
      <c r="E57" s="629">
        <f t="shared" si="0"/>
        <v>0</v>
      </c>
      <c r="F57" s="639"/>
    </row>
    <row r="58" spans="1:7" ht="15" customHeight="1">
      <c r="A58" s="1868"/>
      <c r="B58" s="637"/>
      <c r="C58" s="1871"/>
      <c r="D58" s="1871"/>
      <c r="E58" s="629">
        <f t="shared" si="0"/>
        <v>0</v>
      </c>
      <c r="F58" s="639"/>
    </row>
    <row r="59" spans="1:7" ht="15" customHeight="1">
      <c r="A59" s="1868"/>
      <c r="B59" s="637"/>
      <c r="C59" s="1871"/>
      <c r="D59" s="1871"/>
      <c r="E59" s="629">
        <f t="shared" si="0"/>
        <v>0</v>
      </c>
      <c r="F59" s="639"/>
    </row>
    <row r="60" spans="1:7" ht="15" customHeight="1">
      <c r="A60" s="1868"/>
      <c r="B60" s="637"/>
      <c r="C60" s="1871"/>
      <c r="D60" s="1871"/>
      <c r="E60" s="629">
        <f t="shared" si="0"/>
        <v>0</v>
      </c>
      <c r="F60" s="639"/>
    </row>
    <row r="61" spans="1:7" ht="15" customHeight="1">
      <c r="A61" s="1868"/>
      <c r="B61" s="637"/>
      <c r="C61" s="1871"/>
      <c r="D61" s="1871"/>
      <c r="E61" s="629">
        <f t="shared" si="0"/>
        <v>0</v>
      </c>
      <c r="F61" s="639"/>
    </row>
    <row r="62" spans="1:7" ht="15" customHeight="1">
      <c r="A62" s="1868"/>
      <c r="B62" s="637"/>
      <c r="C62" s="1871"/>
      <c r="D62" s="1871"/>
      <c r="E62" s="629">
        <f t="shared" si="0"/>
        <v>0</v>
      </c>
      <c r="F62" s="639"/>
    </row>
    <row r="63" spans="1:7" ht="15" customHeight="1">
      <c r="A63" s="1868"/>
      <c r="B63" s="637"/>
      <c r="C63" s="1871"/>
      <c r="D63" s="1871"/>
      <c r="E63" s="629">
        <f t="shared" si="0"/>
        <v>0</v>
      </c>
      <c r="F63" s="639"/>
    </row>
    <row r="64" spans="1:7" ht="15" customHeight="1">
      <c r="A64" s="1868"/>
      <c r="B64" s="637"/>
      <c r="C64" s="1871"/>
      <c r="D64" s="1871"/>
      <c r="E64" s="629">
        <f t="shared" si="0"/>
        <v>0</v>
      </c>
      <c r="F64" s="639"/>
    </row>
    <row r="65" spans="1:6" ht="15" customHeight="1">
      <c r="A65" s="1868"/>
      <c r="B65" s="637"/>
      <c r="C65" s="1871"/>
      <c r="D65" s="1871"/>
      <c r="E65" s="629">
        <f t="shared" si="0"/>
        <v>0</v>
      </c>
      <c r="F65" s="639"/>
    </row>
    <row r="66" spans="1:6" ht="15" customHeight="1">
      <c r="A66" s="1868"/>
      <c r="B66" s="637"/>
      <c r="C66" s="1871"/>
      <c r="D66" s="1871"/>
      <c r="E66" s="629">
        <f t="shared" si="0"/>
        <v>0</v>
      </c>
      <c r="F66" s="639"/>
    </row>
    <row r="67" spans="1:6" ht="15" customHeight="1">
      <c r="A67" s="1868"/>
      <c r="B67" s="637"/>
      <c r="C67" s="1871"/>
      <c r="D67" s="1871"/>
      <c r="E67" s="629">
        <f t="shared" si="0"/>
        <v>0</v>
      </c>
      <c r="F67" s="639"/>
    </row>
    <row r="68" spans="1:6" ht="15" customHeight="1">
      <c r="A68" s="1868"/>
      <c r="B68" s="637"/>
      <c r="C68" s="1871"/>
      <c r="D68" s="1871"/>
      <c r="E68" s="629">
        <f t="shared" si="0"/>
        <v>0</v>
      </c>
      <c r="F68" s="639"/>
    </row>
    <row r="69" spans="1:6" ht="15" customHeight="1">
      <c r="A69" s="1868"/>
      <c r="B69" s="637"/>
      <c r="C69" s="1871"/>
      <c r="D69" s="1871"/>
      <c r="E69" s="629">
        <f t="shared" si="0"/>
        <v>0</v>
      </c>
      <c r="F69" s="639"/>
    </row>
    <row r="70" spans="1:6" ht="15" customHeight="1">
      <c r="A70" s="1868"/>
      <c r="B70" s="637"/>
      <c r="C70" s="1871"/>
      <c r="D70" s="1871"/>
      <c r="E70" s="629">
        <f t="shared" si="0"/>
        <v>0</v>
      </c>
      <c r="F70" s="639"/>
    </row>
    <row r="71" spans="1:6" ht="15" customHeight="1">
      <c r="A71" s="1868"/>
      <c r="B71" s="637"/>
      <c r="C71" s="1871"/>
      <c r="D71" s="1871"/>
      <c r="E71" s="629">
        <f t="shared" si="0"/>
        <v>0</v>
      </c>
      <c r="F71" s="639"/>
    </row>
    <row r="72" spans="1:6" ht="15" customHeight="1">
      <c r="A72" s="1868"/>
      <c r="B72" s="637"/>
      <c r="C72" s="1871"/>
      <c r="D72" s="1871"/>
      <c r="E72" s="629">
        <f t="shared" si="0"/>
        <v>0</v>
      </c>
      <c r="F72" s="639"/>
    </row>
    <row r="73" spans="1:6" ht="15" customHeight="1">
      <c r="A73" s="1868"/>
      <c r="B73" s="637"/>
      <c r="C73" s="1871"/>
      <c r="D73" s="1871"/>
      <c r="E73" s="629">
        <f t="shared" si="0"/>
        <v>0</v>
      </c>
      <c r="F73" s="639"/>
    </row>
    <row r="74" spans="1:6" ht="15" customHeight="1">
      <c r="A74" s="1868"/>
      <c r="B74" s="637"/>
      <c r="C74" s="1871"/>
      <c r="D74" s="1871"/>
      <c r="E74" s="629">
        <f t="shared" si="0"/>
        <v>0</v>
      </c>
      <c r="F74" s="639"/>
    </row>
    <row r="75" spans="1:6" ht="15" customHeight="1">
      <c r="A75" s="1868"/>
      <c r="B75" s="637"/>
      <c r="C75" s="1871"/>
      <c r="D75" s="1871"/>
      <c r="E75" s="629">
        <f t="shared" si="0"/>
        <v>0</v>
      </c>
      <c r="F75" s="639"/>
    </row>
    <row r="76" spans="1:6" ht="15" customHeight="1">
      <c r="A76" s="1868"/>
      <c r="B76" s="637"/>
      <c r="C76" s="1871"/>
      <c r="D76" s="1871"/>
      <c r="E76" s="629">
        <f t="shared" si="0"/>
        <v>0</v>
      </c>
      <c r="F76" s="639"/>
    </row>
    <row r="77" spans="1:6" ht="15" customHeight="1">
      <c r="A77" s="1868"/>
      <c r="B77" s="637"/>
      <c r="C77" s="1871"/>
      <c r="D77" s="1871"/>
      <c r="E77" s="629">
        <f t="shared" si="0"/>
        <v>0</v>
      </c>
      <c r="F77" s="639"/>
    </row>
    <row r="78" spans="1:6" ht="15" customHeight="1">
      <c r="A78" s="1868"/>
      <c r="B78" s="637"/>
      <c r="C78" s="1871"/>
      <c r="D78" s="1871"/>
      <c r="E78" s="629">
        <f t="shared" si="0"/>
        <v>0</v>
      </c>
      <c r="F78" s="639"/>
    </row>
    <row r="79" spans="1:6" ht="15" customHeight="1">
      <c r="A79" s="1868"/>
      <c r="B79" s="637"/>
      <c r="C79" s="1871"/>
      <c r="D79" s="1871"/>
      <c r="E79" s="629">
        <f t="shared" si="0"/>
        <v>0</v>
      </c>
      <c r="F79" s="639"/>
    </row>
    <row r="80" spans="1:6" ht="15" customHeight="1">
      <c r="A80" s="1868"/>
      <c r="B80" s="637"/>
      <c r="C80" s="1871"/>
      <c r="D80" s="1871"/>
      <c r="E80" s="629">
        <f t="shared" ref="E80:E143" si="1">C80-B80+D80</f>
        <v>0</v>
      </c>
      <c r="F80" s="639"/>
    </row>
    <row r="81" spans="1:6" ht="15" customHeight="1">
      <c r="A81" s="1868"/>
      <c r="B81" s="637"/>
      <c r="C81" s="1871"/>
      <c r="D81" s="1871"/>
      <c r="E81" s="629">
        <f t="shared" si="1"/>
        <v>0</v>
      </c>
      <c r="F81" s="639"/>
    </row>
    <row r="82" spans="1:6" ht="15" customHeight="1">
      <c r="A82" s="1868"/>
      <c r="B82" s="637"/>
      <c r="C82" s="1871"/>
      <c r="D82" s="1871"/>
      <c r="E82" s="629">
        <f t="shared" si="1"/>
        <v>0</v>
      </c>
      <c r="F82" s="639"/>
    </row>
    <row r="83" spans="1:6" ht="15" customHeight="1">
      <c r="A83" s="1868"/>
      <c r="B83" s="637"/>
      <c r="C83" s="1871"/>
      <c r="D83" s="1871"/>
      <c r="E83" s="629">
        <f t="shared" si="1"/>
        <v>0</v>
      </c>
      <c r="F83" s="639"/>
    </row>
    <row r="84" spans="1:6" ht="15" customHeight="1">
      <c r="A84" s="1868"/>
      <c r="B84" s="637"/>
      <c r="C84" s="1871"/>
      <c r="D84" s="1871"/>
      <c r="E84" s="629">
        <f t="shared" si="1"/>
        <v>0</v>
      </c>
      <c r="F84" s="639"/>
    </row>
    <row r="85" spans="1:6" ht="15" customHeight="1">
      <c r="A85" s="1868"/>
      <c r="B85" s="637"/>
      <c r="C85" s="1871"/>
      <c r="D85" s="1871"/>
      <c r="E85" s="629">
        <f t="shared" si="1"/>
        <v>0</v>
      </c>
      <c r="F85" s="639"/>
    </row>
    <row r="86" spans="1:6" ht="15" customHeight="1">
      <c r="A86" s="1868"/>
      <c r="B86" s="637"/>
      <c r="C86" s="1871"/>
      <c r="D86" s="1871"/>
      <c r="E86" s="629">
        <f t="shared" si="1"/>
        <v>0</v>
      </c>
      <c r="F86" s="639"/>
    </row>
    <row r="87" spans="1:6" ht="15" customHeight="1">
      <c r="A87" s="1868"/>
      <c r="B87" s="637"/>
      <c r="C87" s="1871"/>
      <c r="D87" s="1871"/>
      <c r="E87" s="629">
        <f t="shared" si="1"/>
        <v>0</v>
      </c>
      <c r="F87" s="639"/>
    </row>
    <row r="88" spans="1:6" ht="15" customHeight="1">
      <c r="A88" s="1868"/>
      <c r="B88" s="637"/>
      <c r="C88" s="1871"/>
      <c r="D88" s="1871"/>
      <c r="E88" s="629">
        <f t="shared" si="1"/>
        <v>0</v>
      </c>
      <c r="F88" s="639"/>
    </row>
    <row r="89" spans="1:6" ht="15" customHeight="1">
      <c r="A89" s="1868"/>
      <c r="B89" s="637"/>
      <c r="C89" s="1871"/>
      <c r="D89" s="1871"/>
      <c r="E89" s="629">
        <f t="shared" si="1"/>
        <v>0</v>
      </c>
      <c r="F89" s="639"/>
    </row>
    <row r="90" spans="1:6" ht="15" customHeight="1">
      <c r="A90" s="1868"/>
      <c r="B90" s="637"/>
      <c r="C90" s="1871"/>
      <c r="D90" s="1871"/>
      <c r="E90" s="629">
        <f t="shared" si="1"/>
        <v>0</v>
      </c>
      <c r="F90" s="639"/>
    </row>
    <row r="91" spans="1:6" ht="15" customHeight="1">
      <c r="A91" s="1868"/>
      <c r="B91" s="637"/>
      <c r="C91" s="1871"/>
      <c r="D91" s="1871"/>
      <c r="E91" s="629">
        <f t="shared" si="1"/>
        <v>0</v>
      </c>
      <c r="F91" s="639"/>
    </row>
    <row r="92" spans="1:6" ht="15" customHeight="1">
      <c r="A92" s="1868"/>
      <c r="B92" s="637"/>
      <c r="C92" s="1871"/>
      <c r="D92" s="1871"/>
      <c r="E92" s="629">
        <f t="shared" si="1"/>
        <v>0</v>
      </c>
      <c r="F92" s="639"/>
    </row>
    <row r="93" spans="1:6" ht="15" customHeight="1">
      <c r="A93" s="1868"/>
      <c r="B93" s="637"/>
      <c r="C93" s="1871"/>
      <c r="D93" s="1871"/>
      <c r="E93" s="629">
        <f t="shared" si="1"/>
        <v>0</v>
      </c>
      <c r="F93" s="639"/>
    </row>
    <row r="94" spans="1:6" ht="15" customHeight="1">
      <c r="A94" s="1868"/>
      <c r="B94" s="637"/>
      <c r="C94" s="1871"/>
      <c r="D94" s="1871"/>
      <c r="E94" s="629">
        <f t="shared" si="1"/>
        <v>0</v>
      </c>
      <c r="F94" s="639"/>
    </row>
    <row r="95" spans="1:6" ht="15" customHeight="1">
      <c r="A95" s="1868"/>
      <c r="B95" s="637"/>
      <c r="C95" s="1871"/>
      <c r="D95" s="1871"/>
      <c r="E95" s="629">
        <f t="shared" si="1"/>
        <v>0</v>
      </c>
      <c r="F95" s="639"/>
    </row>
    <row r="96" spans="1:6" ht="15" customHeight="1">
      <c r="A96" s="1868"/>
      <c r="B96" s="637"/>
      <c r="C96" s="1871"/>
      <c r="D96" s="1871"/>
      <c r="E96" s="629">
        <f t="shared" si="1"/>
        <v>0</v>
      </c>
      <c r="F96" s="639"/>
    </row>
    <row r="97" spans="1:6" ht="15" customHeight="1">
      <c r="A97" s="1868"/>
      <c r="B97" s="637"/>
      <c r="C97" s="1871"/>
      <c r="D97" s="1871"/>
      <c r="E97" s="629">
        <f t="shared" si="1"/>
        <v>0</v>
      </c>
      <c r="F97" s="639"/>
    </row>
    <row r="98" spans="1:6" ht="15" customHeight="1">
      <c r="A98" s="1868"/>
      <c r="B98" s="637"/>
      <c r="C98" s="1871"/>
      <c r="D98" s="1871"/>
      <c r="E98" s="629">
        <f t="shared" si="1"/>
        <v>0</v>
      </c>
      <c r="F98" s="639"/>
    </row>
    <row r="99" spans="1:6" ht="15" customHeight="1">
      <c r="A99" s="1868"/>
      <c r="B99" s="637"/>
      <c r="C99" s="1871"/>
      <c r="D99" s="1871"/>
      <c r="E99" s="629">
        <f t="shared" si="1"/>
        <v>0</v>
      </c>
      <c r="F99" s="639"/>
    </row>
    <row r="100" spans="1:6" ht="15" customHeight="1">
      <c r="A100" s="1868"/>
      <c r="B100" s="637"/>
      <c r="C100" s="1871"/>
      <c r="D100" s="1871"/>
      <c r="E100" s="629">
        <f t="shared" si="1"/>
        <v>0</v>
      </c>
      <c r="F100" s="639"/>
    </row>
    <row r="101" spans="1:6" ht="15" customHeight="1">
      <c r="A101" s="1868"/>
      <c r="B101" s="637"/>
      <c r="C101" s="1871"/>
      <c r="D101" s="1871"/>
      <c r="E101" s="629">
        <f t="shared" si="1"/>
        <v>0</v>
      </c>
      <c r="F101" s="639"/>
    </row>
    <row r="102" spans="1:6" ht="15" customHeight="1">
      <c r="A102" s="1868"/>
      <c r="B102" s="637"/>
      <c r="C102" s="1871"/>
      <c r="D102" s="1871"/>
      <c r="E102" s="629">
        <f t="shared" si="1"/>
        <v>0</v>
      </c>
      <c r="F102" s="639"/>
    </row>
    <row r="103" spans="1:6" ht="15" customHeight="1">
      <c r="A103" s="1868"/>
      <c r="B103" s="637"/>
      <c r="C103" s="1871"/>
      <c r="D103" s="1871"/>
      <c r="E103" s="629">
        <f t="shared" si="1"/>
        <v>0</v>
      </c>
      <c r="F103" s="639"/>
    </row>
    <row r="104" spans="1:6" ht="15" customHeight="1">
      <c r="A104" s="1868"/>
      <c r="B104" s="637"/>
      <c r="C104" s="1871"/>
      <c r="D104" s="1871"/>
      <c r="E104" s="629">
        <f t="shared" si="1"/>
        <v>0</v>
      </c>
      <c r="F104" s="639"/>
    </row>
    <row r="105" spans="1:6" ht="15" customHeight="1">
      <c r="A105" s="1868"/>
      <c r="B105" s="637"/>
      <c r="C105" s="1871"/>
      <c r="D105" s="1871"/>
      <c r="E105" s="629">
        <f t="shared" si="1"/>
        <v>0</v>
      </c>
      <c r="F105" s="639"/>
    </row>
    <row r="106" spans="1:6" ht="15" customHeight="1">
      <c r="A106" s="1868"/>
      <c r="B106" s="637"/>
      <c r="C106" s="1871"/>
      <c r="D106" s="1871"/>
      <c r="E106" s="629">
        <f t="shared" si="1"/>
        <v>0</v>
      </c>
      <c r="F106" s="639"/>
    </row>
    <row r="107" spans="1:6" ht="15" customHeight="1">
      <c r="A107" s="1868"/>
      <c r="B107" s="637"/>
      <c r="C107" s="1871"/>
      <c r="D107" s="1871"/>
      <c r="E107" s="629">
        <f t="shared" si="1"/>
        <v>0</v>
      </c>
      <c r="F107" s="639"/>
    </row>
    <row r="108" spans="1:6" ht="15" customHeight="1">
      <c r="A108" s="1868"/>
      <c r="B108" s="637"/>
      <c r="C108" s="1871"/>
      <c r="D108" s="1871"/>
      <c r="E108" s="629">
        <f t="shared" si="1"/>
        <v>0</v>
      </c>
      <c r="F108" s="639"/>
    </row>
    <row r="109" spans="1:6" ht="15" customHeight="1">
      <c r="A109" s="1868"/>
      <c r="B109" s="637"/>
      <c r="C109" s="1871"/>
      <c r="D109" s="1871"/>
      <c r="E109" s="629">
        <f t="shared" si="1"/>
        <v>0</v>
      </c>
      <c r="F109" s="639"/>
    </row>
    <row r="110" spans="1:6" ht="15" customHeight="1">
      <c r="A110" s="1868"/>
      <c r="B110" s="637"/>
      <c r="C110" s="1871"/>
      <c r="D110" s="1871"/>
      <c r="E110" s="629">
        <f t="shared" si="1"/>
        <v>0</v>
      </c>
      <c r="F110" s="639"/>
    </row>
    <row r="111" spans="1:6" ht="15" customHeight="1">
      <c r="A111" s="1868"/>
      <c r="B111" s="637"/>
      <c r="C111" s="1871"/>
      <c r="D111" s="1871"/>
      <c r="E111" s="629">
        <f t="shared" si="1"/>
        <v>0</v>
      </c>
      <c r="F111" s="639"/>
    </row>
    <row r="112" spans="1:6" ht="15" customHeight="1">
      <c r="A112" s="1868"/>
      <c r="B112" s="637"/>
      <c r="C112" s="1871"/>
      <c r="D112" s="1871"/>
      <c r="E112" s="629">
        <f t="shared" si="1"/>
        <v>0</v>
      </c>
      <c r="F112" s="639"/>
    </row>
    <row r="113" spans="1:6" ht="15" customHeight="1">
      <c r="A113" s="1868"/>
      <c r="B113" s="637"/>
      <c r="C113" s="1871"/>
      <c r="D113" s="1871"/>
      <c r="E113" s="629">
        <f t="shared" si="1"/>
        <v>0</v>
      </c>
      <c r="F113" s="639"/>
    </row>
    <row r="114" spans="1:6" ht="15" customHeight="1">
      <c r="A114" s="1868"/>
      <c r="B114" s="637"/>
      <c r="C114" s="1871"/>
      <c r="D114" s="1871"/>
      <c r="E114" s="629">
        <f t="shared" si="1"/>
        <v>0</v>
      </c>
      <c r="F114" s="639"/>
    </row>
    <row r="115" spans="1:6" ht="15" customHeight="1">
      <c r="A115" s="1868"/>
      <c r="B115" s="637"/>
      <c r="C115" s="1871"/>
      <c r="D115" s="1871"/>
      <c r="E115" s="629">
        <f t="shared" si="1"/>
        <v>0</v>
      </c>
      <c r="F115" s="639"/>
    </row>
    <row r="116" spans="1:6" ht="15" customHeight="1">
      <c r="A116" s="1868"/>
      <c r="B116" s="637"/>
      <c r="C116" s="1871"/>
      <c r="D116" s="1871"/>
      <c r="E116" s="629">
        <f t="shared" si="1"/>
        <v>0</v>
      </c>
      <c r="F116" s="639"/>
    </row>
    <row r="117" spans="1:6" ht="15" customHeight="1">
      <c r="A117" s="1868"/>
      <c r="B117" s="637"/>
      <c r="C117" s="1871"/>
      <c r="D117" s="1871"/>
      <c r="E117" s="629">
        <f t="shared" si="1"/>
        <v>0</v>
      </c>
      <c r="F117" s="639"/>
    </row>
    <row r="118" spans="1:6" ht="15" customHeight="1">
      <c r="A118" s="1868"/>
      <c r="B118" s="637"/>
      <c r="C118" s="1871"/>
      <c r="D118" s="1871"/>
      <c r="E118" s="629">
        <f t="shared" si="1"/>
        <v>0</v>
      </c>
      <c r="F118" s="639"/>
    </row>
    <row r="119" spans="1:6" ht="15" customHeight="1">
      <c r="A119" s="1868"/>
      <c r="B119" s="637"/>
      <c r="C119" s="1871"/>
      <c r="D119" s="1871"/>
      <c r="E119" s="629">
        <f t="shared" si="1"/>
        <v>0</v>
      </c>
      <c r="F119" s="639"/>
    </row>
    <row r="120" spans="1:6" ht="15" customHeight="1">
      <c r="A120" s="1868"/>
      <c r="B120" s="637"/>
      <c r="C120" s="1871"/>
      <c r="D120" s="1871"/>
      <c r="E120" s="629">
        <f t="shared" si="1"/>
        <v>0</v>
      </c>
      <c r="F120" s="639"/>
    </row>
    <row r="121" spans="1:6" ht="15" customHeight="1">
      <c r="A121" s="1868"/>
      <c r="B121" s="637"/>
      <c r="C121" s="1871"/>
      <c r="D121" s="1871"/>
      <c r="E121" s="629">
        <f t="shared" si="1"/>
        <v>0</v>
      </c>
      <c r="F121" s="639"/>
    </row>
    <row r="122" spans="1:6" ht="15" customHeight="1">
      <c r="A122" s="1868"/>
      <c r="B122" s="637"/>
      <c r="C122" s="1871"/>
      <c r="D122" s="1871"/>
      <c r="E122" s="629">
        <f t="shared" si="1"/>
        <v>0</v>
      </c>
      <c r="F122" s="639"/>
    </row>
    <row r="123" spans="1:6" ht="15" customHeight="1">
      <c r="A123" s="1868"/>
      <c r="B123" s="637"/>
      <c r="C123" s="1871"/>
      <c r="D123" s="1871"/>
      <c r="E123" s="629">
        <f t="shared" si="1"/>
        <v>0</v>
      </c>
      <c r="F123" s="639"/>
    </row>
    <row r="124" spans="1:6" ht="15" customHeight="1">
      <c r="A124" s="1868"/>
      <c r="B124" s="637"/>
      <c r="C124" s="1871"/>
      <c r="D124" s="1871"/>
      <c r="E124" s="629">
        <f t="shared" si="1"/>
        <v>0</v>
      </c>
      <c r="F124" s="639"/>
    </row>
    <row r="125" spans="1:6" ht="15" customHeight="1">
      <c r="A125" s="1868"/>
      <c r="B125" s="637"/>
      <c r="C125" s="1871"/>
      <c r="D125" s="1871"/>
      <c r="E125" s="629">
        <f t="shared" si="1"/>
        <v>0</v>
      </c>
      <c r="F125" s="639"/>
    </row>
    <row r="126" spans="1:6" ht="15" customHeight="1">
      <c r="A126" s="1868"/>
      <c r="B126" s="637"/>
      <c r="C126" s="1871"/>
      <c r="D126" s="1871"/>
      <c r="E126" s="629">
        <f t="shared" si="1"/>
        <v>0</v>
      </c>
      <c r="F126" s="639"/>
    </row>
    <row r="127" spans="1:6" ht="15" customHeight="1">
      <c r="A127" s="1868"/>
      <c r="B127" s="637"/>
      <c r="C127" s="1871"/>
      <c r="D127" s="1871"/>
      <c r="E127" s="629">
        <f t="shared" si="1"/>
        <v>0</v>
      </c>
      <c r="F127" s="639"/>
    </row>
    <row r="128" spans="1:6" ht="15" customHeight="1">
      <c r="A128" s="1868"/>
      <c r="B128" s="637"/>
      <c r="C128" s="1871"/>
      <c r="D128" s="1871"/>
      <c r="E128" s="629">
        <f t="shared" si="1"/>
        <v>0</v>
      </c>
      <c r="F128" s="639"/>
    </row>
    <row r="129" spans="1:6" ht="15" customHeight="1">
      <c r="A129" s="1868"/>
      <c r="B129" s="637"/>
      <c r="C129" s="1871"/>
      <c r="D129" s="1871"/>
      <c r="E129" s="629">
        <f t="shared" si="1"/>
        <v>0</v>
      </c>
      <c r="F129" s="639"/>
    </row>
    <row r="130" spans="1:6" ht="15" customHeight="1">
      <c r="A130" s="1868"/>
      <c r="B130" s="637"/>
      <c r="C130" s="1871"/>
      <c r="D130" s="1871"/>
      <c r="E130" s="629">
        <f t="shared" si="1"/>
        <v>0</v>
      </c>
      <c r="F130" s="639"/>
    </row>
    <row r="131" spans="1:6" ht="15" customHeight="1">
      <c r="A131" s="1868"/>
      <c r="B131" s="637"/>
      <c r="C131" s="1871"/>
      <c r="D131" s="1871"/>
      <c r="E131" s="629">
        <f t="shared" si="1"/>
        <v>0</v>
      </c>
      <c r="F131" s="639"/>
    </row>
    <row r="132" spans="1:6" ht="15" customHeight="1">
      <c r="A132" s="1868"/>
      <c r="B132" s="637"/>
      <c r="C132" s="1871"/>
      <c r="D132" s="1871"/>
      <c r="E132" s="629">
        <f t="shared" si="1"/>
        <v>0</v>
      </c>
      <c r="F132" s="639"/>
    </row>
    <row r="133" spans="1:6" ht="15" customHeight="1">
      <c r="A133" s="1868"/>
      <c r="B133" s="637"/>
      <c r="C133" s="1871"/>
      <c r="D133" s="1871"/>
      <c r="E133" s="629">
        <f t="shared" si="1"/>
        <v>0</v>
      </c>
      <c r="F133" s="639"/>
    </row>
    <row r="134" spans="1:6" ht="15" customHeight="1">
      <c r="A134" s="1868"/>
      <c r="B134" s="637"/>
      <c r="C134" s="1871"/>
      <c r="D134" s="1871"/>
      <c r="E134" s="629">
        <f t="shared" si="1"/>
        <v>0</v>
      </c>
      <c r="F134" s="639"/>
    </row>
    <row r="135" spans="1:6" ht="15" customHeight="1">
      <c r="A135" s="1868"/>
      <c r="B135" s="637"/>
      <c r="C135" s="1871"/>
      <c r="D135" s="1871"/>
      <c r="E135" s="629">
        <f t="shared" si="1"/>
        <v>0</v>
      </c>
      <c r="F135" s="639"/>
    </row>
    <row r="136" spans="1:6" ht="15" customHeight="1">
      <c r="A136" s="1868"/>
      <c r="B136" s="637"/>
      <c r="C136" s="1871"/>
      <c r="D136" s="1871"/>
      <c r="E136" s="629">
        <f t="shared" si="1"/>
        <v>0</v>
      </c>
      <c r="F136" s="639"/>
    </row>
    <row r="137" spans="1:6" ht="15" customHeight="1">
      <c r="A137" s="1868"/>
      <c r="B137" s="637"/>
      <c r="C137" s="1871"/>
      <c r="D137" s="1871"/>
      <c r="E137" s="629">
        <f t="shared" si="1"/>
        <v>0</v>
      </c>
      <c r="F137" s="639"/>
    </row>
    <row r="138" spans="1:6" ht="15" customHeight="1">
      <c r="A138" s="1868"/>
      <c r="B138" s="637"/>
      <c r="C138" s="1871"/>
      <c r="D138" s="1871"/>
      <c r="E138" s="629">
        <f t="shared" si="1"/>
        <v>0</v>
      </c>
      <c r="F138" s="639"/>
    </row>
    <row r="139" spans="1:6" ht="15" customHeight="1">
      <c r="A139" s="1868"/>
      <c r="B139" s="637"/>
      <c r="C139" s="1871"/>
      <c r="D139" s="1871"/>
      <c r="E139" s="629">
        <f t="shared" si="1"/>
        <v>0</v>
      </c>
      <c r="F139" s="639"/>
    </row>
    <row r="140" spans="1:6" ht="15" customHeight="1">
      <c r="A140" s="1868"/>
      <c r="B140" s="637"/>
      <c r="C140" s="1871"/>
      <c r="D140" s="1871"/>
      <c r="E140" s="629">
        <f t="shared" si="1"/>
        <v>0</v>
      </c>
      <c r="F140" s="639"/>
    </row>
    <row r="141" spans="1:6" ht="15" customHeight="1">
      <c r="A141" s="1868"/>
      <c r="B141" s="637"/>
      <c r="C141" s="1871"/>
      <c r="D141" s="1871"/>
      <c r="E141" s="629">
        <f t="shared" si="1"/>
        <v>0</v>
      </c>
      <c r="F141" s="639"/>
    </row>
    <row r="142" spans="1:6" ht="15" customHeight="1">
      <c r="A142" s="1868"/>
      <c r="B142" s="637"/>
      <c r="C142" s="1871"/>
      <c r="D142" s="1871"/>
      <c r="E142" s="629">
        <f t="shared" si="1"/>
        <v>0</v>
      </c>
      <c r="F142" s="639"/>
    </row>
    <row r="143" spans="1:6" ht="15" customHeight="1">
      <c r="A143" s="1868"/>
      <c r="B143" s="637"/>
      <c r="C143" s="1871"/>
      <c r="D143" s="1871"/>
      <c r="E143" s="629">
        <f t="shared" si="1"/>
        <v>0</v>
      </c>
      <c r="F143" s="639"/>
    </row>
    <row r="144" spans="1:6" ht="15" customHeight="1">
      <c r="A144" s="1868"/>
      <c r="B144" s="637"/>
      <c r="C144" s="1871"/>
      <c r="D144" s="1871"/>
      <c r="E144" s="629">
        <f t="shared" ref="E144:E207" si="2">C144-B144+D144</f>
        <v>0</v>
      </c>
      <c r="F144" s="639"/>
    </row>
    <row r="145" spans="1:6" ht="15" customHeight="1">
      <c r="A145" s="1868"/>
      <c r="B145" s="637"/>
      <c r="C145" s="1871"/>
      <c r="D145" s="1871"/>
      <c r="E145" s="629">
        <f t="shared" si="2"/>
        <v>0</v>
      </c>
      <c r="F145" s="639"/>
    </row>
    <row r="146" spans="1:6" ht="15" customHeight="1">
      <c r="A146" s="1868"/>
      <c r="B146" s="637"/>
      <c r="C146" s="1871"/>
      <c r="D146" s="1871"/>
      <c r="E146" s="629">
        <f t="shared" si="2"/>
        <v>0</v>
      </c>
      <c r="F146" s="639"/>
    </row>
    <row r="147" spans="1:6" ht="15" customHeight="1">
      <c r="A147" s="1868"/>
      <c r="B147" s="637"/>
      <c r="C147" s="1871"/>
      <c r="D147" s="1871"/>
      <c r="E147" s="629">
        <f t="shared" si="2"/>
        <v>0</v>
      </c>
      <c r="F147" s="639"/>
    </row>
    <row r="148" spans="1:6" ht="15" customHeight="1">
      <c r="A148" s="1868"/>
      <c r="B148" s="637"/>
      <c r="C148" s="1871"/>
      <c r="D148" s="1871"/>
      <c r="E148" s="629">
        <f t="shared" si="2"/>
        <v>0</v>
      </c>
      <c r="F148" s="639"/>
    </row>
    <row r="149" spans="1:6" ht="15" customHeight="1">
      <c r="A149" s="1868"/>
      <c r="B149" s="637"/>
      <c r="C149" s="1871"/>
      <c r="D149" s="1871"/>
      <c r="E149" s="629">
        <f t="shared" si="2"/>
        <v>0</v>
      </c>
      <c r="F149" s="639"/>
    </row>
    <row r="150" spans="1:6" ht="15" customHeight="1">
      <c r="A150" s="1868"/>
      <c r="B150" s="637"/>
      <c r="C150" s="1871"/>
      <c r="D150" s="1871"/>
      <c r="E150" s="629">
        <f t="shared" si="2"/>
        <v>0</v>
      </c>
      <c r="F150" s="639"/>
    </row>
    <row r="151" spans="1:6" ht="15" customHeight="1">
      <c r="A151" s="1868"/>
      <c r="B151" s="637"/>
      <c r="C151" s="1871"/>
      <c r="D151" s="1871"/>
      <c r="E151" s="629">
        <f t="shared" si="2"/>
        <v>0</v>
      </c>
      <c r="F151" s="639"/>
    </row>
    <row r="152" spans="1:6" ht="15" customHeight="1">
      <c r="A152" s="1868"/>
      <c r="B152" s="637"/>
      <c r="C152" s="1871"/>
      <c r="D152" s="1871"/>
      <c r="E152" s="629">
        <f t="shared" si="2"/>
        <v>0</v>
      </c>
      <c r="F152" s="639"/>
    </row>
    <row r="153" spans="1:6" ht="15" customHeight="1">
      <c r="A153" s="1868"/>
      <c r="B153" s="637"/>
      <c r="C153" s="1871"/>
      <c r="D153" s="1871"/>
      <c r="E153" s="629">
        <f t="shared" si="2"/>
        <v>0</v>
      </c>
      <c r="F153" s="639"/>
    </row>
    <row r="154" spans="1:6" ht="15" customHeight="1">
      <c r="A154" s="1868"/>
      <c r="B154" s="637"/>
      <c r="C154" s="1871"/>
      <c r="D154" s="1871"/>
      <c r="E154" s="629">
        <f t="shared" si="2"/>
        <v>0</v>
      </c>
      <c r="F154" s="639"/>
    </row>
    <row r="155" spans="1:6" ht="15" customHeight="1">
      <c r="A155" s="1868"/>
      <c r="B155" s="637"/>
      <c r="C155" s="1871"/>
      <c r="D155" s="1871"/>
      <c r="E155" s="629">
        <f t="shared" si="2"/>
        <v>0</v>
      </c>
      <c r="F155" s="639"/>
    </row>
    <row r="156" spans="1:6" ht="15" customHeight="1">
      <c r="A156" s="1868"/>
      <c r="B156" s="637"/>
      <c r="C156" s="1871"/>
      <c r="D156" s="1871"/>
      <c r="E156" s="629">
        <f t="shared" si="2"/>
        <v>0</v>
      </c>
      <c r="F156" s="639"/>
    </row>
    <row r="157" spans="1:6" ht="15" customHeight="1">
      <c r="A157" s="1868"/>
      <c r="B157" s="637"/>
      <c r="C157" s="1871"/>
      <c r="D157" s="1871"/>
      <c r="E157" s="629">
        <f t="shared" si="2"/>
        <v>0</v>
      </c>
      <c r="F157" s="639"/>
    </row>
    <row r="158" spans="1:6" ht="15" customHeight="1">
      <c r="A158" s="1868"/>
      <c r="B158" s="637"/>
      <c r="C158" s="1871"/>
      <c r="D158" s="1871"/>
      <c r="E158" s="629">
        <f t="shared" si="2"/>
        <v>0</v>
      </c>
      <c r="F158" s="639"/>
    </row>
    <row r="159" spans="1:6" ht="15" customHeight="1">
      <c r="A159" s="1868"/>
      <c r="B159" s="637"/>
      <c r="C159" s="1871"/>
      <c r="D159" s="1871"/>
      <c r="E159" s="629">
        <f t="shared" si="2"/>
        <v>0</v>
      </c>
      <c r="F159" s="639"/>
    </row>
    <row r="160" spans="1:6" ht="15" customHeight="1">
      <c r="A160" s="1868"/>
      <c r="B160" s="637"/>
      <c r="C160" s="1871"/>
      <c r="D160" s="1871"/>
      <c r="E160" s="629">
        <f t="shared" si="2"/>
        <v>0</v>
      </c>
      <c r="F160" s="639"/>
    </row>
    <row r="161" spans="1:6" ht="15" customHeight="1">
      <c r="A161" s="1868"/>
      <c r="B161" s="637"/>
      <c r="C161" s="1871"/>
      <c r="D161" s="1871"/>
      <c r="E161" s="629">
        <f t="shared" si="2"/>
        <v>0</v>
      </c>
      <c r="F161" s="639"/>
    </row>
    <row r="162" spans="1:6" ht="15" customHeight="1">
      <c r="A162" s="1868"/>
      <c r="B162" s="637"/>
      <c r="C162" s="1871"/>
      <c r="D162" s="1871"/>
      <c r="E162" s="629">
        <f t="shared" si="2"/>
        <v>0</v>
      </c>
      <c r="F162" s="639"/>
    </row>
    <row r="163" spans="1:6" ht="15" customHeight="1">
      <c r="A163" s="1868"/>
      <c r="B163" s="637"/>
      <c r="C163" s="1871"/>
      <c r="D163" s="1871"/>
      <c r="E163" s="629">
        <f t="shared" si="2"/>
        <v>0</v>
      </c>
      <c r="F163" s="639"/>
    </row>
    <row r="164" spans="1:6" ht="15" customHeight="1">
      <c r="A164" s="1868"/>
      <c r="B164" s="637"/>
      <c r="C164" s="1871"/>
      <c r="D164" s="1871"/>
      <c r="E164" s="629">
        <f t="shared" si="2"/>
        <v>0</v>
      </c>
      <c r="F164" s="639"/>
    </row>
    <row r="165" spans="1:6" ht="15" customHeight="1">
      <c r="A165" s="1868"/>
      <c r="B165" s="637"/>
      <c r="C165" s="1871"/>
      <c r="D165" s="1871"/>
      <c r="E165" s="629">
        <f t="shared" si="2"/>
        <v>0</v>
      </c>
      <c r="F165" s="639"/>
    </row>
    <row r="166" spans="1:6" ht="15" customHeight="1">
      <c r="A166" s="1868"/>
      <c r="B166" s="637"/>
      <c r="C166" s="1871"/>
      <c r="D166" s="1871"/>
      <c r="E166" s="629">
        <f t="shared" si="2"/>
        <v>0</v>
      </c>
      <c r="F166" s="639"/>
    </row>
    <row r="167" spans="1:6" ht="15" customHeight="1">
      <c r="A167" s="1868"/>
      <c r="B167" s="637"/>
      <c r="C167" s="1871"/>
      <c r="D167" s="1871"/>
      <c r="E167" s="629">
        <f t="shared" si="2"/>
        <v>0</v>
      </c>
      <c r="F167" s="639"/>
    </row>
    <row r="168" spans="1:6" ht="15" customHeight="1">
      <c r="A168" s="1868"/>
      <c r="B168" s="637"/>
      <c r="C168" s="1871"/>
      <c r="D168" s="1871"/>
      <c r="E168" s="629">
        <f t="shared" si="2"/>
        <v>0</v>
      </c>
      <c r="F168" s="639"/>
    </row>
    <row r="169" spans="1:6" ht="15" customHeight="1">
      <c r="A169" s="1868"/>
      <c r="B169" s="637"/>
      <c r="C169" s="1871"/>
      <c r="D169" s="1871"/>
      <c r="E169" s="629">
        <f t="shared" si="2"/>
        <v>0</v>
      </c>
      <c r="F169" s="639"/>
    </row>
    <row r="170" spans="1:6" ht="15" customHeight="1">
      <c r="A170" s="1868"/>
      <c r="B170" s="637"/>
      <c r="C170" s="1871"/>
      <c r="D170" s="1871"/>
      <c r="E170" s="629">
        <f t="shared" si="2"/>
        <v>0</v>
      </c>
      <c r="F170" s="639"/>
    </row>
    <row r="171" spans="1:6" ht="15" customHeight="1">
      <c r="A171" s="1868"/>
      <c r="B171" s="637"/>
      <c r="C171" s="1871"/>
      <c r="D171" s="1871"/>
      <c r="E171" s="629">
        <f t="shared" si="2"/>
        <v>0</v>
      </c>
      <c r="F171" s="639"/>
    </row>
    <row r="172" spans="1:6" ht="15" customHeight="1">
      <c r="A172" s="1868"/>
      <c r="B172" s="637"/>
      <c r="C172" s="1871"/>
      <c r="D172" s="1871"/>
      <c r="E172" s="629">
        <f t="shared" si="2"/>
        <v>0</v>
      </c>
      <c r="F172" s="639"/>
    </row>
    <row r="173" spans="1:6" ht="15" customHeight="1">
      <c r="A173" s="1868"/>
      <c r="B173" s="637"/>
      <c r="C173" s="1871"/>
      <c r="D173" s="1871"/>
      <c r="E173" s="629">
        <f t="shared" si="2"/>
        <v>0</v>
      </c>
      <c r="F173" s="639"/>
    </row>
    <row r="174" spans="1:6" ht="15" customHeight="1">
      <c r="A174" s="1868"/>
      <c r="B174" s="637"/>
      <c r="C174" s="1871"/>
      <c r="D174" s="1871"/>
      <c r="E174" s="629">
        <f t="shared" si="2"/>
        <v>0</v>
      </c>
      <c r="F174" s="639"/>
    </row>
    <row r="175" spans="1:6" ht="15" customHeight="1">
      <c r="A175" s="1868"/>
      <c r="B175" s="637"/>
      <c r="C175" s="1871"/>
      <c r="D175" s="1871"/>
      <c r="E175" s="629">
        <f t="shared" si="2"/>
        <v>0</v>
      </c>
      <c r="F175" s="639"/>
    </row>
    <row r="176" spans="1:6" ht="15" customHeight="1">
      <c r="A176" s="1868"/>
      <c r="B176" s="637"/>
      <c r="C176" s="1871"/>
      <c r="D176" s="1871"/>
      <c r="E176" s="629">
        <f t="shared" si="2"/>
        <v>0</v>
      </c>
      <c r="F176" s="639"/>
    </row>
    <row r="177" spans="1:6" ht="15" customHeight="1">
      <c r="A177" s="1868"/>
      <c r="B177" s="637"/>
      <c r="C177" s="1871"/>
      <c r="D177" s="1871"/>
      <c r="E177" s="629">
        <f t="shared" si="2"/>
        <v>0</v>
      </c>
      <c r="F177" s="639"/>
    </row>
    <row r="178" spans="1:6" ht="15" customHeight="1">
      <c r="A178" s="1868"/>
      <c r="B178" s="637"/>
      <c r="C178" s="1871"/>
      <c r="D178" s="1871"/>
      <c r="E178" s="629">
        <f t="shared" si="2"/>
        <v>0</v>
      </c>
      <c r="F178" s="639"/>
    </row>
    <row r="179" spans="1:6" ht="15" customHeight="1">
      <c r="A179" s="1868"/>
      <c r="B179" s="637"/>
      <c r="C179" s="1871"/>
      <c r="D179" s="1871"/>
      <c r="E179" s="629">
        <f t="shared" si="2"/>
        <v>0</v>
      </c>
      <c r="F179" s="639"/>
    </row>
    <row r="180" spans="1:6" ht="15" customHeight="1">
      <c r="A180" s="1868"/>
      <c r="B180" s="637"/>
      <c r="C180" s="1871"/>
      <c r="D180" s="1871"/>
      <c r="E180" s="629">
        <f t="shared" si="2"/>
        <v>0</v>
      </c>
      <c r="F180" s="639"/>
    </row>
    <row r="181" spans="1:6" ht="15" customHeight="1">
      <c r="A181" s="1868"/>
      <c r="B181" s="637"/>
      <c r="C181" s="1871"/>
      <c r="D181" s="1871"/>
      <c r="E181" s="629">
        <f t="shared" si="2"/>
        <v>0</v>
      </c>
      <c r="F181" s="639"/>
    </row>
    <row r="182" spans="1:6" ht="15" customHeight="1">
      <c r="A182" s="1868"/>
      <c r="B182" s="637"/>
      <c r="C182" s="1871"/>
      <c r="D182" s="1871"/>
      <c r="E182" s="629">
        <f t="shared" si="2"/>
        <v>0</v>
      </c>
      <c r="F182" s="639"/>
    </row>
    <row r="183" spans="1:6" ht="15" customHeight="1">
      <c r="A183" s="1868"/>
      <c r="B183" s="637"/>
      <c r="C183" s="1871"/>
      <c r="D183" s="1871"/>
      <c r="E183" s="629">
        <f t="shared" si="2"/>
        <v>0</v>
      </c>
      <c r="F183" s="639"/>
    </row>
    <row r="184" spans="1:6" ht="15" customHeight="1">
      <c r="A184" s="1868"/>
      <c r="B184" s="637"/>
      <c r="C184" s="1871"/>
      <c r="D184" s="1871"/>
      <c r="E184" s="629">
        <f t="shared" si="2"/>
        <v>0</v>
      </c>
      <c r="F184" s="639"/>
    </row>
    <row r="185" spans="1:6" ht="15" customHeight="1">
      <c r="A185" s="1868"/>
      <c r="B185" s="637"/>
      <c r="C185" s="1871"/>
      <c r="D185" s="1871"/>
      <c r="E185" s="629">
        <f t="shared" si="2"/>
        <v>0</v>
      </c>
      <c r="F185" s="639"/>
    </row>
    <row r="186" spans="1:6" ht="15" customHeight="1">
      <c r="A186" s="1868"/>
      <c r="B186" s="637"/>
      <c r="C186" s="1871"/>
      <c r="D186" s="1871"/>
      <c r="E186" s="629">
        <f t="shared" si="2"/>
        <v>0</v>
      </c>
      <c r="F186" s="639"/>
    </row>
    <row r="187" spans="1:6" ht="15" customHeight="1">
      <c r="A187" s="1868"/>
      <c r="B187" s="637"/>
      <c r="C187" s="1871"/>
      <c r="D187" s="1871"/>
      <c r="E187" s="629">
        <f t="shared" si="2"/>
        <v>0</v>
      </c>
      <c r="F187" s="639"/>
    </row>
    <row r="188" spans="1:6" ht="15" customHeight="1">
      <c r="A188" s="1868"/>
      <c r="B188" s="637"/>
      <c r="C188" s="1871"/>
      <c r="D188" s="1871"/>
      <c r="E188" s="629">
        <f t="shared" si="2"/>
        <v>0</v>
      </c>
      <c r="F188" s="639"/>
    </row>
    <row r="189" spans="1:6" ht="15" customHeight="1">
      <c r="A189" s="1868"/>
      <c r="B189" s="637"/>
      <c r="C189" s="1871"/>
      <c r="D189" s="1871"/>
      <c r="E189" s="629">
        <f t="shared" si="2"/>
        <v>0</v>
      </c>
      <c r="F189" s="639"/>
    </row>
    <row r="190" spans="1:6" ht="15" customHeight="1">
      <c r="A190" s="1868"/>
      <c r="B190" s="637"/>
      <c r="C190" s="1871"/>
      <c r="D190" s="1871"/>
      <c r="E190" s="629">
        <f t="shared" si="2"/>
        <v>0</v>
      </c>
      <c r="F190" s="639"/>
    </row>
    <row r="191" spans="1:6" ht="15" customHeight="1">
      <c r="A191" s="1868"/>
      <c r="B191" s="637"/>
      <c r="C191" s="1871"/>
      <c r="D191" s="1871"/>
      <c r="E191" s="629">
        <f t="shared" si="2"/>
        <v>0</v>
      </c>
      <c r="F191" s="639"/>
    </row>
    <row r="192" spans="1:6" ht="15" customHeight="1">
      <c r="A192" s="1868"/>
      <c r="B192" s="637"/>
      <c r="C192" s="1871"/>
      <c r="D192" s="1871"/>
      <c r="E192" s="629">
        <f t="shared" si="2"/>
        <v>0</v>
      </c>
      <c r="F192" s="639"/>
    </row>
    <row r="193" spans="1:6" ht="15" customHeight="1">
      <c r="A193" s="1868"/>
      <c r="B193" s="637"/>
      <c r="C193" s="1871"/>
      <c r="D193" s="1871"/>
      <c r="E193" s="629">
        <f t="shared" si="2"/>
        <v>0</v>
      </c>
      <c r="F193" s="639"/>
    </row>
    <row r="194" spans="1:6" ht="15" customHeight="1">
      <c r="A194" s="1868"/>
      <c r="B194" s="637"/>
      <c r="C194" s="1871"/>
      <c r="D194" s="1871"/>
      <c r="E194" s="629">
        <f t="shared" si="2"/>
        <v>0</v>
      </c>
      <c r="F194" s="639"/>
    </row>
    <row r="195" spans="1:6" ht="15" customHeight="1">
      <c r="A195" s="1868"/>
      <c r="B195" s="637"/>
      <c r="C195" s="1871"/>
      <c r="D195" s="1871"/>
      <c r="E195" s="629">
        <f t="shared" si="2"/>
        <v>0</v>
      </c>
      <c r="F195" s="639"/>
    </row>
    <row r="196" spans="1:6" ht="15" customHeight="1">
      <c r="A196" s="1868"/>
      <c r="B196" s="637"/>
      <c r="C196" s="1871"/>
      <c r="D196" s="1871"/>
      <c r="E196" s="629">
        <f t="shared" si="2"/>
        <v>0</v>
      </c>
      <c r="F196" s="639"/>
    </row>
    <row r="197" spans="1:6" ht="15" customHeight="1">
      <c r="A197" s="1868"/>
      <c r="B197" s="637"/>
      <c r="C197" s="1871"/>
      <c r="D197" s="1871"/>
      <c r="E197" s="629">
        <f t="shared" si="2"/>
        <v>0</v>
      </c>
      <c r="F197" s="639"/>
    </row>
    <row r="198" spans="1:6" ht="15" customHeight="1">
      <c r="A198" s="1868"/>
      <c r="B198" s="637"/>
      <c r="C198" s="1871"/>
      <c r="D198" s="1871"/>
      <c r="E198" s="629">
        <f t="shared" si="2"/>
        <v>0</v>
      </c>
      <c r="F198" s="639"/>
    </row>
    <row r="199" spans="1:6" ht="15" customHeight="1">
      <c r="A199" s="1868"/>
      <c r="B199" s="637"/>
      <c r="C199" s="1871"/>
      <c r="D199" s="1871"/>
      <c r="E199" s="629">
        <f t="shared" si="2"/>
        <v>0</v>
      </c>
      <c r="F199" s="639"/>
    </row>
    <row r="200" spans="1:6" ht="15" customHeight="1">
      <c r="A200" s="1868"/>
      <c r="B200" s="637"/>
      <c r="C200" s="1871"/>
      <c r="D200" s="1871"/>
      <c r="E200" s="629">
        <f t="shared" si="2"/>
        <v>0</v>
      </c>
      <c r="F200" s="639"/>
    </row>
    <row r="201" spans="1:6" ht="15" customHeight="1">
      <c r="A201" s="1868"/>
      <c r="B201" s="637"/>
      <c r="C201" s="1871"/>
      <c r="D201" s="1871"/>
      <c r="E201" s="629">
        <f t="shared" si="2"/>
        <v>0</v>
      </c>
      <c r="F201" s="639"/>
    </row>
    <row r="202" spans="1:6" ht="15" customHeight="1">
      <c r="A202" s="1868"/>
      <c r="B202" s="637"/>
      <c r="C202" s="1871"/>
      <c r="D202" s="1871"/>
      <c r="E202" s="629">
        <f t="shared" si="2"/>
        <v>0</v>
      </c>
      <c r="F202" s="639"/>
    </row>
    <row r="203" spans="1:6" ht="15" customHeight="1">
      <c r="A203" s="1868"/>
      <c r="B203" s="637"/>
      <c r="C203" s="1871"/>
      <c r="D203" s="1871"/>
      <c r="E203" s="629">
        <f t="shared" si="2"/>
        <v>0</v>
      </c>
      <c r="F203" s="639"/>
    </row>
    <row r="204" spans="1:6" ht="15" customHeight="1">
      <c r="A204" s="1868"/>
      <c r="B204" s="637"/>
      <c r="C204" s="1871"/>
      <c r="D204" s="1871"/>
      <c r="E204" s="629">
        <f t="shared" si="2"/>
        <v>0</v>
      </c>
      <c r="F204" s="639"/>
    </row>
    <row r="205" spans="1:6" ht="15" customHeight="1">
      <c r="A205" s="1868"/>
      <c r="B205" s="637"/>
      <c r="C205" s="1871"/>
      <c r="D205" s="1871"/>
      <c r="E205" s="629">
        <f t="shared" si="2"/>
        <v>0</v>
      </c>
      <c r="F205" s="639"/>
    </row>
    <row r="206" spans="1:6" ht="15" customHeight="1">
      <c r="A206" s="1868"/>
      <c r="B206" s="637"/>
      <c r="C206" s="1871"/>
      <c r="D206" s="1871"/>
      <c r="E206" s="629">
        <f t="shared" si="2"/>
        <v>0</v>
      </c>
      <c r="F206" s="639"/>
    </row>
    <row r="207" spans="1:6" ht="15" customHeight="1">
      <c r="A207" s="1868"/>
      <c r="B207" s="637"/>
      <c r="C207" s="1871"/>
      <c r="D207" s="1871"/>
      <c r="E207" s="629">
        <f t="shared" si="2"/>
        <v>0</v>
      </c>
      <c r="F207" s="639"/>
    </row>
    <row r="208" spans="1:6" ht="15" customHeight="1">
      <c r="A208" s="1868"/>
      <c r="B208" s="637"/>
      <c r="C208" s="1871"/>
      <c r="D208" s="1871"/>
      <c r="E208" s="629">
        <f t="shared" ref="E208:E271" si="3">C208-B208+D208</f>
        <v>0</v>
      </c>
      <c r="F208" s="639"/>
    </row>
    <row r="209" spans="1:6" ht="15" customHeight="1">
      <c r="A209" s="1868"/>
      <c r="B209" s="637"/>
      <c r="C209" s="1871"/>
      <c r="D209" s="1871"/>
      <c r="E209" s="629">
        <f t="shared" si="3"/>
        <v>0</v>
      </c>
      <c r="F209" s="639"/>
    </row>
    <row r="210" spans="1:6" ht="15" customHeight="1">
      <c r="A210" s="1868"/>
      <c r="B210" s="637"/>
      <c r="C210" s="1871"/>
      <c r="D210" s="1871"/>
      <c r="E210" s="629">
        <f t="shared" si="3"/>
        <v>0</v>
      </c>
      <c r="F210" s="639"/>
    </row>
    <row r="211" spans="1:6" ht="15" customHeight="1">
      <c r="A211" s="1868"/>
      <c r="B211" s="637"/>
      <c r="C211" s="1871"/>
      <c r="D211" s="1871"/>
      <c r="E211" s="629">
        <f t="shared" si="3"/>
        <v>0</v>
      </c>
      <c r="F211" s="639"/>
    </row>
    <row r="212" spans="1:6" ht="15" customHeight="1">
      <c r="A212" s="1868"/>
      <c r="B212" s="637"/>
      <c r="C212" s="1871"/>
      <c r="D212" s="1871"/>
      <c r="E212" s="629">
        <f t="shared" si="3"/>
        <v>0</v>
      </c>
      <c r="F212" s="639"/>
    </row>
    <row r="213" spans="1:6" ht="15" customHeight="1">
      <c r="A213" s="1868"/>
      <c r="B213" s="637"/>
      <c r="C213" s="1871"/>
      <c r="D213" s="1871"/>
      <c r="E213" s="629">
        <f t="shared" si="3"/>
        <v>0</v>
      </c>
      <c r="F213" s="639"/>
    </row>
    <row r="214" spans="1:6" ht="15" customHeight="1">
      <c r="A214" s="1868"/>
      <c r="B214" s="637"/>
      <c r="C214" s="1871"/>
      <c r="D214" s="1871"/>
      <c r="E214" s="629">
        <f t="shared" si="3"/>
        <v>0</v>
      </c>
      <c r="F214" s="639"/>
    </row>
    <row r="215" spans="1:6" ht="15" customHeight="1">
      <c r="A215" s="1868"/>
      <c r="B215" s="637"/>
      <c r="C215" s="1871"/>
      <c r="D215" s="1871"/>
      <c r="E215" s="629">
        <f t="shared" si="3"/>
        <v>0</v>
      </c>
      <c r="F215" s="639"/>
    </row>
    <row r="216" spans="1:6" ht="15" customHeight="1">
      <c r="A216" s="1868"/>
      <c r="B216" s="637"/>
      <c r="C216" s="1871"/>
      <c r="D216" s="1871"/>
      <c r="E216" s="629">
        <f t="shared" si="3"/>
        <v>0</v>
      </c>
      <c r="F216" s="639"/>
    </row>
    <row r="217" spans="1:6" ht="15" customHeight="1">
      <c r="A217" s="1868"/>
      <c r="B217" s="637"/>
      <c r="C217" s="1871"/>
      <c r="D217" s="1871"/>
      <c r="E217" s="629">
        <f t="shared" si="3"/>
        <v>0</v>
      </c>
      <c r="F217" s="639"/>
    </row>
    <row r="218" spans="1:6" ht="15" customHeight="1">
      <c r="A218" s="1868"/>
      <c r="B218" s="637"/>
      <c r="C218" s="1871"/>
      <c r="D218" s="1871"/>
      <c r="E218" s="629">
        <f t="shared" si="3"/>
        <v>0</v>
      </c>
      <c r="F218" s="639"/>
    </row>
    <row r="219" spans="1:6" ht="15" customHeight="1">
      <c r="A219" s="1868"/>
      <c r="B219" s="637"/>
      <c r="C219" s="1871"/>
      <c r="D219" s="1871"/>
      <c r="E219" s="629">
        <f t="shared" si="3"/>
        <v>0</v>
      </c>
      <c r="F219" s="639"/>
    </row>
    <row r="220" spans="1:6" ht="15" customHeight="1">
      <c r="A220" s="1868"/>
      <c r="B220" s="637"/>
      <c r="C220" s="1871"/>
      <c r="D220" s="1871"/>
      <c r="E220" s="629">
        <f t="shared" si="3"/>
        <v>0</v>
      </c>
      <c r="F220" s="639"/>
    </row>
    <row r="221" spans="1:6" ht="15" customHeight="1">
      <c r="A221" s="1868"/>
      <c r="B221" s="637"/>
      <c r="C221" s="1871"/>
      <c r="D221" s="1871"/>
      <c r="E221" s="629">
        <f t="shared" si="3"/>
        <v>0</v>
      </c>
      <c r="F221" s="639"/>
    </row>
    <row r="222" spans="1:6" ht="15" customHeight="1">
      <c r="A222" s="1868"/>
      <c r="B222" s="637"/>
      <c r="C222" s="1871"/>
      <c r="D222" s="1871"/>
      <c r="E222" s="629">
        <f t="shared" si="3"/>
        <v>0</v>
      </c>
      <c r="F222" s="639"/>
    </row>
    <row r="223" spans="1:6" ht="15" customHeight="1">
      <c r="A223" s="1868"/>
      <c r="B223" s="637"/>
      <c r="C223" s="1871"/>
      <c r="D223" s="1871"/>
      <c r="E223" s="629">
        <f t="shared" si="3"/>
        <v>0</v>
      </c>
      <c r="F223" s="639"/>
    </row>
    <row r="224" spans="1:6" ht="15" customHeight="1">
      <c r="A224" s="1868"/>
      <c r="B224" s="637"/>
      <c r="C224" s="1871"/>
      <c r="D224" s="1871"/>
      <c r="E224" s="629">
        <f t="shared" si="3"/>
        <v>0</v>
      </c>
      <c r="F224" s="639"/>
    </row>
    <row r="225" spans="1:6" ht="15" customHeight="1">
      <c r="A225" s="1868"/>
      <c r="B225" s="637"/>
      <c r="C225" s="1871"/>
      <c r="D225" s="1871"/>
      <c r="E225" s="629">
        <f t="shared" si="3"/>
        <v>0</v>
      </c>
      <c r="F225" s="639"/>
    </row>
    <row r="226" spans="1:6" ht="15" customHeight="1">
      <c r="A226" s="1868"/>
      <c r="B226" s="637"/>
      <c r="C226" s="1871"/>
      <c r="D226" s="1871"/>
      <c r="E226" s="629">
        <f t="shared" si="3"/>
        <v>0</v>
      </c>
      <c r="F226" s="639"/>
    </row>
    <row r="227" spans="1:6" ht="15" customHeight="1">
      <c r="A227" s="1868"/>
      <c r="B227" s="637"/>
      <c r="C227" s="1871"/>
      <c r="D227" s="1871"/>
      <c r="E227" s="629">
        <f t="shared" si="3"/>
        <v>0</v>
      </c>
      <c r="F227" s="639"/>
    </row>
    <row r="228" spans="1:6" ht="15" customHeight="1">
      <c r="A228" s="1868"/>
      <c r="B228" s="637"/>
      <c r="C228" s="1871"/>
      <c r="D228" s="1871"/>
      <c r="E228" s="629">
        <f t="shared" si="3"/>
        <v>0</v>
      </c>
      <c r="F228" s="639"/>
    </row>
    <row r="229" spans="1:6" ht="15" customHeight="1">
      <c r="A229" s="1868"/>
      <c r="B229" s="637"/>
      <c r="C229" s="1871"/>
      <c r="D229" s="1871"/>
      <c r="E229" s="629">
        <f t="shared" si="3"/>
        <v>0</v>
      </c>
      <c r="F229" s="639"/>
    </row>
    <row r="230" spans="1:6" ht="15" customHeight="1">
      <c r="A230" s="1868"/>
      <c r="B230" s="637"/>
      <c r="C230" s="1871"/>
      <c r="D230" s="1871"/>
      <c r="E230" s="629">
        <f t="shared" si="3"/>
        <v>0</v>
      </c>
      <c r="F230" s="639"/>
    </row>
    <row r="231" spans="1:6" ht="15" customHeight="1">
      <c r="A231" s="1868"/>
      <c r="B231" s="637"/>
      <c r="C231" s="1871"/>
      <c r="D231" s="1871"/>
      <c r="E231" s="629">
        <f t="shared" si="3"/>
        <v>0</v>
      </c>
      <c r="F231" s="639"/>
    </row>
    <row r="232" spans="1:6" ht="15" customHeight="1">
      <c r="A232" s="1868"/>
      <c r="B232" s="637"/>
      <c r="C232" s="1871"/>
      <c r="D232" s="1871"/>
      <c r="E232" s="629">
        <f t="shared" si="3"/>
        <v>0</v>
      </c>
      <c r="F232" s="639"/>
    </row>
    <row r="233" spans="1:6" ht="15" customHeight="1">
      <c r="A233" s="1868"/>
      <c r="B233" s="637"/>
      <c r="C233" s="1871"/>
      <c r="D233" s="1871"/>
      <c r="E233" s="629">
        <f t="shared" si="3"/>
        <v>0</v>
      </c>
      <c r="F233" s="639"/>
    </row>
    <row r="234" spans="1:6" ht="15" customHeight="1">
      <c r="A234" s="1868"/>
      <c r="B234" s="637"/>
      <c r="C234" s="1871"/>
      <c r="D234" s="1871"/>
      <c r="E234" s="629">
        <f t="shared" si="3"/>
        <v>0</v>
      </c>
      <c r="F234" s="639"/>
    </row>
    <row r="235" spans="1:6" ht="15" customHeight="1">
      <c r="A235" s="1868"/>
      <c r="B235" s="637"/>
      <c r="C235" s="1871"/>
      <c r="D235" s="1871"/>
      <c r="E235" s="629">
        <f t="shared" si="3"/>
        <v>0</v>
      </c>
      <c r="F235" s="639"/>
    </row>
    <row r="236" spans="1:6" ht="15" customHeight="1">
      <c r="A236" s="1868"/>
      <c r="B236" s="637"/>
      <c r="C236" s="1871"/>
      <c r="D236" s="1871"/>
      <c r="E236" s="629">
        <f t="shared" si="3"/>
        <v>0</v>
      </c>
      <c r="F236" s="639"/>
    </row>
    <row r="237" spans="1:6" ht="15" customHeight="1">
      <c r="A237" s="1868"/>
      <c r="B237" s="637"/>
      <c r="C237" s="1871"/>
      <c r="D237" s="1871"/>
      <c r="E237" s="629">
        <f t="shared" si="3"/>
        <v>0</v>
      </c>
      <c r="F237" s="639"/>
    </row>
    <row r="238" spans="1:6" ht="15" customHeight="1">
      <c r="A238" s="1868"/>
      <c r="B238" s="637"/>
      <c r="C238" s="1871"/>
      <c r="D238" s="1871"/>
      <c r="E238" s="629">
        <f t="shared" si="3"/>
        <v>0</v>
      </c>
      <c r="F238" s="639"/>
    </row>
    <row r="239" spans="1:6" ht="15" customHeight="1">
      <c r="A239" s="1868"/>
      <c r="B239" s="637"/>
      <c r="C239" s="1871"/>
      <c r="D239" s="1871"/>
      <c r="E239" s="629">
        <f t="shared" si="3"/>
        <v>0</v>
      </c>
      <c r="F239" s="639"/>
    </row>
    <row r="240" spans="1:6" ht="15" customHeight="1">
      <c r="A240" s="1868"/>
      <c r="B240" s="637"/>
      <c r="C240" s="1871"/>
      <c r="D240" s="1871"/>
      <c r="E240" s="629">
        <f t="shared" si="3"/>
        <v>0</v>
      </c>
      <c r="F240" s="639"/>
    </row>
    <row r="241" spans="1:6" ht="15" customHeight="1">
      <c r="A241" s="1868"/>
      <c r="B241" s="637"/>
      <c r="C241" s="1871"/>
      <c r="D241" s="1871"/>
      <c r="E241" s="629">
        <f t="shared" si="3"/>
        <v>0</v>
      </c>
      <c r="F241" s="639"/>
    </row>
    <row r="242" spans="1:6" ht="15" customHeight="1">
      <c r="A242" s="1868"/>
      <c r="B242" s="637"/>
      <c r="C242" s="1871"/>
      <c r="D242" s="1871"/>
      <c r="E242" s="629">
        <f t="shared" si="3"/>
        <v>0</v>
      </c>
      <c r="F242" s="639"/>
    </row>
    <row r="243" spans="1:6" ht="15" customHeight="1">
      <c r="A243" s="1868"/>
      <c r="B243" s="637"/>
      <c r="C243" s="1871"/>
      <c r="D243" s="1871"/>
      <c r="E243" s="629">
        <f t="shared" si="3"/>
        <v>0</v>
      </c>
      <c r="F243" s="639"/>
    </row>
    <row r="244" spans="1:6" ht="15" customHeight="1">
      <c r="A244" s="1868"/>
      <c r="B244" s="637"/>
      <c r="C244" s="1871"/>
      <c r="D244" s="1871"/>
      <c r="E244" s="629">
        <f t="shared" si="3"/>
        <v>0</v>
      </c>
      <c r="F244" s="639"/>
    </row>
    <row r="245" spans="1:6" ht="15" customHeight="1">
      <c r="A245" s="1868"/>
      <c r="B245" s="637"/>
      <c r="C245" s="1871"/>
      <c r="D245" s="1871"/>
      <c r="E245" s="629">
        <f t="shared" si="3"/>
        <v>0</v>
      </c>
      <c r="F245" s="639"/>
    </row>
    <row r="246" spans="1:6" ht="15" customHeight="1">
      <c r="A246" s="1868"/>
      <c r="B246" s="637"/>
      <c r="C246" s="1871"/>
      <c r="D246" s="1871"/>
      <c r="E246" s="629">
        <f t="shared" si="3"/>
        <v>0</v>
      </c>
      <c r="F246" s="639"/>
    </row>
    <row r="247" spans="1:6" ht="15" customHeight="1">
      <c r="A247" s="1868"/>
      <c r="B247" s="637"/>
      <c r="C247" s="1871"/>
      <c r="D247" s="1871"/>
      <c r="E247" s="629">
        <f t="shared" si="3"/>
        <v>0</v>
      </c>
      <c r="F247" s="639"/>
    </row>
    <row r="248" spans="1:6" ht="15" customHeight="1">
      <c r="A248" s="1868"/>
      <c r="B248" s="637"/>
      <c r="C248" s="1871"/>
      <c r="D248" s="1871"/>
      <c r="E248" s="629">
        <f t="shared" si="3"/>
        <v>0</v>
      </c>
      <c r="F248" s="639"/>
    </row>
    <row r="249" spans="1:6" ht="15" customHeight="1">
      <c r="A249" s="1868"/>
      <c r="B249" s="637"/>
      <c r="C249" s="1871"/>
      <c r="D249" s="1871"/>
      <c r="E249" s="629">
        <f t="shared" si="3"/>
        <v>0</v>
      </c>
      <c r="F249" s="639"/>
    </row>
    <row r="250" spans="1:6" ht="15" customHeight="1">
      <c r="A250" s="1868"/>
      <c r="B250" s="637"/>
      <c r="C250" s="1871"/>
      <c r="D250" s="1871"/>
      <c r="E250" s="629">
        <f t="shared" si="3"/>
        <v>0</v>
      </c>
      <c r="F250" s="639"/>
    </row>
    <row r="251" spans="1:6" ht="15" customHeight="1">
      <c r="A251" s="1868"/>
      <c r="B251" s="637"/>
      <c r="C251" s="1871"/>
      <c r="D251" s="1871"/>
      <c r="E251" s="629">
        <f t="shared" si="3"/>
        <v>0</v>
      </c>
      <c r="F251" s="639"/>
    </row>
    <row r="252" spans="1:6" ht="15" customHeight="1">
      <c r="A252" s="1868"/>
      <c r="B252" s="637"/>
      <c r="C252" s="1871"/>
      <c r="D252" s="1871"/>
      <c r="E252" s="629">
        <f t="shared" si="3"/>
        <v>0</v>
      </c>
      <c r="F252" s="639"/>
    </row>
    <row r="253" spans="1:6" ht="15" customHeight="1">
      <c r="A253" s="1868"/>
      <c r="B253" s="637"/>
      <c r="C253" s="1871"/>
      <c r="D253" s="1871"/>
      <c r="E253" s="629">
        <f t="shared" si="3"/>
        <v>0</v>
      </c>
      <c r="F253" s="639"/>
    </row>
    <row r="254" spans="1:6" ht="15" customHeight="1">
      <c r="A254" s="1868"/>
      <c r="B254" s="637"/>
      <c r="C254" s="1871"/>
      <c r="D254" s="1871"/>
      <c r="E254" s="629">
        <f t="shared" si="3"/>
        <v>0</v>
      </c>
      <c r="F254" s="639"/>
    </row>
    <row r="255" spans="1:6" ht="15" customHeight="1">
      <c r="A255" s="1868"/>
      <c r="B255" s="637"/>
      <c r="C255" s="1871"/>
      <c r="D255" s="1871"/>
      <c r="E255" s="629">
        <f t="shared" si="3"/>
        <v>0</v>
      </c>
      <c r="F255" s="639"/>
    </row>
    <row r="256" spans="1:6" ht="15" customHeight="1">
      <c r="A256" s="1868"/>
      <c r="B256" s="637"/>
      <c r="C256" s="1871"/>
      <c r="D256" s="1871"/>
      <c r="E256" s="629">
        <f t="shared" si="3"/>
        <v>0</v>
      </c>
      <c r="F256" s="639"/>
    </row>
    <row r="257" spans="1:6" ht="15" customHeight="1">
      <c r="A257" s="1868"/>
      <c r="B257" s="637"/>
      <c r="C257" s="1871"/>
      <c r="D257" s="1871"/>
      <c r="E257" s="629">
        <f t="shared" si="3"/>
        <v>0</v>
      </c>
      <c r="F257" s="639"/>
    </row>
    <row r="258" spans="1:6" ht="15" customHeight="1">
      <c r="A258" s="1868"/>
      <c r="B258" s="637"/>
      <c r="C258" s="1871"/>
      <c r="D258" s="1871"/>
      <c r="E258" s="629">
        <f t="shared" si="3"/>
        <v>0</v>
      </c>
      <c r="F258" s="639"/>
    </row>
    <row r="259" spans="1:6" ht="15" customHeight="1">
      <c r="A259" s="1868"/>
      <c r="B259" s="637"/>
      <c r="C259" s="1871"/>
      <c r="D259" s="1871"/>
      <c r="E259" s="629">
        <f t="shared" si="3"/>
        <v>0</v>
      </c>
      <c r="F259" s="639"/>
    </row>
    <row r="260" spans="1:6" ht="15" customHeight="1">
      <c r="A260" s="1868"/>
      <c r="B260" s="637"/>
      <c r="C260" s="1871"/>
      <c r="D260" s="1871"/>
      <c r="E260" s="629">
        <f t="shared" si="3"/>
        <v>0</v>
      </c>
      <c r="F260" s="639"/>
    </row>
    <row r="261" spans="1:6" ht="15" customHeight="1">
      <c r="A261" s="1868"/>
      <c r="B261" s="637"/>
      <c r="C261" s="1871"/>
      <c r="D261" s="1871"/>
      <c r="E261" s="629">
        <f t="shared" si="3"/>
        <v>0</v>
      </c>
      <c r="F261" s="639"/>
    </row>
    <row r="262" spans="1:6" ht="15" customHeight="1">
      <c r="A262" s="1868"/>
      <c r="B262" s="637"/>
      <c r="C262" s="1871"/>
      <c r="D262" s="1871"/>
      <c r="E262" s="629">
        <f t="shared" si="3"/>
        <v>0</v>
      </c>
      <c r="F262" s="639"/>
    </row>
    <row r="263" spans="1:6" ht="15" customHeight="1">
      <c r="A263" s="1868"/>
      <c r="B263" s="637"/>
      <c r="C263" s="1871"/>
      <c r="D263" s="1871"/>
      <c r="E263" s="629">
        <f t="shared" si="3"/>
        <v>0</v>
      </c>
      <c r="F263" s="639"/>
    </row>
    <row r="264" spans="1:6" ht="15" customHeight="1">
      <c r="A264" s="1868"/>
      <c r="B264" s="637"/>
      <c r="C264" s="1871"/>
      <c r="D264" s="1871"/>
      <c r="E264" s="629">
        <f t="shared" si="3"/>
        <v>0</v>
      </c>
      <c r="F264" s="639"/>
    </row>
    <row r="265" spans="1:6" ht="15" customHeight="1">
      <c r="A265" s="1868"/>
      <c r="B265" s="637"/>
      <c r="C265" s="1871"/>
      <c r="D265" s="1871"/>
      <c r="E265" s="629">
        <f t="shared" si="3"/>
        <v>0</v>
      </c>
      <c r="F265" s="639"/>
    </row>
    <row r="266" spans="1:6" ht="15" customHeight="1">
      <c r="A266" s="1868"/>
      <c r="B266" s="637"/>
      <c r="C266" s="1871"/>
      <c r="D266" s="1871"/>
      <c r="E266" s="629">
        <f t="shared" si="3"/>
        <v>0</v>
      </c>
      <c r="F266" s="639"/>
    </row>
    <row r="267" spans="1:6" ht="15" customHeight="1">
      <c r="A267" s="1868"/>
      <c r="B267" s="637"/>
      <c r="C267" s="1871"/>
      <c r="D267" s="1871"/>
      <c r="E267" s="629">
        <f t="shared" si="3"/>
        <v>0</v>
      </c>
      <c r="F267" s="639"/>
    </row>
    <row r="268" spans="1:6" ht="15" customHeight="1">
      <c r="A268" s="1868"/>
      <c r="B268" s="637"/>
      <c r="C268" s="1871"/>
      <c r="D268" s="1871"/>
      <c r="E268" s="629">
        <f t="shared" si="3"/>
        <v>0</v>
      </c>
      <c r="F268" s="639"/>
    </row>
    <row r="269" spans="1:6" ht="15" customHeight="1">
      <c r="A269" s="1868"/>
      <c r="B269" s="637"/>
      <c r="C269" s="1871"/>
      <c r="D269" s="1871"/>
      <c r="E269" s="629">
        <f t="shared" si="3"/>
        <v>0</v>
      </c>
      <c r="F269" s="639"/>
    </row>
    <row r="270" spans="1:6" ht="15" customHeight="1">
      <c r="A270" s="1868"/>
      <c r="B270" s="637"/>
      <c r="C270" s="1871"/>
      <c r="D270" s="1871"/>
      <c r="E270" s="629">
        <f t="shared" si="3"/>
        <v>0</v>
      </c>
      <c r="F270" s="639"/>
    </row>
    <row r="271" spans="1:6" ht="15" customHeight="1">
      <c r="A271" s="1868"/>
      <c r="B271" s="637"/>
      <c r="C271" s="1871"/>
      <c r="D271" s="1871"/>
      <c r="E271" s="629">
        <f t="shared" si="3"/>
        <v>0</v>
      </c>
      <c r="F271" s="639"/>
    </row>
    <row r="272" spans="1:6" ht="15" customHeight="1">
      <c r="A272" s="1868"/>
      <c r="B272" s="637"/>
      <c r="C272" s="1871"/>
      <c r="D272" s="1871"/>
      <c r="E272" s="629">
        <f t="shared" ref="E272:E303" si="4">C272-B272+D272</f>
        <v>0</v>
      </c>
      <c r="F272" s="639"/>
    </row>
    <row r="273" spans="1:6" ht="15" customHeight="1">
      <c r="A273" s="1868"/>
      <c r="B273" s="637"/>
      <c r="C273" s="1871"/>
      <c r="D273" s="1871"/>
      <c r="E273" s="629">
        <f t="shared" si="4"/>
        <v>0</v>
      </c>
      <c r="F273" s="639"/>
    </row>
    <row r="274" spans="1:6" ht="15" customHeight="1">
      <c r="A274" s="1868"/>
      <c r="B274" s="637"/>
      <c r="C274" s="1871"/>
      <c r="D274" s="1871"/>
      <c r="E274" s="629">
        <f t="shared" si="4"/>
        <v>0</v>
      </c>
      <c r="F274" s="639"/>
    </row>
    <row r="275" spans="1:6" ht="15" customHeight="1">
      <c r="A275" s="1868"/>
      <c r="B275" s="637"/>
      <c r="C275" s="1871"/>
      <c r="D275" s="1871"/>
      <c r="E275" s="629">
        <f t="shared" si="4"/>
        <v>0</v>
      </c>
      <c r="F275" s="639"/>
    </row>
    <row r="276" spans="1:6" ht="15" customHeight="1">
      <c r="A276" s="1868"/>
      <c r="B276" s="637"/>
      <c r="C276" s="1871"/>
      <c r="D276" s="1871"/>
      <c r="E276" s="629">
        <f t="shared" si="4"/>
        <v>0</v>
      </c>
      <c r="F276" s="639"/>
    </row>
    <row r="277" spans="1:6" ht="15" customHeight="1">
      <c r="A277" s="1868"/>
      <c r="B277" s="637"/>
      <c r="C277" s="1871"/>
      <c r="D277" s="1871"/>
      <c r="E277" s="629">
        <f t="shared" si="4"/>
        <v>0</v>
      </c>
      <c r="F277" s="639"/>
    </row>
    <row r="278" spans="1:6" ht="15" customHeight="1">
      <c r="A278" s="1868"/>
      <c r="B278" s="637"/>
      <c r="C278" s="1871"/>
      <c r="D278" s="1871"/>
      <c r="E278" s="629">
        <f t="shared" si="4"/>
        <v>0</v>
      </c>
      <c r="F278" s="639"/>
    </row>
    <row r="279" spans="1:6" ht="15" customHeight="1">
      <c r="A279" s="1868"/>
      <c r="B279" s="637"/>
      <c r="C279" s="1871"/>
      <c r="D279" s="1871"/>
      <c r="E279" s="629">
        <f t="shared" si="4"/>
        <v>0</v>
      </c>
      <c r="F279" s="639"/>
    </row>
    <row r="280" spans="1:6" ht="15" customHeight="1">
      <c r="A280" s="1868"/>
      <c r="B280" s="637"/>
      <c r="C280" s="1871"/>
      <c r="D280" s="1871"/>
      <c r="E280" s="629">
        <f t="shared" si="4"/>
        <v>0</v>
      </c>
      <c r="F280" s="639"/>
    </row>
    <row r="281" spans="1:6" ht="15" customHeight="1">
      <c r="A281" s="1868"/>
      <c r="B281" s="637"/>
      <c r="C281" s="1871"/>
      <c r="D281" s="1871"/>
      <c r="E281" s="629">
        <f t="shared" si="4"/>
        <v>0</v>
      </c>
      <c r="F281" s="639"/>
    </row>
    <row r="282" spans="1:6" ht="15" customHeight="1">
      <c r="A282" s="1868"/>
      <c r="B282" s="637"/>
      <c r="C282" s="1871"/>
      <c r="D282" s="1871"/>
      <c r="E282" s="629">
        <f t="shared" si="4"/>
        <v>0</v>
      </c>
      <c r="F282" s="639"/>
    </row>
    <row r="283" spans="1:6" ht="15" customHeight="1">
      <c r="A283" s="1868"/>
      <c r="B283" s="637"/>
      <c r="C283" s="1871"/>
      <c r="D283" s="1871"/>
      <c r="E283" s="629">
        <f t="shared" si="4"/>
        <v>0</v>
      </c>
      <c r="F283" s="639"/>
    </row>
    <row r="284" spans="1:6" ht="15" customHeight="1">
      <c r="A284" s="1868"/>
      <c r="B284" s="637"/>
      <c r="C284" s="1871"/>
      <c r="D284" s="1871"/>
      <c r="E284" s="629">
        <f t="shared" si="4"/>
        <v>0</v>
      </c>
      <c r="F284" s="639"/>
    </row>
    <row r="285" spans="1:6" ht="15" customHeight="1">
      <c r="A285" s="1868"/>
      <c r="B285" s="637"/>
      <c r="C285" s="1871"/>
      <c r="D285" s="1871"/>
      <c r="E285" s="629">
        <f t="shared" si="4"/>
        <v>0</v>
      </c>
      <c r="F285" s="639"/>
    </row>
    <row r="286" spans="1:6" ht="15" customHeight="1">
      <c r="A286" s="1868"/>
      <c r="B286" s="637"/>
      <c r="C286" s="1871"/>
      <c r="D286" s="1871"/>
      <c r="E286" s="629">
        <f t="shared" si="4"/>
        <v>0</v>
      </c>
      <c r="F286" s="639"/>
    </row>
    <row r="287" spans="1:6" ht="15" customHeight="1">
      <c r="A287" s="1868"/>
      <c r="B287" s="637"/>
      <c r="C287" s="1871"/>
      <c r="D287" s="1871"/>
      <c r="E287" s="629">
        <f t="shared" si="4"/>
        <v>0</v>
      </c>
      <c r="F287" s="639"/>
    </row>
    <row r="288" spans="1:6" ht="15" customHeight="1">
      <c r="A288" s="1868"/>
      <c r="B288" s="637"/>
      <c r="C288" s="1871"/>
      <c r="D288" s="1871"/>
      <c r="E288" s="629">
        <f t="shared" si="4"/>
        <v>0</v>
      </c>
      <c r="F288" s="639"/>
    </row>
    <row r="289" spans="1:6" ht="15" customHeight="1">
      <c r="A289" s="1868"/>
      <c r="B289" s="637"/>
      <c r="C289" s="1871"/>
      <c r="D289" s="1871"/>
      <c r="E289" s="629">
        <f t="shared" si="4"/>
        <v>0</v>
      </c>
      <c r="F289" s="639"/>
    </row>
    <row r="290" spans="1:6" ht="15" customHeight="1">
      <c r="A290" s="1868"/>
      <c r="B290" s="637"/>
      <c r="C290" s="1871"/>
      <c r="D290" s="1871"/>
      <c r="E290" s="629">
        <f t="shared" si="4"/>
        <v>0</v>
      </c>
      <c r="F290" s="639"/>
    </row>
    <row r="291" spans="1:6" ht="15" customHeight="1">
      <c r="A291" s="1868"/>
      <c r="B291" s="637"/>
      <c r="C291" s="1871"/>
      <c r="D291" s="1871"/>
      <c r="E291" s="629">
        <f t="shared" si="4"/>
        <v>0</v>
      </c>
      <c r="F291" s="639"/>
    </row>
    <row r="292" spans="1:6" ht="15" customHeight="1">
      <c r="A292" s="1868"/>
      <c r="B292" s="637"/>
      <c r="C292" s="1871"/>
      <c r="D292" s="1871"/>
      <c r="E292" s="629">
        <f t="shared" si="4"/>
        <v>0</v>
      </c>
      <c r="F292" s="639"/>
    </row>
    <row r="293" spans="1:6" ht="15" customHeight="1">
      <c r="A293" s="1868"/>
      <c r="B293" s="637"/>
      <c r="C293" s="1871"/>
      <c r="D293" s="1871"/>
      <c r="E293" s="629">
        <f t="shared" si="4"/>
        <v>0</v>
      </c>
      <c r="F293" s="639"/>
    </row>
    <row r="294" spans="1:6" ht="15" customHeight="1">
      <c r="A294" s="1868"/>
      <c r="B294" s="637"/>
      <c r="C294" s="1871"/>
      <c r="D294" s="1871"/>
      <c r="E294" s="629">
        <f t="shared" si="4"/>
        <v>0</v>
      </c>
      <c r="F294" s="639"/>
    </row>
    <row r="295" spans="1:6" ht="15" customHeight="1">
      <c r="A295" s="1868"/>
      <c r="B295" s="637"/>
      <c r="C295" s="1871"/>
      <c r="D295" s="1871"/>
      <c r="E295" s="629">
        <f t="shared" si="4"/>
        <v>0</v>
      </c>
      <c r="F295" s="639"/>
    </row>
    <row r="296" spans="1:6" ht="15" customHeight="1">
      <c r="A296" s="1868"/>
      <c r="B296" s="637"/>
      <c r="C296" s="1871"/>
      <c r="D296" s="1871"/>
      <c r="E296" s="629">
        <f t="shared" si="4"/>
        <v>0</v>
      </c>
      <c r="F296" s="639"/>
    </row>
    <row r="297" spans="1:6" ht="15" customHeight="1">
      <c r="A297" s="1868"/>
      <c r="B297" s="637"/>
      <c r="C297" s="1871"/>
      <c r="D297" s="1871"/>
      <c r="E297" s="629">
        <f t="shared" si="4"/>
        <v>0</v>
      </c>
      <c r="F297" s="639"/>
    </row>
    <row r="298" spans="1:6" ht="15" customHeight="1">
      <c r="A298" s="1868"/>
      <c r="B298" s="637"/>
      <c r="C298" s="1871"/>
      <c r="D298" s="1871"/>
      <c r="E298" s="629">
        <f t="shared" si="4"/>
        <v>0</v>
      </c>
      <c r="F298" s="639"/>
    </row>
    <row r="299" spans="1:6" ht="15" customHeight="1">
      <c r="A299" s="1868"/>
      <c r="B299" s="637"/>
      <c r="C299" s="1871"/>
      <c r="D299" s="1871"/>
      <c r="E299" s="629">
        <f t="shared" si="4"/>
        <v>0</v>
      </c>
      <c r="F299" s="639"/>
    </row>
    <row r="300" spans="1:6" ht="15" customHeight="1">
      <c r="A300" s="1868"/>
      <c r="B300" s="637"/>
      <c r="C300" s="1871"/>
      <c r="D300" s="1871"/>
      <c r="E300" s="629">
        <f t="shared" si="4"/>
        <v>0</v>
      </c>
      <c r="F300" s="639"/>
    </row>
    <row r="301" spans="1:6" ht="15" customHeight="1">
      <c r="A301" s="1868"/>
      <c r="B301" s="637"/>
      <c r="C301" s="1871"/>
      <c r="D301" s="1871"/>
      <c r="E301" s="629">
        <f t="shared" si="4"/>
        <v>0</v>
      </c>
      <c r="F301" s="639"/>
    </row>
    <row r="302" spans="1:6" ht="15" customHeight="1">
      <c r="A302" s="1868"/>
      <c r="B302" s="637"/>
      <c r="C302" s="1871"/>
      <c r="D302" s="1871"/>
      <c r="E302" s="629">
        <f t="shared" si="4"/>
        <v>0</v>
      </c>
      <c r="F302" s="639"/>
    </row>
    <row r="303" spans="1:6" ht="15" customHeight="1">
      <c r="A303" s="1870"/>
      <c r="B303" s="641"/>
      <c r="C303" s="1872"/>
      <c r="D303" s="1872"/>
      <c r="E303" s="643">
        <f t="shared" si="4"/>
        <v>0</v>
      </c>
      <c r="F303" s="644"/>
    </row>
    <row r="304" spans="1:6" ht="15" customHeight="1">
      <c r="A304" s="1894"/>
      <c r="B304" s="1894"/>
      <c r="C304" s="1894"/>
      <c r="D304" s="1894"/>
      <c r="E304" s="1894"/>
      <c r="F304" s="1894"/>
    </row>
    <row r="305" spans="1:6" ht="15" customHeight="1">
      <c r="A305" s="1894"/>
      <c r="B305" s="1894"/>
      <c r="C305" s="1894"/>
      <c r="D305" s="1894"/>
      <c r="E305" s="1894"/>
      <c r="F305" s="1894"/>
    </row>
    <row r="306" spans="1:6" ht="15" customHeight="1">
      <c r="A306" s="1894"/>
      <c r="B306" s="1894"/>
      <c r="C306" s="1894"/>
      <c r="D306" s="1894"/>
      <c r="E306" s="1894"/>
      <c r="F306" s="1894"/>
    </row>
    <row r="307" spans="1:6" ht="15" customHeight="1">
      <c r="A307" s="1894"/>
      <c r="B307" s="1894"/>
      <c r="C307" s="1894"/>
      <c r="D307" s="1894"/>
      <c r="E307" s="1894"/>
      <c r="F307" s="1894"/>
    </row>
    <row r="308" spans="1:6" ht="15" customHeight="1">
      <c r="A308" s="1894"/>
      <c r="B308" s="1894"/>
      <c r="C308" s="1894"/>
      <c r="D308" s="1894"/>
      <c r="E308" s="1894"/>
      <c r="F308" s="1894"/>
    </row>
    <row r="309" spans="1:6" ht="15" customHeight="1">
      <c r="A309" s="1894"/>
      <c r="B309" s="1894"/>
      <c r="C309" s="1894"/>
      <c r="D309" s="1894"/>
      <c r="E309" s="1894"/>
      <c r="F309" s="1894"/>
    </row>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G14:G15"/>
    <mergeCell ref="A6:F6"/>
    <mergeCell ref="B7:F7"/>
    <mergeCell ref="A8:A9"/>
    <mergeCell ref="B8:D8"/>
    <mergeCell ref="E8:F8"/>
    <mergeCell ref="B9:F9"/>
    <mergeCell ref="B10:F10"/>
    <mergeCell ref="D1:F1"/>
    <mergeCell ref="D2:F2"/>
    <mergeCell ref="A1:C2"/>
    <mergeCell ref="A3:C4"/>
    <mergeCell ref="A5:C5"/>
  </mergeCells>
  <phoneticPr fontId="135"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4">
    <pageSetUpPr fitToPage="1"/>
  </sheetPr>
  <dimension ref="A1:Q43"/>
  <sheetViews>
    <sheetView topLeftCell="E1" workbookViewId="0">
      <selection activeCell="G7" sqref="G7"/>
    </sheetView>
  </sheetViews>
  <sheetFormatPr defaultColWidth="8.75" defaultRowHeight="16.5"/>
  <cols>
    <col min="1" max="1" width="4.75" style="573" customWidth="1"/>
    <col min="2" max="2" width="5.75" style="573" customWidth="1"/>
    <col min="3" max="3" width="24.375" style="573" customWidth="1"/>
    <col min="4" max="4" width="12.625" style="573" customWidth="1"/>
    <col min="5" max="5" width="8.625" style="573" customWidth="1"/>
    <col min="6" max="11" width="12.625" style="573" customWidth="1"/>
    <col min="12" max="12" width="24.375" style="565" customWidth="1"/>
    <col min="13" max="16384" width="8.75" style="565"/>
  </cols>
  <sheetData>
    <row r="1" spans="1:12" ht="25.9" customHeight="1">
      <c r="A1" s="3104" t="s">
        <v>4537</v>
      </c>
      <c r="B1" s="3104"/>
      <c r="C1" s="3104"/>
      <c r="D1" s="3104"/>
      <c r="E1" s="3104"/>
      <c r="F1" s="3104"/>
      <c r="G1" s="3104"/>
      <c r="H1" s="3104"/>
      <c r="I1" s="2754" t="str">
        <f>基本情况!$F$10</f>
        <v>厦中汇税审（2018）第DS0001号</v>
      </c>
      <c r="J1" s="2754"/>
      <c r="K1" s="2754"/>
    </row>
    <row r="2" spans="1:12" s="1850" customFormat="1" ht="37.15" customHeight="1">
      <c r="A2" s="3104"/>
      <c r="B2" s="3104"/>
      <c r="C2" s="3104"/>
      <c r="D2" s="3104"/>
      <c r="E2" s="3104"/>
      <c r="F2" s="3104"/>
      <c r="G2" s="3104"/>
      <c r="H2" s="3104"/>
      <c r="I2" s="2949" t="str">
        <f>"底稿编号："&amp;开始!$H$6</f>
        <v>底稿编号：LR-04</v>
      </c>
      <c r="J2" s="2949"/>
      <c r="K2" s="2949"/>
    </row>
    <row r="3" spans="1:12" ht="21" customHeight="1">
      <c r="A3" s="3114" t="s">
        <v>4510</v>
      </c>
      <c r="B3" s="3115"/>
      <c r="C3" s="3105" t="str">
        <f>基本情况!$C$3</f>
        <v/>
      </c>
      <c r="D3" s="3106"/>
      <c r="E3" s="3106"/>
      <c r="F3" s="3107"/>
      <c r="G3" s="3116" t="s">
        <v>4407</v>
      </c>
      <c r="H3" s="3117"/>
      <c r="I3" s="1955" t="str">
        <f>基本情况!$F$19&amp;""</f>
        <v/>
      </c>
      <c r="J3" s="1956" t="s">
        <v>4511</v>
      </c>
      <c r="K3" s="1957" t="str">
        <f>TEXT(基本情况!$F$27,"yyyy-mm-dd")</f>
        <v>2018-03-16</v>
      </c>
    </row>
    <row r="4" spans="1:12" ht="21.75" customHeight="1">
      <c r="A4" s="3118" t="s">
        <v>4512</v>
      </c>
      <c r="B4" s="3119"/>
      <c r="C4" s="3108" t="str">
        <f>基本情况!$F$9</f>
        <v>2017年01月01日至2017年12月31日</v>
      </c>
      <c r="D4" s="3109"/>
      <c r="E4" s="3109"/>
      <c r="F4" s="3110"/>
      <c r="G4" s="3111" t="s">
        <v>4410</v>
      </c>
      <c r="H4" s="3112"/>
      <c r="I4" s="1958" t="str">
        <f>基本情况!$F$18&amp;""</f>
        <v/>
      </c>
      <c r="J4" s="1959" t="s">
        <v>4511</v>
      </c>
      <c r="K4" s="1960" t="str">
        <f>TEXT(基本情况!$F$28,"yyyy-mm-dd")</f>
        <v>2018-05-04</v>
      </c>
    </row>
    <row r="5" spans="1:12" ht="7.5" customHeight="1">
      <c r="A5" s="3113"/>
      <c r="B5" s="3113"/>
      <c r="C5" s="3113"/>
      <c r="D5" s="3113"/>
      <c r="E5" s="3113"/>
      <c r="F5" s="3113"/>
      <c r="G5" s="3113"/>
      <c r="H5" s="3113"/>
      <c r="I5" s="3113"/>
      <c r="J5" s="3113"/>
      <c r="K5" s="3113"/>
    </row>
    <row r="6" spans="1:12" ht="21.75" customHeight="1">
      <c r="A6" s="662" t="s">
        <v>750</v>
      </c>
      <c r="B6" s="663" t="s">
        <v>4513</v>
      </c>
      <c r="C6" s="663" t="s">
        <v>4538</v>
      </c>
      <c r="D6" s="663" t="s">
        <v>4539</v>
      </c>
      <c r="E6" s="663" t="s">
        <v>4540</v>
      </c>
      <c r="F6" s="663" t="s">
        <v>4541</v>
      </c>
      <c r="G6" s="663" t="s">
        <v>4542</v>
      </c>
      <c r="H6" s="663" t="s">
        <v>4543</v>
      </c>
      <c r="I6" s="663" t="s">
        <v>4544</v>
      </c>
      <c r="J6" s="663" t="s">
        <v>4545</v>
      </c>
      <c r="K6" s="664" t="s">
        <v>4546</v>
      </c>
    </row>
    <row r="7" spans="1:12" ht="21.75" customHeight="1">
      <c r="A7" s="3090" t="s">
        <v>4547</v>
      </c>
      <c r="B7" s="2154">
        <v>1</v>
      </c>
      <c r="C7" s="1862"/>
      <c r="D7" s="633"/>
      <c r="E7" s="633"/>
      <c r="F7" s="1306"/>
      <c r="G7" s="1946"/>
      <c r="H7" s="1946"/>
      <c r="I7" s="1947"/>
      <c r="J7" s="633"/>
      <c r="K7" s="667">
        <f>I7-J7</f>
        <v>0</v>
      </c>
      <c r="L7" s="619"/>
    </row>
    <row r="8" spans="1:12" ht="21.75" customHeight="1">
      <c r="A8" s="3090"/>
      <c r="B8" s="2155">
        <v>2</v>
      </c>
      <c r="C8" s="1861"/>
      <c r="D8" s="1871"/>
      <c r="E8" s="1871"/>
      <c r="F8" s="1317"/>
      <c r="G8" s="1948"/>
      <c r="H8" s="1948"/>
      <c r="I8" s="1949"/>
      <c r="J8" s="1871"/>
      <c r="K8" s="671">
        <f t="shared" ref="K8:K26" si="0">I8-J8</f>
        <v>0</v>
      </c>
      <c r="L8" s="565" t="s">
        <v>1724</v>
      </c>
    </row>
    <row r="9" spans="1:12" ht="21.75" customHeight="1">
      <c r="A9" s="3090"/>
      <c r="B9" s="2155">
        <v>3</v>
      </c>
      <c r="C9" s="1861"/>
      <c r="D9" s="1871"/>
      <c r="E9" s="1871"/>
      <c r="F9" s="1317"/>
      <c r="G9" s="1948"/>
      <c r="H9" s="1948"/>
      <c r="I9" s="1949"/>
      <c r="J9" s="1871"/>
      <c r="K9" s="671">
        <f t="shared" si="0"/>
        <v>0</v>
      </c>
      <c r="L9" s="601" t="s">
        <v>6080</v>
      </c>
    </row>
    <row r="10" spans="1:12" ht="21.75" customHeight="1">
      <c r="A10" s="3090"/>
      <c r="B10" s="2155">
        <v>4</v>
      </c>
      <c r="C10" s="1861"/>
      <c r="D10" s="1871"/>
      <c r="E10" s="1871"/>
      <c r="F10" s="1317"/>
      <c r="G10" s="1948"/>
      <c r="H10" s="1948"/>
      <c r="I10" s="1949"/>
      <c r="J10" s="1871"/>
      <c r="K10" s="671">
        <f t="shared" si="0"/>
        <v>0</v>
      </c>
    </row>
    <row r="11" spans="1:12" ht="21.75" customHeight="1">
      <c r="A11" s="3090"/>
      <c r="B11" s="2155">
        <v>5</v>
      </c>
      <c r="C11" s="1861"/>
      <c r="D11" s="1871"/>
      <c r="E11" s="1871"/>
      <c r="F11" s="1317"/>
      <c r="G11" s="1948"/>
      <c r="H11" s="1948"/>
      <c r="I11" s="1949"/>
      <c r="J11" s="1871"/>
      <c r="K11" s="671">
        <f t="shared" si="0"/>
        <v>0</v>
      </c>
    </row>
    <row r="12" spans="1:12" ht="21.75" customHeight="1">
      <c r="A12" s="3090"/>
      <c r="B12" s="2155">
        <v>6</v>
      </c>
      <c r="C12" s="1861"/>
      <c r="D12" s="1871"/>
      <c r="E12" s="1871"/>
      <c r="F12" s="1317"/>
      <c r="G12" s="1948"/>
      <c r="H12" s="1948"/>
      <c r="I12" s="1949"/>
      <c r="J12" s="1871"/>
      <c r="K12" s="671">
        <f t="shared" si="0"/>
        <v>0</v>
      </c>
    </row>
    <row r="13" spans="1:12" ht="21.75" customHeight="1">
      <c r="A13" s="3090"/>
      <c r="B13" s="2155">
        <v>7</v>
      </c>
      <c r="C13" s="1923"/>
      <c r="D13" s="1262"/>
      <c r="E13" s="1262"/>
      <c r="F13" s="1950"/>
      <c r="G13" s="1951"/>
      <c r="H13" s="1951"/>
      <c r="I13" s="1949"/>
      <c r="J13" s="1262"/>
      <c r="K13" s="671">
        <f t="shared" si="0"/>
        <v>0</v>
      </c>
    </row>
    <row r="14" spans="1:12" ht="21.75" customHeight="1">
      <c r="A14" s="3090"/>
      <c r="B14" s="2155">
        <v>8</v>
      </c>
      <c r="C14" s="1923"/>
      <c r="D14" s="1262"/>
      <c r="E14" s="1262"/>
      <c r="F14" s="1950"/>
      <c r="G14" s="1951"/>
      <c r="H14" s="1951"/>
      <c r="I14" s="1949"/>
      <c r="J14" s="1262"/>
      <c r="K14" s="671">
        <f t="shared" si="0"/>
        <v>0</v>
      </c>
    </row>
    <row r="15" spans="1:12" ht="21.75" customHeight="1">
      <c r="A15" s="3090"/>
      <c r="B15" s="2155">
        <v>9</v>
      </c>
      <c r="C15" s="1923"/>
      <c r="D15" s="1262"/>
      <c r="E15" s="1262"/>
      <c r="F15" s="1950"/>
      <c r="G15" s="1951"/>
      <c r="H15" s="1951"/>
      <c r="I15" s="1949"/>
      <c r="J15" s="1262"/>
      <c r="K15" s="671">
        <f t="shared" si="0"/>
        <v>0</v>
      </c>
    </row>
    <row r="16" spans="1:12" ht="21.75" customHeight="1">
      <c r="A16" s="3090"/>
      <c r="B16" s="3091" t="s">
        <v>757</v>
      </c>
      <c r="C16" s="3091"/>
      <c r="D16" s="674">
        <f>SUMIF(E7:E15,"是",D7:D15)</f>
        <v>0</v>
      </c>
      <c r="E16" s="674"/>
      <c r="F16" s="695"/>
      <c r="G16" s="674"/>
      <c r="H16" s="674"/>
      <c r="I16" s="674">
        <f>SUM(I7:I15)</f>
        <v>0</v>
      </c>
      <c r="J16" s="674">
        <f>SUM(J7:J15)</f>
        <v>0</v>
      </c>
      <c r="K16" s="675">
        <f t="shared" si="0"/>
        <v>0</v>
      </c>
    </row>
    <row r="17" spans="1:17" ht="21.75" customHeight="1">
      <c r="A17" s="3092" t="s">
        <v>4548</v>
      </c>
      <c r="B17" s="2156">
        <v>1</v>
      </c>
      <c r="C17" s="1925"/>
      <c r="D17" s="1927"/>
      <c r="E17" s="1927"/>
      <c r="F17" s="1952"/>
      <c r="G17" s="1953"/>
      <c r="H17" s="1953"/>
      <c r="I17" s="1758"/>
      <c r="J17" s="652"/>
      <c r="K17" s="677">
        <f t="shared" si="0"/>
        <v>0</v>
      </c>
    </row>
    <row r="18" spans="1:17" ht="21.75" customHeight="1">
      <c r="A18" s="3092"/>
      <c r="B18" s="2155">
        <v>2</v>
      </c>
      <c r="C18" s="1861"/>
      <c r="D18" s="1928"/>
      <c r="E18" s="1928"/>
      <c r="F18" s="1317"/>
      <c r="G18" s="1954"/>
      <c r="H18" s="1954"/>
      <c r="I18" s="1864"/>
      <c r="J18" s="1871"/>
      <c r="K18" s="671">
        <f t="shared" si="0"/>
        <v>0</v>
      </c>
    </row>
    <row r="19" spans="1:17" ht="21.75" customHeight="1">
      <c r="A19" s="3092"/>
      <c r="B19" s="2155">
        <v>3</v>
      </c>
      <c r="C19" s="1861"/>
      <c r="D19" s="1928"/>
      <c r="E19" s="1928"/>
      <c r="F19" s="1317"/>
      <c r="G19" s="1954"/>
      <c r="H19" s="1954"/>
      <c r="I19" s="1864"/>
      <c r="J19" s="1871"/>
      <c r="K19" s="671">
        <f t="shared" si="0"/>
        <v>0</v>
      </c>
    </row>
    <row r="20" spans="1:17" ht="21.75" customHeight="1">
      <c r="A20" s="3092"/>
      <c r="B20" s="2155">
        <v>4</v>
      </c>
      <c r="C20" s="1861"/>
      <c r="D20" s="1928"/>
      <c r="E20" s="1928"/>
      <c r="F20" s="1317"/>
      <c r="G20" s="1954"/>
      <c r="H20" s="1954"/>
      <c r="I20" s="1864"/>
      <c r="J20" s="1871"/>
      <c r="K20" s="671">
        <f t="shared" si="0"/>
        <v>0</v>
      </c>
      <c r="L20" s="679"/>
      <c r="M20" s="680"/>
      <c r="N20" s="680"/>
      <c r="O20" s="680"/>
      <c r="P20" s="680"/>
      <c r="Q20" s="680"/>
    </row>
    <row r="21" spans="1:17" ht="21.75" customHeight="1">
      <c r="A21" s="3092"/>
      <c r="B21" s="2155">
        <v>5</v>
      </c>
      <c r="C21" s="1861"/>
      <c r="D21" s="1928"/>
      <c r="E21" s="1928"/>
      <c r="F21" s="1317"/>
      <c r="G21" s="1954"/>
      <c r="H21" s="1954"/>
      <c r="I21" s="1864"/>
      <c r="J21" s="1871"/>
      <c r="K21" s="671">
        <f t="shared" si="0"/>
        <v>0</v>
      </c>
    </row>
    <row r="22" spans="1:17" ht="21.75" customHeight="1">
      <c r="A22" s="3092"/>
      <c r="B22" s="2155">
        <v>6</v>
      </c>
      <c r="C22" s="1861"/>
      <c r="D22" s="1871"/>
      <c r="E22" s="1871"/>
      <c r="F22" s="1317"/>
      <c r="G22" s="1948"/>
      <c r="H22" s="1948"/>
      <c r="I22" s="1864"/>
      <c r="J22" s="1871"/>
      <c r="K22" s="671">
        <f t="shared" si="0"/>
        <v>0</v>
      </c>
    </row>
    <row r="23" spans="1:17" ht="21.75" customHeight="1">
      <c r="A23" s="3092"/>
      <c r="B23" s="2155">
        <v>7</v>
      </c>
      <c r="C23" s="1923"/>
      <c r="D23" s="1262"/>
      <c r="E23" s="1262"/>
      <c r="F23" s="1950"/>
      <c r="G23" s="1951"/>
      <c r="H23" s="1951"/>
      <c r="I23" s="1864"/>
      <c r="J23" s="1262"/>
      <c r="K23" s="671">
        <f t="shared" si="0"/>
        <v>0</v>
      </c>
    </row>
    <row r="24" spans="1:17" ht="21.75" customHeight="1">
      <c r="A24" s="3092"/>
      <c r="B24" s="2155">
        <v>8</v>
      </c>
      <c r="C24" s="1923"/>
      <c r="D24" s="1262"/>
      <c r="E24" s="1262"/>
      <c r="F24" s="1950"/>
      <c r="G24" s="1951"/>
      <c r="H24" s="1951"/>
      <c r="I24" s="1864"/>
      <c r="J24" s="1262"/>
      <c r="K24" s="671">
        <f t="shared" si="0"/>
        <v>0</v>
      </c>
    </row>
    <row r="25" spans="1:17" ht="21.75" customHeight="1">
      <c r="A25" s="3092"/>
      <c r="B25" s="2155">
        <v>9</v>
      </c>
      <c r="C25" s="1923"/>
      <c r="D25" s="1262"/>
      <c r="E25" s="1262"/>
      <c r="F25" s="1950"/>
      <c r="G25" s="1951"/>
      <c r="H25" s="1951"/>
      <c r="I25" s="1864"/>
      <c r="J25" s="1262"/>
      <c r="K25" s="671">
        <f t="shared" si="0"/>
        <v>0</v>
      </c>
    </row>
    <row r="26" spans="1:17" ht="21.75" customHeight="1">
      <c r="A26" s="3092"/>
      <c r="B26" s="3091" t="s">
        <v>757</v>
      </c>
      <c r="C26" s="3091"/>
      <c r="D26" s="674">
        <f>SUMIF(E17:E25,"是",D17:D25)</f>
        <v>0</v>
      </c>
      <c r="E26" s="674"/>
      <c r="F26" s="695"/>
      <c r="G26" s="674"/>
      <c r="H26" s="674"/>
      <c r="I26" s="674">
        <f>SUM(I17:I25)</f>
        <v>0</v>
      </c>
      <c r="J26" s="674">
        <f>SUM(J17:J25)</f>
        <v>0</v>
      </c>
      <c r="K26" s="675">
        <f t="shared" si="0"/>
        <v>0</v>
      </c>
    </row>
    <row r="27" spans="1:17" ht="21" customHeight="1">
      <c r="A27" s="3076" t="s">
        <v>4430</v>
      </c>
      <c r="B27" s="3076"/>
      <c r="C27" s="3077" t="str">
        <f>IF($D$16&lt;&gt;资产负债表!$G$6,"短期借款账载数与报表数相差"&amp;DOLLAR($D$16-资产负债表!$G$6,2)&amp;"元！","短期借款账载数与报表数相符！")</f>
        <v>短期借款账载数与报表数相符！</v>
      </c>
      <c r="D27" s="3077"/>
      <c r="E27" s="3077"/>
      <c r="F27" s="3077"/>
      <c r="G27" s="3077"/>
      <c r="H27" s="3078" t="str">
        <f>IF($D$26&lt;&gt;资产负债表!$G$18,"长期借款账载数与报表数相差"&amp;DOLLAR($D$26-资产负债表!$G$18,2)&amp;"元！","长期借款账载数与报表数相符！")</f>
        <v>长期借款账载数与报表数相符！</v>
      </c>
      <c r="I27" s="3078"/>
      <c r="J27" s="3078"/>
      <c r="K27" s="3078"/>
    </row>
    <row r="28" spans="1:17" ht="15" customHeight="1">
      <c r="A28" s="3081" t="s">
        <v>4431</v>
      </c>
      <c r="B28" s="3081"/>
      <c r="C28" s="681" t="s">
        <v>4474</v>
      </c>
      <c r="D28" s="3082" t="str">
        <f>IF(AND(K16=0,K26=0,D16=资产负债表!$G$6,D26=资产负债表!$G$18),"","、E")</f>
        <v/>
      </c>
      <c r="E28" s="3082"/>
      <c r="F28" s="3082"/>
      <c r="G28" s="3082"/>
      <c r="H28" s="3082"/>
      <c r="I28" s="3082"/>
      <c r="J28" s="3082"/>
      <c r="K28" s="3082"/>
      <c r="L28" s="679"/>
      <c r="M28" s="682"/>
      <c r="N28" s="682"/>
      <c r="O28" s="682"/>
      <c r="P28" s="682"/>
      <c r="Q28" s="682"/>
    </row>
    <row r="29" spans="1:17" ht="46.5" customHeight="1">
      <c r="A29" s="3081"/>
      <c r="B29" s="3081"/>
      <c r="C29" s="3073"/>
      <c r="D29" s="3073"/>
      <c r="E29" s="3073"/>
      <c r="F29" s="3073"/>
      <c r="G29" s="3073"/>
      <c r="H29" s="3073"/>
      <c r="I29" s="3073"/>
      <c r="J29" s="3073"/>
      <c r="K29" s="3073"/>
    </row>
    <row r="30" spans="1:17" ht="21" customHeight="1">
      <c r="A30" s="3074" t="s">
        <v>4433</v>
      </c>
      <c r="B30" s="3074"/>
      <c r="C30" s="3075" t="str">
        <f>IF(AND(K16=0,K26=0,D16=资产负债表!$G$6,D26=资产负债表!$G$18),"不存在调整事项，认可！","调整后认可！")</f>
        <v>不存在调整事项，认可！</v>
      </c>
      <c r="D30" s="3075"/>
      <c r="E30" s="3075"/>
      <c r="F30" s="3075"/>
      <c r="G30" s="3075"/>
      <c r="H30" s="3075"/>
      <c r="I30" s="3075"/>
      <c r="J30" s="3075"/>
      <c r="K30" s="3075"/>
    </row>
    <row r="31" spans="1:17" ht="13.5" customHeight="1"/>
    <row r="32" spans="1:17" ht="21" customHeight="1"/>
    <row r="33" spans="12:17" ht="21" customHeight="1"/>
    <row r="34" spans="12:17" ht="21" customHeight="1"/>
    <row r="35" spans="12:17" ht="21" customHeight="1"/>
    <row r="36" spans="12:17" ht="21" customHeight="1"/>
    <row r="37" spans="12:17" ht="21" customHeight="1"/>
    <row r="38" spans="12:17" ht="21" customHeight="1"/>
    <row r="39" spans="12:17" ht="21" customHeight="1"/>
    <row r="40" spans="12:17" s="573" customFormat="1" ht="21" customHeight="1">
      <c r="L40" s="565"/>
      <c r="M40" s="565"/>
      <c r="N40" s="565"/>
      <c r="O40" s="565"/>
      <c r="P40" s="565"/>
      <c r="Q40" s="565"/>
    </row>
    <row r="41" spans="12:17" s="573" customFormat="1" ht="21" customHeight="1">
      <c r="L41" s="565"/>
      <c r="M41" s="565"/>
      <c r="N41" s="565"/>
      <c r="O41" s="565"/>
      <c r="P41" s="565"/>
      <c r="Q41" s="565"/>
    </row>
    <row r="42" spans="12:17" s="573" customFormat="1" ht="21" customHeight="1">
      <c r="L42" s="565"/>
      <c r="M42" s="565"/>
      <c r="N42" s="565"/>
      <c r="O42" s="565"/>
      <c r="P42" s="565"/>
      <c r="Q42" s="565"/>
    </row>
    <row r="43" spans="12:17" s="573" customFormat="1" ht="21" customHeight="1">
      <c r="L43" s="565"/>
      <c r="M43" s="565"/>
      <c r="N43" s="565"/>
      <c r="O43" s="565"/>
      <c r="P43" s="565"/>
      <c r="Q43" s="565"/>
    </row>
  </sheetData>
  <sheetProtection formatCells="0" selectLockedCells="1"/>
  <mergeCells count="22">
    <mergeCell ref="A5:K5"/>
    <mergeCell ref="A3:B3"/>
    <mergeCell ref="G3:H3"/>
    <mergeCell ref="A7:A16"/>
    <mergeCell ref="B16:C16"/>
    <mergeCell ref="A4:B4"/>
    <mergeCell ref="I1:K1"/>
    <mergeCell ref="I2:K2"/>
    <mergeCell ref="A1:H2"/>
    <mergeCell ref="C3:F3"/>
    <mergeCell ref="C4:F4"/>
    <mergeCell ref="G4:H4"/>
    <mergeCell ref="B26:C26"/>
    <mergeCell ref="A28:B29"/>
    <mergeCell ref="D28:K28"/>
    <mergeCell ref="C29:K29"/>
    <mergeCell ref="A30:B30"/>
    <mergeCell ref="C30:K30"/>
    <mergeCell ref="A27:B27"/>
    <mergeCell ref="C27:G27"/>
    <mergeCell ref="H27:K27"/>
    <mergeCell ref="A17:A26"/>
  </mergeCells>
  <phoneticPr fontId="135" type="noConversion"/>
  <dataValidations count="2">
    <dataValidation type="list" allowBlank="1" showInputMessage="1" showErrorMessage="1" sqref="E7:E15 E17:E25">
      <formula1>"是,否"</formula1>
    </dataValidation>
    <dataValidation allowBlank="1" showErrorMessage="1" promptTitle="存在调整事项时" prompt="_x000a_选择 “E”" sqref="D28:K28">
      <formula1>0</formula1>
      <formula2>0</formula2>
    </dataValidation>
  </dataValidations>
  <hyperlinks>
    <hyperlink ref="L9" location="资产负债表!A1" display="资产负债表"/>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4"/>
  <dimension ref="A1:BP37"/>
  <sheetViews>
    <sheetView workbookViewId="0">
      <selection activeCell="F3" sqref="F3"/>
    </sheetView>
  </sheetViews>
  <sheetFormatPr defaultColWidth="9" defaultRowHeight="14.25"/>
  <cols>
    <col min="1" max="1" width="3" style="1894" customWidth="1"/>
    <col min="2" max="2" width="17.5" style="774" customWidth="1"/>
    <col min="3" max="8" width="11" style="774" customWidth="1"/>
    <col min="9" max="9" width="52.75" style="1894" customWidth="1"/>
    <col min="10" max="16384" width="9" style="1894"/>
  </cols>
  <sheetData>
    <row r="1" spans="1:68" ht="25.9" customHeight="1">
      <c r="A1" s="3129" t="s">
        <v>6083</v>
      </c>
      <c r="B1" s="3130"/>
      <c r="C1" s="3130"/>
      <c r="D1" s="3130"/>
      <c r="E1" s="3130"/>
      <c r="F1" s="2754" t="str">
        <f>基本情况!$F$10</f>
        <v>厦中汇税审（2018）第DS0001号</v>
      </c>
      <c r="G1" s="2754"/>
      <c r="H1" s="2754"/>
    </row>
    <row r="2" spans="1:68" ht="37.15" customHeight="1">
      <c r="A2" s="3131"/>
      <c r="B2" s="3131"/>
      <c r="C2" s="3131"/>
      <c r="D2" s="3131"/>
      <c r="E2" s="3131"/>
      <c r="F2" s="2949" t="str">
        <f>"底稿编号："&amp;开始!H7</f>
        <v>底稿编号：LR-05</v>
      </c>
      <c r="G2" s="2949"/>
      <c r="H2" s="2949"/>
    </row>
    <row r="3" spans="1:68" s="1931" customFormat="1" ht="20.100000000000001" customHeight="1">
      <c r="A3" s="3120" t="str">
        <f>"委托单位："&amp;基本情况!$C$3</f>
        <v>委托单位：</v>
      </c>
      <c r="B3" s="3121"/>
      <c r="C3" s="3121"/>
      <c r="D3" s="3121"/>
      <c r="E3" s="3122"/>
      <c r="F3" s="1912"/>
      <c r="G3" s="1912" t="s">
        <v>4472</v>
      </c>
      <c r="H3" s="1913" t="s">
        <v>4473</v>
      </c>
      <c r="I3" s="1961"/>
    </row>
    <row r="4" spans="1:68" s="1931" customFormat="1" ht="20.100000000000001" customHeight="1">
      <c r="A4" s="3123"/>
      <c r="B4" s="3124"/>
      <c r="C4" s="3124"/>
      <c r="D4" s="3124"/>
      <c r="E4" s="3125"/>
      <c r="F4" s="1427" t="s">
        <v>4407</v>
      </c>
      <c r="G4" s="1914" t="str">
        <f>基本情况!$F$19&amp;""</f>
        <v/>
      </c>
      <c r="H4" s="1908" t="str">
        <f>TEXT(基本情况!$F$27,"yyyy-mm-dd")</f>
        <v>2018-03-16</v>
      </c>
      <c r="I4" s="1929"/>
    </row>
    <row r="5" spans="1:68" s="1931" customFormat="1" ht="20.100000000000001" customHeight="1">
      <c r="A5" s="3057" t="str">
        <f>"会计期间："&amp;基本情况!$F$9</f>
        <v>会计期间：2017年01月01日至2017年12月31日</v>
      </c>
      <c r="B5" s="3058"/>
      <c r="C5" s="3058"/>
      <c r="D5" s="3058"/>
      <c r="E5" s="3059"/>
      <c r="F5" s="1915" t="s">
        <v>4410</v>
      </c>
      <c r="G5" s="1909" t="str">
        <f>基本情况!$F$18&amp;""</f>
        <v/>
      </c>
      <c r="H5" s="1910" t="str">
        <f>TEXT(基本情况!$F$28,"yyyy-mm-dd")</f>
        <v>2018-05-04</v>
      </c>
      <c r="I5" s="1929"/>
    </row>
    <row r="6" spans="1:68" s="1962" customFormat="1" ht="6" customHeight="1">
      <c r="A6" s="3055"/>
      <c r="B6" s="3055"/>
      <c r="C6" s="3055"/>
      <c r="D6" s="3055"/>
      <c r="E6" s="3055"/>
      <c r="F6" s="3055"/>
      <c r="G6" s="3055"/>
      <c r="H6" s="3055"/>
      <c r="I6" s="1916"/>
    </row>
    <row r="7" spans="1:68" s="1929" customFormat="1" ht="24" customHeight="1">
      <c r="A7" s="3068" t="s">
        <v>750</v>
      </c>
      <c r="B7" s="3068"/>
      <c r="C7" s="1963" t="s">
        <v>4475</v>
      </c>
      <c r="D7" s="1963" t="s">
        <v>4476</v>
      </c>
      <c r="E7" s="1963" t="s">
        <v>4477</v>
      </c>
      <c r="F7" s="1963" t="s">
        <v>4528</v>
      </c>
      <c r="G7" s="1963" t="s">
        <v>4549</v>
      </c>
      <c r="H7" s="1874" t="s">
        <v>4529</v>
      </c>
      <c r="I7" s="841" t="s">
        <v>1724</v>
      </c>
      <c r="J7" s="1932"/>
      <c r="K7" s="1931"/>
      <c r="L7" s="1931"/>
      <c r="M7" s="1931"/>
      <c r="N7" s="1931"/>
      <c r="O7" s="1931"/>
      <c r="P7" s="1931"/>
      <c r="Q7" s="1931"/>
      <c r="R7" s="1931"/>
      <c r="S7" s="1931"/>
      <c r="T7" s="1931"/>
      <c r="U7" s="1931"/>
      <c r="V7" s="1931"/>
      <c r="W7" s="1931"/>
      <c r="X7" s="1931"/>
      <c r="Y7" s="1931"/>
      <c r="Z7" s="1931"/>
      <c r="AA7" s="1931"/>
      <c r="AB7" s="1931"/>
      <c r="AC7" s="1931"/>
      <c r="AD7" s="1931"/>
      <c r="AE7" s="1931"/>
      <c r="AF7" s="1931"/>
      <c r="AG7" s="1931"/>
      <c r="AH7" s="1931"/>
      <c r="AI7" s="1931"/>
      <c r="AJ7" s="1931"/>
      <c r="AK7" s="1931"/>
      <c r="AL7" s="1931"/>
      <c r="AM7" s="1931"/>
      <c r="AN7" s="1931"/>
      <c r="AO7" s="1931"/>
      <c r="AP7" s="1931"/>
      <c r="AQ7" s="1931"/>
      <c r="AR7" s="1931"/>
      <c r="AS7" s="1931"/>
      <c r="AT7" s="1931"/>
      <c r="AU7" s="1931"/>
      <c r="AV7" s="1931"/>
      <c r="AW7" s="1931"/>
      <c r="AX7" s="1931"/>
      <c r="AY7" s="1931"/>
      <c r="AZ7" s="1931"/>
      <c r="BA7" s="1931"/>
      <c r="BB7" s="1931"/>
      <c r="BC7" s="1931"/>
      <c r="BD7" s="1931"/>
      <c r="BE7" s="1931"/>
      <c r="BF7" s="1931"/>
      <c r="BG7" s="1931"/>
      <c r="BH7" s="1931"/>
      <c r="BI7" s="1931"/>
      <c r="BJ7" s="1931"/>
      <c r="BK7" s="1931"/>
      <c r="BL7" s="1931"/>
      <c r="BM7" s="1931"/>
      <c r="BN7" s="1931"/>
      <c r="BO7" s="1931"/>
      <c r="BP7" s="1931"/>
    </row>
    <row r="8" spans="1:68" s="1929" customFormat="1" ht="24" customHeight="1">
      <c r="A8" s="3126" t="s">
        <v>1743</v>
      </c>
      <c r="B8" s="696"/>
      <c r="C8" s="697"/>
      <c r="D8" s="697"/>
      <c r="E8" s="697"/>
      <c r="F8" s="698">
        <f>C8+D8-E8</f>
        <v>0</v>
      </c>
      <c r="G8" s="697"/>
      <c r="H8" s="699">
        <f t="shared" ref="H8:H18" si="0">F8+G8</f>
        <v>0</v>
      </c>
      <c r="I8" s="601" t="s">
        <v>1711</v>
      </c>
      <c r="J8" s="1932"/>
      <c r="K8" s="1931"/>
      <c r="L8" s="1931"/>
      <c r="M8" s="1931"/>
      <c r="N8" s="1931"/>
      <c r="O8" s="1931"/>
      <c r="P8" s="1931"/>
      <c r="Q8" s="1931"/>
      <c r="R8" s="1931"/>
      <c r="S8" s="1931"/>
      <c r="T8" s="1931"/>
      <c r="U8" s="1931"/>
      <c r="V8" s="1931"/>
      <c r="W8" s="1931"/>
      <c r="X8" s="1931"/>
      <c r="Y8" s="1931"/>
      <c r="Z8" s="1931"/>
      <c r="AA8" s="1931"/>
      <c r="AB8" s="1931"/>
      <c r="AC8" s="1931"/>
      <c r="AD8" s="1931"/>
      <c r="AE8" s="1931"/>
      <c r="AF8" s="1931"/>
      <c r="AG8" s="1931"/>
      <c r="AH8" s="1931"/>
      <c r="AI8" s="1931"/>
      <c r="AJ8" s="1931"/>
      <c r="AK8" s="1931"/>
      <c r="AL8" s="1931"/>
      <c r="AM8" s="1931"/>
      <c r="AN8" s="1931"/>
      <c r="AO8" s="1931"/>
      <c r="AP8" s="1931"/>
      <c r="AQ8" s="1931"/>
      <c r="AR8" s="1931"/>
      <c r="AS8" s="1931"/>
      <c r="AT8" s="1931"/>
      <c r="AU8" s="1931"/>
      <c r="AV8" s="1931"/>
      <c r="AW8" s="1931"/>
      <c r="AX8" s="1931"/>
      <c r="AY8" s="1931"/>
      <c r="AZ8" s="1931"/>
      <c r="BA8" s="1931"/>
      <c r="BB8" s="1931"/>
      <c r="BC8" s="1931"/>
      <c r="BD8" s="1931"/>
      <c r="BE8" s="1931"/>
      <c r="BF8" s="1931"/>
      <c r="BG8" s="1931"/>
      <c r="BH8" s="1931"/>
      <c r="BI8" s="1931"/>
      <c r="BJ8" s="1931"/>
      <c r="BK8" s="1931"/>
      <c r="BL8" s="1931"/>
      <c r="BM8" s="1931"/>
      <c r="BN8" s="1931"/>
      <c r="BO8" s="1931"/>
      <c r="BP8" s="1931"/>
    </row>
    <row r="9" spans="1:68" s="1929" customFormat="1" ht="24" customHeight="1">
      <c r="A9" s="3126"/>
      <c r="B9" s="1869"/>
      <c r="C9" s="701"/>
      <c r="D9" s="701"/>
      <c r="E9" s="701"/>
      <c r="F9" s="702">
        <f t="shared" ref="F9:F29" si="1">C9+D9-E9</f>
        <v>0</v>
      </c>
      <c r="G9" s="701"/>
      <c r="H9" s="1867">
        <f t="shared" si="0"/>
        <v>0</v>
      </c>
      <c r="I9" s="601" t="s">
        <v>4534</v>
      </c>
      <c r="J9" s="1932"/>
      <c r="K9" s="1931"/>
      <c r="L9" s="1931"/>
      <c r="M9" s="1931"/>
      <c r="N9" s="1931"/>
      <c r="O9" s="1931"/>
      <c r="P9" s="1931"/>
      <c r="Q9" s="1931"/>
      <c r="R9" s="1931"/>
      <c r="S9" s="1931"/>
      <c r="T9" s="1931"/>
      <c r="U9" s="1931"/>
      <c r="V9" s="1931"/>
      <c r="W9" s="1931"/>
      <c r="X9" s="1931"/>
      <c r="Y9" s="1931"/>
      <c r="Z9" s="1931"/>
      <c r="AA9" s="1931"/>
      <c r="AB9" s="1931"/>
      <c r="AC9" s="1931"/>
      <c r="AD9" s="1931"/>
      <c r="AE9" s="1931"/>
      <c r="AF9" s="1931"/>
      <c r="AG9" s="1931"/>
      <c r="AH9" s="1931"/>
      <c r="AI9" s="1931"/>
      <c r="AJ9" s="1931"/>
      <c r="AK9" s="1931"/>
      <c r="AL9" s="1931"/>
      <c r="AM9" s="1931"/>
      <c r="AN9" s="1931"/>
      <c r="AO9" s="1931"/>
      <c r="AP9" s="1931"/>
      <c r="AQ9" s="1931"/>
      <c r="AR9" s="1931"/>
      <c r="AS9" s="1931"/>
      <c r="AT9" s="1931"/>
      <c r="AU9" s="1931"/>
      <c r="AV9" s="1931"/>
      <c r="AW9" s="1931"/>
      <c r="AX9" s="1931"/>
      <c r="AY9" s="1931"/>
      <c r="AZ9" s="1931"/>
      <c r="BA9" s="1931"/>
      <c r="BB9" s="1931"/>
      <c r="BC9" s="1931"/>
      <c r="BD9" s="1931"/>
      <c r="BE9" s="1931"/>
      <c r="BF9" s="1931"/>
      <c r="BG9" s="1931"/>
      <c r="BH9" s="1931"/>
      <c r="BI9" s="1931"/>
      <c r="BJ9" s="1931"/>
      <c r="BK9" s="1931"/>
      <c r="BL9" s="1931"/>
      <c r="BM9" s="1931"/>
      <c r="BN9" s="1931"/>
      <c r="BO9" s="1931"/>
      <c r="BP9" s="1931"/>
    </row>
    <row r="10" spans="1:68" s="1929" customFormat="1" ht="24" customHeight="1">
      <c r="A10" s="3126"/>
      <c r="B10" s="1869"/>
      <c r="C10" s="701"/>
      <c r="D10" s="701"/>
      <c r="E10" s="701"/>
      <c r="F10" s="702">
        <f t="shared" si="1"/>
        <v>0</v>
      </c>
      <c r="G10" s="701"/>
      <c r="H10" s="1867">
        <f t="shared" si="0"/>
        <v>0</v>
      </c>
      <c r="I10" s="601" t="s">
        <v>4550</v>
      </c>
      <c r="J10" s="1932"/>
      <c r="K10" s="1931"/>
      <c r="L10" s="1931"/>
      <c r="M10" s="1931"/>
      <c r="N10" s="1931"/>
      <c r="O10" s="1931"/>
      <c r="P10" s="1931"/>
      <c r="Q10" s="1931"/>
      <c r="R10" s="1931"/>
      <c r="S10" s="1931"/>
      <c r="T10" s="1931"/>
      <c r="U10" s="1931"/>
      <c r="V10" s="1931"/>
      <c r="W10" s="1931"/>
      <c r="X10" s="1931"/>
      <c r="Y10" s="1931"/>
      <c r="Z10" s="1931"/>
      <c r="AA10" s="1931"/>
      <c r="AB10" s="1931"/>
      <c r="AC10" s="1931"/>
      <c r="AD10" s="1931"/>
      <c r="AE10" s="1931"/>
      <c r="AF10" s="1931"/>
      <c r="AG10" s="1931"/>
      <c r="AH10" s="1931"/>
      <c r="AI10" s="1931"/>
      <c r="AJ10" s="1931"/>
      <c r="AK10" s="1931"/>
      <c r="AL10" s="1931"/>
      <c r="AM10" s="1931"/>
      <c r="AN10" s="1931"/>
      <c r="AO10" s="1931"/>
      <c r="AP10" s="1931"/>
      <c r="AQ10" s="1931"/>
      <c r="AR10" s="1931"/>
      <c r="AS10" s="1931"/>
      <c r="AT10" s="1931"/>
      <c r="AU10" s="1931"/>
      <c r="AV10" s="1931"/>
      <c r="AW10" s="1931"/>
      <c r="AX10" s="1931"/>
      <c r="AY10" s="1931"/>
      <c r="AZ10" s="1931"/>
      <c r="BA10" s="1931"/>
      <c r="BB10" s="1931"/>
      <c r="BC10" s="1931"/>
      <c r="BD10" s="1931"/>
      <c r="BE10" s="1931"/>
      <c r="BF10" s="1931"/>
      <c r="BG10" s="1931"/>
      <c r="BH10" s="1931"/>
      <c r="BI10" s="1931"/>
      <c r="BJ10" s="1931"/>
      <c r="BK10" s="1931"/>
      <c r="BL10" s="1931"/>
      <c r="BM10" s="1931"/>
      <c r="BN10" s="1931"/>
      <c r="BO10" s="1931"/>
      <c r="BP10" s="1931"/>
    </row>
    <row r="11" spans="1:68" s="1929" customFormat="1" ht="24" customHeight="1">
      <c r="A11" s="3126"/>
      <c r="B11" s="1869"/>
      <c r="C11" s="701"/>
      <c r="D11" s="701"/>
      <c r="E11" s="701"/>
      <c r="F11" s="702">
        <f t="shared" si="1"/>
        <v>0</v>
      </c>
      <c r="G11" s="701"/>
      <c r="H11" s="1867">
        <f t="shared" si="0"/>
        <v>0</v>
      </c>
      <c r="I11" s="704" t="s">
        <v>4551</v>
      </c>
    </row>
    <row r="12" spans="1:68" s="1929" customFormat="1" ht="24" customHeight="1">
      <c r="A12" s="3126"/>
      <c r="B12" s="1869"/>
      <c r="C12" s="701"/>
      <c r="D12" s="701"/>
      <c r="E12" s="701"/>
      <c r="F12" s="702">
        <f t="shared" si="1"/>
        <v>0</v>
      </c>
      <c r="G12" s="701"/>
      <c r="H12" s="1867">
        <f t="shared" si="0"/>
        <v>0</v>
      </c>
      <c r="I12" s="704" t="s">
        <v>4552</v>
      </c>
    </row>
    <row r="13" spans="1:68" s="1929" customFormat="1" ht="24" customHeight="1">
      <c r="A13" s="3126"/>
      <c r="B13" s="705"/>
      <c r="C13" s="706"/>
      <c r="D13" s="706"/>
      <c r="E13" s="706"/>
      <c r="F13" s="702">
        <f t="shared" si="1"/>
        <v>0</v>
      </c>
      <c r="G13" s="706"/>
      <c r="H13" s="2153">
        <f t="shared" si="0"/>
        <v>0</v>
      </c>
      <c r="I13" s="704"/>
    </row>
    <row r="14" spans="1:68" s="1929" customFormat="1" ht="24" customHeight="1">
      <c r="A14" s="3126"/>
      <c r="B14" s="705"/>
      <c r="C14" s="706"/>
      <c r="D14" s="706"/>
      <c r="E14" s="706"/>
      <c r="F14" s="702">
        <f t="shared" si="1"/>
        <v>0</v>
      </c>
      <c r="G14" s="706"/>
      <c r="H14" s="2153">
        <f t="shared" si="0"/>
        <v>0</v>
      </c>
      <c r="I14" s="704"/>
    </row>
    <row r="15" spans="1:68" s="1929" customFormat="1" ht="24" customHeight="1">
      <c r="A15" s="3126"/>
      <c r="B15" s="705"/>
      <c r="C15" s="706"/>
      <c r="D15" s="706"/>
      <c r="E15" s="706"/>
      <c r="F15" s="702">
        <f t="shared" si="1"/>
        <v>0</v>
      </c>
      <c r="G15" s="706"/>
      <c r="H15" s="2153">
        <f t="shared" si="0"/>
        <v>0</v>
      </c>
      <c r="I15" s="704"/>
    </row>
    <row r="16" spans="1:68" s="1929" customFormat="1" ht="24" customHeight="1">
      <c r="A16" s="3126"/>
      <c r="B16" s="705"/>
      <c r="C16" s="706"/>
      <c r="D16" s="706"/>
      <c r="E16" s="706"/>
      <c r="F16" s="702">
        <f t="shared" si="1"/>
        <v>0</v>
      </c>
      <c r="G16" s="706"/>
      <c r="H16" s="2153">
        <f t="shared" si="0"/>
        <v>0</v>
      </c>
      <c r="I16" s="704"/>
    </row>
    <row r="17" spans="1:10" s="1929" customFormat="1" ht="24" customHeight="1">
      <c r="A17" s="3126"/>
      <c r="B17" s="705"/>
      <c r="C17" s="706"/>
      <c r="D17" s="706"/>
      <c r="E17" s="706"/>
      <c r="F17" s="702">
        <f t="shared" si="1"/>
        <v>0</v>
      </c>
      <c r="G17" s="706"/>
      <c r="H17" s="2153">
        <f t="shared" si="0"/>
        <v>0</v>
      </c>
      <c r="I17" s="704"/>
    </row>
    <row r="18" spans="1:10" s="1929" customFormat="1" ht="24" customHeight="1">
      <c r="A18" s="3126"/>
      <c r="B18" s="705"/>
      <c r="C18" s="706"/>
      <c r="D18" s="706"/>
      <c r="E18" s="706"/>
      <c r="F18" s="702">
        <f t="shared" si="1"/>
        <v>0</v>
      </c>
      <c r="G18" s="706"/>
      <c r="H18" s="1867">
        <f t="shared" si="0"/>
        <v>0</v>
      </c>
      <c r="I18" s="1965"/>
    </row>
    <row r="19" spans="1:10" s="1929" customFormat="1" ht="24" customHeight="1">
      <c r="A19" s="3126"/>
      <c r="B19" s="1920" t="s">
        <v>4483</v>
      </c>
      <c r="C19" s="707">
        <f t="shared" ref="C19:H19" si="2">SUM(C8:C18)</f>
        <v>0</v>
      </c>
      <c r="D19" s="707">
        <f t="shared" si="2"/>
        <v>0</v>
      </c>
      <c r="E19" s="707">
        <f t="shared" si="2"/>
        <v>0</v>
      </c>
      <c r="F19" s="707">
        <f t="shared" si="2"/>
        <v>0</v>
      </c>
      <c r="G19" s="707">
        <f t="shared" si="2"/>
        <v>0</v>
      </c>
      <c r="H19" s="708">
        <f t="shared" si="2"/>
        <v>0</v>
      </c>
    </row>
    <row r="20" spans="1:10" s="1929" customFormat="1" ht="24" customHeight="1">
      <c r="A20" s="3139" t="s">
        <v>4266</v>
      </c>
      <c r="B20" s="709" t="s">
        <v>4553</v>
      </c>
      <c r="C20" s="710"/>
      <c r="D20" s="710"/>
      <c r="E20" s="710"/>
      <c r="F20" s="711">
        <f t="shared" si="1"/>
        <v>0</v>
      </c>
      <c r="G20" s="710"/>
      <c r="H20" s="712">
        <f>F20+G20</f>
        <v>0</v>
      </c>
      <c r="I20" s="3101" t="s">
        <v>4554</v>
      </c>
      <c r="J20" s="3101"/>
    </row>
    <row r="21" spans="1:10" s="1929" customFormat="1" ht="24" customHeight="1">
      <c r="A21" s="3139"/>
      <c r="B21" s="1869" t="s">
        <v>4555</v>
      </c>
      <c r="C21" s="701"/>
      <c r="D21" s="701"/>
      <c r="E21" s="701"/>
      <c r="F21" s="702">
        <f t="shared" si="1"/>
        <v>0</v>
      </c>
      <c r="G21" s="701"/>
      <c r="H21" s="1867">
        <f t="shared" ref="H21:H29" si="3">F21+G21</f>
        <v>0</v>
      </c>
      <c r="I21" s="3101"/>
      <c r="J21" s="3101"/>
    </row>
    <row r="22" spans="1:10" s="1929" customFormat="1" ht="24" customHeight="1">
      <c r="A22" s="3139"/>
      <c r="B22" s="1869" t="s">
        <v>4556</v>
      </c>
      <c r="C22" s="701"/>
      <c r="D22" s="701"/>
      <c r="E22" s="701"/>
      <c r="F22" s="702">
        <f t="shared" si="1"/>
        <v>0</v>
      </c>
      <c r="G22" s="701"/>
      <c r="H22" s="1867">
        <f t="shared" si="3"/>
        <v>0</v>
      </c>
      <c r="I22" s="3101"/>
      <c r="J22" s="3101"/>
    </row>
    <row r="23" spans="1:10" s="1929" customFormat="1" ht="24" customHeight="1">
      <c r="A23" s="3139"/>
      <c r="B23" s="1869"/>
      <c r="C23" s="701"/>
      <c r="D23" s="701"/>
      <c r="E23" s="701"/>
      <c r="F23" s="702">
        <f t="shared" si="1"/>
        <v>0</v>
      </c>
      <c r="G23" s="701"/>
      <c r="H23" s="1867">
        <f t="shared" si="3"/>
        <v>0</v>
      </c>
      <c r="I23" s="3101"/>
      <c r="J23" s="3101"/>
    </row>
    <row r="24" spans="1:10" s="1929" customFormat="1" ht="24.75" customHeight="1">
      <c r="A24" s="3139"/>
      <c r="B24" s="1920" t="s">
        <v>4483</v>
      </c>
      <c r="C24" s="707">
        <f t="shared" ref="C24:H24" si="4">SUM(C20:C23)</f>
        <v>0</v>
      </c>
      <c r="D24" s="707">
        <f t="shared" si="4"/>
        <v>0</v>
      </c>
      <c r="E24" s="707">
        <f t="shared" si="4"/>
        <v>0</v>
      </c>
      <c r="F24" s="707">
        <f t="shared" si="4"/>
        <v>0</v>
      </c>
      <c r="G24" s="707">
        <f t="shared" si="4"/>
        <v>0</v>
      </c>
      <c r="H24" s="708">
        <f t="shared" si="4"/>
        <v>0</v>
      </c>
      <c r="I24" s="3101"/>
      <c r="J24" s="3101"/>
    </row>
    <row r="25" spans="1:10" s="1929" customFormat="1" ht="24.75" customHeight="1">
      <c r="A25" s="3126" t="s">
        <v>4267</v>
      </c>
      <c r="B25" s="696"/>
      <c r="C25" s="697"/>
      <c r="D25" s="697"/>
      <c r="E25" s="697"/>
      <c r="F25" s="698">
        <f t="shared" si="1"/>
        <v>0</v>
      </c>
      <c r="G25" s="697"/>
      <c r="H25" s="699">
        <f t="shared" si="3"/>
        <v>0</v>
      </c>
      <c r="I25" s="1936"/>
    </row>
    <row r="26" spans="1:10" s="1929" customFormat="1" ht="24.75" customHeight="1">
      <c r="A26" s="3126"/>
      <c r="B26" s="1869"/>
      <c r="C26" s="701"/>
      <c r="D26" s="701"/>
      <c r="E26" s="701"/>
      <c r="F26" s="702">
        <f t="shared" si="1"/>
        <v>0</v>
      </c>
      <c r="G26" s="701"/>
      <c r="H26" s="1867">
        <f t="shared" si="3"/>
        <v>0</v>
      </c>
      <c r="I26" s="1936"/>
    </row>
    <row r="27" spans="1:10" s="1929" customFormat="1" ht="24.75" customHeight="1">
      <c r="A27" s="3126"/>
      <c r="B27" s="1869"/>
      <c r="C27" s="701"/>
      <c r="D27" s="701"/>
      <c r="E27" s="701"/>
      <c r="F27" s="702">
        <f t="shared" si="1"/>
        <v>0</v>
      </c>
      <c r="G27" s="701"/>
      <c r="H27" s="1867">
        <f t="shared" si="3"/>
        <v>0</v>
      </c>
      <c r="I27" s="1916"/>
    </row>
    <row r="28" spans="1:10" s="1929" customFormat="1" ht="24.75" customHeight="1">
      <c r="A28" s="3126"/>
      <c r="B28" s="1869"/>
      <c r="C28" s="701"/>
      <c r="D28" s="701"/>
      <c r="E28" s="701"/>
      <c r="F28" s="702">
        <f t="shared" si="1"/>
        <v>0</v>
      </c>
      <c r="G28" s="701"/>
      <c r="H28" s="1867">
        <f t="shared" si="3"/>
        <v>0</v>
      </c>
      <c r="I28" s="1916"/>
    </row>
    <row r="29" spans="1:10" s="1929" customFormat="1" ht="24.75" customHeight="1">
      <c r="A29" s="3126"/>
      <c r="B29" s="1869"/>
      <c r="C29" s="701"/>
      <c r="D29" s="701"/>
      <c r="E29" s="701"/>
      <c r="F29" s="702">
        <f t="shared" si="1"/>
        <v>0</v>
      </c>
      <c r="G29" s="701"/>
      <c r="H29" s="1867">
        <f t="shared" si="3"/>
        <v>0</v>
      </c>
      <c r="I29" s="1916"/>
    </row>
    <row r="30" spans="1:10" s="1929" customFormat="1" ht="24.75" customHeight="1">
      <c r="A30" s="3126"/>
      <c r="B30" s="1920" t="s">
        <v>4483</v>
      </c>
      <c r="C30" s="707">
        <f t="shared" ref="C30:H30" si="5">SUM(C25:C29)</f>
        <v>0</v>
      </c>
      <c r="D30" s="707">
        <f t="shared" si="5"/>
        <v>0</v>
      </c>
      <c r="E30" s="707">
        <f t="shared" si="5"/>
        <v>0</v>
      </c>
      <c r="F30" s="707">
        <f t="shared" si="5"/>
        <v>0</v>
      </c>
      <c r="G30" s="707">
        <f t="shared" si="5"/>
        <v>0</v>
      </c>
      <c r="H30" s="708">
        <f t="shared" si="5"/>
        <v>0</v>
      </c>
      <c r="I30" s="1916"/>
    </row>
    <row r="31" spans="1:10" s="1929" customFormat="1" ht="27.75" customHeight="1">
      <c r="A31" s="3127" t="s">
        <v>4557</v>
      </c>
      <c r="B31" s="3127"/>
      <c r="C31" s="1966" t="s">
        <v>1798</v>
      </c>
      <c r="D31" s="3128" t="s">
        <v>4558</v>
      </c>
      <c r="E31" s="3128"/>
      <c r="F31" s="714"/>
      <c r="G31" s="1967">
        <v>5.0000000000000001E-4</v>
      </c>
      <c r="H31" s="712">
        <f>ROUND(F31*G31,2)</f>
        <v>0</v>
      </c>
      <c r="I31" s="1916"/>
    </row>
    <row r="32" spans="1:10" s="1929" customFormat="1" ht="19.5" customHeight="1">
      <c r="A32" s="3133" t="s">
        <v>4430</v>
      </c>
      <c r="B32" s="3133"/>
      <c r="C32" s="3134" t="str">
        <f>IF(F19&lt;&gt;资产负债表!$G$28,"实收资本账载数与报表数相差"&amp;DOLLAR(F19-资产负债表!$G$28,2)&amp;"元！","实收资本账载数与报表数相符！")</f>
        <v>实收资本账载数与报表数相符！</v>
      </c>
      <c r="D32" s="3134"/>
      <c r="E32" s="3134"/>
      <c r="F32" s="3134"/>
      <c r="G32" s="3134"/>
      <c r="H32" s="3134"/>
      <c r="I32" s="1916"/>
    </row>
    <row r="33" spans="1:9" s="1929" customFormat="1" ht="19.5" customHeight="1">
      <c r="A33" s="3133"/>
      <c r="B33" s="3133"/>
      <c r="C33" s="3134" t="str">
        <f>IF(F24&lt;&gt;资产负债表!$G$29,"资本公积账载数与报表数相差"&amp;DOLLAR(F24-资产负债表!$G$29,2)&amp;"元！","资本公积账载数与报表数相符！")</f>
        <v>资本公积账载数与报表数相符！</v>
      </c>
      <c r="D33" s="3134"/>
      <c r="E33" s="3134"/>
      <c r="F33" s="3134"/>
      <c r="G33" s="3134"/>
      <c r="H33" s="3134"/>
      <c r="I33" s="1916"/>
    </row>
    <row r="34" spans="1:9" s="1929" customFormat="1" ht="19.5" customHeight="1">
      <c r="A34" s="3133"/>
      <c r="B34" s="3133"/>
      <c r="C34" s="3132" t="str">
        <f>IF(F30&lt;&gt;资产负债表!$G$30,"盈余公积账载数与报表数相差"&amp;DOLLAR(F30-资产负债表!$G$30,2)&amp;"元！","盈余公积账载数与报表数相符！")</f>
        <v>盈余公积账载数与报表数相符！</v>
      </c>
      <c r="D34" s="3132"/>
      <c r="E34" s="3132"/>
      <c r="F34" s="3132"/>
      <c r="G34" s="3132"/>
      <c r="H34" s="3132"/>
      <c r="I34" s="1916"/>
    </row>
    <row r="35" spans="1:9" s="1929" customFormat="1" ht="15" customHeight="1">
      <c r="A35" s="3070" t="s">
        <v>4431</v>
      </c>
      <c r="B35" s="3070"/>
      <c r="C35" s="3135" t="s">
        <v>4474</v>
      </c>
      <c r="D35" s="3135"/>
      <c r="E35" s="3136" t="str">
        <f>IF(OR(G19&lt;&gt;0,G24&lt;&gt;0,G30&lt;&gt;0),"、E","")</f>
        <v/>
      </c>
      <c r="F35" s="3136"/>
      <c r="G35" s="3136"/>
      <c r="H35" s="3136"/>
      <c r="I35" s="1916"/>
    </row>
    <row r="36" spans="1:9" s="1929" customFormat="1" ht="39" customHeight="1">
      <c r="A36" s="3070"/>
      <c r="B36" s="3070"/>
      <c r="C36" s="3137"/>
      <c r="D36" s="3138"/>
      <c r="E36" s="3138"/>
      <c r="F36" s="3138"/>
      <c r="G36" s="3138"/>
      <c r="H36" s="3138"/>
      <c r="I36" s="1916"/>
    </row>
    <row r="37" spans="1:9" s="1929" customFormat="1" ht="27.75" customHeight="1">
      <c r="A37" s="3066" t="s">
        <v>4433</v>
      </c>
      <c r="B37" s="3066"/>
      <c r="C37" s="3132" t="str">
        <f>IF(OR(G19&lt;&gt;0,G24&lt;&gt;0,G30&lt;&gt;0),"调整后认可！","不存在调整事项，认可！")</f>
        <v>不存在调整事项，认可！</v>
      </c>
      <c r="D37" s="3132"/>
      <c r="E37" s="3132"/>
      <c r="F37" s="3132"/>
      <c r="G37" s="3132"/>
      <c r="H37" s="3132"/>
      <c r="I37" s="1916"/>
    </row>
  </sheetData>
  <sheetProtection formatCells="0" selectLockedCells="1"/>
  <mergeCells count="23">
    <mergeCell ref="F1:H1"/>
    <mergeCell ref="F2:H2"/>
    <mergeCell ref="A1:E2"/>
    <mergeCell ref="A37:B37"/>
    <mergeCell ref="C37:H37"/>
    <mergeCell ref="A32:B34"/>
    <mergeCell ref="C32:H32"/>
    <mergeCell ref="C33:H33"/>
    <mergeCell ref="C34:H34"/>
    <mergeCell ref="A35:B36"/>
    <mergeCell ref="C35:D35"/>
    <mergeCell ref="E35:H35"/>
    <mergeCell ref="C36:H36"/>
    <mergeCell ref="A8:A19"/>
    <mergeCell ref="A20:A24"/>
    <mergeCell ref="A6:H6"/>
    <mergeCell ref="A3:E4"/>
    <mergeCell ref="A5:E5"/>
    <mergeCell ref="I20:J24"/>
    <mergeCell ref="A25:A30"/>
    <mergeCell ref="A31:B31"/>
    <mergeCell ref="D31:E31"/>
    <mergeCell ref="A7:B7"/>
  </mergeCells>
  <phoneticPr fontId="135" type="noConversion"/>
  <dataValidations count="3">
    <dataValidation type="list" allowBlank="1" showErrorMessage="1" sqref="C31">
      <formula1>"是,否"</formula1>
      <formula2>0</formula2>
    </dataValidation>
    <dataValidation allowBlank="1" showErrorMessage="1" promptTitle="存在调整事项时" prompt="_x000a_选择 “E”" sqref="E35:H35">
      <formula1>0</formula1>
      <formula2>0</formula2>
    </dataValidation>
    <dataValidation allowBlank="1" showErrorMessage="1" sqref="G4">
      <formula1>0</formula1>
      <formula2>0</formula2>
    </dataValidation>
  </dataValidations>
  <hyperlinks>
    <hyperlink ref="I8" location="资产负债表!A1" display="资产负债表"/>
    <hyperlink ref="I9" location="利润表!A1" display="利润及利润分配表"/>
    <hyperlink ref="I10" location="利息!A1" display="利息支出审核表"/>
    <hyperlink ref="I11" location="财务费用!A1" display="财务费用审核表"/>
    <hyperlink ref="I12" location="管理费用!A1" display="管理费用审核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5"/>
  <dimension ref="A1:I74"/>
  <sheetViews>
    <sheetView workbookViewId="0">
      <selection activeCell="E3" sqref="E3"/>
    </sheetView>
  </sheetViews>
  <sheetFormatPr defaultColWidth="9" defaultRowHeight="21.95" customHeight="1"/>
  <cols>
    <col min="1" max="1" width="6.75" style="1931" customWidth="1"/>
    <col min="2" max="2" width="14.625" style="1931" customWidth="1"/>
    <col min="3" max="3" width="14" style="1931" customWidth="1"/>
    <col min="4" max="4" width="12.75" style="1931" customWidth="1"/>
    <col min="5" max="5" width="12.25" style="1931" customWidth="1"/>
    <col min="6" max="6" width="12.5" style="1931" customWidth="1"/>
    <col min="7" max="7" width="9.25" style="1931" customWidth="1"/>
    <col min="8" max="8" width="52.5" style="1932" customWidth="1"/>
    <col min="9" max="16384" width="9" style="1932"/>
  </cols>
  <sheetData>
    <row r="1" spans="1:9" ht="25.9" customHeight="1">
      <c r="A1" s="3130" t="s">
        <v>1674</v>
      </c>
      <c r="B1" s="3130"/>
      <c r="C1" s="3130"/>
      <c r="D1" s="3130"/>
      <c r="E1" s="2754" t="str">
        <f>基本情况!$F$10</f>
        <v>厦中汇税审（2018）第DS0001号</v>
      </c>
      <c r="F1" s="2754"/>
      <c r="G1" s="2754"/>
    </row>
    <row r="2" spans="1:9" s="1938" customFormat="1" ht="37.15" customHeight="1">
      <c r="A2" s="3130"/>
      <c r="B2" s="3130"/>
      <c r="C2" s="3130"/>
      <c r="D2" s="3130"/>
      <c r="E2" s="2949" t="str">
        <f>"底稿编号："&amp;开始!H8</f>
        <v>底稿编号：LR-06</v>
      </c>
      <c r="F2" s="2949"/>
      <c r="G2" s="2949"/>
    </row>
    <row r="3" spans="1:9" s="1931" customFormat="1" ht="24.75" customHeight="1">
      <c r="A3" s="3140" t="str">
        <f>"委托单位："&amp;基本情况!$C$3</f>
        <v>委托单位：</v>
      </c>
      <c r="B3" s="3141"/>
      <c r="C3" s="3141"/>
      <c r="D3" s="3142"/>
      <c r="E3" s="1912"/>
      <c r="F3" s="1912" t="s">
        <v>4472</v>
      </c>
      <c r="G3" s="1913" t="s">
        <v>4473</v>
      </c>
    </row>
    <row r="4" spans="1:9" s="1931" customFormat="1" ht="24.75" customHeight="1">
      <c r="A4" s="3143"/>
      <c r="B4" s="3144"/>
      <c r="C4" s="3144"/>
      <c r="D4" s="3145"/>
      <c r="E4" s="1427" t="s">
        <v>4407</v>
      </c>
      <c r="F4" s="1914" t="str">
        <f>基本情况!$F$19&amp;""</f>
        <v/>
      </c>
      <c r="G4" s="1908" t="str">
        <f>TEXT(基本情况!$F$27,"yyyy-mm-dd")</f>
        <v>2018-03-16</v>
      </c>
    </row>
    <row r="5" spans="1:9" s="1931" customFormat="1" ht="24.75" customHeight="1">
      <c r="A5" s="3146" t="str">
        <f>"会计期间："&amp;基本情况!$F$9</f>
        <v>会计期间：2017年01月01日至2017年12月31日</v>
      </c>
      <c r="B5" s="3147"/>
      <c r="C5" s="3147"/>
      <c r="D5" s="3148"/>
      <c r="E5" s="1915" t="s">
        <v>4410</v>
      </c>
      <c r="F5" s="1909" t="str">
        <f>基本情况!$F$18&amp;""</f>
        <v/>
      </c>
      <c r="G5" s="1910" t="str">
        <f>TEXT(基本情况!$F$28,"yyyy-mm-dd")</f>
        <v>2018-05-04</v>
      </c>
    </row>
    <row r="6" spans="1:9" s="1931" customFormat="1" ht="7.5" customHeight="1">
      <c r="A6" s="3055"/>
      <c r="B6" s="3055"/>
      <c r="C6" s="3055"/>
      <c r="D6" s="3055"/>
      <c r="E6" s="3055"/>
      <c r="F6" s="3055"/>
      <c r="G6" s="3055"/>
    </row>
    <row r="7" spans="1:9" s="1931" customFormat="1" ht="24.75" customHeight="1">
      <c r="A7" s="3068" t="s">
        <v>4559</v>
      </c>
      <c r="B7" s="3068"/>
      <c r="C7" s="1963" t="s">
        <v>4412</v>
      </c>
      <c r="D7" s="1963" t="s">
        <v>4414</v>
      </c>
      <c r="E7" s="1963" t="s">
        <v>4529</v>
      </c>
      <c r="F7" s="3149" t="s">
        <v>4560</v>
      </c>
      <c r="G7" s="3149"/>
      <c r="H7" s="841" t="s">
        <v>1724</v>
      </c>
      <c r="I7" s="1932"/>
    </row>
    <row r="8" spans="1:9" s="1931" customFormat="1" ht="24.75" customHeight="1">
      <c r="A8" s="3150" t="s">
        <v>4561</v>
      </c>
      <c r="B8" s="3150"/>
      <c r="C8" s="718">
        <f>利润表!$C$23</f>
        <v>0</v>
      </c>
      <c r="D8" s="652"/>
      <c r="E8" s="719">
        <f>C8+D8</f>
        <v>0</v>
      </c>
      <c r="F8" s="3151"/>
      <c r="G8" s="3151"/>
      <c r="H8" s="1893" t="s">
        <v>1711</v>
      </c>
      <c r="I8" s="1932"/>
    </row>
    <row r="9" spans="1:9" s="1931" customFormat="1" ht="24.75" customHeight="1">
      <c r="A9" s="3152" t="s">
        <v>4562</v>
      </c>
      <c r="B9" s="3152"/>
      <c r="C9" s="1886">
        <f>利润表!$C$24</f>
        <v>0</v>
      </c>
      <c r="D9" s="1890"/>
      <c r="E9" s="1882">
        <f t="shared" ref="E9:E24" si="0">C9+D9</f>
        <v>0</v>
      </c>
      <c r="F9" s="3153"/>
      <c r="G9" s="3153"/>
      <c r="H9" s="1893" t="s">
        <v>4534</v>
      </c>
      <c r="I9" s="1932"/>
    </row>
    <row r="10" spans="1:9" s="1931" customFormat="1" ht="24.75" customHeight="1">
      <c r="A10" s="3152" t="s">
        <v>4563</v>
      </c>
      <c r="B10" s="3152"/>
      <c r="C10" s="1890"/>
      <c r="D10" s="1890"/>
      <c r="E10" s="1882">
        <f t="shared" si="0"/>
        <v>0</v>
      </c>
      <c r="F10" s="3153"/>
      <c r="G10" s="3153"/>
      <c r="I10" s="1932"/>
    </row>
    <row r="11" spans="1:9" s="1931" customFormat="1" ht="24.75" customHeight="1">
      <c r="A11" s="3152" t="s">
        <v>4564</v>
      </c>
      <c r="B11" s="3152"/>
      <c r="C11" s="1890"/>
      <c r="D11" s="1890"/>
      <c r="E11" s="1882">
        <f t="shared" si="0"/>
        <v>0</v>
      </c>
      <c r="F11" s="3153"/>
      <c r="G11" s="3153"/>
    </row>
    <row r="12" spans="1:9" s="1931" customFormat="1" ht="24.75" customHeight="1">
      <c r="A12" s="3152"/>
      <c r="B12" s="3152"/>
      <c r="C12" s="1890"/>
      <c r="D12" s="1890"/>
      <c r="E12" s="1882">
        <f t="shared" si="0"/>
        <v>0</v>
      </c>
      <c r="F12" s="3153"/>
      <c r="G12" s="3153"/>
    </row>
    <row r="13" spans="1:9" s="1931" customFormat="1" ht="24.75" customHeight="1">
      <c r="A13" s="3152" t="s">
        <v>4565</v>
      </c>
      <c r="B13" s="3152"/>
      <c r="C13" s="1882">
        <f>C8+SUM(C9:C12)</f>
        <v>0</v>
      </c>
      <c r="D13" s="1882">
        <f>D8+SUM(D9:D12)</f>
        <v>0</v>
      </c>
      <c r="E13" s="1882">
        <f t="shared" si="0"/>
        <v>0</v>
      </c>
      <c r="F13" s="3153"/>
      <c r="G13" s="3153"/>
    </row>
    <row r="14" spans="1:9" s="1931" customFormat="1" ht="24.75" customHeight="1">
      <c r="A14" s="3152" t="s">
        <v>4566</v>
      </c>
      <c r="B14" s="3152"/>
      <c r="C14" s="1890"/>
      <c r="D14" s="1890"/>
      <c r="E14" s="1882">
        <f t="shared" si="0"/>
        <v>0</v>
      </c>
      <c r="F14" s="3153"/>
      <c r="G14" s="3153"/>
    </row>
    <row r="15" spans="1:9" s="1931" customFormat="1" ht="24.75" customHeight="1">
      <c r="A15" s="3154" t="s">
        <v>4567</v>
      </c>
      <c r="B15" s="3154"/>
      <c r="C15" s="1890"/>
      <c r="D15" s="1890"/>
      <c r="E15" s="1882">
        <f t="shared" si="0"/>
        <v>0</v>
      </c>
      <c r="F15" s="3153"/>
      <c r="G15" s="3153"/>
    </row>
    <row r="16" spans="1:9" s="1931" customFormat="1" ht="24.75" customHeight="1">
      <c r="A16" s="3154"/>
      <c r="B16" s="3154"/>
      <c r="C16" s="1890"/>
      <c r="D16" s="1890"/>
      <c r="E16" s="1882">
        <f t="shared" si="0"/>
        <v>0</v>
      </c>
      <c r="F16" s="3153"/>
      <c r="G16" s="3153"/>
    </row>
    <row r="17" spans="1:7" s="1931" customFormat="1" ht="24.75" customHeight="1">
      <c r="A17" s="3154"/>
      <c r="B17" s="3154"/>
      <c r="C17" s="1890"/>
      <c r="D17" s="1890"/>
      <c r="E17" s="1882">
        <f t="shared" si="0"/>
        <v>0</v>
      </c>
      <c r="F17" s="3153"/>
      <c r="G17" s="3153"/>
    </row>
    <row r="18" spans="1:7" s="1931" customFormat="1" ht="24.75" customHeight="1">
      <c r="A18" s="3154"/>
      <c r="B18" s="3154"/>
      <c r="C18" s="1890"/>
      <c r="D18" s="1890"/>
      <c r="E18" s="1882">
        <f t="shared" si="0"/>
        <v>0</v>
      </c>
      <c r="F18" s="3153"/>
      <c r="G18" s="3153"/>
    </row>
    <row r="19" spans="1:7" s="1931" customFormat="1" ht="24.75" customHeight="1">
      <c r="A19" s="3152" t="s">
        <v>4568</v>
      </c>
      <c r="B19" s="3152"/>
      <c r="C19" s="1882">
        <f>C13-SUM(C14:C18)</f>
        <v>0</v>
      </c>
      <c r="D19" s="1882">
        <f>D13-SUM(D14:D18)</f>
        <v>0</v>
      </c>
      <c r="E19" s="1882">
        <f t="shared" si="0"/>
        <v>0</v>
      </c>
      <c r="F19" s="3153"/>
      <c r="G19" s="3153"/>
    </row>
    <row r="20" spans="1:7" s="1931" customFormat="1" ht="24.75" customHeight="1">
      <c r="A20" s="3152" t="s">
        <v>4569</v>
      </c>
      <c r="B20" s="3152"/>
      <c r="C20" s="1890"/>
      <c r="D20" s="1890"/>
      <c r="E20" s="1882">
        <f t="shared" si="0"/>
        <v>0</v>
      </c>
      <c r="F20" s="3153"/>
      <c r="G20" s="3153"/>
    </row>
    <row r="21" spans="1:7" s="1931" customFormat="1" ht="24.75" customHeight="1">
      <c r="A21" s="3154" t="s">
        <v>4570</v>
      </c>
      <c r="B21" s="3154"/>
      <c r="C21" s="1890"/>
      <c r="D21" s="1890"/>
      <c r="E21" s="1882">
        <f t="shared" si="0"/>
        <v>0</v>
      </c>
      <c r="F21" s="3153"/>
      <c r="G21" s="3153"/>
    </row>
    <row r="22" spans="1:7" s="1931" customFormat="1" ht="24.75" customHeight="1">
      <c r="A22" s="3154"/>
      <c r="B22" s="3154"/>
      <c r="C22" s="1890"/>
      <c r="D22" s="1890"/>
      <c r="E22" s="1882">
        <f t="shared" si="0"/>
        <v>0</v>
      </c>
      <c r="F22" s="3153"/>
      <c r="G22" s="3153"/>
    </row>
    <row r="23" spans="1:7" s="1931" customFormat="1" ht="24.75" customHeight="1">
      <c r="A23" s="3154"/>
      <c r="B23" s="3154"/>
      <c r="C23" s="1890"/>
      <c r="D23" s="1890"/>
      <c r="E23" s="1882">
        <f t="shared" si="0"/>
        <v>0</v>
      </c>
      <c r="F23" s="3153"/>
      <c r="G23" s="3153"/>
    </row>
    <row r="24" spans="1:7" s="1931" customFormat="1" ht="24.75" customHeight="1">
      <c r="A24" s="3152" t="s">
        <v>4571</v>
      </c>
      <c r="B24" s="3152"/>
      <c r="C24" s="1881">
        <f>C19-SUM(C20:C23)</f>
        <v>0</v>
      </c>
      <c r="D24" s="1881">
        <f>D19-SUM(D20:D23)</f>
        <v>0</v>
      </c>
      <c r="E24" s="1881">
        <f t="shared" si="0"/>
        <v>0</v>
      </c>
      <c r="F24" s="3155"/>
      <c r="G24" s="3155"/>
    </row>
    <row r="25" spans="1:7" s="1938" customFormat="1" ht="24.75" customHeight="1">
      <c r="A25" s="3068" t="s">
        <v>4430</v>
      </c>
      <c r="B25" s="3068"/>
      <c r="C25" s="3102" t="str">
        <f>IF(C24&lt;&gt;资产负债表!$G$31,"期末未分配利润账载数与报表数相差"&amp;DOLLAR(C24-资产负债表!$G$31,2)&amp;"元！","账载数与报表数相符！")</f>
        <v>账载数与报表数相符！</v>
      </c>
      <c r="D25" s="3102"/>
      <c r="E25" s="3102"/>
      <c r="F25" s="3102"/>
      <c r="G25" s="3102"/>
    </row>
    <row r="26" spans="1:7" s="1938" customFormat="1" ht="15" customHeight="1">
      <c r="A26" s="3070" t="s">
        <v>4431</v>
      </c>
      <c r="B26" s="3070"/>
      <c r="C26" s="3071" t="s">
        <v>4474</v>
      </c>
      <c r="D26" s="3071"/>
      <c r="E26" s="3072" t="str">
        <f>IF(OR(D13&lt;&gt;0,D19&lt;&gt;0,D24&lt;&gt;0),"、E","")</f>
        <v/>
      </c>
      <c r="F26" s="3072"/>
      <c r="G26" s="3072"/>
    </row>
    <row r="27" spans="1:7" s="1938" customFormat="1" ht="65.25" customHeight="1">
      <c r="A27" s="3070"/>
      <c r="B27" s="3070"/>
      <c r="C27" s="3073"/>
      <c r="D27" s="3073"/>
      <c r="E27" s="3073"/>
      <c r="F27" s="3073"/>
      <c r="G27" s="3073"/>
    </row>
    <row r="28" spans="1:7" s="1938" customFormat="1" ht="24.75" customHeight="1">
      <c r="A28" s="3066" t="s">
        <v>4433</v>
      </c>
      <c r="B28" s="3066"/>
      <c r="C28" s="3067" t="str">
        <f>IF(OR(D13=0,D19=0,D24=0),"不存在调整事项，认可！","调整后认可！")</f>
        <v>不存在调整事项，认可！</v>
      </c>
      <c r="D28" s="3067"/>
      <c r="E28" s="3067"/>
      <c r="F28" s="3067"/>
      <c r="G28" s="3067"/>
    </row>
    <row r="29" spans="1:7" s="1938" customFormat="1" ht="20.100000000000001" customHeight="1"/>
    <row r="30" spans="1:7" s="1938" customFormat="1" ht="20.100000000000001" customHeight="1"/>
    <row r="31" spans="1:7" s="1938" customFormat="1" ht="20.100000000000001" customHeight="1"/>
    <row r="32" spans="1:7" s="1938" customFormat="1" ht="20.100000000000001" customHeight="1"/>
    <row r="33" s="1938" customFormat="1" ht="20.100000000000001" customHeight="1"/>
    <row r="34" s="1938" customFormat="1" ht="20.100000000000001" customHeight="1"/>
    <row r="35" s="1938" customFormat="1" ht="20.100000000000001" customHeight="1"/>
    <row r="36" s="1938" customFormat="1" ht="20.100000000000001" customHeight="1"/>
    <row r="37" s="1938" customFormat="1" ht="20.100000000000001" customHeight="1"/>
    <row r="38" s="1938" customFormat="1" ht="20.100000000000001" customHeight="1"/>
    <row r="39" s="1938" customFormat="1" ht="20.100000000000001" customHeight="1"/>
    <row r="40" s="1938" customFormat="1" ht="20.100000000000001" customHeight="1"/>
    <row r="41" s="1938" customFormat="1" ht="20.100000000000001" customHeight="1"/>
    <row r="42" s="1938" customFormat="1" ht="20.100000000000001" customHeight="1"/>
    <row r="43" s="1938" customFormat="1" ht="20.100000000000001" customHeight="1"/>
    <row r="44" s="1938" customFormat="1" ht="20.100000000000001" customHeight="1"/>
    <row r="45" s="1938" customFormat="1" ht="20.100000000000001" customHeight="1"/>
    <row r="46" s="1938" customFormat="1" ht="20.100000000000001" customHeight="1"/>
    <row r="47" s="1938" customFormat="1" ht="20.100000000000001" customHeight="1"/>
    <row r="48" s="1938" customFormat="1" ht="20.100000000000001" customHeight="1"/>
    <row r="49" s="1938" customFormat="1" ht="20.100000000000001" customHeight="1"/>
    <row r="50" s="1938" customFormat="1" ht="20.100000000000001" customHeight="1"/>
    <row r="51" s="1938" customFormat="1" ht="20.100000000000001" customHeight="1"/>
    <row r="52" s="1938" customFormat="1" ht="20.100000000000001" customHeight="1"/>
    <row r="53" s="1938" customFormat="1" ht="20.100000000000001" customHeight="1"/>
    <row r="54" s="1938" customFormat="1" ht="20.100000000000001" customHeight="1"/>
    <row r="55" s="1938" customFormat="1" ht="20.100000000000001" customHeight="1"/>
    <row r="56" s="1938" customFormat="1" ht="20.100000000000001" customHeight="1"/>
    <row r="57" s="1938" customFormat="1" ht="20.100000000000001" customHeight="1"/>
    <row r="58" s="1938" customFormat="1" ht="20.100000000000001" customHeight="1"/>
    <row r="59" s="1938" customFormat="1" ht="20.100000000000001" customHeight="1"/>
    <row r="60" s="1938" customFormat="1" ht="20.100000000000001" customHeight="1"/>
    <row r="61" s="1938" customFormat="1" ht="20.100000000000001" customHeight="1"/>
    <row r="62" s="1938" customFormat="1" ht="20.100000000000001" customHeight="1"/>
    <row r="63" s="1938" customFormat="1" ht="20.100000000000001" customHeight="1"/>
    <row r="64" s="1938" customFormat="1" ht="20.100000000000001" customHeight="1"/>
    <row r="65" spans="1:4" s="1938" customFormat="1" ht="20.100000000000001" customHeight="1"/>
    <row r="66" spans="1:4" s="1938" customFormat="1" ht="20.100000000000001" customHeight="1"/>
    <row r="67" spans="1:4" s="1938" customFormat="1" ht="20.100000000000001" customHeight="1"/>
    <row r="68" spans="1:4" s="1938" customFormat="1" ht="20.100000000000001" customHeight="1"/>
    <row r="69" spans="1:4" s="1938" customFormat="1" ht="20.100000000000001" customHeight="1"/>
    <row r="70" spans="1:4" s="1938" customFormat="1" ht="20.100000000000001" customHeight="1"/>
    <row r="71" spans="1:4" s="1938" customFormat="1" ht="20.100000000000001" customHeight="1"/>
    <row r="72" spans="1:4" s="1938" customFormat="1" ht="20.100000000000001" customHeight="1"/>
    <row r="73" spans="1:4" s="1938" customFormat="1" ht="20.100000000000001" customHeight="1"/>
    <row r="74" spans="1:4" ht="21.95" customHeight="1">
      <c r="A74" s="1938"/>
      <c r="B74" s="1938"/>
      <c r="C74" s="1938"/>
      <c r="D74" s="1938"/>
    </row>
  </sheetData>
  <sheetProtection selectLockedCells="1"/>
  <mergeCells count="50">
    <mergeCell ref="A28:B28"/>
    <mergeCell ref="C28:G28"/>
    <mergeCell ref="A25:B25"/>
    <mergeCell ref="C25:G25"/>
    <mergeCell ref="A26:B27"/>
    <mergeCell ref="C26:D26"/>
    <mergeCell ref="E26:G26"/>
    <mergeCell ref="C27:G27"/>
    <mergeCell ref="A22:B22"/>
    <mergeCell ref="F22:G22"/>
    <mergeCell ref="A23:B23"/>
    <mergeCell ref="F23:G23"/>
    <mergeCell ref="A24:B24"/>
    <mergeCell ref="F24:G24"/>
    <mergeCell ref="A19:B19"/>
    <mergeCell ref="F19:G19"/>
    <mergeCell ref="A20:B20"/>
    <mergeCell ref="F20:G20"/>
    <mergeCell ref="A21:B21"/>
    <mergeCell ref="F21:G21"/>
    <mergeCell ref="A16:B16"/>
    <mergeCell ref="F16:G16"/>
    <mergeCell ref="A17:B17"/>
    <mergeCell ref="F17:G17"/>
    <mergeCell ref="A18:B18"/>
    <mergeCell ref="F18:G18"/>
    <mergeCell ref="A13:B13"/>
    <mergeCell ref="F13:G13"/>
    <mergeCell ref="A14:B14"/>
    <mergeCell ref="F14:G14"/>
    <mergeCell ref="A15:B15"/>
    <mergeCell ref="F15:G15"/>
    <mergeCell ref="A10:B10"/>
    <mergeCell ref="F10:G10"/>
    <mergeCell ref="A11:B11"/>
    <mergeCell ref="F11:G11"/>
    <mergeCell ref="A12:B12"/>
    <mergeCell ref="F12:G12"/>
    <mergeCell ref="A7:B7"/>
    <mergeCell ref="F7:G7"/>
    <mergeCell ref="A8:B8"/>
    <mergeCell ref="F8:G8"/>
    <mergeCell ref="A9:B9"/>
    <mergeCell ref="F9:G9"/>
    <mergeCell ref="A6:G6"/>
    <mergeCell ref="E1:G1"/>
    <mergeCell ref="E2:G2"/>
    <mergeCell ref="A1:D2"/>
    <mergeCell ref="A3:D4"/>
    <mergeCell ref="A5:D5"/>
  </mergeCells>
  <phoneticPr fontId="135" type="noConversion"/>
  <dataValidations count="2">
    <dataValidation allowBlank="1" showErrorMessage="1" promptTitle="存在调整事项时" prompt="_x000a_选择 “E”" sqref="E26:G26">
      <formula1>0</formula1>
      <formula2>0</formula2>
    </dataValidation>
    <dataValidation allowBlank="1" showErrorMessage="1" sqref="F4">
      <formula1>0</formula1>
      <formula2>0</formula2>
    </dataValidation>
  </dataValidations>
  <hyperlinks>
    <hyperlink ref="H8" location="资产负债表!A1" display="资产负债表"/>
    <hyperlink ref="H9" location="利润表!A1" display="利润及利润分配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6">
    <pageSetUpPr fitToPage="1"/>
  </sheetPr>
  <dimension ref="A1:M94"/>
  <sheetViews>
    <sheetView workbookViewId="0">
      <selection activeCell="C25" sqref="C25"/>
    </sheetView>
  </sheetViews>
  <sheetFormatPr defaultColWidth="8.75" defaultRowHeight="16.5"/>
  <cols>
    <col min="1" max="1" width="3.625" style="2000" customWidth="1"/>
    <col min="2" max="2" width="7.75" style="2000" customWidth="1"/>
    <col min="3" max="8" width="14" style="2000" customWidth="1"/>
    <col min="9" max="9" width="34.75" style="1985" customWidth="1"/>
    <col min="10" max="10" width="17.25" style="757" customWidth="1"/>
    <col min="11" max="16384" width="8.75" style="757"/>
  </cols>
  <sheetData>
    <row r="1" spans="1:13" ht="25.9" customHeight="1">
      <c r="A1" s="2994" t="s">
        <v>4572</v>
      </c>
      <c r="B1" s="2994"/>
      <c r="C1" s="2994"/>
      <c r="D1" s="2994"/>
      <c r="E1" s="2994"/>
      <c r="F1" s="2754" t="str">
        <f>基本情况!$F$10</f>
        <v>厦中汇税审（2018）第DS0001号</v>
      </c>
      <c r="G1" s="2754"/>
      <c r="H1" s="2754"/>
    </row>
    <row r="2" spans="1:13" s="1937" customFormat="1" ht="37.15" customHeight="1">
      <c r="A2" s="3010"/>
      <c r="B2" s="3010"/>
      <c r="C2" s="3010"/>
      <c r="D2" s="3010"/>
      <c r="E2" s="3010"/>
      <c r="F2" s="2949" t="str">
        <f>"底稿编号："&amp;开始!$J$3</f>
        <v>底稿编号：GL-01</v>
      </c>
      <c r="G2" s="2949"/>
      <c r="H2" s="2949"/>
      <c r="I2" s="1986"/>
    </row>
    <row r="3" spans="1:13" s="1937" customFormat="1" ht="20.25" customHeight="1">
      <c r="A3" s="3158" t="s">
        <v>4510</v>
      </c>
      <c r="B3" s="3159"/>
      <c r="C3" s="3161" t="str">
        <f>基本情况!$C$3</f>
        <v/>
      </c>
      <c r="D3" s="3094"/>
      <c r="E3" s="3095"/>
      <c r="F3" s="1912"/>
      <c r="G3" s="1987" t="s">
        <v>4574</v>
      </c>
      <c r="H3" s="1913" t="s">
        <v>4575</v>
      </c>
      <c r="I3" s="1986"/>
    </row>
    <row r="4" spans="1:13" s="1937" customFormat="1" ht="20.25" customHeight="1">
      <c r="A4" s="3160"/>
      <c r="B4" s="3127"/>
      <c r="C4" s="3162"/>
      <c r="D4" s="3097"/>
      <c r="E4" s="3098"/>
      <c r="F4" s="1427" t="s">
        <v>4407</v>
      </c>
      <c r="G4" s="1988" t="str">
        <f>基本情况!$F$19&amp;""</f>
        <v/>
      </c>
      <c r="H4" s="1908" t="str">
        <f>TEXT(基本情况!$F$27,"yyyy-mm-dd")</f>
        <v>2018-03-16</v>
      </c>
      <c r="I4" s="1989" t="s">
        <v>1724</v>
      </c>
    </row>
    <row r="5" spans="1:13" s="1937" customFormat="1" ht="20.25" customHeight="1">
      <c r="A5" s="3156" t="s">
        <v>4512</v>
      </c>
      <c r="B5" s="3157"/>
      <c r="C5" s="3163" t="str">
        <f>基本情况!$F$9</f>
        <v>2017年01月01日至2017年12月31日</v>
      </c>
      <c r="D5" s="3164"/>
      <c r="E5" s="3165"/>
      <c r="F5" s="1915" t="s">
        <v>4410</v>
      </c>
      <c r="G5" s="1981" t="str">
        <f>基本情况!$F$18&amp;""</f>
        <v/>
      </c>
      <c r="H5" s="1910" t="str">
        <f>TEXT(基本情况!$F$28,"yyyy-mm-dd")</f>
        <v>2018-05-04</v>
      </c>
      <c r="I5" s="1893" t="s">
        <v>4369</v>
      </c>
    </row>
    <row r="6" spans="1:13" s="1937" customFormat="1" ht="7.5" customHeight="1">
      <c r="A6" s="3166"/>
      <c r="B6" s="3166"/>
      <c r="C6" s="3166"/>
      <c r="D6" s="3166"/>
      <c r="E6" s="3166"/>
      <c r="F6" s="3166"/>
      <c r="G6" s="3166"/>
      <c r="H6" s="3166"/>
      <c r="I6" s="1986"/>
    </row>
    <row r="7" spans="1:13" s="1937" customFormat="1" ht="20.25" customHeight="1">
      <c r="A7" s="3068" t="s">
        <v>750</v>
      </c>
      <c r="B7" s="3068"/>
      <c r="C7" s="729" t="s">
        <v>4576</v>
      </c>
      <c r="D7" s="1990" t="s">
        <v>4577</v>
      </c>
      <c r="E7" s="1990" t="s">
        <v>4578</v>
      </c>
      <c r="F7" s="1990" t="s">
        <v>4579</v>
      </c>
      <c r="G7" s="1991" t="s">
        <v>4580</v>
      </c>
      <c r="H7" s="1891" t="s">
        <v>757</v>
      </c>
      <c r="I7" s="672"/>
    </row>
    <row r="8" spans="1:13" s="1937" customFormat="1" ht="15.75" customHeight="1">
      <c r="A8" s="3139" t="s">
        <v>4581</v>
      </c>
      <c r="B8" s="1918" t="s">
        <v>4582</v>
      </c>
      <c r="C8" s="731"/>
      <c r="D8" s="731"/>
      <c r="E8" s="731"/>
      <c r="F8" s="731"/>
      <c r="G8" s="732"/>
      <c r="H8" s="733">
        <f>SUM(C8:G8)</f>
        <v>0</v>
      </c>
      <c r="I8" s="1893" t="s">
        <v>4583</v>
      </c>
    </row>
    <row r="9" spans="1:13" s="1937" customFormat="1" ht="15.75" customHeight="1">
      <c r="A9" s="3139"/>
      <c r="B9" s="1427" t="s">
        <v>4352</v>
      </c>
      <c r="C9" s="734"/>
      <c r="D9" s="734"/>
      <c r="E9" s="734"/>
      <c r="F9" s="734"/>
      <c r="G9" s="735"/>
      <c r="H9" s="736">
        <f t="shared" ref="H9:H22" si="0">SUM(C9:G9)</f>
        <v>0</v>
      </c>
      <c r="I9" s="1893" t="s">
        <v>4584</v>
      </c>
    </row>
    <row r="10" spans="1:13" s="1937" customFormat="1" ht="15.75" customHeight="1">
      <c r="A10" s="3139"/>
      <c r="B10" s="1427" t="s">
        <v>4353</v>
      </c>
      <c r="C10" s="734"/>
      <c r="D10" s="734"/>
      <c r="E10" s="734"/>
      <c r="F10" s="734"/>
      <c r="G10" s="735"/>
      <c r="H10" s="736">
        <f t="shared" si="0"/>
        <v>0</v>
      </c>
      <c r="I10" s="672"/>
    </row>
    <row r="11" spans="1:13" s="1937" customFormat="1" ht="15.75" customHeight="1">
      <c r="A11" s="3139"/>
      <c r="B11" s="1427" t="s">
        <v>4354</v>
      </c>
      <c r="C11" s="734"/>
      <c r="D11" s="734"/>
      <c r="E11" s="734"/>
      <c r="F11" s="734"/>
      <c r="G11" s="735"/>
      <c r="H11" s="736">
        <f t="shared" si="0"/>
        <v>0</v>
      </c>
      <c r="I11" s="1965"/>
    </row>
    <row r="12" spans="1:13" s="1937" customFormat="1" ht="15.75" customHeight="1">
      <c r="A12" s="3139"/>
      <c r="B12" s="1427" t="s">
        <v>4355</v>
      </c>
      <c r="C12" s="734"/>
      <c r="D12" s="734"/>
      <c r="E12" s="734"/>
      <c r="F12" s="734"/>
      <c r="G12" s="735"/>
      <c r="H12" s="736">
        <f t="shared" si="0"/>
        <v>0</v>
      </c>
      <c r="I12" s="672"/>
    </row>
    <row r="13" spans="1:13" s="1937" customFormat="1" ht="15.75" customHeight="1">
      <c r="A13" s="3139"/>
      <c r="B13" s="1427" t="s">
        <v>4356</v>
      </c>
      <c r="C13" s="734"/>
      <c r="D13" s="734"/>
      <c r="E13" s="734"/>
      <c r="F13" s="734"/>
      <c r="G13" s="735"/>
      <c r="H13" s="736">
        <f t="shared" si="0"/>
        <v>0</v>
      </c>
      <c r="I13" s="672"/>
    </row>
    <row r="14" spans="1:13" s="1937" customFormat="1" ht="15.75" customHeight="1">
      <c r="A14" s="3139"/>
      <c r="B14" s="1427" t="s">
        <v>4357</v>
      </c>
      <c r="C14" s="734"/>
      <c r="D14" s="734"/>
      <c r="E14" s="734"/>
      <c r="F14" s="734"/>
      <c r="G14" s="735"/>
      <c r="H14" s="736">
        <f t="shared" si="0"/>
        <v>0</v>
      </c>
      <c r="I14" s="1986"/>
    </row>
    <row r="15" spans="1:13" s="1937" customFormat="1" ht="15.75" customHeight="1">
      <c r="A15" s="3139"/>
      <c r="B15" s="1427" t="s">
        <v>4358</v>
      </c>
      <c r="C15" s="734"/>
      <c r="D15" s="734"/>
      <c r="E15" s="734"/>
      <c r="F15" s="734"/>
      <c r="G15" s="735"/>
      <c r="H15" s="736">
        <f t="shared" si="0"/>
        <v>0</v>
      </c>
      <c r="I15" s="3168" t="s">
        <v>6117</v>
      </c>
      <c r="J15" s="3168"/>
      <c r="K15" s="3168"/>
      <c r="L15" s="3168"/>
      <c r="M15" s="1992"/>
    </row>
    <row r="16" spans="1:13" s="1937" customFormat="1" ht="15.75" customHeight="1">
      <c r="A16" s="3139"/>
      <c r="B16" s="1427" t="s">
        <v>4359</v>
      </c>
      <c r="C16" s="734"/>
      <c r="D16" s="734"/>
      <c r="E16" s="734"/>
      <c r="F16" s="734"/>
      <c r="G16" s="735"/>
      <c r="H16" s="736">
        <f t="shared" si="0"/>
        <v>0</v>
      </c>
      <c r="I16" s="3168"/>
      <c r="J16" s="3168"/>
      <c r="K16" s="3168"/>
      <c r="L16" s="3168"/>
      <c r="M16" s="1992"/>
    </row>
    <row r="17" spans="1:13" s="1937" customFormat="1" ht="15.75" customHeight="1">
      <c r="A17" s="3139"/>
      <c r="B17" s="1993" t="s">
        <v>4588</v>
      </c>
      <c r="C17" s="734"/>
      <c r="D17" s="734"/>
      <c r="E17" s="734"/>
      <c r="F17" s="734"/>
      <c r="G17" s="735"/>
      <c r="H17" s="736">
        <f t="shared" si="0"/>
        <v>0</v>
      </c>
      <c r="I17" s="3168"/>
      <c r="J17" s="3168"/>
      <c r="K17" s="3168"/>
      <c r="L17" s="3168"/>
      <c r="M17" s="1992"/>
    </row>
    <row r="18" spans="1:13" s="1937" customFormat="1" ht="15.75" customHeight="1">
      <c r="A18" s="3139"/>
      <c r="B18" s="1994" t="s">
        <v>4589</v>
      </c>
      <c r="C18" s="734"/>
      <c r="D18" s="734"/>
      <c r="E18" s="734"/>
      <c r="F18" s="734"/>
      <c r="G18" s="735"/>
      <c r="H18" s="736">
        <f t="shared" si="0"/>
        <v>0</v>
      </c>
      <c r="I18" s="3168"/>
      <c r="J18" s="3168"/>
      <c r="K18" s="3168"/>
      <c r="L18" s="3168"/>
      <c r="M18" s="1992"/>
    </row>
    <row r="19" spans="1:13" s="1937" customFormat="1" ht="15.75" customHeight="1">
      <c r="A19" s="3139"/>
      <c r="B19" s="1994" t="s">
        <v>4590</v>
      </c>
      <c r="C19" s="734"/>
      <c r="D19" s="734"/>
      <c r="E19" s="734"/>
      <c r="F19" s="734"/>
      <c r="G19" s="735"/>
      <c r="H19" s="736">
        <f t="shared" si="0"/>
        <v>0</v>
      </c>
      <c r="I19" s="3168"/>
      <c r="J19" s="3168"/>
      <c r="K19" s="3168"/>
      <c r="L19" s="3168"/>
      <c r="M19" s="1992"/>
    </row>
    <row r="20" spans="1:13" s="1937" customFormat="1" ht="15.75" customHeight="1">
      <c r="A20" s="3139"/>
      <c r="B20" s="1427" t="s">
        <v>4591</v>
      </c>
      <c r="C20" s="741">
        <f>SUM(C8:C19)</f>
        <v>0</v>
      </c>
      <c r="D20" s="741">
        <f>SUM(D8:D19)</f>
        <v>0</v>
      </c>
      <c r="E20" s="741">
        <f>SUM(E8:E19)</f>
        <v>0</v>
      </c>
      <c r="F20" s="741">
        <f>SUM(F8:F19)</f>
        <v>0</v>
      </c>
      <c r="G20" s="741">
        <f>SUM(G8:G19)</f>
        <v>0</v>
      </c>
      <c r="H20" s="736">
        <f t="shared" si="0"/>
        <v>0</v>
      </c>
      <c r="I20" s="3168"/>
      <c r="J20" s="3168"/>
      <c r="K20" s="3168"/>
      <c r="L20" s="3168"/>
      <c r="M20" s="1992"/>
    </row>
    <row r="21" spans="1:13" s="1937" customFormat="1" ht="21" customHeight="1">
      <c r="A21" s="3139"/>
      <c r="B21" s="1995" t="s">
        <v>4592</v>
      </c>
      <c r="C21" s="2001"/>
      <c r="D21" s="742" t="s">
        <v>4593</v>
      </c>
      <c r="E21" s="742" t="s">
        <v>4593</v>
      </c>
      <c r="F21" s="742" t="s">
        <v>4593</v>
      </c>
      <c r="G21" s="743" t="s">
        <v>4593</v>
      </c>
      <c r="H21" s="744">
        <f>SUM(C21:G21)</f>
        <v>0</v>
      </c>
      <c r="I21" s="3168"/>
      <c r="J21" s="3168"/>
      <c r="K21" s="3168"/>
      <c r="L21" s="3168"/>
      <c r="M21" s="1992"/>
    </row>
    <row r="22" spans="1:13" s="1937" customFormat="1" ht="15.75" customHeight="1">
      <c r="A22" s="3139"/>
      <c r="B22" s="1427" t="s">
        <v>4414</v>
      </c>
      <c r="C22" s="734"/>
      <c r="D22" s="734"/>
      <c r="E22" s="734"/>
      <c r="F22" s="734"/>
      <c r="G22" s="735"/>
      <c r="H22" s="736">
        <f t="shared" si="0"/>
        <v>0</v>
      </c>
      <c r="I22" s="3168"/>
      <c r="J22" s="3168"/>
      <c r="K22" s="3168"/>
      <c r="L22" s="3168"/>
      <c r="M22" s="1992"/>
    </row>
    <row r="23" spans="1:13" s="1937" customFormat="1" ht="15.75" customHeight="1">
      <c r="A23" s="3167"/>
      <c r="B23" s="1996" t="s">
        <v>4415</v>
      </c>
      <c r="C23" s="746">
        <f t="shared" ref="C23:H23" si="1">C20+C22</f>
        <v>0</v>
      </c>
      <c r="D23" s="746">
        <f t="shared" si="1"/>
        <v>0</v>
      </c>
      <c r="E23" s="746">
        <f t="shared" si="1"/>
        <v>0</v>
      </c>
      <c r="F23" s="746">
        <f t="shared" si="1"/>
        <v>0</v>
      </c>
      <c r="G23" s="746">
        <f t="shared" si="1"/>
        <v>0</v>
      </c>
      <c r="H23" s="744">
        <f t="shared" si="1"/>
        <v>0</v>
      </c>
      <c r="I23" s="3168"/>
      <c r="J23" s="3168"/>
      <c r="K23" s="3168"/>
      <c r="L23" s="3168"/>
      <c r="M23" s="1992"/>
    </row>
    <row r="24" spans="1:13" s="1937" customFormat="1" ht="15.75" hidden="1" customHeight="1">
      <c r="A24" s="1964"/>
      <c r="B24" s="1997"/>
      <c r="C24" s="747"/>
      <c r="D24" s="748"/>
      <c r="E24" s="748"/>
      <c r="F24" s="748"/>
      <c r="G24" s="749"/>
      <c r="H24" s="750"/>
      <c r="I24" s="3168"/>
      <c r="J24" s="3168"/>
      <c r="K24" s="3168"/>
      <c r="L24" s="3168"/>
      <c r="M24" s="1992"/>
    </row>
    <row r="25" spans="1:13" s="1937" customFormat="1" ht="15.75" customHeight="1">
      <c r="A25" s="3139" t="s">
        <v>4594</v>
      </c>
      <c r="B25" s="1998" t="s">
        <v>4595</v>
      </c>
      <c r="C25" s="731"/>
      <c r="D25" s="731"/>
      <c r="E25" s="731"/>
      <c r="F25" s="731"/>
      <c r="G25" s="732"/>
      <c r="H25" s="733">
        <f>SUM(C25:G25)</f>
        <v>0</v>
      </c>
      <c r="I25" s="3168"/>
      <c r="J25" s="3168"/>
      <c r="K25" s="3168"/>
      <c r="L25" s="3168"/>
      <c r="M25" s="1992"/>
    </row>
    <row r="26" spans="1:13" s="1937" customFormat="1" ht="15.75" customHeight="1">
      <c r="A26" s="3139"/>
      <c r="B26" s="1994" t="s">
        <v>4596</v>
      </c>
      <c r="C26" s="734"/>
      <c r="D26" s="734"/>
      <c r="E26" s="734"/>
      <c r="F26" s="734"/>
      <c r="G26" s="735"/>
      <c r="H26" s="736">
        <f t="shared" ref="H26:H39" si="2">SUM(C26:G26)</f>
        <v>0</v>
      </c>
      <c r="I26" s="3168"/>
      <c r="J26" s="3168"/>
      <c r="K26" s="3168"/>
      <c r="L26" s="3168"/>
      <c r="M26" s="1992"/>
    </row>
    <row r="27" spans="1:13" s="1937" customFormat="1" ht="15.75" customHeight="1">
      <c r="A27" s="3139"/>
      <c r="B27" s="1994" t="s">
        <v>4597</v>
      </c>
      <c r="C27" s="734"/>
      <c r="D27" s="734"/>
      <c r="E27" s="734"/>
      <c r="F27" s="734"/>
      <c r="G27" s="735"/>
      <c r="H27" s="736">
        <f t="shared" si="2"/>
        <v>0</v>
      </c>
      <c r="I27" s="3168"/>
      <c r="J27" s="3168"/>
      <c r="K27" s="3168"/>
      <c r="L27" s="3168"/>
    </row>
    <row r="28" spans="1:13" s="1937" customFormat="1" ht="15.75" customHeight="1">
      <c r="A28" s="3139"/>
      <c r="B28" s="1994" t="s">
        <v>4598</v>
      </c>
      <c r="C28" s="734"/>
      <c r="D28" s="734"/>
      <c r="E28" s="734"/>
      <c r="F28" s="734"/>
      <c r="G28" s="735"/>
      <c r="H28" s="736">
        <f t="shared" si="2"/>
        <v>0</v>
      </c>
      <c r="I28" s="3168"/>
      <c r="J28" s="3168"/>
      <c r="K28" s="3168"/>
      <c r="L28" s="3168"/>
    </row>
    <row r="29" spans="1:13" s="1937" customFormat="1" ht="15.75" customHeight="1">
      <c r="A29" s="3139"/>
      <c r="B29" s="1994" t="s">
        <v>4599</v>
      </c>
      <c r="C29" s="734"/>
      <c r="D29" s="734"/>
      <c r="E29" s="734"/>
      <c r="F29" s="734"/>
      <c r="G29" s="735"/>
      <c r="H29" s="736">
        <f t="shared" si="2"/>
        <v>0</v>
      </c>
      <c r="I29" s="3101" t="s">
        <v>6118</v>
      </c>
      <c r="J29" s="3101"/>
      <c r="K29" s="3101"/>
      <c r="L29" s="3101"/>
      <c r="M29" s="1999"/>
    </row>
    <row r="30" spans="1:13" s="1937" customFormat="1" ht="15.75" customHeight="1">
      <c r="A30" s="3139"/>
      <c r="B30" s="1994" t="s">
        <v>4600</v>
      </c>
      <c r="C30" s="734"/>
      <c r="D30" s="734"/>
      <c r="E30" s="734"/>
      <c r="F30" s="734"/>
      <c r="G30" s="735"/>
      <c r="H30" s="736">
        <f t="shared" si="2"/>
        <v>0</v>
      </c>
      <c r="I30" s="3101"/>
      <c r="J30" s="3101"/>
      <c r="K30" s="3101"/>
      <c r="L30" s="3101"/>
      <c r="M30" s="1999"/>
    </row>
    <row r="31" spans="1:13" s="1937" customFormat="1" ht="15.75" customHeight="1">
      <c r="A31" s="3139"/>
      <c r="B31" s="1994" t="s">
        <v>4601</v>
      </c>
      <c r="C31" s="734"/>
      <c r="D31" s="734"/>
      <c r="E31" s="734"/>
      <c r="F31" s="734"/>
      <c r="G31" s="735"/>
      <c r="H31" s="736">
        <f t="shared" si="2"/>
        <v>0</v>
      </c>
      <c r="I31" s="3101"/>
      <c r="J31" s="3101"/>
      <c r="K31" s="3101"/>
      <c r="L31" s="3101"/>
      <c r="M31" s="1999"/>
    </row>
    <row r="32" spans="1:13" s="1937" customFormat="1" ht="15.75" customHeight="1">
      <c r="A32" s="3139"/>
      <c r="B32" s="1994" t="s">
        <v>4602</v>
      </c>
      <c r="C32" s="734"/>
      <c r="D32" s="734"/>
      <c r="E32" s="734"/>
      <c r="F32" s="734"/>
      <c r="G32" s="735"/>
      <c r="H32" s="736">
        <f t="shared" si="2"/>
        <v>0</v>
      </c>
      <c r="I32" s="3101"/>
      <c r="J32" s="3101"/>
      <c r="K32" s="3101"/>
      <c r="L32" s="3101"/>
      <c r="M32" s="1999"/>
    </row>
    <row r="33" spans="1:13" s="1937" customFormat="1" ht="15.75" customHeight="1">
      <c r="A33" s="3139"/>
      <c r="B33" s="1994" t="s">
        <v>4603</v>
      </c>
      <c r="C33" s="734"/>
      <c r="D33" s="734"/>
      <c r="E33" s="734"/>
      <c r="F33" s="734"/>
      <c r="G33" s="735"/>
      <c r="H33" s="736">
        <f t="shared" si="2"/>
        <v>0</v>
      </c>
      <c r="I33" s="3101"/>
      <c r="J33" s="3101"/>
      <c r="K33" s="3101"/>
      <c r="L33" s="3101"/>
      <c r="M33" s="1999"/>
    </row>
    <row r="34" spans="1:13" s="1937" customFormat="1" ht="15.75" customHeight="1">
      <c r="A34" s="3139"/>
      <c r="B34" s="1993" t="s">
        <v>4588</v>
      </c>
      <c r="C34" s="734"/>
      <c r="D34" s="734"/>
      <c r="E34" s="734"/>
      <c r="F34" s="734"/>
      <c r="G34" s="735"/>
      <c r="H34" s="736">
        <f t="shared" si="2"/>
        <v>0</v>
      </c>
      <c r="I34" s="3101"/>
      <c r="J34" s="3101"/>
      <c r="K34" s="3101"/>
      <c r="L34" s="3101"/>
      <c r="M34" s="1999"/>
    </row>
    <row r="35" spans="1:13" s="1937" customFormat="1" ht="15.75" customHeight="1">
      <c r="A35" s="3139"/>
      <c r="B35" s="1994" t="s">
        <v>4589</v>
      </c>
      <c r="C35" s="734"/>
      <c r="D35" s="734"/>
      <c r="E35" s="734"/>
      <c r="F35" s="734"/>
      <c r="G35" s="735"/>
      <c r="H35" s="736">
        <f t="shared" si="2"/>
        <v>0</v>
      </c>
      <c r="I35" s="3101"/>
      <c r="J35" s="3101"/>
      <c r="K35" s="3101"/>
      <c r="L35" s="3101"/>
      <c r="M35" s="1999"/>
    </row>
    <row r="36" spans="1:13" s="1937" customFormat="1" ht="15.75" customHeight="1">
      <c r="A36" s="3139"/>
      <c r="B36" s="1994" t="s">
        <v>4590</v>
      </c>
      <c r="C36" s="734"/>
      <c r="D36" s="734"/>
      <c r="E36" s="734"/>
      <c r="F36" s="734"/>
      <c r="G36" s="735"/>
      <c r="H36" s="736">
        <f t="shared" si="2"/>
        <v>0</v>
      </c>
      <c r="I36" s="3101"/>
      <c r="J36" s="3101"/>
      <c r="K36" s="3101"/>
      <c r="L36" s="3101"/>
      <c r="M36" s="1999"/>
    </row>
    <row r="37" spans="1:13" s="1937" customFormat="1" ht="15.75" customHeight="1">
      <c r="A37" s="3139"/>
      <c r="B37" s="1427" t="s">
        <v>4591</v>
      </c>
      <c r="C37" s="741">
        <f>SUM(C25:C36)</f>
        <v>0</v>
      </c>
      <c r="D37" s="741">
        <f>SUM(D25:D36)</f>
        <v>0</v>
      </c>
      <c r="E37" s="741">
        <f>SUM(E25:E36)</f>
        <v>0</v>
      </c>
      <c r="F37" s="741">
        <f>SUM(F25:F36)</f>
        <v>0</v>
      </c>
      <c r="G37" s="741">
        <f>SUM(G25:G36)</f>
        <v>0</v>
      </c>
      <c r="H37" s="736">
        <f t="shared" si="2"/>
        <v>0</v>
      </c>
      <c r="I37" s="3101"/>
      <c r="J37" s="3101"/>
      <c r="K37" s="3101"/>
      <c r="L37" s="3101"/>
      <c r="M37" s="1999"/>
    </row>
    <row r="38" spans="1:13" s="1937" customFormat="1" ht="21" customHeight="1">
      <c r="A38" s="3139"/>
      <c r="B38" s="1995" t="s">
        <v>4604</v>
      </c>
      <c r="C38" s="2001"/>
      <c r="D38" s="742" t="s">
        <v>4605</v>
      </c>
      <c r="E38" s="742" t="s">
        <v>4605</v>
      </c>
      <c r="F38" s="742" t="s">
        <v>4593</v>
      </c>
      <c r="G38" s="743" t="s">
        <v>4605</v>
      </c>
      <c r="H38" s="744">
        <f>SUM(C38:G38)</f>
        <v>0</v>
      </c>
      <c r="I38" s="3101"/>
      <c r="J38" s="3101"/>
      <c r="K38" s="3101"/>
      <c r="L38" s="3101"/>
      <c r="M38" s="1999"/>
    </row>
    <row r="39" spans="1:13" s="1937" customFormat="1" ht="15.75" customHeight="1">
      <c r="A39" s="3139"/>
      <c r="B39" s="1427" t="s">
        <v>4414</v>
      </c>
      <c r="C39" s="734"/>
      <c r="D39" s="734"/>
      <c r="E39" s="734"/>
      <c r="F39" s="734"/>
      <c r="G39" s="734"/>
      <c r="H39" s="736">
        <f t="shared" si="2"/>
        <v>0</v>
      </c>
      <c r="I39" s="3101"/>
      <c r="J39" s="3101"/>
      <c r="K39" s="3101"/>
      <c r="L39" s="3101"/>
      <c r="M39" s="1999"/>
    </row>
    <row r="40" spans="1:13" s="1937" customFormat="1" ht="15.75" customHeight="1">
      <c r="A40" s="3139"/>
      <c r="B40" s="1920" t="s">
        <v>4415</v>
      </c>
      <c r="C40" s="751">
        <f t="shared" ref="C40:H40" si="3">C37+C39</f>
        <v>0</v>
      </c>
      <c r="D40" s="751">
        <f t="shared" si="3"/>
        <v>0</v>
      </c>
      <c r="E40" s="751">
        <f t="shared" si="3"/>
        <v>0</v>
      </c>
      <c r="F40" s="751">
        <f t="shared" si="3"/>
        <v>0</v>
      </c>
      <c r="G40" s="751">
        <f t="shared" si="3"/>
        <v>0</v>
      </c>
      <c r="H40" s="750">
        <f t="shared" si="3"/>
        <v>0</v>
      </c>
      <c r="I40" s="3101"/>
      <c r="J40" s="3101"/>
      <c r="K40" s="3101"/>
      <c r="L40" s="3101"/>
    </row>
    <row r="41" spans="1:13" s="1937" customFormat="1" ht="20.25" customHeight="1">
      <c r="A41" s="3139" t="s">
        <v>4430</v>
      </c>
      <c r="B41" s="3139"/>
      <c r="C41" s="3169" t="str">
        <f>IF($H$20&lt;&gt;利润表!$C$6,"营业收入账载数与报表数相差"&amp;DOLLAR($H$20-利润表!$C$6,2)&amp;"元！","营业收入账载数与报表数相符！")</f>
        <v>营业收入账载数与报表数相符！</v>
      </c>
      <c r="D41" s="3169"/>
      <c r="E41" s="3169"/>
      <c r="F41" s="3169"/>
      <c r="G41" s="3169"/>
      <c r="H41" s="3169"/>
    </row>
    <row r="42" spans="1:13" s="1937" customFormat="1" ht="20.25" customHeight="1">
      <c r="A42" s="3139"/>
      <c r="B42" s="3139"/>
      <c r="C42" s="3170" t="str">
        <f>IF($H$37&lt;&gt;利润表!$C$9,"营业成本账载数与报表数相差"&amp;DOLLAR($H$37-利润表!$C$9,2)&amp;"元！","营业成本账载数与报表数相符！")</f>
        <v>营业成本账载数与报表数相符！</v>
      </c>
      <c r="D42" s="3170"/>
      <c r="E42" s="3170"/>
      <c r="F42" s="3170"/>
      <c r="G42" s="3170"/>
      <c r="H42" s="3170"/>
      <c r="I42" s="1937" t="s">
        <v>4606</v>
      </c>
    </row>
    <row r="43" spans="1:13" s="1937" customFormat="1" ht="15" customHeight="1">
      <c r="A43" s="3127" t="s">
        <v>4431</v>
      </c>
      <c r="B43" s="3127"/>
      <c r="C43" s="3171" t="s">
        <v>4607</v>
      </c>
      <c r="D43" s="3171"/>
      <c r="E43" s="3172" t="str">
        <f>IF(OR(H20&lt;&gt;利润表!$C$6,H37&lt;&gt;利润表!$C$9),"、E","")</f>
        <v/>
      </c>
      <c r="F43" s="3172"/>
      <c r="G43" s="3172"/>
      <c r="H43" s="3172"/>
      <c r="I43" s="1937" t="s">
        <v>4608</v>
      </c>
    </row>
    <row r="44" spans="1:13" s="1937" customFormat="1" ht="20.25" customHeight="1">
      <c r="A44" s="3127"/>
      <c r="B44" s="3127"/>
      <c r="C44" s="3173"/>
      <c r="D44" s="3173"/>
      <c r="E44" s="3173"/>
      <c r="F44" s="3173"/>
      <c r="G44" s="3173"/>
      <c r="H44" s="3173"/>
      <c r="I44" s="3101" t="s">
        <v>4609</v>
      </c>
      <c r="J44" s="3101"/>
      <c r="K44" s="3101"/>
      <c r="L44" s="3101"/>
    </row>
    <row r="45" spans="1:13" s="1937" customFormat="1" ht="6.75" customHeight="1">
      <c r="A45" s="3127"/>
      <c r="B45" s="3127"/>
      <c r="C45" s="3173"/>
      <c r="D45" s="3173"/>
      <c r="E45" s="3173"/>
      <c r="F45" s="3173"/>
      <c r="G45" s="3173"/>
      <c r="H45" s="3173"/>
      <c r="I45" s="3101"/>
      <c r="J45" s="3101"/>
      <c r="K45" s="3101"/>
      <c r="L45" s="3101"/>
    </row>
    <row r="46" spans="1:13" s="1937" customFormat="1" ht="12" customHeight="1">
      <c r="A46" s="3127"/>
      <c r="B46" s="3127"/>
      <c r="C46" s="3173"/>
      <c r="D46" s="3173"/>
      <c r="E46" s="3173"/>
      <c r="F46" s="3173"/>
      <c r="G46" s="3173"/>
      <c r="H46" s="3173"/>
      <c r="I46" s="3101" t="s">
        <v>4610</v>
      </c>
      <c r="J46" s="3101"/>
      <c r="K46" s="3101"/>
      <c r="L46" s="3101"/>
    </row>
    <row r="47" spans="1:13" s="1937" customFormat="1" ht="20.25" customHeight="1">
      <c r="A47" s="3127"/>
      <c r="B47" s="3127"/>
      <c r="C47" s="3173"/>
      <c r="D47" s="3173"/>
      <c r="E47" s="3173"/>
      <c r="F47" s="3173"/>
      <c r="G47" s="3173"/>
      <c r="H47" s="3173"/>
      <c r="I47" s="3101"/>
      <c r="J47" s="3101"/>
      <c r="K47" s="3101"/>
      <c r="L47" s="3101"/>
    </row>
    <row r="48" spans="1:13" s="1937" customFormat="1" ht="20.25" customHeight="1">
      <c r="A48" s="3175" t="s">
        <v>4433</v>
      </c>
      <c r="B48" s="3175"/>
      <c r="C48" s="3170" t="str">
        <f>IF(AND(H22=0,H39=0),"不存在调整事项,认可！","调整后认可！")</f>
        <v>不存在调整事项,认可！</v>
      </c>
      <c r="D48" s="3170"/>
      <c r="E48" s="3170"/>
      <c r="F48" s="3170"/>
      <c r="G48" s="3170"/>
      <c r="H48" s="3170"/>
      <c r="I48" s="3174" t="s">
        <v>4611</v>
      </c>
      <c r="J48" s="3174"/>
      <c r="K48" s="3174"/>
      <c r="L48" s="3174"/>
    </row>
    <row r="49" spans="1:12" s="1937" customFormat="1" ht="13.5">
      <c r="A49" s="2000"/>
      <c r="B49" s="2000"/>
      <c r="C49" s="2000"/>
      <c r="D49" s="2000"/>
      <c r="E49" s="2000"/>
      <c r="F49" s="2000"/>
      <c r="G49" s="2000"/>
      <c r="H49" s="2000"/>
      <c r="I49" s="3174"/>
      <c r="J49" s="3174"/>
      <c r="K49" s="3174"/>
      <c r="L49" s="3174"/>
    </row>
    <row r="50" spans="1:12" s="1937" customFormat="1" ht="40.5" customHeight="1">
      <c r="A50" s="2000"/>
      <c r="B50" s="2000"/>
      <c r="C50" s="2000"/>
      <c r="D50" s="2000"/>
      <c r="E50" s="2000"/>
      <c r="F50" s="2000"/>
      <c r="G50" s="2000"/>
      <c r="H50" s="2000"/>
      <c r="I50" s="3174"/>
      <c r="J50" s="3174"/>
      <c r="K50" s="3174"/>
      <c r="L50" s="3174"/>
    </row>
    <row r="51" spans="1:12" s="1937" customFormat="1" ht="33.75" customHeight="1">
      <c r="A51" s="2000"/>
      <c r="B51" s="2000"/>
      <c r="C51" s="2000"/>
      <c r="D51" s="2000"/>
      <c r="E51" s="2000"/>
      <c r="F51" s="2000"/>
      <c r="G51" s="2000"/>
      <c r="H51" s="2000"/>
      <c r="I51" s="3174" t="s">
        <v>4612</v>
      </c>
      <c r="J51" s="3174"/>
      <c r="K51" s="3174"/>
      <c r="L51" s="3174"/>
    </row>
    <row r="52" spans="1:12" s="1937" customFormat="1" ht="43.5" customHeight="1">
      <c r="A52" s="2000"/>
      <c r="B52" s="2000"/>
      <c r="C52" s="2000"/>
      <c r="D52" s="2000"/>
      <c r="E52" s="2000"/>
      <c r="F52" s="2000"/>
      <c r="G52" s="2000"/>
      <c r="H52" s="2000"/>
      <c r="I52" s="3174"/>
      <c r="J52" s="3174"/>
      <c r="K52" s="3174"/>
      <c r="L52" s="3174"/>
    </row>
    <row r="53" spans="1:12" s="1937" customFormat="1" ht="27.75" customHeight="1">
      <c r="A53" s="2000"/>
      <c r="B53" s="2000"/>
      <c r="C53" s="2000"/>
      <c r="D53" s="2000"/>
      <c r="E53" s="2000"/>
      <c r="F53" s="2000"/>
      <c r="G53" s="2000"/>
      <c r="H53" s="2000"/>
      <c r="I53" s="3174"/>
      <c r="J53" s="3174"/>
      <c r="K53" s="3174"/>
      <c r="L53" s="3174"/>
    </row>
    <row r="54" spans="1:12" s="1937" customFormat="1" ht="27.75" customHeight="1">
      <c r="A54" s="2000"/>
      <c r="B54" s="2000"/>
      <c r="C54" s="2000"/>
      <c r="D54" s="2000"/>
      <c r="E54" s="2000"/>
      <c r="F54" s="2000"/>
      <c r="G54" s="2000"/>
      <c r="H54" s="2000"/>
      <c r="I54" s="3174"/>
      <c r="J54" s="3174"/>
      <c r="K54" s="3174"/>
      <c r="L54" s="3174"/>
    </row>
    <row r="55" spans="1:12" s="1937" customFormat="1" ht="27.75" customHeight="1">
      <c r="A55" s="2000"/>
      <c r="B55" s="2000"/>
      <c r="C55" s="2000"/>
      <c r="D55" s="2000"/>
      <c r="E55" s="2000"/>
      <c r="F55" s="2000"/>
      <c r="G55" s="2000"/>
      <c r="H55" s="2000"/>
      <c r="I55" s="3174" t="s">
        <v>4613</v>
      </c>
      <c r="J55" s="3174"/>
      <c r="K55" s="3174"/>
      <c r="L55" s="3174"/>
    </row>
    <row r="56" spans="1:12" s="1937" customFormat="1" ht="39" customHeight="1">
      <c r="A56" s="2000"/>
      <c r="B56" s="2000"/>
      <c r="C56" s="2000"/>
      <c r="D56" s="2000"/>
      <c r="E56" s="2000"/>
      <c r="F56" s="2000"/>
      <c r="G56" s="2000"/>
      <c r="H56" s="2000"/>
      <c r="I56" s="1999"/>
      <c r="J56" s="1999"/>
      <c r="K56" s="1999"/>
      <c r="L56" s="1999"/>
    </row>
    <row r="57" spans="1:12" s="1937" customFormat="1" ht="27.75" customHeight="1">
      <c r="A57" s="2000"/>
      <c r="B57" s="2000"/>
      <c r="C57" s="2000"/>
      <c r="D57" s="2000"/>
      <c r="E57" s="2000"/>
      <c r="F57" s="2000"/>
      <c r="G57" s="2000"/>
      <c r="H57" s="2000"/>
      <c r="I57" s="1986"/>
    </row>
    <row r="58" spans="1:12" s="1937" customFormat="1" ht="44.25" customHeight="1">
      <c r="A58" s="2000"/>
      <c r="B58" s="2000"/>
      <c r="C58" s="2000"/>
      <c r="D58" s="2000"/>
      <c r="E58" s="2000"/>
      <c r="F58" s="2000"/>
      <c r="G58" s="2000"/>
      <c r="H58" s="2000"/>
      <c r="I58" s="1986"/>
    </row>
    <row r="59" spans="1:12" s="1937" customFormat="1" ht="46.5" customHeight="1">
      <c r="A59" s="2000"/>
      <c r="B59" s="2000"/>
      <c r="C59" s="2000"/>
      <c r="D59" s="2000"/>
      <c r="E59" s="2000"/>
      <c r="F59" s="2000"/>
      <c r="G59" s="2000"/>
      <c r="H59" s="2000"/>
      <c r="I59" s="1986"/>
    </row>
    <row r="60" spans="1:12" s="1937" customFormat="1" ht="30" customHeight="1">
      <c r="A60" s="2000"/>
      <c r="B60" s="2000"/>
      <c r="C60" s="2000"/>
      <c r="D60" s="2000"/>
      <c r="E60" s="2000"/>
      <c r="F60" s="2000"/>
      <c r="G60" s="2000"/>
      <c r="H60" s="2000"/>
      <c r="I60" s="1986"/>
    </row>
    <row r="61" spans="1:12" s="1937" customFormat="1" ht="22.5" customHeight="1">
      <c r="A61" s="2000"/>
      <c r="B61" s="2000"/>
      <c r="C61" s="2000"/>
      <c r="D61" s="2000"/>
      <c r="E61" s="2000"/>
      <c r="F61" s="2000"/>
      <c r="G61" s="2000"/>
      <c r="H61" s="2000"/>
      <c r="I61" s="1986"/>
    </row>
    <row r="62" spans="1:12" s="1937" customFormat="1" ht="22.5" customHeight="1">
      <c r="A62" s="2000"/>
      <c r="B62" s="2000"/>
      <c r="C62" s="2000"/>
      <c r="D62" s="2000"/>
      <c r="E62" s="2000"/>
      <c r="F62" s="2000"/>
      <c r="G62" s="2000"/>
      <c r="H62" s="2000"/>
      <c r="I62" s="1986"/>
    </row>
    <row r="63" spans="1:12" s="1937" customFormat="1" ht="22.5" customHeight="1">
      <c r="A63" s="2000"/>
      <c r="B63" s="2000"/>
      <c r="C63" s="2000"/>
      <c r="D63" s="2000"/>
      <c r="E63" s="2000"/>
      <c r="F63" s="2000"/>
      <c r="G63" s="2000"/>
      <c r="H63" s="2000"/>
      <c r="I63" s="1986"/>
    </row>
    <row r="64" spans="1:12" s="1937" customFormat="1" ht="22.5" customHeight="1">
      <c r="A64" s="2000"/>
      <c r="B64" s="2000"/>
      <c r="C64" s="2000"/>
      <c r="D64" s="2000"/>
      <c r="E64" s="2000"/>
      <c r="F64" s="2000"/>
      <c r="G64" s="2000"/>
      <c r="H64" s="2000"/>
      <c r="I64" s="1986"/>
    </row>
    <row r="65" spans="1:9" s="1937" customFormat="1" ht="22.5" customHeight="1">
      <c r="A65" s="2000"/>
      <c r="B65" s="2000"/>
      <c r="C65" s="2000"/>
      <c r="D65" s="2000"/>
      <c r="E65" s="2000"/>
      <c r="F65" s="2000"/>
      <c r="G65" s="2000"/>
      <c r="H65" s="2000"/>
      <c r="I65" s="1986"/>
    </row>
    <row r="66" spans="1:9" s="1937" customFormat="1" ht="22.5" customHeight="1">
      <c r="A66" s="2000"/>
      <c r="B66" s="2000"/>
      <c r="C66" s="2000"/>
      <c r="D66" s="2000"/>
      <c r="E66" s="2000"/>
      <c r="F66" s="2000"/>
      <c r="G66" s="2000"/>
      <c r="H66" s="2000"/>
      <c r="I66" s="1986"/>
    </row>
    <row r="67" spans="1:9" s="1937" customFormat="1" ht="22.5" customHeight="1">
      <c r="A67" s="2000"/>
      <c r="B67" s="2000"/>
      <c r="C67" s="2000"/>
      <c r="D67" s="2000"/>
      <c r="E67" s="2000"/>
      <c r="F67" s="2000"/>
      <c r="G67" s="2000"/>
      <c r="H67" s="2000"/>
      <c r="I67" s="1986"/>
    </row>
    <row r="68" spans="1:9" s="1937" customFormat="1" ht="22.5" customHeight="1">
      <c r="A68" s="2000"/>
      <c r="B68" s="2000"/>
      <c r="C68" s="2000"/>
      <c r="D68" s="2000"/>
      <c r="E68" s="2000"/>
      <c r="F68" s="2000"/>
      <c r="G68" s="2000"/>
      <c r="H68" s="2000"/>
      <c r="I68" s="1986"/>
    </row>
    <row r="69" spans="1:9" s="1937" customFormat="1" ht="22.5" customHeight="1">
      <c r="A69" s="2000"/>
      <c r="B69" s="2000"/>
      <c r="C69" s="2000"/>
      <c r="D69" s="2000"/>
      <c r="E69" s="2000"/>
      <c r="F69" s="2000"/>
      <c r="G69" s="2000"/>
      <c r="H69" s="2000"/>
      <c r="I69" s="1986"/>
    </row>
    <row r="70" spans="1:9" s="1937" customFormat="1" ht="22.5" customHeight="1">
      <c r="A70" s="2000"/>
      <c r="B70" s="2000"/>
      <c r="C70" s="2000"/>
      <c r="D70" s="2000"/>
      <c r="E70" s="2000"/>
      <c r="F70" s="2000"/>
      <c r="G70" s="2000"/>
      <c r="H70" s="2000"/>
      <c r="I70" s="1986"/>
    </row>
    <row r="71" spans="1:9" s="1937" customFormat="1" ht="22.5" customHeight="1">
      <c r="A71" s="2000"/>
      <c r="B71" s="2000"/>
      <c r="C71" s="2000"/>
      <c r="D71" s="2000"/>
      <c r="E71" s="2000"/>
      <c r="F71" s="2000"/>
      <c r="G71" s="2000"/>
      <c r="H71" s="2000"/>
      <c r="I71" s="1986"/>
    </row>
    <row r="72" spans="1:9" s="1937" customFormat="1" ht="22.5" customHeight="1">
      <c r="A72" s="2000"/>
      <c r="B72" s="2000"/>
      <c r="C72" s="2000"/>
      <c r="D72" s="2000"/>
      <c r="E72" s="2000"/>
      <c r="F72" s="2000"/>
      <c r="G72" s="2000"/>
      <c r="H72" s="2000"/>
      <c r="I72" s="1986"/>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mergeCells count="27">
    <mergeCell ref="I55:L55"/>
    <mergeCell ref="I44:L45"/>
    <mergeCell ref="I46:L47"/>
    <mergeCell ref="A48:B48"/>
    <mergeCell ref="C48:H48"/>
    <mergeCell ref="I48:L50"/>
    <mergeCell ref="I51:L54"/>
    <mergeCell ref="A41:B42"/>
    <mergeCell ref="C41:H41"/>
    <mergeCell ref="C42:H42"/>
    <mergeCell ref="A43:B47"/>
    <mergeCell ref="C43:D43"/>
    <mergeCell ref="E43:H43"/>
    <mergeCell ref="C44:H47"/>
    <mergeCell ref="A6:H6"/>
    <mergeCell ref="A7:B7"/>
    <mergeCell ref="A8:A23"/>
    <mergeCell ref="I15:L28"/>
    <mergeCell ref="A25:A40"/>
    <mergeCell ref="I29:L40"/>
    <mergeCell ref="A5:B5"/>
    <mergeCell ref="A3:B4"/>
    <mergeCell ref="F1:H1"/>
    <mergeCell ref="F2:H2"/>
    <mergeCell ref="C3:E4"/>
    <mergeCell ref="C5:E5"/>
    <mergeCell ref="A1:E2"/>
  </mergeCells>
  <phoneticPr fontId="135" type="noConversion"/>
  <dataValidations count="2">
    <dataValidation allowBlank="1" showErrorMessage="1" promptTitle="存在调整事项时" prompt="_x000a_选择 “E”" sqref="E43:H43">
      <formula1>0</formula1>
      <formula2>0</formula2>
    </dataValidation>
    <dataValidation allowBlank="1" showErrorMessage="1" sqref="G4">
      <formula1>0</formula1>
      <formula2>0</formula2>
    </dataValidation>
  </dataValidations>
  <hyperlinks>
    <hyperlink ref="I5" location="纳税申报数据!A1" display="纳税申报数据"/>
    <hyperlink ref="I8" location="税金附加!A1" display="主营税金审核表"/>
    <hyperlink ref="I9" location="收入与申报核对表!A1" display="收入与申报核对表"/>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4">
    <pageSetUpPr fitToPage="1"/>
  </sheetPr>
  <dimension ref="A1:O51"/>
  <sheetViews>
    <sheetView workbookViewId="0">
      <selection activeCell="A11" sqref="A11"/>
    </sheetView>
  </sheetViews>
  <sheetFormatPr defaultColWidth="9" defaultRowHeight="14.25"/>
  <cols>
    <col min="1" max="1" width="6" style="1894" customWidth="1"/>
    <col min="2" max="2" width="18.375" style="1894" customWidth="1"/>
    <col min="3" max="10" width="14.125" style="1894" customWidth="1"/>
    <col min="11" max="11" width="23" style="1894" customWidth="1"/>
    <col min="12" max="12" width="22.625" style="1894" customWidth="1"/>
    <col min="13" max="16384" width="9" style="1894"/>
  </cols>
  <sheetData>
    <row r="1" spans="1:12" s="2002" customFormat="1" ht="25.9" customHeight="1">
      <c r="A1" s="3207" t="s">
        <v>4635</v>
      </c>
      <c r="B1" s="3207"/>
      <c r="C1" s="3207"/>
      <c r="D1" s="3207"/>
      <c r="E1" s="3207"/>
      <c r="F1" s="3207"/>
      <c r="G1" s="3207"/>
      <c r="H1" s="2754" t="str">
        <f>基本情况!$F$10</f>
        <v>厦中汇税审（2018）第DS0001号</v>
      </c>
      <c r="I1" s="2754"/>
      <c r="J1" s="2754"/>
      <c r="K1" s="3199"/>
    </row>
    <row r="2" spans="1:12" s="2002" customFormat="1" ht="37.15" customHeight="1">
      <c r="A2" s="3208"/>
      <c r="B2" s="3208"/>
      <c r="C2" s="3208"/>
      <c r="D2" s="3208"/>
      <c r="E2" s="3208"/>
      <c r="F2" s="3208"/>
      <c r="G2" s="3208"/>
      <c r="H2" s="2949" t="str">
        <f>"底稿编号："&amp;开始!$J$4</f>
        <v>底稿编号：GL-02</v>
      </c>
      <c r="I2" s="2949"/>
      <c r="J2" s="2949"/>
      <c r="K2" s="3199"/>
    </row>
    <row r="3" spans="1:12" s="1938" customFormat="1" ht="20.100000000000001" customHeight="1">
      <c r="A3" s="3200" t="s">
        <v>4510</v>
      </c>
      <c r="B3" s="3201"/>
      <c r="C3" s="3205" t="str">
        <f>基本情况!$C$3</f>
        <v/>
      </c>
      <c r="D3" s="3061"/>
      <c r="E3" s="3061"/>
      <c r="F3" s="3061"/>
      <c r="G3" s="3062"/>
      <c r="H3" s="2010"/>
      <c r="I3" s="1912" t="s">
        <v>4472</v>
      </c>
      <c r="J3" s="1913" t="s">
        <v>4473</v>
      </c>
      <c r="K3" s="3199"/>
    </row>
    <row r="4" spans="1:12" s="1938" customFormat="1" ht="20.100000000000001" customHeight="1">
      <c r="A4" s="3202"/>
      <c r="B4" s="3070"/>
      <c r="C4" s="3206"/>
      <c r="D4" s="3064"/>
      <c r="E4" s="3064"/>
      <c r="F4" s="3064"/>
      <c r="G4" s="3065"/>
      <c r="H4" s="1427" t="s">
        <v>4407</v>
      </c>
      <c r="I4" s="1914" t="str">
        <f>基本情况!$F$19&amp;""</f>
        <v/>
      </c>
      <c r="J4" s="1908" t="str">
        <f>TEXT(基本情况!$F$27,"yyyy-mm-dd")</f>
        <v>2018-03-16</v>
      </c>
      <c r="K4" s="3199"/>
    </row>
    <row r="5" spans="1:12" s="1938" customFormat="1" ht="20.100000000000001" customHeight="1">
      <c r="A5" s="3203" t="s">
        <v>4512</v>
      </c>
      <c r="B5" s="3204"/>
      <c r="C5" s="3163" t="str">
        <f>基本情况!$F$9</f>
        <v>2017年01月01日至2017年12月31日</v>
      </c>
      <c r="D5" s="3164"/>
      <c r="E5" s="3164"/>
      <c r="F5" s="3164"/>
      <c r="G5" s="3165"/>
      <c r="H5" s="1915" t="s">
        <v>4410</v>
      </c>
      <c r="I5" s="1909" t="str">
        <f>基本情况!$F$18&amp;""</f>
        <v/>
      </c>
      <c r="J5" s="1910" t="str">
        <f>TEXT(基本情况!$F$28,"yyyy-mm-dd")</f>
        <v>2018-05-04</v>
      </c>
      <c r="K5" s="3199"/>
    </row>
    <row r="6" spans="1:12" s="2003" customFormat="1" ht="7.5" customHeight="1">
      <c r="A6" s="3209"/>
      <c r="B6" s="3209"/>
      <c r="C6" s="3209"/>
      <c r="D6" s="3209"/>
      <c r="E6" s="3209"/>
      <c r="F6" s="3209"/>
      <c r="G6" s="3209"/>
      <c r="H6" s="3209"/>
      <c r="I6" s="3209"/>
      <c r="J6" s="3209"/>
    </row>
    <row r="7" spans="1:12" s="1938" customFormat="1" ht="22.5" customHeight="1">
      <c r="A7" s="3210" t="s">
        <v>4524</v>
      </c>
      <c r="B7" s="3211"/>
      <c r="C7" s="3213" t="s">
        <v>4294</v>
      </c>
      <c r="D7" s="3213"/>
      <c r="E7" s="3213"/>
      <c r="F7" s="3214" t="s">
        <v>5793</v>
      </c>
      <c r="G7" s="3214"/>
      <c r="H7" s="3214"/>
      <c r="I7" s="3214"/>
      <c r="J7" s="3215"/>
      <c r="K7" s="841" t="s">
        <v>1724</v>
      </c>
    </row>
    <row r="8" spans="1:12" s="1938" customFormat="1" ht="22.5" customHeight="1">
      <c r="A8" s="3212"/>
      <c r="B8" s="3068"/>
      <c r="C8" s="1920" t="s">
        <v>5794</v>
      </c>
      <c r="D8" s="1920" t="s">
        <v>5795</v>
      </c>
      <c r="E8" s="1920" t="s">
        <v>5796</v>
      </c>
      <c r="F8" s="1920" t="s">
        <v>5797</v>
      </c>
      <c r="G8" s="1920" t="s">
        <v>5042</v>
      </c>
      <c r="H8" s="1920" t="s">
        <v>5794</v>
      </c>
      <c r="I8" s="1920" t="s">
        <v>5795</v>
      </c>
      <c r="J8" s="2013" t="s">
        <v>5796</v>
      </c>
      <c r="K8" s="1965" t="s">
        <v>4369</v>
      </c>
    </row>
    <row r="9" spans="1:12" s="1938" customFormat="1" ht="22.5" customHeight="1">
      <c r="A9" s="2014" t="s">
        <v>4669</v>
      </c>
      <c r="B9" s="2007" t="s">
        <v>5798</v>
      </c>
      <c r="C9" s="2004">
        <f>收入与申报核对表!E8+收入与申报核对表!E10</f>
        <v>0</v>
      </c>
      <c r="D9" s="633"/>
      <c r="E9" s="1888">
        <f>C9+D9</f>
        <v>0</v>
      </c>
      <c r="F9" s="1887"/>
      <c r="G9" s="633"/>
      <c r="H9" s="1884">
        <f>F9+G9</f>
        <v>0</v>
      </c>
      <c r="I9" s="633"/>
      <c r="J9" s="2015">
        <f>H9+I9</f>
        <v>0</v>
      </c>
      <c r="K9" s="1965" t="s">
        <v>5633</v>
      </c>
      <c r="L9" s="841"/>
    </row>
    <row r="10" spans="1:12" s="1938" customFormat="1" ht="22.5" customHeight="1">
      <c r="A10" s="2016"/>
      <c r="B10" s="2008" t="s">
        <v>5799</v>
      </c>
      <c r="C10" s="1758"/>
      <c r="D10" s="1758"/>
      <c r="E10" s="1882">
        <f>C10+D10</f>
        <v>0</v>
      </c>
      <c r="F10" s="1758"/>
      <c r="G10" s="652"/>
      <c r="H10" s="1882">
        <f t="shared" ref="H10:H17" si="0">F10+G10</f>
        <v>0</v>
      </c>
      <c r="I10" s="652"/>
      <c r="J10" s="2017">
        <f t="shared" ref="J10:J17" si="1">H10+I10</f>
        <v>0</v>
      </c>
      <c r="K10" s="1965"/>
      <c r="L10" s="841"/>
    </row>
    <row r="11" spans="1:12" s="1938" customFormat="1" ht="22.5" customHeight="1">
      <c r="A11" s="2018" t="s">
        <v>4670</v>
      </c>
      <c r="B11" s="2009" t="s">
        <v>6122</v>
      </c>
      <c r="C11" s="2005"/>
      <c r="D11" s="1890"/>
      <c r="E11" s="1882">
        <f t="shared" ref="E11:E17" si="2">C11+D11</f>
        <v>0</v>
      </c>
      <c r="F11" s="1880"/>
      <c r="G11" s="1890"/>
      <c r="H11" s="1882">
        <f t="shared" si="0"/>
        <v>0</v>
      </c>
      <c r="I11" s="1890"/>
      <c r="J11" s="2017">
        <f t="shared" si="1"/>
        <v>0</v>
      </c>
      <c r="K11" s="1965" t="s">
        <v>4583</v>
      </c>
      <c r="L11" s="841"/>
    </row>
    <row r="12" spans="1:12" s="1938" customFormat="1" ht="22.5" customHeight="1">
      <c r="A12" s="2018" t="s">
        <v>4671</v>
      </c>
      <c r="B12" s="2009" t="s">
        <v>5801</v>
      </c>
      <c r="C12" s="2005"/>
      <c r="D12" s="1890"/>
      <c r="E12" s="1882">
        <f t="shared" si="2"/>
        <v>0</v>
      </c>
      <c r="F12" s="1880"/>
      <c r="G12" s="1890"/>
      <c r="H12" s="1882">
        <f t="shared" si="0"/>
        <v>0</v>
      </c>
      <c r="I12" s="1890"/>
      <c r="J12" s="2017">
        <f t="shared" si="1"/>
        <v>0</v>
      </c>
      <c r="K12" s="672" t="s">
        <v>4584</v>
      </c>
      <c r="L12" s="841"/>
    </row>
    <row r="13" spans="1:12" s="1938" customFormat="1" ht="22.5" customHeight="1">
      <c r="A13" s="2018" t="s">
        <v>5800</v>
      </c>
      <c r="B13" s="2009" t="s">
        <v>5802</v>
      </c>
      <c r="C13" s="1880"/>
      <c r="D13" s="1890"/>
      <c r="E13" s="1882">
        <f t="shared" si="2"/>
        <v>0</v>
      </c>
      <c r="F13" s="1880"/>
      <c r="G13" s="1890"/>
      <c r="H13" s="1882">
        <f t="shared" si="0"/>
        <v>0</v>
      </c>
      <c r="I13" s="1890"/>
      <c r="J13" s="2017">
        <f t="shared" si="1"/>
        <v>0</v>
      </c>
      <c r="K13" s="672" t="s">
        <v>4585</v>
      </c>
      <c r="L13" s="841"/>
    </row>
    <row r="14" spans="1:12" s="1938" customFormat="1" ht="22.5" customHeight="1">
      <c r="A14" s="3196" t="s">
        <v>6123</v>
      </c>
      <c r="B14" s="1767"/>
      <c r="C14" s="1880"/>
      <c r="D14" s="1890"/>
      <c r="E14" s="1882">
        <f t="shared" si="2"/>
        <v>0</v>
      </c>
      <c r="F14" s="1880"/>
      <c r="G14" s="1890"/>
      <c r="H14" s="1882">
        <f t="shared" si="0"/>
        <v>0</v>
      </c>
      <c r="I14" s="1890"/>
      <c r="J14" s="2017">
        <f t="shared" si="1"/>
        <v>0</v>
      </c>
      <c r="K14" s="1965" t="s">
        <v>4534</v>
      </c>
    </row>
    <row r="15" spans="1:12" s="1938" customFormat="1" ht="22.5" customHeight="1">
      <c r="A15" s="3197"/>
      <c r="B15" s="1432"/>
      <c r="C15" s="1890"/>
      <c r="D15" s="1890"/>
      <c r="E15" s="1882">
        <f t="shared" si="2"/>
        <v>0</v>
      </c>
      <c r="F15" s="1880"/>
      <c r="G15" s="1890"/>
      <c r="H15" s="1882">
        <f t="shared" si="0"/>
        <v>0</v>
      </c>
      <c r="I15" s="1890"/>
      <c r="J15" s="2017">
        <f t="shared" si="1"/>
        <v>0</v>
      </c>
      <c r="K15" s="672" t="s">
        <v>4586</v>
      </c>
    </row>
    <row r="16" spans="1:12" s="1938" customFormat="1" ht="22.5" customHeight="1">
      <c r="A16" s="3197"/>
      <c r="B16" s="1432"/>
      <c r="C16" s="1890"/>
      <c r="D16" s="1890"/>
      <c r="E16" s="1882">
        <f t="shared" si="2"/>
        <v>0</v>
      </c>
      <c r="F16" s="1890"/>
      <c r="G16" s="1890"/>
      <c r="H16" s="1882">
        <f t="shared" si="0"/>
        <v>0</v>
      </c>
      <c r="I16" s="1890"/>
      <c r="J16" s="2017">
        <f t="shared" si="1"/>
        <v>0</v>
      </c>
      <c r="K16" s="672" t="s">
        <v>4587</v>
      </c>
    </row>
    <row r="17" spans="1:15" s="1938" customFormat="1" ht="22.5" customHeight="1">
      <c r="A17" s="3197"/>
      <c r="B17" s="1432"/>
      <c r="C17" s="1890"/>
      <c r="D17" s="1890"/>
      <c r="E17" s="1882">
        <f t="shared" si="2"/>
        <v>0</v>
      </c>
      <c r="F17" s="1890"/>
      <c r="G17" s="1890"/>
      <c r="H17" s="1882">
        <f t="shared" si="0"/>
        <v>0</v>
      </c>
      <c r="I17" s="1890"/>
      <c r="J17" s="2017">
        <f t="shared" si="1"/>
        <v>0</v>
      </c>
      <c r="K17" s="672"/>
      <c r="L17" s="1999"/>
      <c r="M17" s="1999"/>
      <c r="N17" s="1999"/>
      <c r="O17" s="1999"/>
    </row>
    <row r="18" spans="1:15" s="1938" customFormat="1" ht="22.5" customHeight="1">
      <c r="A18" s="3198"/>
      <c r="B18" s="2006" t="s">
        <v>5803</v>
      </c>
      <c r="C18" s="1881">
        <f t="shared" ref="C18:J18" si="3">SUM(C14:C17)</f>
        <v>0</v>
      </c>
      <c r="D18" s="1881">
        <f t="shared" si="3"/>
        <v>0</v>
      </c>
      <c r="E18" s="1881">
        <f t="shared" si="3"/>
        <v>0</v>
      </c>
      <c r="F18" s="1881">
        <f t="shared" si="3"/>
        <v>0</v>
      </c>
      <c r="G18" s="1881">
        <f t="shared" si="3"/>
        <v>0</v>
      </c>
      <c r="H18" s="1881">
        <f t="shared" si="3"/>
        <v>0</v>
      </c>
      <c r="I18" s="1881">
        <f t="shared" si="3"/>
        <v>0</v>
      </c>
      <c r="J18" s="2019">
        <f t="shared" si="3"/>
        <v>0</v>
      </c>
      <c r="K18" s="3174" t="s">
        <v>6124</v>
      </c>
      <c r="L18" s="3101"/>
      <c r="M18" s="3101"/>
      <c r="N18" s="3101"/>
      <c r="O18" s="3101"/>
    </row>
    <row r="19" spans="1:15" s="1938" customFormat="1" ht="22.5" customHeight="1">
      <c r="A19" s="3212" t="s">
        <v>757</v>
      </c>
      <c r="B19" s="3068"/>
      <c r="C19" s="1883">
        <f>SUM(C9,C11:C13,C18)</f>
        <v>0</v>
      </c>
      <c r="D19" s="1883">
        <f t="shared" ref="D19:J19" si="4">SUM(D9,D11:D13,D18)</f>
        <v>0</v>
      </c>
      <c r="E19" s="1883">
        <f t="shared" si="4"/>
        <v>0</v>
      </c>
      <c r="F19" s="1883">
        <f t="shared" si="4"/>
        <v>0</v>
      </c>
      <c r="G19" s="1883">
        <f t="shared" si="4"/>
        <v>0</v>
      </c>
      <c r="H19" s="1883">
        <f t="shared" si="4"/>
        <v>0</v>
      </c>
      <c r="I19" s="1883">
        <f t="shared" si="4"/>
        <v>0</v>
      </c>
      <c r="J19" s="2020">
        <f t="shared" si="4"/>
        <v>0</v>
      </c>
      <c r="K19" s="3174"/>
      <c r="L19" s="3101"/>
      <c r="M19" s="3101"/>
      <c r="N19" s="3101"/>
      <c r="O19" s="3101"/>
    </row>
    <row r="20" spans="1:15" s="1938" customFormat="1" ht="22.5" customHeight="1">
      <c r="A20" s="3212" t="s">
        <v>5804</v>
      </c>
      <c r="B20" s="3068"/>
      <c r="C20" s="3068"/>
      <c r="D20" s="3068"/>
      <c r="E20" s="1963" t="s">
        <v>5794</v>
      </c>
      <c r="F20" s="1883">
        <f>C19-H19</f>
        <v>0</v>
      </c>
      <c r="G20" s="1963" t="s">
        <v>5795</v>
      </c>
      <c r="H20" s="1883">
        <f>D19-I19</f>
        <v>0</v>
      </c>
      <c r="I20" s="1963" t="s">
        <v>5796</v>
      </c>
      <c r="J20" s="2020">
        <f>F20+H20</f>
        <v>0</v>
      </c>
      <c r="K20" s="3174"/>
      <c r="L20" s="3101"/>
      <c r="M20" s="3101"/>
      <c r="N20" s="3101"/>
      <c r="O20" s="3101"/>
    </row>
    <row r="21" spans="1:15" s="1938" customFormat="1" ht="22.5" customHeight="1">
      <c r="A21" s="3176" t="s">
        <v>4430</v>
      </c>
      <c r="B21" s="3177"/>
      <c r="C21" s="3180" t="str">
        <f>IF($C$19&lt;&gt;利润表!$C$7,"营业收入账载数与报表数相差"&amp;DOLLAR($C$19-利润表!$C$7,2)&amp;"元！","营业收入账载数与报表数相符！")</f>
        <v>营业收入账载数与报表数相符！</v>
      </c>
      <c r="D21" s="3180"/>
      <c r="E21" s="3180"/>
      <c r="F21" s="3180"/>
      <c r="G21" s="3180"/>
      <c r="H21" s="3180"/>
      <c r="I21" s="3180"/>
      <c r="J21" s="3181"/>
      <c r="K21" s="3174"/>
      <c r="L21" s="3101"/>
      <c r="M21" s="3101"/>
      <c r="N21" s="3101"/>
      <c r="O21" s="3101"/>
    </row>
    <row r="22" spans="1:15" s="1938" customFormat="1" ht="22.5" customHeight="1">
      <c r="A22" s="3178"/>
      <c r="B22" s="3179"/>
      <c r="C22" s="3186" t="str">
        <f>IF($H$19&lt;&gt;利润表!$C$10,"营业成本账载数与报表数相差"&amp;DOLLAR($H$19-利润表!$C$10,2)&amp;"元！","营业成本账载数与报表数相符！")</f>
        <v>营业成本账载数与报表数相符！</v>
      </c>
      <c r="D22" s="3187"/>
      <c r="E22" s="3187"/>
      <c r="F22" s="3187"/>
      <c r="G22" s="3187"/>
      <c r="H22" s="3187"/>
      <c r="I22" s="3187"/>
      <c r="J22" s="3188"/>
      <c r="K22" s="3174"/>
      <c r="L22" s="3101"/>
      <c r="M22" s="3101"/>
      <c r="N22" s="3101"/>
      <c r="O22" s="3101"/>
    </row>
    <row r="23" spans="1:15" s="774" customFormat="1" ht="15" customHeight="1">
      <c r="A23" s="3189" t="s">
        <v>4431</v>
      </c>
      <c r="B23" s="3190"/>
      <c r="C23" s="3191" t="s">
        <v>4607</v>
      </c>
      <c r="D23" s="3191"/>
      <c r="E23" s="3192" t="str">
        <f>IF(OR(D19&lt;&gt;0,I19&lt;&gt;0),"、E","")</f>
        <v/>
      </c>
      <c r="F23" s="3192"/>
      <c r="G23" s="3192"/>
      <c r="H23" s="3192"/>
      <c r="I23" s="3192"/>
      <c r="J23" s="3193"/>
      <c r="K23" s="3174"/>
      <c r="L23" s="3101"/>
      <c r="M23" s="3101"/>
      <c r="N23" s="3101"/>
      <c r="O23" s="3101"/>
    </row>
    <row r="24" spans="1:15" s="774" customFormat="1" ht="22.5" customHeight="1">
      <c r="A24" s="3189"/>
      <c r="B24" s="3190"/>
      <c r="C24" s="3194"/>
      <c r="D24" s="3194"/>
      <c r="E24" s="3194"/>
      <c r="F24" s="3194"/>
      <c r="G24" s="3194"/>
      <c r="H24" s="3194"/>
      <c r="I24" s="3194"/>
      <c r="J24" s="3195"/>
      <c r="K24" s="3174"/>
      <c r="L24" s="3101"/>
      <c r="M24" s="3101"/>
      <c r="N24" s="3101"/>
      <c r="O24" s="3101"/>
    </row>
    <row r="25" spans="1:15" s="774" customFormat="1" ht="9" customHeight="1">
      <c r="A25" s="3189"/>
      <c r="B25" s="3190"/>
      <c r="C25" s="3194"/>
      <c r="D25" s="3194"/>
      <c r="E25" s="3194"/>
      <c r="F25" s="3194"/>
      <c r="G25" s="3194"/>
      <c r="H25" s="3194"/>
      <c r="I25" s="3194"/>
      <c r="J25" s="3195"/>
      <c r="K25" s="3174"/>
      <c r="L25" s="3101"/>
      <c r="M25" s="3101"/>
      <c r="N25" s="3101"/>
      <c r="O25" s="3101"/>
    </row>
    <row r="26" spans="1:15" s="774" customFormat="1" ht="22.5" customHeight="1">
      <c r="A26" s="3182" t="s">
        <v>4433</v>
      </c>
      <c r="B26" s="3183"/>
      <c r="C26" s="3184" t="str">
        <f>IF(OR(D19&lt;&gt;0,I19&lt;&gt;0),"调整后认可！","不存在调整事项，认可！")</f>
        <v>不存在调整事项，认可！</v>
      </c>
      <c r="D26" s="3184"/>
      <c r="E26" s="3184"/>
      <c r="F26" s="3184"/>
      <c r="G26" s="3184"/>
      <c r="H26" s="3184"/>
      <c r="I26" s="3184"/>
      <c r="J26" s="3185"/>
      <c r="K26" s="3174"/>
      <c r="L26" s="3101"/>
      <c r="M26" s="3101"/>
      <c r="N26" s="3101"/>
      <c r="O26" s="3101"/>
    </row>
    <row r="27" spans="1:15" s="774" customFormat="1" ht="20.100000000000001" customHeight="1">
      <c r="A27" s="1894"/>
      <c r="B27" s="1894"/>
      <c r="C27" s="1894"/>
      <c r="D27" s="1894"/>
      <c r="E27" s="1894"/>
      <c r="F27" s="1894"/>
      <c r="G27" s="1894"/>
      <c r="H27" s="1894"/>
      <c r="I27" s="1894"/>
      <c r="J27" s="1894"/>
      <c r="K27" s="1759"/>
    </row>
    <row r="28" spans="1:15" s="774" customFormat="1" ht="29.25" customHeight="1">
      <c r="A28" s="1894"/>
      <c r="B28" s="1894"/>
      <c r="C28" s="1894"/>
      <c r="D28" s="1894"/>
      <c r="E28" s="1894"/>
      <c r="F28" s="1894"/>
      <c r="G28" s="1894"/>
      <c r="H28" s="1894"/>
      <c r="I28" s="1894"/>
      <c r="J28" s="1894"/>
      <c r="K28" s="1759"/>
    </row>
    <row r="29" spans="1:15" s="774" customFormat="1" ht="20.100000000000001" customHeight="1">
      <c r="A29" s="1894"/>
      <c r="B29" s="1894"/>
      <c r="C29" s="1894"/>
      <c r="D29" s="1894"/>
      <c r="E29" s="1894"/>
      <c r="F29" s="1894"/>
      <c r="G29" s="1894"/>
      <c r="H29" s="1894"/>
      <c r="I29" s="1894"/>
      <c r="J29" s="1894"/>
    </row>
    <row r="30" spans="1:15" s="774" customFormat="1" ht="20.100000000000001" customHeight="1">
      <c r="A30" s="1894"/>
      <c r="B30" s="1894"/>
      <c r="C30" s="1894"/>
      <c r="D30" s="1894"/>
      <c r="E30" s="1894"/>
      <c r="F30" s="1894"/>
      <c r="G30" s="1894"/>
      <c r="H30" s="1894"/>
      <c r="I30" s="1894"/>
      <c r="J30" s="1894"/>
    </row>
    <row r="31" spans="1:15" s="774" customFormat="1" ht="20.100000000000001" customHeight="1">
      <c r="A31" s="1894"/>
      <c r="B31" s="1894"/>
      <c r="C31" s="1894"/>
      <c r="D31" s="1894"/>
      <c r="E31" s="1894"/>
      <c r="F31" s="1894"/>
      <c r="G31" s="1894"/>
      <c r="H31" s="1894"/>
      <c r="I31" s="1894"/>
      <c r="J31" s="1894"/>
    </row>
    <row r="32" spans="1:15" s="774" customFormat="1" ht="20.100000000000001" customHeight="1">
      <c r="A32" s="1894"/>
      <c r="B32" s="1894"/>
      <c r="C32" s="1894"/>
      <c r="D32" s="1894"/>
      <c r="E32" s="1894"/>
      <c r="F32" s="1894"/>
      <c r="G32" s="1894"/>
      <c r="H32" s="1894"/>
      <c r="I32" s="1894"/>
      <c r="J32" s="1894"/>
    </row>
    <row r="33" spans="1:10" s="774" customFormat="1" ht="20.100000000000001" customHeight="1">
      <c r="A33" s="1894"/>
      <c r="B33" s="1894"/>
      <c r="C33" s="1894"/>
      <c r="D33" s="1894"/>
      <c r="E33" s="1894"/>
      <c r="F33" s="1894"/>
      <c r="G33" s="1894"/>
      <c r="H33" s="1894"/>
      <c r="I33" s="1894"/>
      <c r="J33" s="1894"/>
    </row>
    <row r="34" spans="1:10" s="774" customFormat="1" ht="20.100000000000001" customHeight="1">
      <c r="A34" s="1894"/>
      <c r="B34" s="1894"/>
      <c r="C34" s="1894"/>
      <c r="D34" s="1894"/>
      <c r="E34" s="1894"/>
      <c r="F34" s="1894"/>
      <c r="G34" s="1894"/>
      <c r="H34" s="1894"/>
      <c r="I34" s="1894"/>
      <c r="J34" s="1894"/>
    </row>
    <row r="35" spans="1:10" s="774" customFormat="1" ht="20.100000000000001" customHeight="1">
      <c r="A35" s="1894"/>
      <c r="B35" s="1894"/>
      <c r="C35" s="1894"/>
      <c r="D35" s="1894"/>
      <c r="E35" s="1894"/>
      <c r="F35" s="1894"/>
      <c r="G35" s="1894"/>
      <c r="H35" s="1894"/>
      <c r="I35" s="1894"/>
      <c r="J35" s="1894"/>
    </row>
    <row r="36" spans="1:10" s="774" customFormat="1" ht="20.100000000000001" customHeight="1">
      <c r="A36" s="1894"/>
      <c r="B36" s="1894"/>
      <c r="C36" s="1894"/>
      <c r="D36" s="1894"/>
      <c r="E36" s="1894"/>
      <c r="F36" s="1894"/>
      <c r="G36" s="1894"/>
      <c r="H36" s="1894"/>
      <c r="I36" s="1894"/>
      <c r="J36" s="1894"/>
    </row>
    <row r="37" spans="1:10" s="774" customFormat="1" ht="20.100000000000001" customHeight="1">
      <c r="A37" s="1894"/>
      <c r="B37" s="1894"/>
      <c r="C37" s="1894"/>
      <c r="D37" s="1894"/>
      <c r="E37" s="1894"/>
      <c r="F37" s="1894"/>
      <c r="G37" s="1894"/>
      <c r="H37" s="1894"/>
      <c r="I37" s="1894"/>
      <c r="J37" s="1894"/>
    </row>
    <row r="38" spans="1:10" s="774" customFormat="1" ht="26.25" customHeight="1">
      <c r="A38" s="1894"/>
      <c r="B38" s="1894"/>
      <c r="C38" s="1894"/>
      <c r="D38" s="1894"/>
      <c r="E38" s="1894"/>
      <c r="F38" s="1894"/>
      <c r="G38" s="1894"/>
      <c r="H38" s="1894"/>
      <c r="I38" s="1894"/>
      <c r="J38" s="1894"/>
    </row>
    <row r="39" spans="1:10" s="774" customFormat="1" ht="20.100000000000001" customHeight="1">
      <c r="A39" s="1894"/>
      <c r="B39" s="1894"/>
      <c r="C39" s="1894"/>
      <c r="D39" s="1894"/>
      <c r="E39" s="1894"/>
      <c r="F39" s="1894"/>
      <c r="G39" s="1894"/>
      <c r="H39" s="1894"/>
      <c r="I39" s="1894"/>
      <c r="J39" s="1894"/>
    </row>
    <row r="40" spans="1:10" s="774" customFormat="1" ht="20.100000000000001" customHeight="1">
      <c r="A40" s="1894"/>
      <c r="B40" s="1894"/>
      <c r="C40" s="1894"/>
      <c r="D40" s="1894"/>
      <c r="E40" s="1894"/>
      <c r="F40" s="1894"/>
      <c r="G40" s="1894"/>
      <c r="H40" s="1894"/>
      <c r="I40" s="1894"/>
      <c r="J40" s="1894"/>
    </row>
    <row r="41" spans="1:10" s="774" customFormat="1" ht="20.100000000000001" customHeight="1">
      <c r="A41" s="1894"/>
      <c r="B41" s="1894"/>
      <c r="C41" s="1894"/>
      <c r="D41" s="1894"/>
      <c r="E41" s="1894"/>
      <c r="F41" s="1894"/>
      <c r="G41" s="1894"/>
      <c r="H41" s="1894"/>
      <c r="I41" s="1894"/>
      <c r="J41" s="1894"/>
    </row>
    <row r="42" spans="1:10" s="774" customFormat="1" ht="20.100000000000001" customHeight="1">
      <c r="A42" s="1894"/>
      <c r="B42" s="1894"/>
      <c r="C42" s="1894"/>
      <c r="D42" s="1894"/>
      <c r="E42" s="1894"/>
      <c r="F42" s="1894"/>
      <c r="G42" s="1894"/>
      <c r="H42" s="1894"/>
      <c r="I42" s="1894"/>
      <c r="J42" s="1894"/>
    </row>
    <row r="43" spans="1:10" s="774" customFormat="1" ht="20.100000000000001" customHeight="1">
      <c r="A43" s="1894"/>
      <c r="B43" s="1894"/>
      <c r="C43" s="1894"/>
      <c r="D43" s="1894"/>
      <c r="E43" s="1894"/>
      <c r="F43" s="1894"/>
      <c r="G43" s="1894"/>
      <c r="H43" s="1894"/>
      <c r="I43" s="1894"/>
      <c r="J43" s="1894"/>
    </row>
    <row r="44" spans="1:10" s="774" customFormat="1" ht="20.100000000000001" customHeight="1">
      <c r="A44" s="1894"/>
      <c r="B44" s="1894"/>
      <c r="C44" s="1894"/>
      <c r="D44" s="1894"/>
      <c r="E44" s="1894"/>
      <c r="F44" s="1894"/>
      <c r="G44" s="1894"/>
      <c r="H44" s="1894"/>
      <c r="I44" s="1894"/>
      <c r="J44" s="1894"/>
    </row>
    <row r="45" spans="1:10" s="774" customFormat="1" ht="20.100000000000001" customHeight="1">
      <c r="A45" s="1894"/>
      <c r="B45" s="1894"/>
      <c r="C45" s="1894"/>
      <c r="D45" s="1894"/>
      <c r="E45" s="1894"/>
      <c r="F45" s="1894"/>
      <c r="G45" s="1894"/>
      <c r="H45" s="1894"/>
      <c r="I45" s="1894"/>
      <c r="J45" s="1894"/>
    </row>
    <row r="46" spans="1:10" s="774" customFormat="1" ht="20.100000000000001" customHeight="1">
      <c r="A46" s="1894"/>
      <c r="B46" s="1894"/>
      <c r="C46" s="1894"/>
      <c r="D46" s="1894"/>
      <c r="E46" s="1894"/>
      <c r="F46" s="1894"/>
      <c r="G46" s="1894"/>
      <c r="H46" s="1894"/>
      <c r="I46" s="1894"/>
      <c r="J46" s="1894"/>
    </row>
    <row r="47" spans="1:10" s="774" customFormat="1" ht="20.100000000000001" customHeight="1">
      <c r="A47" s="1894"/>
      <c r="B47" s="1894"/>
      <c r="C47" s="1894"/>
      <c r="D47" s="1894"/>
      <c r="E47" s="1894"/>
      <c r="F47" s="1894"/>
      <c r="G47" s="1894"/>
      <c r="H47" s="1894"/>
      <c r="I47" s="1894"/>
      <c r="J47" s="1894"/>
    </row>
    <row r="48" spans="1:10" s="774" customFormat="1" ht="20.100000000000001" customHeight="1">
      <c r="A48" s="1894"/>
      <c r="B48" s="1894"/>
      <c r="C48" s="1894"/>
      <c r="D48" s="1894"/>
      <c r="E48" s="1894"/>
      <c r="F48" s="1894"/>
      <c r="G48" s="1894"/>
      <c r="H48" s="1894"/>
      <c r="I48" s="1894"/>
      <c r="J48" s="1894"/>
    </row>
    <row r="49" spans="1:10" s="774" customFormat="1" ht="20.100000000000001" customHeight="1">
      <c r="A49" s="1894"/>
      <c r="B49" s="1894"/>
      <c r="C49" s="1894"/>
      <c r="D49" s="1894"/>
      <c r="E49" s="1894"/>
      <c r="F49" s="1894"/>
      <c r="G49" s="1894"/>
      <c r="H49" s="1894"/>
      <c r="I49" s="1894"/>
      <c r="J49" s="1894"/>
    </row>
    <row r="50" spans="1:10" s="774" customFormat="1" ht="20.100000000000001" customHeight="1">
      <c r="A50" s="1894"/>
      <c r="B50" s="1894"/>
      <c r="C50" s="1894"/>
      <c r="D50" s="1894"/>
      <c r="E50" s="1894"/>
      <c r="F50" s="1894"/>
      <c r="G50" s="1894"/>
      <c r="H50" s="1894"/>
      <c r="I50" s="1894"/>
      <c r="J50" s="1894"/>
    </row>
    <row r="51" spans="1:10" s="774" customFormat="1" ht="20.100000000000001" customHeight="1">
      <c r="A51" s="1894"/>
      <c r="B51" s="1894"/>
      <c r="C51" s="1894"/>
      <c r="D51" s="1894"/>
      <c r="E51" s="1894"/>
      <c r="F51" s="1894"/>
      <c r="G51" s="1894"/>
      <c r="H51" s="1894"/>
      <c r="I51" s="1894"/>
      <c r="J51" s="1894"/>
    </row>
  </sheetData>
  <sheetProtection formatCells="0" selectLockedCells="1"/>
  <mergeCells count="25">
    <mergeCell ref="A14:A18"/>
    <mergeCell ref="K1:K5"/>
    <mergeCell ref="A3:B4"/>
    <mergeCell ref="A5:B5"/>
    <mergeCell ref="H1:J1"/>
    <mergeCell ref="H2:J2"/>
    <mergeCell ref="C3:G4"/>
    <mergeCell ref="C5:G5"/>
    <mergeCell ref="A1:G2"/>
    <mergeCell ref="A6:J6"/>
    <mergeCell ref="A7:B8"/>
    <mergeCell ref="C7:E7"/>
    <mergeCell ref="F7:J7"/>
    <mergeCell ref="K18:O26"/>
    <mergeCell ref="A19:B19"/>
    <mergeCell ref="A20:D20"/>
    <mergeCell ref="A21:B22"/>
    <mergeCell ref="C21:J21"/>
    <mergeCell ref="A26:B26"/>
    <mergeCell ref="C26:J26"/>
    <mergeCell ref="C22:J22"/>
    <mergeCell ref="A23:B25"/>
    <mergeCell ref="C23:D23"/>
    <mergeCell ref="E23:J23"/>
    <mergeCell ref="C24:J25"/>
  </mergeCells>
  <phoneticPr fontId="135" type="noConversion"/>
  <dataValidations count="2">
    <dataValidation allowBlank="1" showErrorMessage="1" promptTitle="存在调整事项时" prompt="_x000a_选择 “E”" sqref="E23:J23">
      <formula1>0</formula1>
      <formula2>0</formula2>
    </dataValidation>
    <dataValidation allowBlank="1" showErrorMessage="1" sqref="I4">
      <formula1>0</formula1>
      <formula2>0</formula2>
    </dataValidation>
  </dataValidations>
  <hyperlinks>
    <hyperlink ref="K8" location="纳税申报数据!A1" display="纳税申报数据"/>
    <hyperlink ref="K9" location="税费缴纳测算!A1" display="税费缴纳测算"/>
    <hyperlink ref="K11" location="主营税金!A1" display="主营税金审核表"/>
    <hyperlink ref="K12" location="收入与申报核对表!A1" display="收入与申报核对表"/>
    <hyperlink ref="K13" location="收入明细表!A1" display="收入明细表"/>
    <hyperlink ref="K14" location="利润!A1" display="利润及利润分配表"/>
    <hyperlink ref="K15" location="企业各税审核汇总表!A1" display="企业各税审核汇总表"/>
    <hyperlink ref="K16" location="成本费用明细表!A1" display="成本费用明细表!A1"/>
  </hyperlinks>
  <printOptions horizontalCentered="1"/>
  <pageMargins left="0.59055118110236215" right="0.59055118110236215" top="0.39370078740157477" bottom="0.39370078740157477" header="0.511811023622047" footer="0.511811023622047"/>
  <pageSetup paperSize="9" scale="93" firstPageNumber="0" fitToHeight="0" orientation="landscape" blackAndWhite="1" r:id="rId1"/>
  <headerFooter alignWithMargins="0"/>
  <drawing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H22"/>
  <sheetViews>
    <sheetView workbookViewId="0">
      <selection activeCell="D13" sqref="D13"/>
    </sheetView>
  </sheetViews>
  <sheetFormatPr defaultRowHeight="16.5"/>
  <cols>
    <col min="1" max="1" width="4.75" customWidth="1"/>
    <col min="2" max="2" width="28.625" customWidth="1"/>
    <col min="3" max="3" width="2.875" customWidth="1"/>
    <col min="4" max="4" width="14.625" customWidth="1"/>
    <col min="5" max="5" width="22.375" customWidth="1"/>
    <col min="6" max="6" width="14.625" customWidth="1"/>
    <col min="7" max="7" width="22.5" customWidth="1"/>
  </cols>
  <sheetData>
    <row r="1" spans="1:8" ht="25.9" customHeight="1">
      <c r="A1" s="3220" t="s">
        <v>4369</v>
      </c>
      <c r="B1" s="3220"/>
      <c r="C1" s="3220"/>
      <c r="D1" s="3220"/>
      <c r="E1" s="3220"/>
      <c r="F1" s="3220"/>
      <c r="G1" s="2754" t="str">
        <f>基本情况!$F$10</f>
        <v>厦中汇税审（2018）第DS0001号</v>
      </c>
      <c r="H1" s="2754"/>
    </row>
    <row r="2" spans="1:8" ht="37.15" customHeight="1">
      <c r="A2" s="3220"/>
      <c r="B2" s="3220"/>
      <c r="C2" s="3220"/>
      <c r="D2" s="3220"/>
      <c r="E2" s="3220"/>
      <c r="F2" s="3220"/>
      <c r="G2" s="3219" t="str">
        <f>"底稿编号："&amp;开始!J5</f>
        <v>底稿编号：GL-03</v>
      </c>
      <c r="H2" s="3219"/>
    </row>
    <row r="3" spans="1:8">
      <c r="A3" s="981" t="str">
        <f>"纳税人名称："&amp;基本情况!$C$3</f>
        <v>纳税人名称：</v>
      </c>
      <c r="B3" s="981"/>
      <c r="C3" s="981"/>
      <c r="D3" s="981"/>
      <c r="E3" s="981"/>
      <c r="F3" s="981"/>
      <c r="G3" s="981"/>
      <c r="H3" s="981"/>
    </row>
    <row r="4" spans="1:8">
      <c r="A4" s="3221" t="s">
        <v>4371</v>
      </c>
      <c r="B4" s="3221"/>
      <c r="C4" s="3221"/>
      <c r="D4" s="3221"/>
      <c r="E4" s="3221" t="s">
        <v>4372</v>
      </c>
      <c r="F4" s="3221"/>
      <c r="G4" s="3221" t="s">
        <v>4373</v>
      </c>
      <c r="H4" s="3221"/>
    </row>
    <row r="5" spans="1:8">
      <c r="A5" s="3221" t="s">
        <v>4374</v>
      </c>
      <c r="B5" s="3221"/>
      <c r="C5" s="3223" t="s">
        <v>4396</v>
      </c>
      <c r="D5" s="3221" t="s">
        <v>4375</v>
      </c>
      <c r="E5" s="3221" t="s">
        <v>4374</v>
      </c>
      <c r="F5" s="3221" t="s">
        <v>4375</v>
      </c>
      <c r="G5" s="3222" t="s">
        <v>750</v>
      </c>
      <c r="H5" s="3221" t="s">
        <v>4378</v>
      </c>
    </row>
    <row r="6" spans="1:8">
      <c r="A6" s="3221"/>
      <c r="B6" s="3221"/>
      <c r="C6" s="3223"/>
      <c r="D6" s="3221"/>
      <c r="E6" s="3221"/>
      <c r="F6" s="3221"/>
      <c r="G6" s="3222"/>
      <c r="H6" s="3221"/>
    </row>
    <row r="7" spans="1:8">
      <c r="A7" s="3218" t="s">
        <v>4368</v>
      </c>
      <c r="B7" s="2096" t="s">
        <v>4391</v>
      </c>
      <c r="C7" s="1562">
        <v>1</v>
      </c>
      <c r="D7" s="563"/>
      <c r="E7" s="3216" t="s">
        <v>4398</v>
      </c>
      <c r="F7" s="3217"/>
      <c r="G7" s="2209" t="s">
        <v>4379</v>
      </c>
      <c r="H7" s="1982"/>
    </row>
    <row r="8" spans="1:8">
      <c r="A8" s="3218"/>
      <c r="B8" s="2096" t="s">
        <v>4392</v>
      </c>
      <c r="C8" s="1562">
        <v>5</v>
      </c>
      <c r="D8" s="563"/>
      <c r="E8" s="3216"/>
      <c r="F8" s="3217"/>
      <c r="G8" s="2209" t="s">
        <v>4380</v>
      </c>
      <c r="H8" s="1982"/>
    </row>
    <row r="9" spans="1:8">
      <c r="A9" s="3218"/>
      <c r="B9" s="2096" t="s">
        <v>4393</v>
      </c>
      <c r="C9" s="1562">
        <v>7</v>
      </c>
      <c r="D9" s="563"/>
      <c r="E9" s="3216" t="s">
        <v>4399</v>
      </c>
      <c r="F9" s="3217"/>
      <c r="G9" s="2210"/>
      <c r="H9" s="1983"/>
    </row>
    <row r="10" spans="1:8">
      <c r="A10" s="3218"/>
      <c r="B10" s="2096" t="s">
        <v>4394</v>
      </c>
      <c r="C10" s="1562">
        <v>8</v>
      </c>
      <c r="D10" s="563"/>
      <c r="E10" s="3216"/>
      <c r="F10" s="3217"/>
      <c r="G10" s="2211"/>
      <c r="H10" s="1983"/>
    </row>
    <row r="11" spans="1:8">
      <c r="A11" s="3218"/>
      <c r="B11" s="2192" t="s">
        <v>4381</v>
      </c>
      <c r="C11" s="1562"/>
      <c r="D11" s="2191">
        <f>SUM(D7:D10)</f>
        <v>0</v>
      </c>
      <c r="E11" s="3216" t="s">
        <v>4400</v>
      </c>
      <c r="F11" s="3217"/>
      <c r="G11" s="2212" t="s">
        <v>4382</v>
      </c>
      <c r="H11" s="1984">
        <f>IF(H8&lt;0,H7,H7+H8)</f>
        <v>0</v>
      </c>
    </row>
    <row r="12" spans="1:8">
      <c r="A12" s="3218" t="s">
        <v>4383</v>
      </c>
      <c r="B12" s="2096" t="s">
        <v>4377</v>
      </c>
      <c r="C12" s="1562">
        <v>19</v>
      </c>
      <c r="D12" s="563"/>
      <c r="E12" s="3216"/>
      <c r="F12" s="3217"/>
      <c r="G12" s="3232" t="s">
        <v>6119</v>
      </c>
      <c r="H12" s="3233"/>
    </row>
    <row r="13" spans="1:8">
      <c r="A13" s="3218"/>
      <c r="B13" s="2096" t="s">
        <v>4395</v>
      </c>
      <c r="C13" s="1562">
        <v>21</v>
      </c>
      <c r="D13" s="563"/>
      <c r="E13" s="2193" t="s">
        <v>4394</v>
      </c>
      <c r="F13" s="563"/>
      <c r="G13" s="3232"/>
      <c r="H13" s="3233"/>
    </row>
    <row r="14" spans="1:8" ht="33">
      <c r="A14" s="3218"/>
      <c r="B14" s="2193" t="s">
        <v>4397</v>
      </c>
      <c r="C14" s="1562">
        <v>22</v>
      </c>
      <c r="D14" s="563"/>
      <c r="E14" s="2193" t="s">
        <v>4401</v>
      </c>
      <c r="F14" s="563"/>
      <c r="G14" s="3232" t="s">
        <v>6120</v>
      </c>
      <c r="H14" s="3233"/>
    </row>
    <row r="15" spans="1:8">
      <c r="A15" s="3218"/>
      <c r="B15" s="2096" t="s">
        <v>4384</v>
      </c>
      <c r="C15" s="1562">
        <v>23</v>
      </c>
      <c r="D15" s="563"/>
      <c r="E15" s="2193" t="s">
        <v>4402</v>
      </c>
      <c r="F15" s="2191">
        <f>SUM(F7:F14)</f>
        <v>0</v>
      </c>
      <c r="G15" s="3232"/>
      <c r="H15" s="3233"/>
    </row>
    <row r="16" spans="1:8">
      <c r="A16" s="3218"/>
      <c r="B16" s="2096" t="s">
        <v>4385</v>
      </c>
      <c r="C16" s="1562">
        <v>24</v>
      </c>
      <c r="D16" s="2191">
        <f>D12+D13-D15</f>
        <v>0</v>
      </c>
      <c r="E16" s="2213" t="s">
        <v>4403</v>
      </c>
      <c r="F16" s="563"/>
      <c r="G16" s="3226"/>
      <c r="H16" s="3227"/>
    </row>
    <row r="17" spans="1:8">
      <c r="A17" s="3218"/>
      <c r="B17" s="2096" t="s">
        <v>4386</v>
      </c>
      <c r="C17" s="1562"/>
      <c r="D17" s="563"/>
      <c r="E17" s="2213" t="s">
        <v>6425</v>
      </c>
      <c r="F17" s="563"/>
      <c r="G17" s="3228"/>
      <c r="H17" s="3229"/>
    </row>
    <row r="18" spans="1:8" ht="15" customHeight="1">
      <c r="A18" s="2194"/>
      <c r="B18" s="2096" t="s">
        <v>4406</v>
      </c>
      <c r="C18" s="1562"/>
      <c r="D18" s="2198"/>
      <c r="E18" s="2213" t="s">
        <v>4404</v>
      </c>
      <c r="F18" s="563"/>
      <c r="G18" s="3228"/>
      <c r="H18" s="3229"/>
    </row>
    <row r="19" spans="1:8">
      <c r="A19" s="3218" t="s">
        <v>6424</v>
      </c>
      <c r="B19" s="2096" t="s">
        <v>4387</v>
      </c>
      <c r="C19" s="1562"/>
      <c r="D19" s="2195">
        <f>IF(ISERROR(D13/D8),0,D13/D8)</f>
        <v>0</v>
      </c>
      <c r="E19" s="2213" t="s">
        <v>4405</v>
      </c>
      <c r="F19" s="2191">
        <f>F16-F17-F18</f>
        <v>0</v>
      </c>
      <c r="G19" s="3228"/>
      <c r="H19" s="3229"/>
    </row>
    <row r="20" spans="1:8">
      <c r="A20" s="3218"/>
      <c r="B20" s="2096" t="s">
        <v>4389</v>
      </c>
      <c r="C20" s="1562"/>
      <c r="D20" s="563"/>
      <c r="E20" s="3226"/>
      <c r="F20" s="3227"/>
      <c r="G20" s="3228"/>
      <c r="H20" s="3229"/>
    </row>
    <row r="21" spans="1:8">
      <c r="A21" s="3218"/>
      <c r="B21" s="2096" t="s">
        <v>4390</v>
      </c>
      <c r="C21" s="1562"/>
      <c r="D21" s="563"/>
      <c r="E21" s="3230"/>
      <c r="F21" s="3231"/>
      <c r="G21" s="3230"/>
      <c r="H21" s="3231"/>
    </row>
    <row r="22" spans="1:8" ht="63.75" customHeight="1">
      <c r="A22" s="2411" t="s">
        <v>4388</v>
      </c>
      <c r="B22" s="3224"/>
      <c r="C22" s="3225"/>
      <c r="D22" s="3225"/>
      <c r="E22" s="3225"/>
      <c r="F22" s="3225"/>
      <c r="G22" s="3225"/>
      <c r="H22" s="3222"/>
    </row>
  </sheetData>
  <mergeCells count="29">
    <mergeCell ref="B22:H22"/>
    <mergeCell ref="G16:H21"/>
    <mergeCell ref="E20:F21"/>
    <mergeCell ref="G12:G13"/>
    <mergeCell ref="H12:H13"/>
    <mergeCell ref="G14:G15"/>
    <mergeCell ref="H14:H15"/>
    <mergeCell ref="G1:H1"/>
    <mergeCell ref="G2:H2"/>
    <mergeCell ref="A1:F2"/>
    <mergeCell ref="E7:E8"/>
    <mergeCell ref="F7:F8"/>
    <mergeCell ref="A4:D4"/>
    <mergeCell ref="D5:D6"/>
    <mergeCell ref="E4:F4"/>
    <mergeCell ref="E5:E6"/>
    <mergeCell ref="F5:F6"/>
    <mergeCell ref="G5:G6"/>
    <mergeCell ref="H5:H6"/>
    <mergeCell ref="G4:H4"/>
    <mergeCell ref="A5:B6"/>
    <mergeCell ref="C5:C6"/>
    <mergeCell ref="E9:E10"/>
    <mergeCell ref="F9:F10"/>
    <mergeCell ref="A12:A17"/>
    <mergeCell ref="A19:A21"/>
    <mergeCell ref="A7:A11"/>
    <mergeCell ref="E11:E12"/>
    <mergeCell ref="F11:F12"/>
  </mergeCells>
  <phoneticPr fontId="135" type="noConversion"/>
  <printOptions horizontalCentered="1"/>
  <pageMargins left="0.39370078740157477" right="0.39370078740157477" top="0.59055118110236215" bottom="0.59055118110236215" header="0.3" footer="0.3"/>
  <pageSetup paperSize="9" orientation="portrait" r:id="rId1"/>
  <drawing r:id="rId2"/>
  <legacy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N22"/>
  <sheetViews>
    <sheetView topLeftCell="E1" workbookViewId="0">
      <selection activeCell="A5" sqref="A5:K5"/>
    </sheetView>
  </sheetViews>
  <sheetFormatPr defaultColWidth="9" defaultRowHeight="12"/>
  <cols>
    <col min="1" max="1" width="3.125" style="640" customWidth="1"/>
    <col min="2" max="2" width="1.875" style="640" customWidth="1"/>
    <col min="3" max="3" width="25.5" style="640" customWidth="1"/>
    <col min="4" max="11" width="11.625" style="640" customWidth="1"/>
    <col min="12" max="12" width="27.25" style="640" customWidth="1"/>
    <col min="13" max="16384" width="9" style="640"/>
  </cols>
  <sheetData>
    <row r="1" spans="1:14" ht="33.75" customHeight="1">
      <c r="A1" s="3243" t="s">
        <v>4633</v>
      </c>
      <c r="B1" s="3243"/>
      <c r="C1" s="3243"/>
      <c r="D1" s="3243"/>
      <c r="E1" s="3243"/>
      <c r="F1" s="3243"/>
      <c r="G1" s="3243"/>
      <c r="H1" s="3243"/>
      <c r="I1" s="3243"/>
      <c r="J1" s="3243"/>
      <c r="K1" s="3243"/>
      <c r="L1" s="3244"/>
      <c r="M1" s="654"/>
      <c r="N1" s="654"/>
    </row>
    <row r="2" spans="1:14" ht="15" customHeight="1">
      <c r="A2" s="3240" t="s">
        <v>5623</v>
      </c>
      <c r="B2" s="3240"/>
      <c r="C2" s="2663" t="str">
        <f>基本情况!$C$3</f>
        <v/>
      </c>
      <c r="D2" s="2663"/>
      <c r="E2" s="2663"/>
      <c r="F2" s="2663"/>
      <c r="G2" s="2663"/>
      <c r="H2" s="1646"/>
      <c r="I2" s="571" t="s">
        <v>4472</v>
      </c>
      <c r="J2" s="571" t="s">
        <v>4473</v>
      </c>
      <c r="K2" s="614" t="s">
        <v>4409</v>
      </c>
      <c r="L2" s="3244"/>
      <c r="M2" s="654"/>
      <c r="N2" s="654"/>
    </row>
    <row r="3" spans="1:14" ht="15" customHeight="1">
      <c r="A3" s="3240"/>
      <c r="B3" s="3240"/>
      <c r="C3" s="2663"/>
      <c r="D3" s="2663"/>
      <c r="E3" s="2663"/>
      <c r="F3" s="2663"/>
      <c r="G3" s="2663"/>
      <c r="H3" s="616" t="s">
        <v>4407</v>
      </c>
      <c r="I3" s="617" t="str">
        <f>基本情况!$F$19&amp;""</f>
        <v/>
      </c>
      <c r="J3" s="618" t="str">
        <f>TEXT(基本情况!$F$27,"yyyy-mm-dd")</f>
        <v>2018-03-16</v>
      </c>
      <c r="K3" s="3245" t="str">
        <f>开始!J6</f>
        <v>GL-04</v>
      </c>
      <c r="L3" s="3244"/>
      <c r="M3" s="654"/>
      <c r="N3" s="654"/>
    </row>
    <row r="4" spans="1:14" ht="15" customHeight="1">
      <c r="A4" s="3242" t="s">
        <v>5624</v>
      </c>
      <c r="B4" s="3242"/>
      <c r="C4" s="2665" t="str">
        <f>基本情况!$F$9</f>
        <v>2017年01月01日至2017年12月31日</v>
      </c>
      <c r="D4" s="2665"/>
      <c r="E4" s="2665"/>
      <c r="F4" s="2665"/>
      <c r="G4" s="2665"/>
      <c r="H4" s="566" t="s">
        <v>4410</v>
      </c>
      <c r="I4" s="567" t="str">
        <f>基本情况!$F$18&amp;""</f>
        <v/>
      </c>
      <c r="J4" s="567" t="str">
        <f>TEXT(基本情况!$F$28,"yyyy-mm-dd")</f>
        <v>2018-05-04</v>
      </c>
      <c r="K4" s="3245"/>
      <c r="L4" s="3244"/>
      <c r="M4" s="654"/>
      <c r="N4" s="654"/>
    </row>
    <row r="5" spans="1:14" ht="7.5" customHeight="1">
      <c r="A5" s="2661"/>
      <c r="B5" s="2661"/>
      <c r="C5" s="2661"/>
      <c r="D5" s="2661"/>
      <c r="E5" s="2661"/>
      <c r="F5" s="2661"/>
      <c r="G5" s="2661"/>
      <c r="H5" s="2661"/>
      <c r="I5" s="2661"/>
      <c r="J5" s="2661"/>
      <c r="K5" s="2661"/>
      <c r="L5" s="3244"/>
      <c r="M5" s="654"/>
      <c r="N5" s="654"/>
    </row>
    <row r="6" spans="1:14" ht="18" customHeight="1">
      <c r="A6" s="2917" t="s">
        <v>750</v>
      </c>
      <c r="B6" s="2917"/>
      <c r="C6" s="2927" t="s">
        <v>5625</v>
      </c>
      <c r="D6" s="2664" t="s">
        <v>5626</v>
      </c>
      <c r="E6" s="2664"/>
      <c r="F6" s="2664"/>
      <c r="G6" s="2927" t="s">
        <v>5627</v>
      </c>
      <c r="H6" s="2928" t="s">
        <v>5628</v>
      </c>
      <c r="I6" s="2928" t="s">
        <v>5082</v>
      </c>
      <c r="J6" s="2928" t="s">
        <v>4529</v>
      </c>
      <c r="K6" s="2730" t="s">
        <v>5629</v>
      </c>
      <c r="L6" s="576" t="s">
        <v>1724</v>
      </c>
      <c r="M6" s="654"/>
      <c r="N6" s="654"/>
    </row>
    <row r="7" spans="1:14" ht="18" customHeight="1">
      <c r="A7" s="2917"/>
      <c r="B7" s="2917"/>
      <c r="C7" s="2927"/>
      <c r="D7" s="566" t="s">
        <v>4348</v>
      </c>
      <c r="E7" s="1647" t="s">
        <v>4294</v>
      </c>
      <c r="F7" s="566" t="s">
        <v>5630</v>
      </c>
      <c r="G7" s="2927"/>
      <c r="H7" s="2928"/>
      <c r="I7" s="2928"/>
      <c r="J7" s="2928"/>
      <c r="K7" s="2730"/>
      <c r="L7" s="704" t="s">
        <v>4369</v>
      </c>
      <c r="M7" s="654"/>
      <c r="N7" s="654"/>
    </row>
    <row r="8" spans="1:14" ht="14.45" customHeight="1">
      <c r="A8" s="3239" t="s">
        <v>6550</v>
      </c>
      <c r="B8" s="613">
        <v>1</v>
      </c>
      <c r="C8" s="613" t="s">
        <v>6546</v>
      </c>
      <c r="D8" s="1648"/>
      <c r="E8" s="1648"/>
      <c r="F8" s="1649"/>
      <c r="G8" s="1650">
        <f>应交税费!D7</f>
        <v>0</v>
      </c>
      <c r="H8" s="1650">
        <f>G8-D8-E8-F8+K8</f>
        <v>0</v>
      </c>
      <c r="I8" s="1649"/>
      <c r="J8" s="1650">
        <f t="shared" ref="J8:J19" si="0">D8+E8+F8+I8</f>
        <v>0</v>
      </c>
      <c r="K8" s="1651"/>
      <c r="L8" s="570" t="s">
        <v>5632</v>
      </c>
      <c r="M8" s="654"/>
      <c r="N8" s="654"/>
    </row>
    <row r="9" spans="1:14" ht="14.45" customHeight="1">
      <c r="A9" s="3239"/>
      <c r="B9" s="1652">
        <v>2</v>
      </c>
      <c r="C9" s="1652" t="s">
        <v>6547</v>
      </c>
      <c r="D9" s="649"/>
      <c r="E9" s="649"/>
      <c r="F9" s="649"/>
      <c r="G9" s="1260">
        <f>应交税费!D8</f>
        <v>0</v>
      </c>
      <c r="H9" s="1264">
        <f>G9-D9-E9-F9</f>
        <v>0</v>
      </c>
      <c r="I9" s="649"/>
      <c r="J9" s="1260">
        <f t="shared" si="0"/>
        <v>0</v>
      </c>
      <c r="K9" s="1396" t="s">
        <v>133</v>
      </c>
      <c r="L9" s="704" t="s">
        <v>4583</v>
      </c>
      <c r="M9" s="654"/>
      <c r="N9" s="654"/>
    </row>
    <row r="10" spans="1:14" ht="14.45" customHeight="1">
      <c r="A10" s="3239"/>
      <c r="B10" s="1652">
        <v>3</v>
      </c>
      <c r="C10" s="1652" t="s">
        <v>6548</v>
      </c>
      <c r="D10" s="649"/>
      <c r="E10" s="2396"/>
      <c r="F10" s="649"/>
      <c r="G10" s="1260">
        <f>应交税费!D9</f>
        <v>0</v>
      </c>
      <c r="H10" s="1260">
        <f>G10-D10-E10-F10+K10</f>
        <v>0</v>
      </c>
      <c r="I10" s="649"/>
      <c r="J10" s="1260">
        <f t="shared" si="0"/>
        <v>0</v>
      </c>
      <c r="K10" s="1653"/>
      <c r="L10" s="570" t="s">
        <v>4586</v>
      </c>
      <c r="M10" s="654"/>
      <c r="N10" s="654"/>
    </row>
    <row r="11" spans="1:14" ht="14.45" customHeight="1">
      <c r="A11" s="3239"/>
      <c r="B11" s="1652">
        <v>4</v>
      </c>
      <c r="C11" s="1652" t="s">
        <v>6549</v>
      </c>
      <c r="D11" s="649"/>
      <c r="E11" s="649"/>
      <c r="F11" s="649"/>
      <c r="G11" s="1260">
        <f>应交税费!D10</f>
        <v>0</v>
      </c>
      <c r="H11" s="1260">
        <f>G11-D11-E11-F11</f>
        <v>0</v>
      </c>
      <c r="I11" s="649"/>
      <c r="J11" s="1260">
        <f t="shared" si="0"/>
        <v>0</v>
      </c>
      <c r="K11" s="1396" t="s">
        <v>133</v>
      </c>
      <c r="L11" s="704" t="s">
        <v>4572</v>
      </c>
      <c r="M11" s="654"/>
      <c r="N11" s="654"/>
    </row>
    <row r="12" spans="1:14" ht="14.45" customHeight="1">
      <c r="A12" s="3239"/>
      <c r="B12" s="1654">
        <v>5</v>
      </c>
      <c r="C12" s="1654" t="s">
        <v>5630</v>
      </c>
      <c r="D12" s="1263"/>
      <c r="E12" s="1263"/>
      <c r="F12" s="1263"/>
      <c r="G12" s="1655"/>
      <c r="H12" s="1260">
        <f>G12-D12-E12-F12</f>
        <v>0</v>
      </c>
      <c r="I12" s="1263"/>
      <c r="J12" s="1260">
        <f t="shared" si="0"/>
        <v>0</v>
      </c>
      <c r="K12" s="1396" t="s">
        <v>133</v>
      </c>
      <c r="L12" s="704" t="s">
        <v>5633</v>
      </c>
      <c r="M12" s="654"/>
      <c r="N12" s="654"/>
    </row>
    <row r="13" spans="1:14" ht="18" customHeight="1">
      <c r="A13" s="3239"/>
      <c r="B13" s="1656"/>
      <c r="C13" s="566" t="s">
        <v>895</v>
      </c>
      <c r="D13" s="648">
        <f t="shared" ref="D13:J13" si="1">SUM(D8:D12)</f>
        <v>0</v>
      </c>
      <c r="E13" s="648">
        <f t="shared" si="1"/>
        <v>0</v>
      </c>
      <c r="F13" s="648">
        <f t="shared" si="1"/>
        <v>0</v>
      </c>
      <c r="G13" s="648">
        <f t="shared" si="1"/>
        <v>0</v>
      </c>
      <c r="H13" s="648">
        <f t="shared" si="1"/>
        <v>0</v>
      </c>
      <c r="I13" s="648">
        <f t="shared" si="1"/>
        <v>0</v>
      </c>
      <c r="J13" s="648">
        <f t="shared" si="1"/>
        <v>0</v>
      </c>
      <c r="K13" s="1396" t="s">
        <v>133</v>
      </c>
      <c r="L13" s="704" t="s">
        <v>5634</v>
      </c>
      <c r="M13" s="654"/>
      <c r="N13" s="654"/>
    </row>
    <row r="14" spans="1:14" ht="18" customHeight="1">
      <c r="A14" s="3240" t="s">
        <v>6555</v>
      </c>
      <c r="B14" s="613">
        <v>1</v>
      </c>
      <c r="C14" s="1646" t="s">
        <v>6552</v>
      </c>
      <c r="D14" s="1270"/>
      <c r="E14" s="1270"/>
      <c r="F14" s="1270"/>
      <c r="G14" s="2378">
        <f>应交税费!F7</f>
        <v>0</v>
      </c>
      <c r="H14" s="2378">
        <f t="shared" ref="H14:H19" si="2">G14-D14-E14-F14+K14</f>
        <v>0</v>
      </c>
      <c r="I14" s="1270"/>
      <c r="J14" s="2378">
        <f t="shared" si="0"/>
        <v>0</v>
      </c>
      <c r="K14" s="1651"/>
      <c r="L14" s="704"/>
      <c r="M14" s="654"/>
      <c r="N14" s="654"/>
    </row>
    <row r="15" spans="1:14" ht="18" customHeight="1">
      <c r="A15" s="3241"/>
      <c r="B15" s="1652">
        <v>2</v>
      </c>
      <c r="C15" s="2397" t="s">
        <v>6553</v>
      </c>
      <c r="D15" s="2379"/>
      <c r="E15" s="2379"/>
      <c r="F15" s="2379"/>
      <c r="G15" s="2377">
        <f>应交税费!F8</f>
        <v>0</v>
      </c>
      <c r="H15" s="2377">
        <f t="shared" si="2"/>
        <v>0</v>
      </c>
      <c r="I15" s="2379"/>
      <c r="J15" s="2377">
        <f t="shared" si="0"/>
        <v>0</v>
      </c>
      <c r="K15" s="1653"/>
      <c r="L15" s="704"/>
      <c r="M15" s="654"/>
      <c r="N15" s="654"/>
    </row>
    <row r="16" spans="1:14" ht="18" customHeight="1">
      <c r="A16" s="3241"/>
      <c r="B16" s="1652">
        <v>3</v>
      </c>
      <c r="C16" s="2397" t="s">
        <v>6554</v>
      </c>
      <c r="D16" s="2379"/>
      <c r="E16" s="2379"/>
      <c r="F16" s="2379"/>
      <c r="G16" s="2377">
        <f>应交税费!F9</f>
        <v>0</v>
      </c>
      <c r="H16" s="2377">
        <f t="shared" si="2"/>
        <v>0</v>
      </c>
      <c r="I16" s="2379"/>
      <c r="J16" s="2377">
        <f t="shared" si="0"/>
        <v>0</v>
      </c>
      <c r="K16" s="1653"/>
      <c r="L16" s="704"/>
      <c r="M16" s="654"/>
      <c r="N16" s="654"/>
    </row>
    <row r="17" spans="1:14" ht="18" customHeight="1">
      <c r="A17" s="3241"/>
      <c r="B17" s="1652">
        <v>4</v>
      </c>
      <c r="C17" s="2397" t="s">
        <v>6549</v>
      </c>
      <c r="D17" s="2379"/>
      <c r="E17" s="2379"/>
      <c r="F17" s="2379"/>
      <c r="G17" s="2377">
        <f>应交税费!F10</f>
        <v>0</v>
      </c>
      <c r="H17" s="2377">
        <f t="shared" si="2"/>
        <v>0</v>
      </c>
      <c r="I17" s="2379"/>
      <c r="J17" s="2377">
        <f t="shared" si="0"/>
        <v>0</v>
      </c>
      <c r="K17" s="1653"/>
      <c r="L17" s="704"/>
      <c r="M17" s="654"/>
      <c r="N17" s="654"/>
    </row>
    <row r="18" spans="1:14" ht="18" customHeight="1">
      <c r="A18" s="3241"/>
      <c r="B18" s="1652">
        <v>5</v>
      </c>
      <c r="C18" s="2397" t="s">
        <v>6551</v>
      </c>
      <c r="D18" s="2379"/>
      <c r="E18" s="2379"/>
      <c r="F18" s="2379"/>
      <c r="G18" s="2377">
        <f>应交税费!F11</f>
        <v>0</v>
      </c>
      <c r="H18" s="2377">
        <f t="shared" si="2"/>
        <v>0</v>
      </c>
      <c r="I18" s="2379"/>
      <c r="J18" s="2377">
        <f t="shared" si="0"/>
        <v>0</v>
      </c>
      <c r="K18" s="1653"/>
      <c r="L18" s="704"/>
      <c r="M18" s="654"/>
      <c r="N18" s="654"/>
    </row>
    <row r="19" spans="1:14" ht="18" customHeight="1">
      <c r="A19" s="3241"/>
      <c r="B19" s="1652">
        <v>6</v>
      </c>
      <c r="C19" s="1652" t="s">
        <v>5630</v>
      </c>
      <c r="D19" s="2379"/>
      <c r="E19" s="2379"/>
      <c r="F19" s="2379"/>
      <c r="G19" s="2379"/>
      <c r="H19" s="2377">
        <f t="shared" si="2"/>
        <v>0</v>
      </c>
      <c r="I19" s="2379"/>
      <c r="J19" s="2377">
        <f t="shared" si="0"/>
        <v>0</v>
      </c>
      <c r="K19" s="1653"/>
      <c r="L19" s="704"/>
      <c r="M19" s="654"/>
      <c r="N19" s="654"/>
    </row>
    <row r="20" spans="1:14" ht="18" customHeight="1">
      <c r="A20" s="3242"/>
      <c r="B20" s="1656"/>
      <c r="C20" s="2374" t="s">
        <v>895</v>
      </c>
      <c r="D20" s="2376">
        <f>SUM(D14:D19)</f>
        <v>0</v>
      </c>
      <c r="E20" s="2376">
        <f t="shared" ref="E20:J20" si="3">SUM(E14:E19)</f>
        <v>0</v>
      </c>
      <c r="F20" s="2376">
        <f t="shared" si="3"/>
        <v>0</v>
      </c>
      <c r="G20" s="2376">
        <f t="shared" si="3"/>
        <v>0</v>
      </c>
      <c r="H20" s="2376">
        <f t="shared" si="3"/>
        <v>0</v>
      </c>
      <c r="I20" s="2376">
        <f t="shared" si="3"/>
        <v>0</v>
      </c>
      <c r="J20" s="2376">
        <f t="shared" si="3"/>
        <v>0</v>
      </c>
      <c r="K20" s="2398" t="s">
        <v>133</v>
      </c>
      <c r="L20" s="704"/>
      <c r="M20" s="654"/>
      <c r="N20" s="654"/>
    </row>
    <row r="21" spans="1:14" ht="18" customHeight="1">
      <c r="A21" s="3236" t="s">
        <v>5635</v>
      </c>
      <c r="B21" s="3236"/>
      <c r="C21" s="3236"/>
      <c r="D21" s="3237" t="str">
        <f>IF($D$13+D20&lt;&gt;主营收支!$H$20,"主营业务收入申报数与账载数相差"&amp;DOLLAR(主营收支!$H$20-$D$13-D20,2)&amp;"元！，请检查！","")</f>
        <v/>
      </c>
      <c r="E21" s="3237"/>
      <c r="F21" s="3237"/>
      <c r="G21" s="3237"/>
      <c r="H21" s="3238" t="str">
        <f>IF($E$13+E20&lt;&gt;其他业务!$C$19,"其他业务收入申报数与账载数相差"&amp;DOLLAR(其他业务!$C$19-$E$13-E20,2)&amp;"元！，请检查！","")</f>
        <v/>
      </c>
      <c r="I21" s="3238"/>
      <c r="J21" s="3238"/>
      <c r="K21" s="3238"/>
      <c r="L21" s="570"/>
      <c r="M21" s="654"/>
      <c r="N21" s="654"/>
    </row>
    <row r="22" spans="1:14" ht="43.5" customHeight="1">
      <c r="A22" s="1253" t="s">
        <v>5636</v>
      </c>
      <c r="B22" s="3234"/>
      <c r="C22" s="3235"/>
      <c r="D22" s="3235"/>
      <c r="E22" s="3235"/>
      <c r="F22" s="3235"/>
      <c r="G22" s="3235"/>
      <c r="H22" s="3235"/>
      <c r="I22" s="3235"/>
      <c r="J22" s="3235"/>
      <c r="K22" s="3235"/>
      <c r="L22" s="570"/>
      <c r="M22" s="654"/>
      <c r="N22" s="654"/>
    </row>
  </sheetData>
  <sheetProtection selectLockedCells="1" selectUnlockedCells="1"/>
  <mergeCells count="22">
    <mergeCell ref="A1:K1"/>
    <mergeCell ref="L1:L5"/>
    <mergeCell ref="A2:B3"/>
    <mergeCell ref="C2:G3"/>
    <mergeCell ref="K3:K4"/>
    <mergeCell ref="A4:B4"/>
    <mergeCell ref="C4:G4"/>
    <mergeCell ref="A5:K5"/>
    <mergeCell ref="B22:K22"/>
    <mergeCell ref="A21:C21"/>
    <mergeCell ref="D21:G21"/>
    <mergeCell ref="H21:K21"/>
    <mergeCell ref="J6:J7"/>
    <mergeCell ref="K6:K7"/>
    <mergeCell ref="A8:A13"/>
    <mergeCell ref="H6:H7"/>
    <mergeCell ref="I6:I7"/>
    <mergeCell ref="A6:B7"/>
    <mergeCell ref="C6:C7"/>
    <mergeCell ref="D6:F6"/>
    <mergeCell ref="G6:G7"/>
    <mergeCell ref="A14:A20"/>
  </mergeCells>
  <phoneticPr fontId="135" type="noConversion"/>
  <dataValidations count="1">
    <dataValidation allowBlank="1" showErrorMessage="1" sqref="I3">
      <formula1>0</formula1>
      <formula2>0</formula2>
    </dataValidation>
  </dataValidations>
  <hyperlinks>
    <hyperlink ref="L7" location="纳税申报数据!A1" display="纳税申报数据"/>
    <hyperlink ref="L8" location="地税申报数据!A1" display="地税申报数据"/>
    <hyperlink ref="L9" location="主营税金!A1" display="主营税金审核表"/>
    <hyperlink ref="L10" location="企业各税审核汇总表!A1" display="企业各税审核汇总表"/>
    <hyperlink ref="L11" location="主营收支!A1" display="主营业务收支审核表"/>
    <hyperlink ref="L12" location="税费缴纳测算!A1" display="税费缴纳测算"/>
    <hyperlink ref="L13" location="其他业务!A1" display="其他业务利润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AA168"/>
  <sheetViews>
    <sheetView workbookViewId="0">
      <selection activeCell="G3" sqref="G3"/>
    </sheetView>
  </sheetViews>
  <sheetFormatPr defaultColWidth="9" defaultRowHeight="16.5"/>
  <cols>
    <col min="1" max="1" width="4.625" style="565" customWidth="1"/>
    <col min="2" max="2" width="6.875" style="565" customWidth="1"/>
    <col min="3" max="6" width="13" style="565" customWidth="1"/>
    <col min="7" max="7" width="13.625" style="565" customWidth="1"/>
    <col min="8" max="16384" width="9" style="565"/>
  </cols>
  <sheetData>
    <row r="1" spans="1:27" ht="22.5">
      <c r="A1" s="3243" t="s">
        <v>5637</v>
      </c>
      <c r="B1" s="3243"/>
      <c r="C1" s="3243"/>
      <c r="D1" s="3243"/>
      <c r="E1" s="3243"/>
      <c r="F1" s="3243"/>
      <c r="G1" s="3243"/>
      <c r="H1" s="958"/>
      <c r="I1" s="958"/>
      <c r="J1" s="958"/>
      <c r="K1" s="958"/>
      <c r="L1" s="958"/>
      <c r="M1" s="958"/>
      <c r="N1" s="958"/>
      <c r="O1" s="1406"/>
      <c r="P1" s="1406"/>
      <c r="Q1" s="1406"/>
      <c r="R1" s="1406"/>
      <c r="S1" s="1406"/>
      <c r="T1" s="1406"/>
      <c r="U1" s="1406"/>
      <c r="V1" s="1406"/>
      <c r="W1" s="1406"/>
      <c r="X1" s="1406"/>
      <c r="Y1" s="1406"/>
      <c r="Z1" s="1406"/>
      <c r="AA1" s="1406"/>
    </row>
    <row r="2" spans="1:27">
      <c r="A2" s="724"/>
      <c r="B2" s="724"/>
      <c r="C2" s="724"/>
      <c r="D2" s="724"/>
      <c r="E2" s="724"/>
      <c r="F2" s="725" t="s">
        <v>4573</v>
      </c>
      <c r="G2" s="2451" t="str">
        <f>开始!J7</f>
        <v>GL-05</v>
      </c>
      <c r="H2" s="958"/>
      <c r="I2" s="958"/>
      <c r="J2" s="958"/>
      <c r="K2" s="958"/>
      <c r="L2" s="958"/>
      <c r="M2" s="958"/>
      <c r="N2" s="958"/>
      <c r="O2" s="1406"/>
      <c r="P2" s="1406"/>
      <c r="Q2" s="1406"/>
      <c r="R2" s="1406"/>
      <c r="S2" s="1406"/>
      <c r="T2" s="1406"/>
      <c r="U2" s="1406"/>
      <c r="V2" s="1406"/>
      <c r="W2" s="1406"/>
      <c r="X2" s="1406"/>
      <c r="Y2" s="1406"/>
      <c r="Z2" s="1406"/>
      <c r="AA2" s="1406"/>
    </row>
    <row r="3" spans="1:27" ht="15.2" customHeight="1">
      <c r="A3" s="3240" t="s">
        <v>4510</v>
      </c>
      <c r="B3" s="3240"/>
      <c r="C3" s="3250" t="str">
        <f>基本情况!$C$3</f>
        <v/>
      </c>
      <c r="D3" s="3250"/>
      <c r="E3" s="571"/>
      <c r="F3" s="571" t="s">
        <v>4574</v>
      </c>
      <c r="G3" s="614" t="s">
        <v>4575</v>
      </c>
      <c r="H3" s="958"/>
      <c r="I3" s="958"/>
      <c r="J3" s="958"/>
      <c r="K3" s="958"/>
      <c r="L3" s="958"/>
      <c r="M3" s="958"/>
      <c r="N3" s="958"/>
      <c r="O3" s="1406"/>
      <c r="P3" s="1406"/>
      <c r="Q3" s="1406"/>
      <c r="R3" s="1406"/>
      <c r="S3" s="1406"/>
      <c r="T3" s="1406"/>
      <c r="U3" s="1406"/>
      <c r="V3" s="1406"/>
      <c r="W3" s="1406"/>
      <c r="X3" s="1406"/>
      <c r="Y3" s="1406"/>
      <c r="Z3" s="1406"/>
      <c r="AA3" s="1406"/>
    </row>
    <row r="4" spans="1:27">
      <c r="A4" s="3240"/>
      <c r="B4" s="3240"/>
      <c r="C4" s="3250"/>
      <c r="D4" s="3250"/>
      <c r="E4" s="616" t="s">
        <v>4407</v>
      </c>
      <c r="F4" s="617" t="str">
        <f>基本情况!$F$19&amp;""</f>
        <v/>
      </c>
      <c r="G4" s="726" t="str">
        <f>TEXT(基本情况!$F$27,"yyyy-mm-dd")</f>
        <v>2018-03-16</v>
      </c>
      <c r="H4" s="958"/>
      <c r="I4" s="958"/>
      <c r="J4" s="958"/>
      <c r="K4" s="958"/>
      <c r="L4" s="958"/>
      <c r="M4" s="958"/>
      <c r="N4" s="958"/>
      <c r="O4" s="1406"/>
      <c r="P4" s="1406"/>
      <c r="Q4" s="1406"/>
      <c r="R4" s="1406"/>
      <c r="S4" s="1406"/>
      <c r="T4" s="1406"/>
      <c r="U4" s="1406"/>
      <c r="V4" s="1406"/>
      <c r="W4" s="1406"/>
      <c r="X4" s="1406"/>
      <c r="Y4" s="1406"/>
      <c r="Z4" s="1406"/>
      <c r="AA4" s="1406"/>
    </row>
    <row r="5" spans="1:27" ht="17.25" customHeight="1">
      <c r="A5" s="3242" t="s">
        <v>4512</v>
      </c>
      <c r="B5" s="3242"/>
      <c r="C5" s="2665" t="str">
        <f>基本情况!$F$9</f>
        <v>2017年01月01日至2017年12月31日</v>
      </c>
      <c r="D5" s="2665"/>
      <c r="E5" s="566" t="s">
        <v>4410</v>
      </c>
      <c r="F5" s="567" t="str">
        <f>基本情况!$F$18&amp;""</f>
        <v/>
      </c>
      <c r="G5" s="726" t="str">
        <f>TEXT(基本情况!$F$28,"yyyy-mm-dd")</f>
        <v>2018-05-04</v>
      </c>
      <c r="H5" s="1658"/>
      <c r="I5" s="958"/>
      <c r="J5" s="958"/>
      <c r="K5" s="958"/>
      <c r="L5" s="958"/>
      <c r="M5" s="958"/>
      <c r="N5" s="958"/>
      <c r="O5" s="1406"/>
      <c r="P5" s="1406"/>
      <c r="Q5" s="1406"/>
      <c r="R5" s="1406"/>
      <c r="S5" s="1406"/>
      <c r="T5" s="1406"/>
      <c r="U5" s="1406"/>
      <c r="V5" s="1406"/>
      <c r="W5" s="1406"/>
      <c r="X5" s="1406"/>
      <c r="Y5" s="1406"/>
      <c r="Z5" s="1406"/>
      <c r="AA5" s="1406"/>
    </row>
    <row r="6" spans="1:27" ht="7.5" customHeight="1">
      <c r="A6" s="2699"/>
      <c r="B6" s="2699"/>
      <c r="C6" s="2699"/>
      <c r="D6" s="2699"/>
      <c r="E6" s="2699"/>
      <c r="F6" s="2699"/>
      <c r="G6" s="2699"/>
      <c r="H6" s="958"/>
      <c r="I6" s="958"/>
      <c r="J6" s="958"/>
      <c r="K6" s="958"/>
      <c r="L6" s="958"/>
      <c r="M6" s="958"/>
      <c r="N6" s="958"/>
      <c r="O6" s="1406"/>
      <c r="P6" s="1406"/>
      <c r="Q6" s="1406"/>
      <c r="R6" s="1406"/>
      <c r="S6" s="1406"/>
      <c r="T6" s="1406"/>
      <c r="U6" s="1406"/>
      <c r="V6" s="1406"/>
      <c r="W6" s="1406"/>
      <c r="X6" s="1406"/>
      <c r="Y6" s="1406"/>
      <c r="Z6" s="1406"/>
      <c r="AA6" s="1406"/>
    </row>
    <row r="7" spans="1:27" ht="24" customHeight="1">
      <c r="A7" s="2917" t="s">
        <v>750</v>
      </c>
      <c r="B7" s="2917"/>
      <c r="C7" s="1659" t="s">
        <v>4576</v>
      </c>
      <c r="D7" s="1660" t="s">
        <v>4577</v>
      </c>
      <c r="E7" s="1660" t="s">
        <v>4579</v>
      </c>
      <c r="F7" s="1660" t="s">
        <v>5638</v>
      </c>
      <c r="G7" s="1225" t="s">
        <v>4388</v>
      </c>
      <c r="H7" s="1658" t="s">
        <v>1724</v>
      </c>
      <c r="I7" s="958"/>
      <c r="J7" s="958"/>
      <c r="K7" s="958"/>
      <c r="L7" s="958"/>
      <c r="M7" s="958"/>
      <c r="N7" s="958"/>
      <c r="O7" s="1406"/>
      <c r="P7" s="1406"/>
      <c r="Q7" s="1406"/>
      <c r="R7" s="1406"/>
      <c r="S7" s="1406"/>
      <c r="T7" s="1406"/>
      <c r="U7" s="1406"/>
      <c r="V7" s="1406"/>
      <c r="W7" s="1406"/>
      <c r="X7" s="1406"/>
      <c r="Y7" s="1406"/>
      <c r="Z7" s="1406"/>
      <c r="AA7" s="1406"/>
    </row>
    <row r="8" spans="1:27" ht="17.25" customHeight="1">
      <c r="A8" s="3239" t="s">
        <v>5639</v>
      </c>
      <c r="B8" s="571" t="s">
        <v>4582</v>
      </c>
      <c r="C8" s="1661" t="str">
        <f>IF(ISERROR(ROUND(1-主营收支!C25/主营收支!C8,4)),"",ROUND(1-主营收支!C25/主营收支!C8,4))</f>
        <v/>
      </c>
      <c r="D8" s="1661" t="str">
        <f>IF(ISERROR(ROUND(1-主营收支!D25/主营收支!D8,4)),"",ROUND(1-主营收支!D25/主营收支!D8,4))</f>
        <v/>
      </c>
      <c r="E8" s="1661" t="str">
        <f>IF(ISERROR(ROUND(1-主营收支!E25/主营收支!E8,4)),"",ROUND(1-主营收支!E25/主营收支!E8,4))</f>
        <v/>
      </c>
      <c r="F8" s="1661" t="str">
        <f>IF(ISERROR(ROUND(1-主营收支!F25/主营收支!F8,4)),"",ROUND(1-主营收支!F25/主营收支!F8,4))</f>
        <v/>
      </c>
      <c r="G8" s="1662"/>
      <c r="H8" s="958"/>
      <c r="I8" s="958"/>
      <c r="J8" s="958"/>
      <c r="K8" s="958"/>
      <c r="L8" s="958"/>
      <c r="M8" s="958"/>
      <c r="N8" s="958"/>
      <c r="O8" s="1406"/>
      <c r="P8" s="1406"/>
      <c r="Q8" s="1406"/>
      <c r="R8" s="1406"/>
      <c r="S8" s="1406"/>
      <c r="T8" s="1406"/>
      <c r="U8" s="1406"/>
      <c r="V8" s="1406"/>
      <c r="W8" s="1406"/>
      <c r="X8" s="1406"/>
      <c r="Y8" s="1406"/>
      <c r="Z8" s="1406"/>
      <c r="AA8" s="1406"/>
    </row>
    <row r="9" spans="1:27" ht="17.25" customHeight="1">
      <c r="A9" s="3239"/>
      <c r="B9" s="616" t="s">
        <v>4352</v>
      </c>
      <c r="C9" s="1663" t="str">
        <f>IF(ISERROR(ROUND(1-主营收支!C26/主营收支!C9,4)),"",ROUND(1-主营收支!C26/主营收支!C9,4))</f>
        <v/>
      </c>
      <c r="D9" s="1663" t="str">
        <f>IF(ISERROR(ROUND(1-主营收支!D26/主营收支!D9,4)),"",ROUND(1-主营收支!D26/主营收支!D9,4))</f>
        <v/>
      </c>
      <c r="E9" s="1663" t="str">
        <f>IF(ISERROR(ROUND(1-主营收支!E26/主营收支!E9,4)),"",ROUND(1-主营收支!E26/主营收支!E9,4))</f>
        <v/>
      </c>
      <c r="F9" s="1663" t="str">
        <f>IF(ISERROR(ROUND(1-主营收支!F26/主营收支!F9,4)),"",ROUND(1-主营收支!F26/主营收支!F9,4))</f>
        <v/>
      </c>
      <c r="G9" s="1664"/>
      <c r="H9" s="958"/>
      <c r="I9" s="958"/>
      <c r="J9" s="958"/>
      <c r="K9" s="958"/>
      <c r="L9" s="958"/>
      <c r="M9" s="958"/>
      <c r="N9" s="958"/>
      <c r="O9" s="1406"/>
      <c r="P9" s="1406"/>
      <c r="Q9" s="1406"/>
      <c r="R9" s="1406"/>
      <c r="S9" s="1406"/>
      <c r="T9" s="1406"/>
      <c r="U9" s="1406"/>
      <c r="V9" s="1406"/>
      <c r="W9" s="1406"/>
      <c r="X9" s="1406"/>
      <c r="Y9" s="1406"/>
      <c r="Z9" s="1406"/>
      <c r="AA9" s="1406"/>
    </row>
    <row r="10" spans="1:27" ht="17.25" customHeight="1">
      <c r="A10" s="3239"/>
      <c r="B10" s="616" t="s">
        <v>4353</v>
      </c>
      <c r="C10" s="1663" t="str">
        <f>IF(ISERROR(ROUND(1-主营收支!C27/主营收支!C10,4)),"",ROUND(1-主营收支!C27/主营收支!C10,4))</f>
        <v/>
      </c>
      <c r="D10" s="1663" t="str">
        <f>IF(ISERROR(ROUND(1-主营收支!D27/主营收支!D10,4)),"",ROUND(1-主营收支!D27/主营收支!D10,4))</f>
        <v/>
      </c>
      <c r="E10" s="1663" t="str">
        <f>IF(ISERROR(ROUND(1-主营收支!E27/主营收支!E10,4)),"",ROUND(1-主营收支!E27/主营收支!E10,4))</f>
        <v/>
      </c>
      <c r="F10" s="1663" t="str">
        <f>IF(ISERROR(ROUND(1-主营收支!F27/主营收支!F10,4)),"",ROUND(1-主营收支!F27/主营收支!F10,4))</f>
        <v/>
      </c>
      <c r="G10" s="1664"/>
      <c r="H10" s="958"/>
      <c r="I10" s="958"/>
      <c r="J10" s="958"/>
      <c r="K10" s="958"/>
      <c r="L10" s="958"/>
      <c r="M10" s="958"/>
      <c r="N10" s="958"/>
      <c r="O10" s="1406"/>
      <c r="P10" s="1406"/>
      <c r="Q10" s="1406"/>
      <c r="R10" s="1406"/>
      <c r="S10" s="1406"/>
      <c r="T10" s="1406"/>
      <c r="U10" s="1406"/>
      <c r="V10" s="1406"/>
      <c r="W10" s="1406"/>
      <c r="X10" s="1406"/>
      <c r="Y10" s="1406"/>
      <c r="Z10" s="1406"/>
      <c r="AA10" s="1406"/>
    </row>
    <row r="11" spans="1:27" ht="17.25" customHeight="1">
      <c r="A11" s="3239"/>
      <c r="B11" s="616" t="s">
        <v>4354</v>
      </c>
      <c r="C11" s="1663" t="str">
        <f>IF(ISERROR(ROUND(1-主营收支!C28/主营收支!C11,4)),"",ROUND(1-主营收支!C28/主营收支!C11,4))</f>
        <v/>
      </c>
      <c r="D11" s="1663" t="str">
        <f>IF(ISERROR(ROUND(1-主营收支!D28/主营收支!D11,4)),"",ROUND(1-主营收支!D28/主营收支!D11,4))</f>
        <v/>
      </c>
      <c r="E11" s="1663" t="str">
        <f>IF(ISERROR(ROUND(1-主营收支!E28/主营收支!E11,4)),"",ROUND(1-主营收支!E28/主营收支!E11,4))</f>
        <v/>
      </c>
      <c r="F11" s="1663" t="str">
        <f>IF(ISERROR(ROUND(1-主营收支!F28/主营收支!F11,4)),"",ROUND(1-主营收支!F28/主营收支!F11,4))</f>
        <v/>
      </c>
      <c r="G11" s="1664"/>
      <c r="H11" s="958"/>
      <c r="I11" s="958"/>
      <c r="J11" s="958"/>
      <c r="K11" s="958"/>
      <c r="L11" s="958"/>
      <c r="M11" s="958"/>
      <c r="N11" s="958"/>
      <c r="O11" s="1406"/>
      <c r="P11" s="1406"/>
      <c r="Q11" s="1406"/>
      <c r="R11" s="1406"/>
      <c r="S11" s="1406"/>
      <c r="T11" s="1406"/>
      <c r="U11" s="1406"/>
      <c r="V11" s="1406"/>
      <c r="W11" s="1406"/>
      <c r="X11" s="1406"/>
      <c r="Y11" s="1406"/>
      <c r="Z11" s="1406"/>
      <c r="AA11" s="1406"/>
    </row>
    <row r="12" spans="1:27" ht="17.25" customHeight="1">
      <c r="A12" s="3239"/>
      <c r="B12" s="616" t="s">
        <v>4355</v>
      </c>
      <c r="C12" s="1663" t="str">
        <f>IF(ISERROR(ROUND(1-主营收支!C29/主营收支!C12,4)),"",ROUND(1-主营收支!C29/主营收支!C12,4))</f>
        <v/>
      </c>
      <c r="D12" s="1663" t="str">
        <f>IF(ISERROR(ROUND(1-主营收支!D29/主营收支!D12,4)),"",ROUND(1-主营收支!D29/主营收支!D12,4))</f>
        <v/>
      </c>
      <c r="E12" s="1663" t="str">
        <f>IF(ISERROR(ROUND(1-主营收支!E29/主营收支!E12,4)),"",ROUND(1-主营收支!E29/主营收支!E12,4))</f>
        <v/>
      </c>
      <c r="F12" s="1663" t="str">
        <f>IF(ISERROR(ROUND(1-主营收支!F29/主营收支!F12,4)),"",ROUND(1-主营收支!F29/主营收支!F12,4))</f>
        <v/>
      </c>
      <c r="G12" s="1664"/>
      <c r="H12" s="958"/>
      <c r="I12" s="958"/>
      <c r="J12" s="958"/>
      <c r="K12" s="958"/>
      <c r="L12" s="958"/>
      <c r="M12" s="958"/>
      <c r="N12" s="958"/>
      <c r="O12" s="1406"/>
      <c r="P12" s="1406"/>
      <c r="Q12" s="1406"/>
      <c r="R12" s="1406"/>
      <c r="S12" s="1406"/>
      <c r="T12" s="1406"/>
      <c r="U12" s="1406"/>
      <c r="V12" s="1406"/>
      <c r="W12" s="1406"/>
      <c r="X12" s="1406"/>
      <c r="Y12" s="1406"/>
      <c r="Z12" s="1406"/>
      <c r="AA12" s="1406"/>
    </row>
    <row r="13" spans="1:27" ht="17.25" customHeight="1">
      <c r="A13" s="3239"/>
      <c r="B13" s="616" t="s">
        <v>4356</v>
      </c>
      <c r="C13" s="1663" t="str">
        <f>IF(ISERROR(ROUND(1-主营收支!C30/主营收支!C13,4)),"",ROUND(1-主营收支!C30/主营收支!C13,4))</f>
        <v/>
      </c>
      <c r="D13" s="1663" t="str">
        <f>IF(ISERROR(ROUND(1-主营收支!D30/主营收支!D13,4)),"",ROUND(1-主营收支!D30/主营收支!D13,4))</f>
        <v/>
      </c>
      <c r="E13" s="1663" t="str">
        <f>IF(ISERROR(ROUND(1-主营收支!E30/主营收支!E13,4)),"",ROUND(1-主营收支!E30/主营收支!E13,4))</f>
        <v/>
      </c>
      <c r="F13" s="1663" t="str">
        <f>IF(ISERROR(ROUND(1-主营收支!F30/主营收支!F13,4)),"",ROUND(1-主营收支!F30/主营收支!F13,4))</f>
        <v/>
      </c>
      <c r="G13" s="1664"/>
      <c r="H13" s="958"/>
      <c r="I13" s="958"/>
      <c r="J13" s="958"/>
      <c r="K13" s="958"/>
      <c r="L13" s="958"/>
      <c r="M13" s="958"/>
      <c r="N13" s="958"/>
      <c r="O13" s="1406"/>
      <c r="P13" s="1406"/>
      <c r="Q13" s="1406"/>
      <c r="R13" s="1406"/>
      <c r="S13" s="1406"/>
      <c r="T13" s="1406"/>
      <c r="U13" s="1406"/>
      <c r="V13" s="1406"/>
      <c r="W13" s="1406"/>
      <c r="X13" s="1406"/>
      <c r="Y13" s="1406"/>
      <c r="Z13" s="1406"/>
      <c r="AA13" s="1406"/>
    </row>
    <row r="14" spans="1:27" ht="17.25" customHeight="1">
      <c r="A14" s="3239"/>
      <c r="B14" s="616" t="s">
        <v>4357</v>
      </c>
      <c r="C14" s="1663" t="str">
        <f>IF(ISERROR(ROUND(1-主营收支!C31/主营收支!C14,4)),"",ROUND(1-主营收支!C31/主营收支!C14,4))</f>
        <v/>
      </c>
      <c r="D14" s="1663" t="str">
        <f>IF(ISERROR(ROUND(1-主营收支!D31/主营收支!D14,4)),"",ROUND(1-主营收支!D31/主营收支!D14,4))</f>
        <v/>
      </c>
      <c r="E14" s="1663" t="str">
        <f>IF(ISERROR(ROUND(1-主营收支!E31/主营收支!E14,4)),"",ROUND(1-主营收支!E31/主营收支!E14,4))</f>
        <v/>
      </c>
      <c r="F14" s="1663" t="str">
        <f>IF(ISERROR(ROUND(1-主营收支!F31/主营收支!F14,4)),"",ROUND(1-主营收支!F31/主营收支!F14,4))</f>
        <v/>
      </c>
      <c r="G14" s="1664"/>
      <c r="H14" s="958"/>
      <c r="I14" s="958"/>
      <c r="J14" s="958"/>
      <c r="K14" s="958"/>
      <c r="L14" s="958"/>
      <c r="M14" s="958"/>
      <c r="N14" s="958"/>
      <c r="O14" s="1406"/>
      <c r="P14" s="1406"/>
      <c r="Q14" s="1406"/>
      <c r="R14" s="1406"/>
      <c r="S14" s="1406"/>
      <c r="T14" s="1406"/>
      <c r="U14" s="1406"/>
      <c r="V14" s="1406"/>
      <c r="W14" s="1406"/>
      <c r="X14" s="1406"/>
      <c r="Y14" s="1406"/>
      <c r="Z14" s="1406"/>
      <c r="AA14" s="1406"/>
    </row>
    <row r="15" spans="1:27" ht="17.25" customHeight="1">
      <c r="A15" s="3239"/>
      <c r="B15" s="616" t="s">
        <v>4358</v>
      </c>
      <c r="C15" s="1663" t="str">
        <f>IF(ISERROR(ROUND(1-主营收支!C32/主营收支!C15,4)),"",ROUND(1-主营收支!C32/主营收支!C15,4))</f>
        <v/>
      </c>
      <c r="D15" s="1663" t="str">
        <f>IF(ISERROR(ROUND(1-主营收支!D32/主营收支!D15,4)),"",ROUND(1-主营收支!D32/主营收支!D15,4))</f>
        <v/>
      </c>
      <c r="E15" s="1663" t="str">
        <f>IF(ISERROR(ROUND(1-主营收支!E32/主营收支!E15,4)),"",ROUND(1-主营收支!E32/主营收支!E15,4))</f>
        <v/>
      </c>
      <c r="F15" s="1663" t="str">
        <f>IF(ISERROR(ROUND(1-主营收支!F32/主营收支!F15,4)),"",ROUND(1-主营收支!F32/主营收支!F15,4))</f>
        <v/>
      </c>
      <c r="G15" s="1664"/>
      <c r="H15" s="958"/>
      <c r="I15" s="958"/>
      <c r="J15" s="958"/>
      <c r="K15" s="958"/>
      <c r="L15" s="958"/>
      <c r="M15" s="958"/>
      <c r="N15" s="958"/>
      <c r="O15" s="1406"/>
      <c r="P15" s="1406"/>
      <c r="Q15" s="1406"/>
      <c r="R15" s="1406"/>
      <c r="S15" s="1406"/>
      <c r="T15" s="1406"/>
      <c r="U15" s="1406"/>
      <c r="V15" s="1406"/>
      <c r="W15" s="1406"/>
      <c r="X15" s="1406"/>
      <c r="Y15" s="1406"/>
      <c r="Z15" s="1406"/>
      <c r="AA15" s="1406"/>
    </row>
    <row r="16" spans="1:27" ht="17.25" customHeight="1">
      <c r="A16" s="3239"/>
      <c r="B16" s="616" t="s">
        <v>4359</v>
      </c>
      <c r="C16" s="1663" t="str">
        <f>IF(ISERROR(ROUND(1-主营收支!C33/主营收支!C16,4)),"",ROUND(1-主营收支!C33/主营收支!C16,4))</f>
        <v/>
      </c>
      <c r="D16" s="1663" t="str">
        <f>IF(ISERROR(ROUND(1-主营收支!D33/主营收支!D16,4)),"",ROUND(1-主营收支!D33/主营收支!D16,4))</f>
        <v/>
      </c>
      <c r="E16" s="1663" t="str">
        <f>IF(ISERROR(ROUND(1-主营收支!E33/主营收支!E16,4)),"",ROUND(1-主营收支!E33/主营收支!E16,4))</f>
        <v/>
      </c>
      <c r="F16" s="1663" t="str">
        <f>IF(ISERROR(ROUND(1-主营收支!F33/主营收支!F16,4)),"",ROUND(1-主营收支!F33/主营收支!F16,4))</f>
        <v/>
      </c>
      <c r="G16" s="1664"/>
      <c r="H16" s="958"/>
      <c r="I16" s="958"/>
      <c r="J16" s="958"/>
      <c r="K16" s="958"/>
      <c r="L16" s="958"/>
      <c r="M16" s="958"/>
      <c r="N16" s="958"/>
      <c r="O16" s="1406"/>
      <c r="P16" s="1406"/>
      <c r="Q16" s="1406"/>
      <c r="R16" s="1406"/>
      <c r="S16" s="1406"/>
      <c r="T16" s="1406"/>
      <c r="U16" s="1406"/>
      <c r="V16" s="1406"/>
      <c r="W16" s="1406"/>
      <c r="X16" s="1406"/>
      <c r="Y16" s="1406"/>
      <c r="Z16" s="1406"/>
      <c r="AA16" s="1406"/>
    </row>
    <row r="17" spans="1:27" ht="17.25" customHeight="1">
      <c r="A17" s="3239"/>
      <c r="B17" s="739" t="s">
        <v>4588</v>
      </c>
      <c r="C17" s="1663" t="str">
        <f>IF(ISERROR(ROUND(1-主营收支!C34/主营收支!C17,4)),"",ROUND(1-主营收支!C34/主营收支!C17,4))</f>
        <v/>
      </c>
      <c r="D17" s="1663" t="str">
        <f>IF(ISERROR(ROUND(1-主营收支!D34/主营收支!D17,4)),"",ROUND(1-主营收支!D34/主营收支!D17,4))</f>
        <v/>
      </c>
      <c r="E17" s="1663" t="str">
        <f>IF(ISERROR(ROUND(1-主营收支!E34/主营收支!E17,4)),"",ROUND(1-主营收支!E34/主营收支!E17,4))</f>
        <v/>
      </c>
      <c r="F17" s="1663" t="str">
        <f>IF(ISERROR(ROUND(1-主营收支!F34/主营收支!F17,4)),"",ROUND(1-主营收支!F34/主营收支!F17,4))</f>
        <v/>
      </c>
      <c r="G17" s="1664"/>
      <c r="H17" s="958"/>
      <c r="I17" s="958"/>
      <c r="J17" s="958"/>
      <c r="K17" s="958"/>
      <c r="L17" s="958"/>
      <c r="M17" s="958"/>
      <c r="N17" s="958"/>
      <c r="O17" s="1406"/>
      <c r="P17" s="1406"/>
      <c r="Q17" s="1406"/>
      <c r="R17" s="1406"/>
      <c r="S17" s="1406"/>
      <c r="T17" s="1406"/>
      <c r="U17" s="1406"/>
      <c r="V17" s="1406"/>
      <c r="W17" s="1406"/>
      <c r="X17" s="1406"/>
      <c r="Y17" s="1406"/>
      <c r="Z17" s="1406"/>
      <c r="AA17" s="1406"/>
    </row>
    <row r="18" spans="1:27" ht="17.25" customHeight="1">
      <c r="A18" s="3239"/>
      <c r="B18" s="740" t="s">
        <v>4589</v>
      </c>
      <c r="C18" s="1663" t="str">
        <f>IF(ISERROR(ROUND(1-主营收支!C35/主营收支!C18,4)),"",ROUND(1-主营收支!C35/主营收支!C18,4))</f>
        <v/>
      </c>
      <c r="D18" s="1663" t="str">
        <f>IF(ISERROR(ROUND(1-主营收支!D35/主营收支!D18,4)),"",ROUND(1-主营收支!D35/主营收支!D18,4))</f>
        <v/>
      </c>
      <c r="E18" s="1663" t="str">
        <f>IF(ISERROR(ROUND(1-主营收支!E35/主营收支!E18,4)),"",ROUND(1-主营收支!E35/主营收支!E18,4))</f>
        <v/>
      </c>
      <c r="F18" s="1663" t="str">
        <f>IF(ISERROR(ROUND(1-主营收支!F35/主营收支!F18,4)),"",ROUND(1-主营收支!F35/主营收支!F18,4))</f>
        <v/>
      </c>
      <c r="G18" s="1664"/>
      <c r="H18" s="958"/>
      <c r="I18" s="958"/>
      <c r="J18" s="958"/>
      <c r="K18" s="958"/>
      <c r="L18" s="958"/>
      <c r="M18" s="958"/>
      <c r="N18" s="958"/>
      <c r="O18" s="1406"/>
      <c r="P18" s="1406"/>
      <c r="Q18" s="1406"/>
      <c r="R18" s="1406"/>
      <c r="S18" s="1406"/>
      <c r="T18" s="1406"/>
      <c r="U18" s="1406"/>
      <c r="V18" s="1406"/>
      <c r="W18" s="1406"/>
      <c r="X18" s="1406"/>
      <c r="Y18" s="1406"/>
      <c r="Z18" s="1406"/>
      <c r="AA18" s="1406"/>
    </row>
    <row r="19" spans="1:27" ht="17.25" customHeight="1">
      <c r="A19" s="3239"/>
      <c r="B19" s="740" t="s">
        <v>4590</v>
      </c>
      <c r="C19" s="1663" t="str">
        <f>IF(ISERROR(ROUND(1-主营收支!C36/主营收支!C19,4)),"",ROUND(1-主营收支!C36/主营收支!C19,4))</f>
        <v/>
      </c>
      <c r="D19" s="1663" t="str">
        <f>IF(ISERROR(ROUND(1-主营收支!D36/主营收支!D19,4)),"",ROUND(1-主营收支!D36/主营收支!D19,4))</f>
        <v/>
      </c>
      <c r="E19" s="1663" t="str">
        <f>IF(ISERROR(ROUND(1-主营收支!E36/主营收支!E19,4)),"",ROUND(1-主营收支!E36/主营收支!E19,4))</f>
        <v/>
      </c>
      <c r="F19" s="1663" t="str">
        <f>IF(ISERROR(ROUND(1-主营收支!F36/主营收支!F19,4)),"",ROUND(1-主营收支!F36/主营收支!F19,4))</f>
        <v/>
      </c>
      <c r="G19" s="1664"/>
      <c r="H19" s="958"/>
      <c r="I19" s="958"/>
      <c r="J19" s="958"/>
      <c r="K19" s="958"/>
      <c r="L19" s="958"/>
      <c r="M19" s="958"/>
      <c r="N19" s="958"/>
      <c r="O19" s="1406"/>
      <c r="P19" s="1406"/>
      <c r="Q19" s="1406"/>
      <c r="R19" s="1406"/>
      <c r="S19" s="1406"/>
      <c r="T19" s="1406"/>
      <c r="U19" s="1406"/>
      <c r="V19" s="1406"/>
      <c r="W19" s="1406"/>
      <c r="X19" s="1406"/>
      <c r="Y19" s="1406"/>
      <c r="Z19" s="1406"/>
      <c r="AA19" s="1406"/>
    </row>
    <row r="20" spans="1:27" ht="17.25" customHeight="1">
      <c r="A20" s="3239"/>
      <c r="B20" s="616" t="s">
        <v>5492</v>
      </c>
      <c r="C20" s="1665" t="str">
        <f>IF(ISERROR(ROUND(1-主营收支!C37/主营收支!C20,4)),"",ROUND(1-主营收支!C37/主营收支!C20,4))</f>
        <v/>
      </c>
      <c r="D20" s="1665" t="str">
        <f>IF(ISERROR(ROUND(1-主营收支!D37/主营收支!D20,4)),"",ROUND(1-主营收支!D37/主营收支!D20,4))</f>
        <v/>
      </c>
      <c r="E20" s="1665" t="str">
        <f>IF(ISERROR(ROUND(1-主营收支!E37/主营收支!E20,4)),"",ROUND(1-主营收支!E37/主营收支!E20,4))</f>
        <v/>
      </c>
      <c r="F20" s="1665" t="str">
        <f>IF(ISERROR(ROUND(1-主营收支!F37/主营收支!F20,4)),"",ROUND(1-主营收支!F37/主营收支!F20,4))</f>
        <v/>
      </c>
      <c r="G20" s="1666"/>
      <c r="H20" s="958"/>
      <c r="I20" s="958"/>
      <c r="J20" s="958"/>
      <c r="K20" s="958"/>
      <c r="L20" s="958"/>
      <c r="M20" s="958"/>
      <c r="N20" s="958"/>
      <c r="O20" s="1406"/>
      <c r="P20" s="1406"/>
      <c r="Q20" s="1406"/>
      <c r="R20" s="1406"/>
      <c r="S20" s="1406"/>
      <c r="T20" s="1406"/>
      <c r="U20" s="1406"/>
      <c r="V20" s="1406"/>
      <c r="W20" s="1406"/>
      <c r="X20" s="1406"/>
      <c r="Y20" s="1406"/>
      <c r="Z20" s="1406"/>
      <c r="AA20" s="1406"/>
    </row>
    <row r="21" spans="1:27" ht="24" customHeight="1">
      <c r="A21" s="3239" t="s">
        <v>750</v>
      </c>
      <c r="B21" s="3239"/>
      <c r="C21" s="1442" t="s">
        <v>5640</v>
      </c>
      <c r="D21" s="1442"/>
      <c r="E21" s="1442"/>
      <c r="F21" s="1442"/>
      <c r="G21" s="717" t="s">
        <v>4388</v>
      </c>
      <c r="H21" s="958"/>
      <c r="I21" s="958"/>
      <c r="J21" s="958"/>
      <c r="K21" s="958"/>
      <c r="L21" s="958"/>
      <c r="M21" s="958"/>
      <c r="N21" s="958"/>
      <c r="O21" s="1406"/>
      <c r="P21" s="1406"/>
      <c r="Q21" s="1406"/>
      <c r="R21" s="1406"/>
      <c r="S21" s="1406"/>
      <c r="T21" s="1406"/>
      <c r="U21" s="1406"/>
      <c r="V21" s="1406"/>
      <c r="W21" s="1406"/>
      <c r="X21" s="1406"/>
      <c r="Y21" s="1406"/>
      <c r="Z21" s="1406"/>
      <c r="AA21" s="1406"/>
    </row>
    <row r="22" spans="1:27" ht="17.25" customHeight="1">
      <c r="A22" s="3239" t="s">
        <v>5641</v>
      </c>
      <c r="B22" s="571" t="s">
        <v>5642</v>
      </c>
      <c r="C22" s="1465"/>
      <c r="D22" s="1465"/>
      <c r="E22" s="1465"/>
      <c r="F22" s="1465"/>
      <c r="G22" s="1667"/>
      <c r="H22" s="958"/>
      <c r="I22" s="958"/>
      <c r="J22" s="958"/>
      <c r="K22" s="958"/>
      <c r="L22" s="958"/>
      <c r="M22" s="958"/>
      <c r="N22" s="958"/>
      <c r="O22" s="1406"/>
      <c r="P22" s="1406"/>
      <c r="Q22" s="1406"/>
      <c r="R22" s="1406"/>
      <c r="S22" s="1406"/>
      <c r="T22" s="1406"/>
      <c r="U22" s="1406"/>
      <c r="V22" s="1406"/>
      <c r="W22" s="1406"/>
      <c r="X22" s="1406"/>
      <c r="Y22" s="1406"/>
      <c r="Z22" s="1406"/>
      <c r="AA22" s="1406"/>
    </row>
    <row r="23" spans="1:27" ht="17.25" customHeight="1">
      <c r="A23" s="3239"/>
      <c r="B23" s="740"/>
      <c r="C23" s="1202"/>
      <c r="D23" s="1202"/>
      <c r="E23" s="1202"/>
      <c r="F23" s="1202"/>
      <c r="G23" s="1664"/>
      <c r="H23" s="958"/>
      <c r="I23" s="958"/>
      <c r="J23" s="958"/>
      <c r="K23" s="958"/>
      <c r="L23" s="958"/>
      <c r="M23" s="958"/>
      <c r="N23" s="958"/>
      <c r="O23" s="1406"/>
      <c r="P23" s="1406"/>
      <c r="Q23" s="1406"/>
      <c r="R23" s="1406"/>
      <c r="S23" s="1406"/>
      <c r="T23" s="1406"/>
      <c r="U23" s="1406"/>
      <c r="V23" s="1406"/>
      <c r="W23" s="1406"/>
      <c r="X23" s="1406"/>
      <c r="Y23" s="1406"/>
      <c r="Z23" s="1406"/>
      <c r="AA23" s="1406"/>
    </row>
    <row r="24" spans="1:27" ht="17.25" customHeight="1">
      <c r="A24" s="3239"/>
      <c r="B24" s="740"/>
      <c r="C24" s="1202"/>
      <c r="D24" s="1202"/>
      <c r="E24" s="1202"/>
      <c r="F24" s="1202"/>
      <c r="G24" s="1664"/>
      <c r="H24" s="958"/>
      <c r="I24" s="958"/>
      <c r="J24" s="958"/>
      <c r="K24" s="958"/>
      <c r="L24" s="958"/>
      <c r="M24" s="958"/>
      <c r="N24" s="958"/>
      <c r="O24" s="1406"/>
      <c r="P24" s="1406"/>
      <c r="Q24" s="1406"/>
      <c r="R24" s="1406"/>
      <c r="S24" s="1406"/>
      <c r="T24" s="1406"/>
      <c r="U24" s="1406"/>
      <c r="V24" s="1406"/>
      <c r="W24" s="1406"/>
      <c r="X24" s="1406"/>
      <c r="Y24" s="1406"/>
      <c r="Z24" s="1406"/>
      <c r="AA24" s="1406"/>
    </row>
    <row r="25" spans="1:27" ht="17.25" customHeight="1">
      <c r="A25" s="3239"/>
      <c r="B25" s="740"/>
      <c r="C25" s="1202"/>
      <c r="D25" s="1202"/>
      <c r="E25" s="1202"/>
      <c r="F25" s="1202"/>
      <c r="G25" s="1664"/>
      <c r="H25" s="958"/>
      <c r="I25" s="958"/>
      <c r="J25" s="958"/>
      <c r="K25" s="958"/>
      <c r="L25" s="958"/>
      <c r="M25" s="958"/>
      <c r="N25" s="958"/>
      <c r="O25" s="1406"/>
      <c r="P25" s="1406"/>
      <c r="Q25" s="1406"/>
      <c r="R25" s="1406"/>
      <c r="S25" s="1406"/>
      <c r="T25" s="1406"/>
      <c r="U25" s="1406"/>
      <c r="V25" s="1406"/>
      <c r="W25" s="1406"/>
      <c r="X25" s="1406"/>
      <c r="Y25" s="1406"/>
      <c r="Z25" s="1406"/>
      <c r="AA25" s="1406"/>
    </row>
    <row r="26" spans="1:27" ht="17.25" customHeight="1">
      <c r="A26" s="3239"/>
      <c r="B26" s="740"/>
      <c r="C26" s="1202"/>
      <c r="D26" s="1202"/>
      <c r="E26" s="1202"/>
      <c r="F26" s="1202"/>
      <c r="G26" s="1664"/>
      <c r="H26" s="958"/>
      <c r="I26" s="958"/>
      <c r="J26" s="958"/>
      <c r="K26" s="958"/>
      <c r="L26" s="958"/>
      <c r="M26" s="958"/>
      <c r="N26" s="958"/>
      <c r="O26" s="1406"/>
      <c r="P26" s="1406"/>
      <c r="Q26" s="1406"/>
      <c r="R26" s="1406"/>
      <c r="S26" s="1406"/>
      <c r="T26" s="1406"/>
      <c r="U26" s="1406"/>
      <c r="V26" s="1406"/>
      <c r="W26" s="1406"/>
      <c r="X26" s="1406"/>
      <c r="Y26" s="1406"/>
      <c r="Z26" s="1406"/>
      <c r="AA26" s="1406"/>
    </row>
    <row r="27" spans="1:27" ht="17.25" customHeight="1">
      <c r="A27" s="3239"/>
      <c r="B27" s="740"/>
      <c r="C27" s="1202"/>
      <c r="D27" s="1202"/>
      <c r="E27" s="1202"/>
      <c r="F27" s="1202"/>
      <c r="G27" s="1664"/>
      <c r="H27" s="958"/>
      <c r="I27" s="958"/>
      <c r="J27" s="958"/>
      <c r="K27" s="958"/>
      <c r="L27" s="958"/>
      <c r="M27" s="958"/>
      <c r="N27" s="958"/>
      <c r="O27" s="1406"/>
      <c r="P27" s="1406"/>
      <c r="Q27" s="1406"/>
      <c r="R27" s="1406"/>
      <c r="S27" s="1406"/>
      <c r="T27" s="1406"/>
      <c r="U27" s="1406"/>
      <c r="V27" s="1406"/>
      <c r="W27" s="1406"/>
      <c r="X27" s="1406"/>
      <c r="Y27" s="1406"/>
      <c r="Z27" s="1406"/>
      <c r="AA27" s="1406"/>
    </row>
    <row r="28" spans="1:27" ht="17.25" customHeight="1">
      <c r="A28" s="3239"/>
      <c r="B28" s="740"/>
      <c r="C28" s="1202"/>
      <c r="D28" s="1202"/>
      <c r="E28" s="1202"/>
      <c r="F28" s="1202"/>
      <c r="G28" s="1664"/>
      <c r="H28" s="958"/>
      <c r="I28" s="958"/>
      <c r="J28" s="958"/>
      <c r="K28" s="958"/>
      <c r="L28" s="958"/>
      <c r="M28" s="958"/>
      <c r="N28" s="958"/>
      <c r="O28" s="1406"/>
      <c r="P28" s="1406"/>
      <c r="Q28" s="1406"/>
      <c r="R28" s="1406"/>
      <c r="S28" s="1406"/>
      <c r="T28" s="1406"/>
      <c r="U28" s="1406"/>
      <c r="V28" s="1406"/>
      <c r="W28" s="1406"/>
      <c r="X28" s="1406"/>
      <c r="Y28" s="1406"/>
      <c r="Z28" s="1406"/>
      <c r="AA28" s="1406"/>
    </row>
    <row r="29" spans="1:27" ht="17.25" customHeight="1">
      <c r="A29" s="3239"/>
      <c r="B29" s="740"/>
      <c r="C29" s="1202"/>
      <c r="D29" s="1202"/>
      <c r="E29" s="1202"/>
      <c r="F29" s="1202"/>
      <c r="G29" s="1664"/>
      <c r="H29" s="958"/>
      <c r="I29" s="958"/>
      <c r="J29" s="958"/>
      <c r="K29" s="958"/>
      <c r="L29" s="958"/>
      <c r="M29" s="958"/>
      <c r="N29" s="958"/>
      <c r="O29" s="1406"/>
      <c r="P29" s="1406"/>
      <c r="Q29" s="1406"/>
      <c r="R29" s="1406"/>
      <c r="S29" s="1406"/>
      <c r="T29" s="1406"/>
      <c r="U29" s="1406"/>
      <c r="V29" s="1406"/>
      <c r="W29" s="1406"/>
      <c r="X29" s="1406"/>
      <c r="Y29" s="1406"/>
      <c r="Z29" s="1406"/>
      <c r="AA29" s="1406"/>
    </row>
    <row r="30" spans="1:27" ht="17.25" customHeight="1">
      <c r="A30" s="3239"/>
      <c r="B30" s="740"/>
      <c r="C30" s="1202"/>
      <c r="D30" s="1202"/>
      <c r="E30" s="1202"/>
      <c r="F30" s="1202"/>
      <c r="G30" s="1664"/>
      <c r="H30" s="958"/>
      <c r="I30" s="958"/>
      <c r="J30" s="958"/>
      <c r="K30" s="958"/>
      <c r="L30" s="958"/>
      <c r="M30" s="958"/>
      <c r="N30" s="958"/>
      <c r="O30" s="1406"/>
      <c r="P30" s="1406"/>
      <c r="Q30" s="1406"/>
      <c r="R30" s="1406"/>
      <c r="S30" s="1406"/>
      <c r="T30" s="1406"/>
      <c r="U30" s="1406"/>
      <c r="V30" s="1406"/>
      <c r="W30" s="1406"/>
      <c r="X30" s="1406"/>
      <c r="Y30" s="1406"/>
      <c r="Z30" s="1406"/>
      <c r="AA30" s="1406"/>
    </row>
    <row r="31" spans="1:27" ht="17.25" customHeight="1">
      <c r="A31" s="3239"/>
      <c r="B31" s="739"/>
      <c r="C31" s="1202"/>
      <c r="D31" s="1202"/>
      <c r="E31" s="1202"/>
      <c r="F31" s="1202"/>
      <c r="G31" s="1664"/>
      <c r="H31" s="958"/>
      <c r="I31" s="958"/>
      <c r="J31" s="958"/>
      <c r="K31" s="958"/>
      <c r="L31" s="958"/>
      <c r="M31" s="958"/>
      <c r="N31" s="958"/>
      <c r="O31" s="1406"/>
      <c r="P31" s="1406"/>
      <c r="Q31" s="1406"/>
      <c r="R31" s="1406"/>
      <c r="S31" s="1406"/>
      <c r="T31" s="1406"/>
      <c r="U31" s="1406"/>
      <c r="V31" s="1406"/>
      <c r="W31" s="1406"/>
      <c r="X31" s="1406"/>
      <c r="Y31" s="1406"/>
      <c r="Z31" s="1406"/>
      <c r="AA31" s="1406"/>
    </row>
    <row r="32" spans="1:27" ht="17.25" customHeight="1">
      <c r="A32" s="3239"/>
      <c r="B32" s="740"/>
      <c r="C32" s="1202"/>
      <c r="D32" s="1202"/>
      <c r="E32" s="1202"/>
      <c r="F32" s="1202"/>
      <c r="G32" s="1664"/>
      <c r="H32" s="958"/>
      <c r="I32" s="958"/>
      <c r="J32" s="958"/>
      <c r="K32" s="958"/>
      <c r="L32" s="958"/>
      <c r="M32" s="958"/>
      <c r="N32" s="958"/>
      <c r="O32" s="1406"/>
      <c r="P32" s="1406"/>
      <c r="Q32" s="1406"/>
      <c r="R32" s="1406"/>
      <c r="S32" s="1406"/>
      <c r="T32" s="1406"/>
      <c r="U32" s="1406"/>
      <c r="V32" s="1406"/>
      <c r="W32" s="1406"/>
      <c r="X32" s="1406"/>
      <c r="Y32" s="1406"/>
      <c r="Z32" s="1406"/>
      <c r="AA32" s="1406"/>
    </row>
    <row r="33" spans="1:27" ht="17.25" customHeight="1">
      <c r="A33" s="3239"/>
      <c r="B33" s="740"/>
      <c r="C33" s="1202"/>
      <c r="D33" s="1202"/>
      <c r="E33" s="1202"/>
      <c r="F33" s="1202"/>
      <c r="G33" s="1664"/>
      <c r="H33" s="958"/>
      <c r="I33" s="958"/>
      <c r="J33" s="958"/>
      <c r="K33" s="958"/>
      <c r="L33" s="958"/>
      <c r="M33" s="958"/>
      <c r="N33" s="958"/>
      <c r="O33" s="1406"/>
      <c r="P33" s="1406"/>
      <c r="Q33" s="1406"/>
      <c r="R33" s="1406"/>
      <c r="S33" s="1406"/>
      <c r="T33" s="1406"/>
      <c r="U33" s="1406"/>
      <c r="V33" s="1406"/>
      <c r="W33" s="1406"/>
      <c r="X33" s="1406"/>
      <c r="Y33" s="1406"/>
      <c r="Z33" s="1406"/>
      <c r="AA33" s="1406"/>
    </row>
    <row r="34" spans="1:27" ht="24" customHeight="1">
      <c r="A34" s="3239"/>
      <c r="B34" s="616" t="s">
        <v>895</v>
      </c>
      <c r="C34" s="721">
        <f>SUM(C22:C33)</f>
        <v>0</v>
      </c>
      <c r="D34" s="721">
        <f>SUM(D22:D33)</f>
        <v>0</v>
      </c>
      <c r="E34" s="721">
        <f>SUM(E22:E33)</f>
        <v>0</v>
      </c>
      <c r="F34" s="721">
        <f>SUM(F22:F33)</f>
        <v>0</v>
      </c>
      <c r="G34" s="1668"/>
      <c r="H34" s="958"/>
      <c r="I34" s="958"/>
      <c r="J34" s="958"/>
      <c r="K34" s="958"/>
      <c r="L34" s="958"/>
      <c r="M34" s="958"/>
      <c r="N34" s="958"/>
      <c r="O34" s="1406"/>
      <c r="P34" s="1406"/>
      <c r="Q34" s="1406"/>
      <c r="R34" s="1406"/>
      <c r="S34" s="1406"/>
      <c r="T34" s="1406"/>
      <c r="U34" s="1406"/>
      <c r="V34" s="1406"/>
      <c r="W34" s="1406"/>
      <c r="X34" s="1406"/>
      <c r="Y34" s="1406"/>
      <c r="Z34" s="1406"/>
      <c r="AA34" s="1406"/>
    </row>
    <row r="35" spans="1:27" ht="14.25" customHeight="1">
      <c r="A35" s="3239" t="s">
        <v>5643</v>
      </c>
      <c r="B35" s="3239"/>
      <c r="C35" s="3247"/>
      <c r="D35" s="3247"/>
      <c r="E35" s="3247"/>
      <c r="F35" s="3247"/>
      <c r="G35" s="3247"/>
      <c r="H35" s="958"/>
      <c r="I35" s="958"/>
      <c r="J35" s="958"/>
      <c r="K35" s="958"/>
      <c r="L35" s="958"/>
      <c r="M35" s="958"/>
      <c r="N35" s="958"/>
      <c r="O35" s="1406"/>
      <c r="P35" s="1406"/>
      <c r="Q35" s="1406"/>
      <c r="R35" s="1406"/>
      <c r="S35" s="1406"/>
      <c r="T35" s="1406"/>
      <c r="U35" s="1406"/>
      <c r="V35" s="1406"/>
      <c r="W35" s="1406"/>
      <c r="X35" s="1406"/>
      <c r="Y35" s="1406"/>
      <c r="Z35" s="1406"/>
      <c r="AA35" s="1406"/>
    </row>
    <row r="36" spans="1:27">
      <c r="A36" s="3239"/>
      <c r="B36" s="3239"/>
      <c r="C36" s="3248"/>
      <c r="D36" s="3248"/>
      <c r="E36" s="3248"/>
      <c r="F36" s="3248"/>
      <c r="G36" s="3248"/>
      <c r="H36" s="958"/>
      <c r="I36" s="958"/>
      <c r="J36" s="958"/>
      <c r="K36" s="958"/>
      <c r="L36" s="958"/>
      <c r="M36" s="958"/>
      <c r="N36" s="958"/>
      <c r="O36" s="1406"/>
      <c r="P36" s="1406"/>
      <c r="Q36" s="1406"/>
      <c r="R36" s="1406"/>
      <c r="S36" s="1406"/>
      <c r="T36" s="1406"/>
      <c r="U36" s="1406"/>
      <c r="V36" s="1406"/>
      <c r="W36" s="1406"/>
      <c r="X36" s="1406"/>
      <c r="Y36" s="1406"/>
      <c r="Z36" s="1406"/>
      <c r="AA36" s="1406"/>
    </row>
    <row r="37" spans="1:27">
      <c r="A37" s="3239"/>
      <c r="B37" s="3239"/>
      <c r="C37" s="3249"/>
      <c r="D37" s="3249"/>
      <c r="E37" s="3249"/>
      <c r="F37" s="3249"/>
      <c r="G37" s="3249"/>
      <c r="H37" s="958"/>
      <c r="I37" s="958"/>
      <c r="J37" s="958"/>
      <c r="K37" s="958"/>
      <c r="L37" s="958"/>
      <c r="M37" s="958"/>
      <c r="N37" s="958"/>
      <c r="O37" s="1406"/>
      <c r="P37" s="1406"/>
      <c r="Q37" s="1406"/>
      <c r="R37" s="1406"/>
      <c r="S37" s="1406"/>
      <c r="T37" s="1406"/>
      <c r="U37" s="1406"/>
      <c r="V37" s="1406"/>
      <c r="W37" s="1406"/>
      <c r="X37" s="1406"/>
      <c r="Y37" s="1406"/>
      <c r="Z37" s="1406"/>
      <c r="AA37" s="1406"/>
    </row>
    <row r="38" spans="1:27">
      <c r="A38" s="3239"/>
      <c r="B38" s="3239"/>
      <c r="C38" s="3248"/>
      <c r="D38" s="3248"/>
      <c r="E38" s="3248"/>
      <c r="F38" s="3248"/>
      <c r="G38" s="3248"/>
      <c r="H38" s="958"/>
      <c r="I38" s="958"/>
      <c r="J38" s="958"/>
      <c r="K38" s="958"/>
      <c r="L38" s="958"/>
      <c r="M38" s="958"/>
      <c r="N38" s="958"/>
      <c r="O38" s="1406"/>
      <c r="P38" s="1406"/>
      <c r="Q38" s="1406"/>
      <c r="R38" s="1406"/>
      <c r="S38" s="1406"/>
      <c r="T38" s="1406"/>
      <c r="U38" s="1406"/>
      <c r="V38" s="1406"/>
      <c r="W38" s="1406"/>
      <c r="X38" s="1406"/>
      <c r="Y38" s="1406"/>
      <c r="Z38" s="1406"/>
      <c r="AA38" s="1406"/>
    </row>
    <row r="39" spans="1:27">
      <c r="A39" s="3239"/>
      <c r="B39" s="3239"/>
      <c r="C39" s="3248"/>
      <c r="D39" s="3248"/>
      <c r="E39" s="3248"/>
      <c r="F39" s="3248"/>
      <c r="G39" s="3248"/>
      <c r="H39" s="958"/>
      <c r="I39" s="958"/>
      <c r="J39" s="958"/>
      <c r="K39" s="958"/>
      <c r="L39" s="958"/>
      <c r="M39" s="958"/>
      <c r="N39" s="958"/>
      <c r="O39" s="1406"/>
      <c r="P39" s="1406"/>
      <c r="Q39" s="1406"/>
      <c r="R39" s="1406"/>
      <c r="S39" s="1406"/>
      <c r="T39" s="1406"/>
      <c r="U39" s="1406"/>
      <c r="V39" s="1406"/>
      <c r="W39" s="1406"/>
      <c r="X39" s="1406"/>
      <c r="Y39" s="1406"/>
      <c r="Z39" s="1406"/>
      <c r="AA39" s="1406"/>
    </row>
    <row r="40" spans="1:27">
      <c r="A40" s="3239"/>
      <c r="B40" s="3239"/>
      <c r="C40" s="3246"/>
      <c r="D40" s="3246"/>
      <c r="E40" s="3246"/>
      <c r="F40" s="3246"/>
      <c r="G40" s="3246"/>
      <c r="H40" s="958"/>
      <c r="I40" s="958"/>
      <c r="J40" s="958"/>
      <c r="K40" s="958"/>
      <c r="L40" s="958"/>
      <c r="M40" s="958"/>
      <c r="N40" s="958"/>
      <c r="O40" s="1406"/>
      <c r="P40" s="1406"/>
      <c r="Q40" s="1406"/>
      <c r="R40" s="1406"/>
      <c r="S40" s="1406"/>
      <c r="T40" s="1406"/>
      <c r="U40" s="1406"/>
      <c r="V40" s="1406"/>
      <c r="W40" s="1406"/>
      <c r="X40" s="1406"/>
      <c r="Y40" s="1406"/>
      <c r="Z40" s="1406"/>
      <c r="AA40" s="1406"/>
    </row>
    <row r="41" spans="1:27">
      <c r="A41" s="958"/>
      <c r="B41" s="958"/>
      <c r="C41" s="958"/>
      <c r="D41" s="958"/>
      <c r="E41" s="958"/>
      <c r="F41" s="958"/>
      <c r="G41" s="958"/>
      <c r="H41" s="958"/>
      <c r="I41" s="958"/>
      <c r="J41" s="958"/>
      <c r="K41" s="958"/>
      <c r="L41" s="958"/>
      <c r="M41" s="958"/>
      <c r="N41" s="958"/>
      <c r="O41" s="1406"/>
      <c r="P41" s="1406"/>
      <c r="Q41" s="1406"/>
      <c r="R41" s="1406"/>
      <c r="S41" s="1406"/>
      <c r="T41" s="1406"/>
      <c r="U41" s="1406"/>
      <c r="V41" s="1406"/>
      <c r="W41" s="1406"/>
      <c r="X41" s="1406"/>
      <c r="Y41" s="1406"/>
      <c r="Z41" s="1406"/>
      <c r="AA41" s="1406"/>
    </row>
    <row r="42" spans="1:27">
      <c r="A42" s="958"/>
      <c r="B42" s="958"/>
      <c r="C42" s="958"/>
      <c r="D42" s="958"/>
      <c r="E42" s="958"/>
      <c r="F42" s="958"/>
      <c r="G42" s="958"/>
      <c r="H42" s="958"/>
      <c r="I42" s="958"/>
      <c r="J42" s="958"/>
      <c r="K42" s="958"/>
      <c r="L42" s="958"/>
      <c r="M42" s="958"/>
      <c r="N42" s="958"/>
      <c r="O42" s="1406"/>
      <c r="P42" s="1406"/>
      <c r="Q42" s="1406"/>
      <c r="R42" s="1406"/>
      <c r="S42" s="1406"/>
      <c r="T42" s="1406"/>
      <c r="U42" s="1406"/>
      <c r="V42" s="1406"/>
      <c r="W42" s="1406"/>
      <c r="X42" s="1406"/>
      <c r="Y42" s="1406"/>
      <c r="Z42" s="1406"/>
      <c r="AA42" s="1406"/>
    </row>
    <row r="43" spans="1:27">
      <c r="A43" s="958"/>
      <c r="B43" s="958"/>
      <c r="C43" s="958"/>
      <c r="D43" s="958"/>
      <c r="E43" s="958"/>
      <c r="F43" s="958"/>
      <c r="G43" s="958"/>
      <c r="H43" s="958"/>
      <c r="I43" s="958"/>
      <c r="J43" s="958"/>
      <c r="K43" s="958"/>
      <c r="L43" s="958"/>
      <c r="M43" s="958"/>
      <c r="N43" s="958"/>
      <c r="O43" s="1406"/>
      <c r="P43" s="1406"/>
      <c r="Q43" s="1406"/>
      <c r="R43" s="1406"/>
      <c r="S43" s="1406"/>
      <c r="T43" s="1406"/>
      <c r="U43" s="1406"/>
      <c r="V43" s="1406"/>
      <c r="W43" s="1406"/>
      <c r="X43" s="1406"/>
      <c r="Y43" s="1406"/>
      <c r="Z43" s="1406"/>
      <c r="AA43" s="1406"/>
    </row>
    <row r="44" spans="1:27">
      <c r="A44" s="958"/>
      <c r="B44" s="958"/>
      <c r="C44" s="958"/>
      <c r="D44" s="958"/>
      <c r="E44" s="958"/>
      <c r="F44" s="958"/>
      <c r="G44" s="958"/>
      <c r="H44" s="958"/>
      <c r="I44" s="958"/>
      <c r="J44" s="958"/>
      <c r="K44" s="958"/>
      <c r="L44" s="958"/>
      <c r="M44" s="958"/>
      <c r="N44" s="958"/>
      <c r="O44" s="1406"/>
      <c r="P44" s="1406"/>
      <c r="Q44" s="1406"/>
      <c r="R44" s="1406"/>
      <c r="S44" s="1406"/>
      <c r="T44" s="1406"/>
      <c r="U44" s="1406"/>
      <c r="V44" s="1406"/>
      <c r="W44" s="1406"/>
      <c r="X44" s="1406"/>
      <c r="Y44" s="1406"/>
      <c r="Z44" s="1406"/>
      <c r="AA44" s="1406"/>
    </row>
    <row r="45" spans="1:27">
      <c r="A45" s="958"/>
      <c r="B45" s="958"/>
      <c r="C45" s="958"/>
      <c r="D45" s="958"/>
      <c r="E45" s="958"/>
      <c r="F45" s="958"/>
      <c r="G45" s="958"/>
      <c r="H45" s="958"/>
      <c r="I45" s="958"/>
      <c r="J45" s="958"/>
      <c r="K45" s="958"/>
      <c r="L45" s="958"/>
      <c r="M45" s="958"/>
      <c r="N45" s="958"/>
      <c r="O45" s="1406"/>
      <c r="P45" s="1406"/>
      <c r="Q45" s="1406"/>
      <c r="R45" s="1406"/>
      <c r="S45" s="1406"/>
      <c r="T45" s="1406"/>
      <c r="U45" s="1406"/>
      <c r="V45" s="1406"/>
      <c r="W45" s="1406"/>
      <c r="X45" s="1406"/>
      <c r="Y45" s="1406"/>
      <c r="Z45" s="1406"/>
      <c r="AA45" s="1406"/>
    </row>
    <row r="46" spans="1:27">
      <c r="A46" s="958"/>
      <c r="B46" s="958"/>
      <c r="C46" s="958"/>
      <c r="D46" s="958"/>
      <c r="E46" s="958"/>
      <c r="F46" s="958"/>
      <c r="G46" s="958"/>
      <c r="H46" s="958"/>
      <c r="I46" s="958"/>
      <c r="J46" s="958"/>
      <c r="K46" s="958"/>
      <c r="L46" s="958"/>
      <c r="M46" s="958"/>
      <c r="N46" s="958"/>
      <c r="O46" s="1406"/>
      <c r="P46" s="1406"/>
      <c r="Q46" s="1406"/>
      <c r="R46" s="1406"/>
      <c r="S46" s="1406"/>
      <c r="T46" s="1406"/>
      <c r="U46" s="1406"/>
      <c r="V46" s="1406"/>
      <c r="W46" s="1406"/>
      <c r="X46" s="1406"/>
      <c r="Y46" s="1406"/>
      <c r="Z46" s="1406"/>
      <c r="AA46" s="1406"/>
    </row>
    <row r="47" spans="1:27">
      <c r="A47" s="958"/>
      <c r="B47" s="958"/>
      <c r="C47" s="958"/>
      <c r="D47" s="958"/>
      <c r="E47" s="958"/>
      <c r="F47" s="958"/>
      <c r="G47" s="958"/>
      <c r="H47" s="958"/>
      <c r="I47" s="958"/>
      <c r="J47" s="958"/>
      <c r="K47" s="958"/>
      <c r="L47" s="958"/>
      <c r="M47" s="958"/>
      <c r="N47" s="958"/>
      <c r="O47" s="1406"/>
      <c r="P47" s="1406"/>
      <c r="Q47" s="1406"/>
      <c r="R47" s="1406"/>
      <c r="S47" s="1406"/>
      <c r="T47" s="1406"/>
      <c r="U47" s="1406"/>
      <c r="V47" s="1406"/>
      <c r="W47" s="1406"/>
      <c r="X47" s="1406"/>
      <c r="Y47" s="1406"/>
      <c r="Z47" s="1406"/>
      <c r="AA47" s="1406"/>
    </row>
    <row r="48" spans="1:27">
      <c r="A48" s="958"/>
      <c r="B48" s="958"/>
      <c r="C48" s="958"/>
      <c r="D48" s="958"/>
      <c r="E48" s="958"/>
      <c r="F48" s="958"/>
      <c r="G48" s="958"/>
      <c r="H48" s="958"/>
      <c r="I48" s="958"/>
      <c r="J48" s="958"/>
      <c r="K48" s="958"/>
      <c r="L48" s="958"/>
      <c r="M48" s="958"/>
      <c r="N48" s="958"/>
      <c r="O48" s="1406"/>
      <c r="P48" s="1406"/>
      <c r="Q48" s="1406"/>
      <c r="R48" s="1406"/>
      <c r="S48" s="1406"/>
      <c r="T48" s="1406"/>
      <c r="U48" s="1406"/>
      <c r="V48" s="1406"/>
      <c r="W48" s="1406"/>
      <c r="X48" s="1406"/>
      <c r="Y48" s="1406"/>
      <c r="Z48" s="1406"/>
      <c r="AA48" s="1406"/>
    </row>
    <row r="49" spans="1:27">
      <c r="A49" s="958"/>
      <c r="B49" s="958"/>
      <c r="C49" s="958"/>
      <c r="D49" s="958"/>
      <c r="E49" s="958"/>
      <c r="F49" s="958"/>
      <c r="G49" s="958"/>
      <c r="H49" s="958"/>
      <c r="I49" s="958"/>
      <c r="J49" s="958"/>
      <c r="K49" s="958"/>
      <c r="L49" s="958"/>
      <c r="M49" s="958"/>
      <c r="N49" s="958"/>
      <c r="O49" s="1406"/>
      <c r="P49" s="1406"/>
      <c r="Q49" s="1406"/>
      <c r="R49" s="1406"/>
      <c r="S49" s="1406"/>
      <c r="T49" s="1406"/>
      <c r="U49" s="1406"/>
      <c r="V49" s="1406"/>
      <c r="W49" s="1406"/>
      <c r="X49" s="1406"/>
      <c r="Y49" s="1406"/>
      <c r="Z49" s="1406"/>
      <c r="AA49" s="1406"/>
    </row>
    <row r="50" spans="1:27">
      <c r="A50" s="958"/>
      <c r="B50" s="958"/>
      <c r="C50" s="958"/>
      <c r="D50" s="958"/>
      <c r="E50" s="958"/>
      <c r="F50" s="958"/>
      <c r="G50" s="958"/>
      <c r="H50" s="958"/>
      <c r="I50" s="958"/>
      <c r="J50" s="958"/>
      <c r="K50" s="958"/>
      <c r="L50" s="958"/>
      <c r="M50" s="958"/>
      <c r="N50" s="958"/>
      <c r="O50" s="1406"/>
      <c r="P50" s="1406"/>
      <c r="Q50" s="1406"/>
      <c r="R50" s="1406"/>
      <c r="S50" s="1406"/>
      <c r="T50" s="1406"/>
      <c r="U50" s="1406"/>
      <c r="V50" s="1406"/>
      <c r="W50" s="1406"/>
      <c r="X50" s="1406"/>
      <c r="Y50" s="1406"/>
      <c r="Z50" s="1406"/>
      <c r="AA50" s="1406"/>
    </row>
    <row r="51" spans="1:27">
      <c r="A51" s="958"/>
      <c r="B51" s="958"/>
      <c r="C51" s="958"/>
      <c r="D51" s="958"/>
      <c r="E51" s="958"/>
      <c r="F51" s="958"/>
      <c r="G51" s="958"/>
      <c r="H51" s="958"/>
      <c r="I51" s="958"/>
      <c r="J51" s="958"/>
      <c r="K51" s="958"/>
      <c r="L51" s="958"/>
      <c r="M51" s="958"/>
      <c r="N51" s="958"/>
      <c r="O51" s="1406"/>
      <c r="P51" s="1406"/>
      <c r="Q51" s="1406"/>
      <c r="R51" s="1406"/>
      <c r="S51" s="1406"/>
      <c r="T51" s="1406"/>
      <c r="U51" s="1406"/>
      <c r="V51" s="1406"/>
      <c r="W51" s="1406"/>
      <c r="X51" s="1406"/>
      <c r="Y51" s="1406"/>
      <c r="Z51" s="1406"/>
      <c r="AA51" s="1406"/>
    </row>
    <row r="52" spans="1:27">
      <c r="A52" s="958"/>
      <c r="B52" s="958"/>
      <c r="C52" s="958"/>
      <c r="D52" s="958"/>
      <c r="E52" s="958"/>
      <c r="F52" s="958"/>
      <c r="G52" s="958"/>
      <c r="H52" s="958"/>
      <c r="I52" s="958"/>
      <c r="J52" s="958"/>
      <c r="K52" s="958"/>
      <c r="L52" s="958"/>
      <c r="M52" s="958"/>
      <c r="N52" s="958"/>
      <c r="O52" s="1406"/>
      <c r="P52" s="1406"/>
      <c r="Q52" s="1406"/>
      <c r="R52" s="1406"/>
      <c r="S52" s="1406"/>
      <c r="T52" s="1406"/>
      <c r="U52" s="1406"/>
      <c r="V52" s="1406"/>
      <c r="W52" s="1406"/>
      <c r="X52" s="1406"/>
      <c r="Y52" s="1406"/>
      <c r="Z52" s="1406"/>
      <c r="AA52" s="1406"/>
    </row>
    <row r="53" spans="1:27">
      <c r="A53" s="958"/>
      <c r="B53" s="958"/>
      <c r="C53" s="958"/>
      <c r="D53" s="958"/>
      <c r="E53" s="958"/>
      <c r="F53" s="958"/>
      <c r="G53" s="958"/>
      <c r="H53" s="958"/>
      <c r="I53" s="958"/>
      <c r="J53" s="958"/>
      <c r="K53" s="958"/>
      <c r="L53" s="958"/>
      <c r="M53" s="958"/>
      <c r="N53" s="958"/>
      <c r="O53" s="1406"/>
      <c r="P53" s="1406"/>
      <c r="Q53" s="1406"/>
      <c r="R53" s="1406"/>
      <c r="S53" s="1406"/>
      <c r="T53" s="1406"/>
      <c r="U53" s="1406"/>
      <c r="V53" s="1406"/>
      <c r="W53" s="1406"/>
      <c r="X53" s="1406"/>
      <c r="Y53" s="1406"/>
      <c r="Z53" s="1406"/>
      <c r="AA53" s="1406"/>
    </row>
    <row r="54" spans="1:27">
      <c r="A54" s="958"/>
      <c r="B54" s="958"/>
      <c r="C54" s="958"/>
      <c r="D54" s="958"/>
      <c r="E54" s="958"/>
      <c r="F54" s="958"/>
      <c r="G54" s="958"/>
      <c r="H54" s="958"/>
      <c r="I54" s="958"/>
      <c r="J54" s="958"/>
      <c r="K54" s="958"/>
      <c r="L54" s="958"/>
      <c r="M54" s="958"/>
      <c r="N54" s="958"/>
      <c r="O54" s="1406"/>
      <c r="P54" s="1406"/>
      <c r="Q54" s="1406"/>
      <c r="R54" s="1406"/>
      <c r="S54" s="1406"/>
      <c r="T54" s="1406"/>
      <c r="U54" s="1406"/>
      <c r="V54" s="1406"/>
      <c r="W54" s="1406"/>
      <c r="X54" s="1406"/>
      <c r="Y54" s="1406"/>
      <c r="Z54" s="1406"/>
      <c r="AA54" s="1406"/>
    </row>
    <row r="55" spans="1:27">
      <c r="A55" s="958"/>
      <c r="B55" s="958"/>
      <c r="C55" s="958"/>
      <c r="D55" s="958"/>
      <c r="E55" s="958"/>
      <c r="F55" s="958"/>
      <c r="G55" s="958"/>
      <c r="H55" s="958"/>
      <c r="I55" s="958"/>
      <c r="J55" s="958"/>
      <c r="K55" s="958"/>
      <c r="L55" s="958"/>
      <c r="M55" s="958"/>
      <c r="N55" s="958"/>
      <c r="O55" s="1406"/>
      <c r="P55" s="1406"/>
      <c r="Q55" s="1406"/>
      <c r="R55" s="1406"/>
      <c r="S55" s="1406"/>
      <c r="T55" s="1406"/>
      <c r="U55" s="1406"/>
      <c r="V55" s="1406"/>
      <c r="W55" s="1406"/>
      <c r="X55" s="1406"/>
      <c r="Y55" s="1406"/>
      <c r="Z55" s="1406"/>
      <c r="AA55" s="1406"/>
    </row>
    <row r="56" spans="1:27">
      <c r="A56" s="958"/>
      <c r="B56" s="958"/>
      <c r="C56" s="958"/>
      <c r="D56" s="958"/>
      <c r="E56" s="958"/>
      <c r="F56" s="958"/>
      <c r="G56" s="958"/>
      <c r="H56" s="958"/>
      <c r="I56" s="958"/>
      <c r="J56" s="958"/>
      <c r="K56" s="958"/>
      <c r="L56" s="958"/>
      <c r="M56" s="958"/>
      <c r="N56" s="958"/>
      <c r="O56" s="1406"/>
      <c r="P56" s="1406"/>
      <c r="Q56" s="1406"/>
      <c r="R56" s="1406"/>
      <c r="S56" s="1406"/>
      <c r="T56" s="1406"/>
      <c r="U56" s="1406"/>
      <c r="V56" s="1406"/>
      <c r="W56" s="1406"/>
      <c r="X56" s="1406"/>
      <c r="Y56" s="1406"/>
      <c r="Z56" s="1406"/>
      <c r="AA56" s="1406"/>
    </row>
    <row r="57" spans="1:27">
      <c r="A57" s="958"/>
      <c r="B57" s="958"/>
      <c r="C57" s="958"/>
      <c r="D57" s="958"/>
      <c r="E57" s="958"/>
      <c r="F57" s="958"/>
      <c r="G57" s="958"/>
      <c r="H57" s="958"/>
      <c r="I57" s="958"/>
      <c r="J57" s="958"/>
      <c r="K57" s="958"/>
      <c r="L57" s="958"/>
      <c r="M57" s="958"/>
      <c r="N57" s="958"/>
      <c r="O57" s="1406"/>
      <c r="P57" s="1406"/>
      <c r="Q57" s="1406"/>
      <c r="R57" s="1406"/>
      <c r="S57" s="1406"/>
      <c r="T57" s="1406"/>
      <c r="U57" s="1406"/>
      <c r="V57" s="1406"/>
      <c r="W57" s="1406"/>
      <c r="X57" s="1406"/>
      <c r="Y57" s="1406"/>
      <c r="Z57" s="1406"/>
      <c r="AA57" s="1406"/>
    </row>
    <row r="58" spans="1:27">
      <c r="A58" s="958"/>
      <c r="B58" s="958"/>
      <c r="C58" s="958"/>
      <c r="D58" s="958"/>
      <c r="E58" s="958"/>
      <c r="F58" s="958"/>
      <c r="G58" s="958"/>
      <c r="H58" s="958"/>
      <c r="I58" s="958"/>
      <c r="J58" s="958"/>
      <c r="K58" s="958"/>
      <c r="L58" s="958"/>
      <c r="M58" s="958"/>
      <c r="N58" s="958"/>
      <c r="O58" s="1406"/>
      <c r="P58" s="1406"/>
      <c r="Q58" s="1406"/>
      <c r="R58" s="1406"/>
      <c r="S58" s="1406"/>
      <c r="T58" s="1406"/>
      <c r="U58" s="1406"/>
      <c r="V58" s="1406"/>
      <c r="W58" s="1406"/>
      <c r="X58" s="1406"/>
      <c r="Y58" s="1406"/>
      <c r="Z58" s="1406"/>
      <c r="AA58" s="1406"/>
    </row>
    <row r="59" spans="1:27">
      <c r="A59" s="958"/>
      <c r="B59" s="958"/>
      <c r="C59" s="958"/>
      <c r="D59" s="958"/>
      <c r="E59" s="958"/>
      <c r="F59" s="958"/>
      <c r="G59" s="958"/>
      <c r="H59" s="958"/>
      <c r="I59" s="958"/>
      <c r="J59" s="958"/>
      <c r="K59" s="958"/>
      <c r="L59" s="958"/>
      <c r="M59" s="958"/>
      <c r="N59" s="958"/>
      <c r="O59" s="1406"/>
      <c r="P59" s="1406"/>
      <c r="Q59" s="1406"/>
      <c r="R59" s="1406"/>
      <c r="S59" s="1406"/>
      <c r="T59" s="1406"/>
      <c r="U59" s="1406"/>
      <c r="V59" s="1406"/>
      <c r="W59" s="1406"/>
      <c r="X59" s="1406"/>
      <c r="Y59" s="1406"/>
      <c r="Z59" s="1406"/>
      <c r="AA59" s="1406"/>
    </row>
    <row r="60" spans="1:27">
      <c r="A60" s="1406"/>
      <c r="B60" s="1406"/>
      <c r="C60" s="1406"/>
      <c r="D60" s="1406"/>
      <c r="E60" s="1406"/>
      <c r="F60" s="1406"/>
      <c r="G60" s="1406"/>
      <c r="H60" s="1406"/>
      <c r="I60" s="1406"/>
      <c r="J60" s="1406"/>
      <c r="K60" s="1406"/>
      <c r="L60" s="1406"/>
      <c r="M60" s="1406"/>
      <c r="N60" s="1406"/>
      <c r="O60" s="1406"/>
      <c r="P60" s="1406"/>
      <c r="Q60" s="1406"/>
      <c r="R60" s="1406"/>
      <c r="S60" s="1406"/>
      <c r="T60" s="1406"/>
      <c r="U60" s="1406"/>
      <c r="V60" s="1406"/>
      <c r="W60" s="1406"/>
      <c r="X60" s="1406"/>
      <c r="Y60" s="1406"/>
      <c r="Z60" s="1406"/>
      <c r="AA60" s="1406"/>
    </row>
    <row r="61" spans="1:27">
      <c r="A61" s="1406"/>
      <c r="B61" s="1406"/>
      <c r="C61" s="1406"/>
      <c r="D61" s="1406"/>
      <c r="E61" s="1406"/>
      <c r="F61" s="1406"/>
      <c r="G61" s="1406"/>
      <c r="H61" s="1406"/>
      <c r="I61" s="1406"/>
      <c r="J61" s="1406"/>
      <c r="K61" s="1406"/>
      <c r="L61" s="1406"/>
      <c r="M61" s="1406"/>
      <c r="N61" s="1406"/>
      <c r="O61" s="1406"/>
      <c r="P61" s="1406"/>
      <c r="Q61" s="1406"/>
      <c r="R61" s="1406"/>
      <c r="S61" s="1406"/>
      <c r="T61" s="1406"/>
      <c r="U61" s="1406"/>
      <c r="V61" s="1406"/>
      <c r="W61" s="1406"/>
      <c r="X61" s="1406"/>
      <c r="Y61" s="1406"/>
      <c r="Z61" s="1406"/>
      <c r="AA61" s="1406"/>
    </row>
    <row r="62" spans="1:27">
      <c r="A62" s="1406"/>
      <c r="B62" s="1406"/>
      <c r="C62" s="1406"/>
      <c r="D62" s="1406"/>
      <c r="E62" s="1406"/>
      <c r="F62" s="1406"/>
      <c r="G62" s="1406"/>
      <c r="H62" s="1406"/>
      <c r="I62" s="1406"/>
      <c r="J62" s="1406"/>
      <c r="K62" s="1406"/>
      <c r="L62" s="1406"/>
      <c r="M62" s="1406"/>
      <c r="N62" s="1406"/>
      <c r="O62" s="1406"/>
      <c r="P62" s="1406"/>
      <c r="Q62" s="1406"/>
      <c r="R62" s="1406"/>
      <c r="S62" s="1406"/>
      <c r="T62" s="1406"/>
      <c r="U62" s="1406"/>
      <c r="V62" s="1406"/>
      <c r="W62" s="1406"/>
      <c r="X62" s="1406"/>
      <c r="Y62" s="1406"/>
      <c r="Z62" s="1406"/>
      <c r="AA62" s="1406"/>
    </row>
    <row r="63" spans="1:27">
      <c r="A63" s="1406"/>
      <c r="B63" s="1406"/>
      <c r="C63" s="1406"/>
      <c r="D63" s="1406"/>
      <c r="E63" s="1406"/>
      <c r="F63" s="1406"/>
      <c r="G63" s="1406"/>
      <c r="H63" s="1406"/>
      <c r="I63" s="1406"/>
      <c r="J63" s="1406"/>
      <c r="K63" s="1406"/>
      <c r="L63" s="1406"/>
      <c r="M63" s="1406"/>
      <c r="N63" s="1406"/>
      <c r="O63" s="1406"/>
      <c r="P63" s="1406"/>
      <c r="Q63" s="1406"/>
      <c r="R63" s="1406"/>
      <c r="S63" s="1406"/>
      <c r="T63" s="1406"/>
      <c r="U63" s="1406"/>
      <c r="V63" s="1406"/>
      <c r="W63" s="1406"/>
      <c r="X63" s="1406"/>
      <c r="Y63" s="1406"/>
      <c r="Z63" s="1406"/>
      <c r="AA63" s="1406"/>
    </row>
    <row r="64" spans="1:27">
      <c r="A64" s="1406"/>
      <c r="B64" s="1406"/>
      <c r="C64" s="1406"/>
      <c r="D64" s="1406"/>
      <c r="E64" s="1406"/>
      <c r="F64" s="1406"/>
      <c r="G64" s="1406"/>
      <c r="H64" s="1406"/>
      <c r="I64" s="1406"/>
      <c r="J64" s="1406"/>
      <c r="K64" s="1406"/>
      <c r="L64" s="1406"/>
      <c r="M64" s="1406"/>
      <c r="N64" s="1406"/>
      <c r="O64" s="1406"/>
      <c r="P64" s="1406"/>
      <c r="Q64" s="1406"/>
      <c r="R64" s="1406"/>
      <c r="S64" s="1406"/>
      <c r="T64" s="1406"/>
      <c r="U64" s="1406"/>
      <c r="V64" s="1406"/>
      <c r="W64" s="1406"/>
      <c r="X64" s="1406"/>
      <c r="Y64" s="1406"/>
      <c r="Z64" s="1406"/>
      <c r="AA64" s="1406"/>
    </row>
    <row r="65" spans="1:27">
      <c r="A65" s="1406"/>
      <c r="B65" s="1406"/>
      <c r="C65" s="1406"/>
      <c r="D65" s="1406"/>
      <c r="E65" s="1406"/>
      <c r="F65" s="1406"/>
      <c r="G65" s="1406"/>
      <c r="H65" s="1406"/>
      <c r="I65" s="1406"/>
      <c r="J65" s="1406"/>
      <c r="K65" s="1406"/>
      <c r="L65" s="1406"/>
      <c r="M65" s="1406"/>
      <c r="N65" s="1406"/>
      <c r="O65" s="1406"/>
      <c r="P65" s="1406"/>
      <c r="Q65" s="1406"/>
      <c r="R65" s="1406"/>
      <c r="S65" s="1406"/>
      <c r="T65" s="1406"/>
      <c r="U65" s="1406"/>
      <c r="V65" s="1406"/>
      <c r="W65" s="1406"/>
      <c r="X65" s="1406"/>
      <c r="Y65" s="1406"/>
      <c r="Z65" s="1406"/>
      <c r="AA65" s="1406"/>
    </row>
    <row r="66" spans="1:27">
      <c r="A66" s="1406"/>
      <c r="B66" s="1406"/>
      <c r="C66" s="1406"/>
      <c r="D66" s="1406"/>
      <c r="E66" s="1406"/>
      <c r="F66" s="1406"/>
      <c r="G66" s="1406"/>
      <c r="H66" s="1406"/>
      <c r="I66" s="1406"/>
      <c r="J66" s="1406"/>
      <c r="K66" s="1406"/>
      <c r="L66" s="1406"/>
      <c r="M66" s="1406"/>
      <c r="N66" s="1406"/>
      <c r="O66" s="1406"/>
      <c r="P66" s="1406"/>
      <c r="Q66" s="1406"/>
      <c r="R66" s="1406"/>
      <c r="S66" s="1406"/>
      <c r="T66" s="1406"/>
      <c r="U66" s="1406"/>
      <c r="V66" s="1406"/>
      <c r="W66" s="1406"/>
      <c r="X66" s="1406"/>
      <c r="Y66" s="1406"/>
      <c r="Z66" s="1406"/>
      <c r="AA66" s="1406"/>
    </row>
    <row r="67" spans="1:27">
      <c r="A67" s="1406"/>
      <c r="B67" s="1406"/>
      <c r="C67" s="1406"/>
      <c r="D67" s="1406"/>
      <c r="E67" s="1406"/>
      <c r="F67" s="1406"/>
      <c r="G67" s="1406"/>
      <c r="H67" s="1406"/>
      <c r="I67" s="1406"/>
      <c r="J67" s="1406"/>
      <c r="K67" s="1406"/>
      <c r="L67" s="1406"/>
      <c r="M67" s="1406"/>
      <c r="N67" s="1406"/>
      <c r="O67" s="1406"/>
      <c r="P67" s="1406"/>
      <c r="Q67" s="1406"/>
      <c r="R67" s="1406"/>
      <c r="S67" s="1406"/>
      <c r="T67" s="1406"/>
      <c r="U67" s="1406"/>
      <c r="V67" s="1406"/>
      <c r="W67" s="1406"/>
      <c r="X67" s="1406"/>
      <c r="Y67" s="1406"/>
      <c r="Z67" s="1406"/>
      <c r="AA67" s="1406"/>
    </row>
    <row r="68" spans="1:27">
      <c r="A68" s="1406"/>
      <c r="B68" s="1406"/>
      <c r="C68" s="1406"/>
      <c r="D68" s="1406"/>
      <c r="E68" s="1406"/>
      <c r="F68" s="1406"/>
      <c r="G68" s="1406"/>
      <c r="H68" s="1406"/>
      <c r="I68" s="1406"/>
      <c r="J68" s="1406"/>
      <c r="K68" s="1406"/>
      <c r="L68" s="1406"/>
      <c r="M68" s="1406"/>
      <c r="N68" s="1406"/>
      <c r="O68" s="1406"/>
      <c r="P68" s="1406"/>
      <c r="Q68" s="1406"/>
      <c r="R68" s="1406"/>
      <c r="S68" s="1406"/>
      <c r="T68" s="1406"/>
      <c r="U68" s="1406"/>
      <c r="V68" s="1406"/>
      <c r="W68" s="1406"/>
      <c r="X68" s="1406"/>
      <c r="Y68" s="1406"/>
      <c r="Z68" s="1406"/>
      <c r="AA68" s="1406"/>
    </row>
    <row r="69" spans="1:27">
      <c r="A69" s="1406"/>
      <c r="B69" s="1406"/>
      <c r="C69" s="1406"/>
      <c r="D69" s="1406"/>
      <c r="E69" s="1406"/>
      <c r="F69" s="1406"/>
      <c r="G69" s="1406"/>
      <c r="H69" s="1406"/>
      <c r="I69" s="1406"/>
      <c r="J69" s="1406"/>
      <c r="K69" s="1406"/>
      <c r="L69" s="1406"/>
      <c r="M69" s="1406"/>
      <c r="N69" s="1406"/>
      <c r="O69" s="1406"/>
      <c r="P69" s="1406"/>
      <c r="Q69" s="1406"/>
      <c r="R69" s="1406"/>
      <c r="S69" s="1406"/>
      <c r="T69" s="1406"/>
      <c r="U69" s="1406"/>
      <c r="V69" s="1406"/>
      <c r="W69" s="1406"/>
      <c r="X69" s="1406"/>
      <c r="Y69" s="1406"/>
      <c r="Z69" s="1406"/>
      <c r="AA69" s="1406"/>
    </row>
    <row r="70" spans="1:27">
      <c r="A70" s="1406"/>
      <c r="B70" s="1406"/>
      <c r="C70" s="1406"/>
      <c r="D70" s="1406"/>
      <c r="E70" s="1406"/>
      <c r="F70" s="1406"/>
      <c r="G70" s="1406"/>
      <c r="H70" s="1406"/>
      <c r="I70" s="1406"/>
      <c r="J70" s="1406"/>
      <c r="K70" s="1406"/>
      <c r="L70" s="1406"/>
      <c r="M70" s="1406"/>
      <c r="N70" s="1406"/>
      <c r="O70" s="1406"/>
      <c r="P70" s="1406"/>
      <c r="Q70" s="1406"/>
      <c r="R70" s="1406"/>
      <c r="S70" s="1406"/>
      <c r="T70" s="1406"/>
      <c r="U70" s="1406"/>
      <c r="V70" s="1406"/>
      <c r="W70" s="1406"/>
      <c r="X70" s="1406"/>
      <c r="Y70" s="1406"/>
      <c r="Z70" s="1406"/>
      <c r="AA70" s="1406"/>
    </row>
    <row r="71" spans="1:27">
      <c r="A71" s="1406"/>
      <c r="B71" s="1406"/>
      <c r="C71" s="1406"/>
      <c r="D71" s="1406"/>
      <c r="E71" s="1406"/>
      <c r="F71" s="1406"/>
      <c r="G71" s="1406"/>
      <c r="H71" s="1406"/>
      <c r="I71" s="1406"/>
      <c r="J71" s="1406"/>
      <c r="K71" s="1406"/>
      <c r="L71" s="1406"/>
      <c r="M71" s="1406"/>
      <c r="N71" s="1406"/>
      <c r="O71" s="1406"/>
      <c r="P71" s="1406"/>
      <c r="Q71" s="1406"/>
      <c r="R71" s="1406"/>
      <c r="S71" s="1406"/>
      <c r="T71" s="1406"/>
      <c r="U71" s="1406"/>
      <c r="V71" s="1406"/>
      <c r="W71" s="1406"/>
      <c r="X71" s="1406"/>
      <c r="Y71" s="1406"/>
      <c r="Z71" s="1406"/>
      <c r="AA71" s="1406"/>
    </row>
    <row r="72" spans="1:27">
      <c r="A72" s="1406"/>
      <c r="B72" s="1406"/>
      <c r="C72" s="1406"/>
      <c r="D72" s="1406"/>
      <c r="E72" s="1406"/>
      <c r="F72" s="1406"/>
      <c r="G72" s="1406"/>
      <c r="H72" s="1406"/>
      <c r="I72" s="1406"/>
      <c r="J72" s="1406"/>
      <c r="K72" s="1406"/>
      <c r="L72" s="1406"/>
      <c r="M72" s="1406"/>
      <c r="N72" s="1406"/>
      <c r="O72" s="1406"/>
      <c r="P72" s="1406"/>
      <c r="Q72" s="1406"/>
      <c r="R72" s="1406"/>
      <c r="S72" s="1406"/>
      <c r="T72" s="1406"/>
      <c r="U72" s="1406"/>
      <c r="V72" s="1406"/>
      <c r="W72" s="1406"/>
      <c r="X72" s="1406"/>
      <c r="Y72" s="1406"/>
      <c r="Z72" s="1406"/>
      <c r="AA72" s="1406"/>
    </row>
    <row r="73" spans="1:27">
      <c r="A73" s="1406"/>
      <c r="B73" s="1406"/>
      <c r="C73" s="1406"/>
      <c r="D73" s="1406"/>
      <c r="E73" s="1406"/>
      <c r="F73" s="1406"/>
      <c r="G73" s="1406"/>
      <c r="H73" s="1406"/>
      <c r="I73" s="1406"/>
      <c r="J73" s="1406"/>
      <c r="K73" s="1406"/>
      <c r="L73" s="1406"/>
      <c r="M73" s="1406"/>
      <c r="N73" s="1406"/>
      <c r="O73" s="1406"/>
      <c r="P73" s="1406"/>
      <c r="Q73" s="1406"/>
      <c r="R73" s="1406"/>
      <c r="S73" s="1406"/>
      <c r="T73" s="1406"/>
      <c r="U73" s="1406"/>
      <c r="V73" s="1406"/>
      <c r="W73" s="1406"/>
      <c r="X73" s="1406"/>
      <c r="Y73" s="1406"/>
      <c r="Z73" s="1406"/>
      <c r="AA73" s="1406"/>
    </row>
    <row r="74" spans="1:27">
      <c r="A74" s="1406"/>
      <c r="B74" s="1406"/>
      <c r="C74" s="1406"/>
      <c r="D74" s="1406"/>
      <c r="E74" s="1406"/>
      <c r="F74" s="1406"/>
      <c r="G74" s="1406"/>
      <c r="H74" s="1406"/>
      <c r="I74" s="1406"/>
      <c r="J74" s="1406"/>
      <c r="K74" s="1406"/>
      <c r="L74" s="1406"/>
      <c r="M74" s="1406"/>
      <c r="N74" s="1406"/>
      <c r="O74" s="1406"/>
      <c r="P74" s="1406"/>
      <c r="Q74" s="1406"/>
      <c r="R74" s="1406"/>
      <c r="S74" s="1406"/>
      <c r="T74" s="1406"/>
      <c r="U74" s="1406"/>
      <c r="V74" s="1406"/>
      <c r="W74" s="1406"/>
      <c r="X74" s="1406"/>
      <c r="Y74" s="1406"/>
      <c r="Z74" s="1406"/>
      <c r="AA74" s="1406"/>
    </row>
    <row r="75" spans="1:27">
      <c r="A75" s="1406"/>
      <c r="B75" s="1406"/>
      <c r="C75" s="1406"/>
      <c r="D75" s="1406"/>
      <c r="E75" s="1406"/>
      <c r="F75" s="1406"/>
      <c r="G75" s="1406"/>
      <c r="H75" s="1406"/>
      <c r="I75" s="1406"/>
      <c r="J75" s="1406"/>
      <c r="K75" s="1406"/>
      <c r="L75" s="1406"/>
      <c r="M75" s="1406"/>
      <c r="N75" s="1406"/>
      <c r="O75" s="1406"/>
      <c r="P75" s="1406"/>
      <c r="Q75" s="1406"/>
      <c r="R75" s="1406"/>
      <c r="S75" s="1406"/>
      <c r="T75" s="1406"/>
      <c r="U75" s="1406"/>
      <c r="V75" s="1406"/>
      <c r="W75" s="1406"/>
      <c r="X75" s="1406"/>
      <c r="Y75" s="1406"/>
      <c r="Z75" s="1406"/>
      <c r="AA75" s="1406"/>
    </row>
    <row r="76" spans="1:27">
      <c r="A76" s="1406"/>
      <c r="B76" s="1406"/>
      <c r="C76" s="1406"/>
      <c r="D76" s="1406"/>
      <c r="E76" s="1406"/>
      <c r="F76" s="1406"/>
      <c r="G76" s="1406"/>
      <c r="H76" s="1406"/>
      <c r="I76" s="1406"/>
      <c r="J76" s="1406"/>
      <c r="K76" s="1406"/>
      <c r="L76" s="1406"/>
      <c r="M76" s="1406"/>
      <c r="N76" s="1406"/>
      <c r="O76" s="1406"/>
      <c r="P76" s="1406"/>
      <c r="Q76" s="1406"/>
      <c r="R76" s="1406"/>
      <c r="S76" s="1406"/>
      <c r="T76" s="1406"/>
      <c r="U76" s="1406"/>
      <c r="V76" s="1406"/>
      <c r="W76" s="1406"/>
      <c r="X76" s="1406"/>
      <c r="Y76" s="1406"/>
      <c r="Z76" s="1406"/>
      <c r="AA76" s="1406"/>
    </row>
    <row r="77" spans="1:27">
      <c r="A77" s="1406"/>
      <c r="B77" s="1406"/>
      <c r="C77" s="1406"/>
      <c r="D77" s="1406"/>
      <c r="E77" s="1406"/>
      <c r="F77" s="1406"/>
      <c r="G77" s="1406"/>
      <c r="H77" s="1406"/>
      <c r="I77" s="1406"/>
      <c r="J77" s="1406"/>
      <c r="K77" s="1406"/>
      <c r="L77" s="1406"/>
      <c r="M77" s="1406"/>
      <c r="N77" s="1406"/>
      <c r="O77" s="1406"/>
      <c r="P77" s="1406"/>
      <c r="Q77" s="1406"/>
      <c r="R77" s="1406"/>
      <c r="S77" s="1406"/>
      <c r="T77" s="1406"/>
      <c r="U77" s="1406"/>
      <c r="V77" s="1406"/>
      <c r="W77" s="1406"/>
      <c r="X77" s="1406"/>
      <c r="Y77" s="1406"/>
      <c r="Z77" s="1406"/>
      <c r="AA77" s="1406"/>
    </row>
    <row r="78" spans="1:27">
      <c r="A78" s="1406"/>
      <c r="B78" s="1406"/>
      <c r="C78" s="1406"/>
      <c r="D78" s="1406"/>
      <c r="E78" s="1406"/>
      <c r="F78" s="1406"/>
      <c r="G78" s="1406"/>
      <c r="H78" s="1406"/>
      <c r="I78" s="1406"/>
      <c r="J78" s="1406"/>
      <c r="K78" s="1406"/>
      <c r="L78" s="1406"/>
      <c r="M78" s="1406"/>
      <c r="N78" s="1406"/>
      <c r="O78" s="1406"/>
      <c r="P78" s="1406"/>
      <c r="Q78" s="1406"/>
      <c r="R78" s="1406"/>
      <c r="S78" s="1406"/>
      <c r="T78" s="1406"/>
      <c r="U78" s="1406"/>
      <c r="V78" s="1406"/>
      <c r="W78" s="1406"/>
      <c r="X78" s="1406"/>
      <c r="Y78" s="1406"/>
      <c r="Z78" s="1406"/>
      <c r="AA78" s="1406"/>
    </row>
    <row r="79" spans="1:27">
      <c r="A79" s="1406"/>
      <c r="B79" s="1406"/>
      <c r="C79" s="1406"/>
      <c r="D79" s="1406"/>
      <c r="E79" s="1406"/>
      <c r="F79" s="1406"/>
      <c r="G79" s="1406"/>
      <c r="H79" s="1406"/>
      <c r="I79" s="1406"/>
      <c r="J79" s="1406"/>
      <c r="K79" s="1406"/>
      <c r="L79" s="1406"/>
      <c r="M79" s="1406"/>
      <c r="N79" s="1406"/>
      <c r="O79" s="1406"/>
      <c r="P79" s="1406"/>
      <c r="Q79" s="1406"/>
      <c r="R79" s="1406"/>
      <c r="S79" s="1406"/>
      <c r="T79" s="1406"/>
      <c r="U79" s="1406"/>
      <c r="V79" s="1406"/>
      <c r="W79" s="1406"/>
      <c r="X79" s="1406"/>
      <c r="Y79" s="1406"/>
      <c r="Z79" s="1406"/>
      <c r="AA79" s="1406"/>
    </row>
    <row r="80" spans="1:27">
      <c r="A80" s="1406"/>
      <c r="B80" s="1406"/>
      <c r="C80" s="1406"/>
      <c r="D80" s="1406"/>
      <c r="E80" s="1406"/>
      <c r="F80" s="1406"/>
      <c r="G80" s="1406"/>
      <c r="H80" s="1406"/>
      <c r="I80" s="1406"/>
      <c r="J80" s="1406"/>
      <c r="K80" s="1406"/>
      <c r="L80" s="1406"/>
      <c r="M80" s="1406"/>
      <c r="N80" s="1406"/>
      <c r="O80" s="1406"/>
      <c r="P80" s="1406"/>
      <c r="Q80" s="1406"/>
      <c r="R80" s="1406"/>
      <c r="S80" s="1406"/>
      <c r="T80" s="1406"/>
      <c r="U80" s="1406"/>
      <c r="V80" s="1406"/>
      <c r="W80" s="1406"/>
      <c r="X80" s="1406"/>
      <c r="Y80" s="1406"/>
      <c r="Z80" s="1406"/>
      <c r="AA80" s="1406"/>
    </row>
    <row r="81" spans="1:27">
      <c r="A81" s="1406"/>
      <c r="B81" s="1406"/>
      <c r="C81" s="1406"/>
      <c r="D81" s="1406"/>
      <c r="E81" s="1406"/>
      <c r="F81" s="1406"/>
      <c r="G81" s="1406"/>
      <c r="H81" s="1406"/>
      <c r="I81" s="1406"/>
      <c r="J81" s="1406"/>
      <c r="K81" s="1406"/>
      <c r="L81" s="1406"/>
      <c r="M81" s="1406"/>
      <c r="N81" s="1406"/>
      <c r="O81" s="1406"/>
      <c r="P81" s="1406"/>
      <c r="Q81" s="1406"/>
      <c r="R81" s="1406"/>
      <c r="S81" s="1406"/>
      <c r="T81" s="1406"/>
      <c r="U81" s="1406"/>
      <c r="V81" s="1406"/>
      <c r="W81" s="1406"/>
      <c r="X81" s="1406"/>
      <c r="Y81" s="1406"/>
      <c r="Z81" s="1406"/>
      <c r="AA81" s="1406"/>
    </row>
    <row r="82" spans="1:27">
      <c r="A82" s="1406"/>
      <c r="B82" s="1406"/>
      <c r="C82" s="1406"/>
      <c r="D82" s="1406"/>
      <c r="E82" s="1406"/>
      <c r="F82" s="1406"/>
      <c r="G82" s="1406"/>
      <c r="H82" s="1406"/>
      <c r="I82" s="1406"/>
      <c r="J82" s="1406"/>
      <c r="K82" s="1406"/>
      <c r="L82" s="1406"/>
      <c r="M82" s="1406"/>
      <c r="N82" s="1406"/>
      <c r="O82" s="1406"/>
      <c r="P82" s="1406"/>
      <c r="Q82" s="1406"/>
      <c r="R82" s="1406"/>
      <c r="S82" s="1406"/>
      <c r="T82" s="1406"/>
      <c r="U82" s="1406"/>
      <c r="V82" s="1406"/>
      <c r="W82" s="1406"/>
      <c r="X82" s="1406"/>
      <c r="Y82" s="1406"/>
      <c r="Z82" s="1406"/>
      <c r="AA82" s="1406"/>
    </row>
    <row r="83" spans="1:27">
      <c r="A83" s="1406"/>
      <c r="B83" s="1406"/>
      <c r="C83" s="1406"/>
      <c r="D83" s="1406"/>
      <c r="E83" s="1406"/>
      <c r="F83" s="1406"/>
      <c r="G83" s="1406"/>
      <c r="H83" s="1406"/>
      <c r="I83" s="1406"/>
      <c r="J83" s="1406"/>
      <c r="K83" s="1406"/>
      <c r="L83" s="1406"/>
      <c r="M83" s="1406"/>
      <c r="N83" s="1406"/>
      <c r="O83" s="1406"/>
      <c r="P83" s="1406"/>
      <c r="Q83" s="1406"/>
      <c r="R83" s="1406"/>
      <c r="S83" s="1406"/>
      <c r="T83" s="1406"/>
      <c r="U83" s="1406"/>
      <c r="V83" s="1406"/>
      <c r="W83" s="1406"/>
      <c r="X83" s="1406"/>
      <c r="Y83" s="1406"/>
      <c r="Z83" s="1406"/>
      <c r="AA83" s="1406"/>
    </row>
    <row r="84" spans="1:27">
      <c r="A84" s="1406"/>
      <c r="B84" s="1406"/>
      <c r="C84" s="1406"/>
      <c r="D84" s="1406"/>
      <c r="E84" s="1406"/>
      <c r="F84" s="1406"/>
      <c r="G84" s="1406"/>
      <c r="H84" s="1406"/>
      <c r="I84" s="1406"/>
      <c r="J84" s="1406"/>
      <c r="K84" s="1406"/>
      <c r="L84" s="1406"/>
      <c r="M84" s="1406"/>
      <c r="N84" s="1406"/>
      <c r="O84" s="1406"/>
      <c r="P84" s="1406"/>
      <c r="Q84" s="1406"/>
      <c r="R84" s="1406"/>
      <c r="S84" s="1406"/>
      <c r="T84" s="1406"/>
      <c r="U84" s="1406"/>
      <c r="V84" s="1406"/>
      <c r="W84" s="1406"/>
      <c r="X84" s="1406"/>
      <c r="Y84" s="1406"/>
      <c r="Z84" s="1406"/>
      <c r="AA84" s="1406"/>
    </row>
    <row r="85" spans="1:27">
      <c r="A85" s="1406"/>
      <c r="B85" s="1406"/>
      <c r="C85" s="1406"/>
      <c r="D85" s="1406"/>
      <c r="E85" s="1406"/>
      <c r="F85" s="1406"/>
      <c r="G85" s="1406"/>
      <c r="H85" s="1406"/>
      <c r="I85" s="1406"/>
      <c r="J85" s="1406"/>
      <c r="K85" s="1406"/>
      <c r="L85" s="1406"/>
      <c r="M85" s="1406"/>
      <c r="N85" s="1406"/>
      <c r="O85" s="1406"/>
      <c r="P85" s="1406"/>
      <c r="Q85" s="1406"/>
      <c r="R85" s="1406"/>
      <c r="S85" s="1406"/>
      <c r="T85" s="1406"/>
      <c r="U85" s="1406"/>
      <c r="V85" s="1406"/>
      <c r="W85" s="1406"/>
      <c r="X85" s="1406"/>
      <c r="Y85" s="1406"/>
      <c r="Z85" s="1406"/>
      <c r="AA85" s="1406"/>
    </row>
    <row r="86" spans="1:27">
      <c r="A86" s="1406"/>
      <c r="B86" s="1406"/>
      <c r="C86" s="1406"/>
      <c r="D86" s="1406"/>
      <c r="E86" s="1406"/>
      <c r="F86" s="1406"/>
      <c r="G86" s="1406"/>
      <c r="H86" s="1406"/>
      <c r="I86" s="1406"/>
      <c r="J86" s="1406"/>
      <c r="K86" s="1406"/>
      <c r="L86" s="1406"/>
      <c r="M86" s="1406"/>
      <c r="N86" s="1406"/>
      <c r="O86" s="1406"/>
      <c r="P86" s="1406"/>
      <c r="Q86" s="1406"/>
      <c r="R86" s="1406"/>
      <c r="S86" s="1406"/>
      <c r="T86" s="1406"/>
      <c r="U86" s="1406"/>
      <c r="V86" s="1406"/>
      <c r="W86" s="1406"/>
      <c r="X86" s="1406"/>
      <c r="Y86" s="1406"/>
      <c r="Z86" s="1406"/>
      <c r="AA86" s="1406"/>
    </row>
    <row r="87" spans="1:27">
      <c r="A87" s="1406"/>
      <c r="B87" s="1406"/>
      <c r="C87" s="1406"/>
      <c r="D87" s="1406"/>
      <c r="E87" s="1406"/>
      <c r="F87" s="1406"/>
      <c r="G87" s="1406"/>
      <c r="H87" s="1406"/>
      <c r="I87" s="1406"/>
      <c r="J87" s="1406"/>
      <c r="K87" s="1406"/>
      <c r="L87" s="1406"/>
      <c r="M87" s="1406"/>
      <c r="N87" s="1406"/>
      <c r="O87" s="1406"/>
      <c r="P87" s="1406"/>
      <c r="Q87" s="1406"/>
      <c r="R87" s="1406"/>
      <c r="S87" s="1406"/>
      <c r="T87" s="1406"/>
      <c r="U87" s="1406"/>
      <c r="V87" s="1406"/>
      <c r="W87" s="1406"/>
      <c r="X87" s="1406"/>
      <c r="Y87" s="1406"/>
      <c r="Z87" s="1406"/>
      <c r="AA87" s="1406"/>
    </row>
    <row r="88" spans="1:27">
      <c r="A88" s="1406"/>
      <c r="B88" s="1406"/>
      <c r="C88" s="1406"/>
      <c r="D88" s="1406"/>
      <c r="E88" s="1406"/>
      <c r="F88" s="1406"/>
      <c r="G88" s="1406"/>
      <c r="H88" s="1406"/>
      <c r="I88" s="1406"/>
      <c r="J88" s="1406"/>
      <c r="K88" s="1406"/>
      <c r="L88" s="1406"/>
      <c r="M88" s="1406"/>
      <c r="N88" s="1406"/>
      <c r="O88" s="1406"/>
      <c r="P88" s="1406"/>
      <c r="Q88" s="1406"/>
      <c r="R88" s="1406"/>
      <c r="S88" s="1406"/>
      <c r="T88" s="1406"/>
      <c r="U88" s="1406"/>
      <c r="V88" s="1406"/>
      <c r="W88" s="1406"/>
      <c r="X88" s="1406"/>
      <c r="Y88" s="1406"/>
      <c r="Z88" s="1406"/>
      <c r="AA88" s="1406"/>
    </row>
    <row r="89" spans="1:27">
      <c r="A89" s="1406"/>
      <c r="B89" s="1406"/>
      <c r="C89" s="1406"/>
      <c r="D89" s="1406"/>
      <c r="E89" s="1406"/>
      <c r="F89" s="1406"/>
      <c r="G89" s="1406"/>
      <c r="H89" s="1406"/>
      <c r="I89" s="1406"/>
      <c r="J89" s="1406"/>
      <c r="K89" s="1406"/>
      <c r="L89" s="1406"/>
      <c r="M89" s="1406"/>
      <c r="N89" s="1406"/>
      <c r="O89" s="1406"/>
      <c r="P89" s="1406"/>
      <c r="Q89" s="1406"/>
      <c r="R89" s="1406"/>
      <c r="S89" s="1406"/>
      <c r="T89" s="1406"/>
      <c r="U89" s="1406"/>
      <c r="V89" s="1406"/>
      <c r="W89" s="1406"/>
      <c r="X89" s="1406"/>
      <c r="Y89" s="1406"/>
      <c r="Z89" s="1406"/>
      <c r="AA89" s="1406"/>
    </row>
    <row r="90" spans="1:27">
      <c r="A90" s="1406"/>
      <c r="B90" s="1406"/>
      <c r="C90" s="1406"/>
      <c r="D90" s="1406"/>
      <c r="E90" s="1406"/>
      <c r="F90" s="1406"/>
      <c r="G90" s="1406"/>
      <c r="H90" s="1406"/>
      <c r="I90" s="1406"/>
      <c r="J90" s="1406"/>
      <c r="K90" s="1406"/>
      <c r="L90" s="1406"/>
      <c r="M90" s="1406"/>
      <c r="N90" s="1406"/>
      <c r="O90" s="1406"/>
      <c r="P90" s="1406"/>
      <c r="Q90" s="1406"/>
      <c r="R90" s="1406"/>
      <c r="S90" s="1406"/>
      <c r="T90" s="1406"/>
      <c r="U90" s="1406"/>
      <c r="V90" s="1406"/>
      <c r="W90" s="1406"/>
      <c r="X90" s="1406"/>
      <c r="Y90" s="1406"/>
      <c r="Z90" s="1406"/>
      <c r="AA90" s="1406"/>
    </row>
    <row r="91" spans="1:27">
      <c r="A91" s="1406"/>
      <c r="B91" s="1406"/>
      <c r="C91" s="1406"/>
      <c r="D91" s="1406"/>
      <c r="E91" s="1406"/>
      <c r="F91" s="1406"/>
      <c r="G91" s="1406"/>
      <c r="H91" s="1406"/>
      <c r="I91" s="1406"/>
      <c r="J91" s="1406"/>
      <c r="K91" s="1406"/>
      <c r="L91" s="1406"/>
      <c r="M91" s="1406"/>
      <c r="N91" s="1406"/>
      <c r="O91" s="1406"/>
      <c r="P91" s="1406"/>
      <c r="Q91" s="1406"/>
      <c r="R91" s="1406"/>
      <c r="S91" s="1406"/>
      <c r="T91" s="1406"/>
      <c r="U91" s="1406"/>
      <c r="V91" s="1406"/>
      <c r="W91" s="1406"/>
      <c r="X91" s="1406"/>
      <c r="Y91" s="1406"/>
      <c r="Z91" s="1406"/>
      <c r="AA91" s="1406"/>
    </row>
    <row r="92" spans="1:27">
      <c r="A92" s="1406"/>
      <c r="B92" s="1406"/>
      <c r="C92" s="1406"/>
      <c r="D92" s="1406"/>
      <c r="E92" s="1406"/>
      <c r="F92" s="1406"/>
      <c r="G92" s="1406"/>
      <c r="H92" s="1406"/>
      <c r="I92" s="1406"/>
      <c r="J92" s="1406"/>
      <c r="K92" s="1406"/>
      <c r="L92" s="1406"/>
      <c r="M92" s="1406"/>
      <c r="N92" s="1406"/>
      <c r="O92" s="1406"/>
      <c r="P92" s="1406"/>
      <c r="Q92" s="1406"/>
      <c r="R92" s="1406"/>
      <c r="S92" s="1406"/>
      <c r="T92" s="1406"/>
      <c r="U92" s="1406"/>
      <c r="V92" s="1406"/>
      <c r="W92" s="1406"/>
      <c r="X92" s="1406"/>
      <c r="Y92" s="1406"/>
      <c r="Z92" s="1406"/>
      <c r="AA92" s="1406"/>
    </row>
    <row r="93" spans="1:27">
      <c r="A93" s="1406"/>
      <c r="B93" s="1406"/>
      <c r="C93" s="1406"/>
      <c r="D93" s="1406"/>
      <c r="E93" s="1406"/>
      <c r="F93" s="1406"/>
      <c r="G93" s="1406"/>
      <c r="H93" s="1406"/>
      <c r="I93" s="1406"/>
      <c r="J93" s="1406"/>
      <c r="K93" s="1406"/>
      <c r="L93" s="1406"/>
      <c r="M93" s="1406"/>
      <c r="N93" s="1406"/>
      <c r="O93" s="1406"/>
      <c r="P93" s="1406"/>
      <c r="Q93" s="1406"/>
      <c r="R93" s="1406"/>
      <c r="S93" s="1406"/>
      <c r="T93" s="1406"/>
      <c r="U93" s="1406"/>
      <c r="V93" s="1406"/>
      <c r="W93" s="1406"/>
      <c r="X93" s="1406"/>
      <c r="Y93" s="1406"/>
      <c r="Z93" s="1406"/>
      <c r="AA93" s="1406"/>
    </row>
    <row r="94" spans="1:27">
      <c r="A94" s="1406"/>
      <c r="B94" s="1406"/>
      <c r="C94" s="1406"/>
      <c r="D94" s="1406"/>
      <c r="E94" s="1406"/>
      <c r="F94" s="1406"/>
      <c r="G94" s="1406"/>
      <c r="H94" s="1406"/>
      <c r="I94" s="1406"/>
      <c r="J94" s="1406"/>
      <c r="K94" s="1406"/>
      <c r="L94" s="1406"/>
      <c r="M94" s="1406"/>
      <c r="N94" s="1406"/>
      <c r="O94" s="1406"/>
      <c r="P94" s="1406"/>
      <c r="Q94" s="1406"/>
      <c r="R94" s="1406"/>
      <c r="S94" s="1406"/>
      <c r="T94" s="1406"/>
      <c r="U94" s="1406"/>
      <c r="V94" s="1406"/>
      <c r="W94" s="1406"/>
      <c r="X94" s="1406"/>
      <c r="Y94" s="1406"/>
      <c r="Z94" s="1406"/>
      <c r="AA94" s="1406"/>
    </row>
    <row r="95" spans="1:27">
      <c r="A95" s="1406"/>
      <c r="B95" s="1406"/>
      <c r="C95" s="1406"/>
      <c r="D95" s="1406"/>
      <c r="E95" s="1406"/>
      <c r="F95" s="1406"/>
      <c r="G95" s="1406"/>
      <c r="H95" s="1406"/>
      <c r="I95" s="1406"/>
      <c r="J95" s="1406"/>
      <c r="K95" s="1406"/>
      <c r="L95" s="1406"/>
      <c r="M95" s="1406"/>
      <c r="N95" s="1406"/>
      <c r="O95" s="1406"/>
      <c r="P95" s="1406"/>
      <c r="Q95" s="1406"/>
      <c r="R95" s="1406"/>
      <c r="S95" s="1406"/>
      <c r="T95" s="1406"/>
      <c r="U95" s="1406"/>
      <c r="V95" s="1406"/>
      <c r="W95" s="1406"/>
      <c r="X95" s="1406"/>
      <c r="Y95" s="1406"/>
      <c r="Z95" s="1406"/>
      <c r="AA95" s="1406"/>
    </row>
    <row r="96" spans="1:27">
      <c r="A96" s="1406"/>
      <c r="B96" s="1406"/>
      <c r="C96" s="1406"/>
      <c r="D96" s="1406"/>
      <c r="E96" s="1406"/>
      <c r="F96" s="1406"/>
      <c r="G96" s="1406"/>
      <c r="H96" s="1406"/>
      <c r="I96" s="1406"/>
      <c r="J96" s="1406"/>
      <c r="K96" s="1406"/>
      <c r="L96" s="1406"/>
      <c r="M96" s="1406"/>
      <c r="N96" s="1406"/>
      <c r="O96" s="1406"/>
      <c r="P96" s="1406"/>
      <c r="Q96" s="1406"/>
      <c r="R96" s="1406"/>
      <c r="S96" s="1406"/>
      <c r="T96" s="1406"/>
      <c r="U96" s="1406"/>
      <c r="V96" s="1406"/>
      <c r="W96" s="1406"/>
      <c r="X96" s="1406"/>
      <c r="Y96" s="1406"/>
      <c r="Z96" s="1406"/>
      <c r="AA96" s="1406"/>
    </row>
    <row r="97" spans="1:27">
      <c r="A97" s="1406"/>
      <c r="B97" s="1406"/>
      <c r="C97" s="1406"/>
      <c r="D97" s="1406"/>
      <c r="E97" s="1406"/>
      <c r="F97" s="1406"/>
      <c r="G97" s="1406"/>
      <c r="H97" s="1406"/>
      <c r="I97" s="1406"/>
      <c r="J97" s="1406"/>
      <c r="K97" s="1406"/>
      <c r="L97" s="1406"/>
      <c r="M97" s="1406"/>
      <c r="N97" s="1406"/>
      <c r="O97" s="1406"/>
      <c r="P97" s="1406"/>
      <c r="Q97" s="1406"/>
      <c r="R97" s="1406"/>
      <c r="S97" s="1406"/>
      <c r="T97" s="1406"/>
      <c r="U97" s="1406"/>
      <c r="V97" s="1406"/>
      <c r="W97" s="1406"/>
      <c r="X97" s="1406"/>
      <c r="Y97" s="1406"/>
      <c r="Z97" s="1406"/>
      <c r="AA97" s="1406"/>
    </row>
    <row r="98" spans="1:27">
      <c r="A98" s="1406"/>
      <c r="B98" s="1406"/>
      <c r="C98" s="1406"/>
      <c r="D98" s="1406"/>
      <c r="E98" s="1406"/>
      <c r="F98" s="1406"/>
      <c r="G98" s="1406"/>
      <c r="H98" s="1406"/>
      <c r="I98" s="1406"/>
      <c r="J98" s="1406"/>
      <c r="K98" s="1406"/>
      <c r="L98" s="1406"/>
      <c r="M98" s="1406"/>
      <c r="N98" s="1406"/>
      <c r="O98" s="1406"/>
      <c r="P98" s="1406"/>
      <c r="Q98" s="1406"/>
      <c r="R98" s="1406"/>
      <c r="S98" s="1406"/>
      <c r="T98" s="1406"/>
      <c r="U98" s="1406"/>
      <c r="V98" s="1406"/>
      <c r="W98" s="1406"/>
      <c r="X98" s="1406"/>
      <c r="Y98" s="1406"/>
      <c r="Z98" s="1406"/>
      <c r="AA98" s="1406"/>
    </row>
    <row r="99" spans="1:27">
      <c r="A99" s="1406"/>
      <c r="B99" s="1406"/>
      <c r="C99" s="1406"/>
      <c r="D99" s="1406"/>
      <c r="E99" s="1406"/>
      <c r="F99" s="1406"/>
      <c r="G99" s="1406"/>
      <c r="H99" s="1406"/>
      <c r="I99" s="1406"/>
      <c r="J99" s="1406"/>
      <c r="K99" s="1406"/>
      <c r="L99" s="1406"/>
      <c r="M99" s="1406"/>
      <c r="N99" s="1406"/>
      <c r="O99" s="1406"/>
      <c r="P99" s="1406"/>
      <c r="Q99" s="1406"/>
      <c r="R99" s="1406"/>
      <c r="S99" s="1406"/>
      <c r="T99" s="1406"/>
      <c r="U99" s="1406"/>
      <c r="V99" s="1406"/>
      <c r="W99" s="1406"/>
      <c r="X99" s="1406"/>
      <c r="Y99" s="1406"/>
      <c r="Z99" s="1406"/>
      <c r="AA99" s="1406"/>
    </row>
    <row r="100" spans="1:27">
      <c r="A100" s="1406"/>
      <c r="B100" s="1406"/>
      <c r="C100" s="1406"/>
      <c r="D100" s="1406"/>
      <c r="E100" s="1406"/>
      <c r="F100" s="1406"/>
      <c r="G100" s="1406"/>
      <c r="H100" s="1406"/>
      <c r="I100" s="1406"/>
      <c r="J100" s="1406"/>
      <c r="K100" s="1406"/>
      <c r="L100" s="1406"/>
      <c r="M100" s="1406"/>
      <c r="N100" s="1406"/>
      <c r="O100" s="1406"/>
      <c r="P100" s="1406"/>
      <c r="Q100" s="1406"/>
      <c r="R100" s="1406"/>
      <c r="S100" s="1406"/>
      <c r="T100" s="1406"/>
      <c r="U100" s="1406"/>
      <c r="V100" s="1406"/>
      <c r="W100" s="1406"/>
      <c r="X100" s="1406"/>
      <c r="Y100" s="1406"/>
      <c r="Z100" s="1406"/>
      <c r="AA100" s="1406"/>
    </row>
    <row r="101" spans="1:27">
      <c r="A101" s="1406"/>
      <c r="B101" s="1406"/>
      <c r="C101" s="1406"/>
      <c r="D101" s="1406"/>
      <c r="E101" s="1406"/>
      <c r="F101" s="1406"/>
      <c r="G101" s="1406"/>
      <c r="H101" s="1406"/>
      <c r="I101" s="1406"/>
      <c r="J101" s="1406"/>
      <c r="K101" s="1406"/>
      <c r="L101" s="1406"/>
      <c r="M101" s="1406"/>
      <c r="N101" s="1406"/>
      <c r="O101" s="1406"/>
      <c r="P101" s="1406"/>
      <c r="Q101" s="1406"/>
      <c r="R101" s="1406"/>
      <c r="S101" s="1406"/>
      <c r="T101" s="1406"/>
      <c r="U101" s="1406"/>
      <c r="V101" s="1406"/>
      <c r="W101" s="1406"/>
      <c r="X101" s="1406"/>
      <c r="Y101" s="1406"/>
      <c r="Z101" s="1406"/>
      <c r="AA101" s="1406"/>
    </row>
    <row r="102" spans="1:27">
      <c r="A102" s="1406"/>
      <c r="B102" s="1406"/>
      <c r="C102" s="1406"/>
      <c r="D102" s="1406"/>
      <c r="E102" s="1406"/>
      <c r="F102" s="1406"/>
      <c r="G102" s="1406"/>
      <c r="H102" s="1406"/>
      <c r="I102" s="1406"/>
      <c r="J102" s="1406"/>
      <c r="K102" s="1406"/>
      <c r="L102" s="1406"/>
      <c r="M102" s="1406"/>
      <c r="N102" s="1406"/>
      <c r="O102" s="1406"/>
      <c r="P102" s="1406"/>
      <c r="Q102" s="1406"/>
      <c r="R102" s="1406"/>
      <c r="S102" s="1406"/>
      <c r="T102" s="1406"/>
      <c r="U102" s="1406"/>
      <c r="V102" s="1406"/>
      <c r="W102" s="1406"/>
      <c r="X102" s="1406"/>
      <c r="Y102" s="1406"/>
      <c r="Z102" s="1406"/>
      <c r="AA102" s="1406"/>
    </row>
    <row r="103" spans="1:27">
      <c r="A103" s="1406"/>
      <c r="B103" s="1406"/>
      <c r="C103" s="1406"/>
      <c r="D103" s="1406"/>
      <c r="E103" s="1406"/>
      <c r="F103" s="1406"/>
      <c r="G103" s="1406"/>
      <c r="H103" s="1406"/>
      <c r="I103" s="1406"/>
      <c r="J103" s="1406"/>
      <c r="K103" s="1406"/>
      <c r="L103" s="1406"/>
      <c r="M103" s="1406"/>
      <c r="N103" s="1406"/>
      <c r="O103" s="1406"/>
      <c r="P103" s="1406"/>
      <c r="Q103" s="1406"/>
      <c r="R103" s="1406"/>
      <c r="S103" s="1406"/>
      <c r="T103" s="1406"/>
      <c r="U103" s="1406"/>
      <c r="V103" s="1406"/>
      <c r="W103" s="1406"/>
      <c r="X103" s="1406"/>
      <c r="Y103" s="1406"/>
      <c r="Z103" s="1406"/>
      <c r="AA103" s="1406"/>
    </row>
    <row r="104" spans="1:27">
      <c r="A104" s="1406"/>
      <c r="B104" s="1406"/>
      <c r="C104" s="1406"/>
      <c r="D104" s="1406"/>
      <c r="E104" s="1406"/>
      <c r="F104" s="1406"/>
      <c r="G104" s="1406"/>
      <c r="H104" s="1406"/>
      <c r="I104" s="1406"/>
      <c r="J104" s="1406"/>
      <c r="K104" s="1406"/>
      <c r="L104" s="1406"/>
      <c r="M104" s="1406"/>
      <c r="N104" s="1406"/>
      <c r="O104" s="1406"/>
      <c r="P104" s="1406"/>
      <c r="Q104" s="1406"/>
      <c r="R104" s="1406"/>
      <c r="S104" s="1406"/>
      <c r="T104" s="1406"/>
      <c r="U104" s="1406"/>
      <c r="V104" s="1406"/>
      <c r="W104" s="1406"/>
      <c r="X104" s="1406"/>
      <c r="Y104" s="1406"/>
      <c r="Z104" s="1406"/>
      <c r="AA104" s="1406"/>
    </row>
    <row r="105" spans="1:27">
      <c r="A105" s="1406"/>
      <c r="B105" s="1406"/>
      <c r="C105" s="1406"/>
      <c r="D105" s="1406"/>
      <c r="E105" s="1406"/>
      <c r="F105" s="1406"/>
      <c r="G105" s="1406"/>
      <c r="H105" s="1406"/>
      <c r="I105" s="1406"/>
      <c r="J105" s="1406"/>
      <c r="K105" s="1406"/>
      <c r="L105" s="1406"/>
      <c r="M105" s="1406"/>
      <c r="N105" s="1406"/>
      <c r="O105" s="1406"/>
      <c r="P105" s="1406"/>
      <c r="Q105" s="1406"/>
      <c r="R105" s="1406"/>
      <c r="S105" s="1406"/>
      <c r="T105" s="1406"/>
      <c r="U105" s="1406"/>
      <c r="V105" s="1406"/>
      <c r="W105" s="1406"/>
      <c r="X105" s="1406"/>
      <c r="Y105" s="1406"/>
      <c r="Z105" s="1406"/>
      <c r="AA105" s="1406"/>
    </row>
    <row r="106" spans="1:27">
      <c r="A106" s="1406"/>
      <c r="B106" s="1406"/>
      <c r="C106" s="1406"/>
      <c r="D106" s="1406"/>
      <c r="E106" s="1406"/>
      <c r="F106" s="1406"/>
      <c r="G106" s="1406"/>
      <c r="H106" s="1406"/>
      <c r="I106" s="1406"/>
      <c r="J106" s="1406"/>
      <c r="K106" s="1406"/>
      <c r="L106" s="1406"/>
      <c r="M106" s="1406"/>
      <c r="N106" s="1406"/>
      <c r="O106" s="1406"/>
      <c r="P106" s="1406"/>
      <c r="Q106" s="1406"/>
      <c r="R106" s="1406"/>
      <c r="S106" s="1406"/>
      <c r="T106" s="1406"/>
      <c r="U106" s="1406"/>
      <c r="V106" s="1406"/>
      <c r="W106" s="1406"/>
      <c r="X106" s="1406"/>
      <c r="Y106" s="1406"/>
      <c r="Z106" s="1406"/>
      <c r="AA106" s="1406"/>
    </row>
    <row r="107" spans="1:27">
      <c r="A107" s="1406"/>
      <c r="B107" s="1406"/>
      <c r="C107" s="1406"/>
      <c r="D107" s="1406"/>
      <c r="E107" s="1406"/>
      <c r="F107" s="1406"/>
      <c r="G107" s="1406"/>
      <c r="H107" s="1406"/>
      <c r="I107" s="1406"/>
      <c r="J107" s="1406"/>
      <c r="K107" s="1406"/>
      <c r="L107" s="1406"/>
      <c r="M107" s="1406"/>
      <c r="N107" s="1406"/>
      <c r="O107" s="1406"/>
      <c r="P107" s="1406"/>
      <c r="Q107" s="1406"/>
      <c r="R107" s="1406"/>
      <c r="S107" s="1406"/>
      <c r="T107" s="1406"/>
      <c r="U107" s="1406"/>
      <c r="V107" s="1406"/>
      <c r="W107" s="1406"/>
      <c r="X107" s="1406"/>
      <c r="Y107" s="1406"/>
      <c r="Z107" s="1406"/>
      <c r="AA107" s="1406"/>
    </row>
    <row r="108" spans="1:27">
      <c r="A108" s="1406"/>
      <c r="B108" s="1406"/>
      <c r="C108" s="1406"/>
      <c r="D108" s="1406"/>
      <c r="E108" s="1406"/>
      <c r="F108" s="1406"/>
      <c r="G108" s="1406"/>
      <c r="H108" s="1406"/>
      <c r="I108" s="1406"/>
      <c r="J108" s="1406"/>
      <c r="K108" s="1406"/>
      <c r="L108" s="1406"/>
      <c r="M108" s="1406"/>
      <c r="N108" s="1406"/>
      <c r="O108" s="1406"/>
      <c r="P108" s="1406"/>
      <c r="Q108" s="1406"/>
      <c r="R108" s="1406"/>
      <c r="S108" s="1406"/>
      <c r="T108" s="1406"/>
      <c r="U108" s="1406"/>
      <c r="V108" s="1406"/>
      <c r="W108" s="1406"/>
      <c r="X108" s="1406"/>
      <c r="Y108" s="1406"/>
      <c r="Z108" s="1406"/>
      <c r="AA108" s="1406"/>
    </row>
    <row r="109" spans="1:27">
      <c r="A109" s="1406"/>
      <c r="B109" s="1406"/>
      <c r="C109" s="1406"/>
      <c r="D109" s="1406"/>
      <c r="E109" s="1406"/>
      <c r="F109" s="1406"/>
      <c r="G109" s="1406"/>
      <c r="H109" s="1406"/>
      <c r="I109" s="1406"/>
      <c r="J109" s="1406"/>
      <c r="K109" s="1406"/>
      <c r="L109" s="1406"/>
      <c r="M109" s="1406"/>
      <c r="N109" s="1406"/>
      <c r="O109" s="1406"/>
      <c r="P109" s="1406"/>
      <c r="Q109" s="1406"/>
      <c r="R109" s="1406"/>
      <c r="S109" s="1406"/>
      <c r="T109" s="1406"/>
      <c r="U109" s="1406"/>
      <c r="V109" s="1406"/>
      <c r="W109" s="1406"/>
      <c r="X109" s="1406"/>
      <c r="Y109" s="1406"/>
      <c r="Z109" s="1406"/>
      <c r="AA109" s="1406"/>
    </row>
    <row r="110" spans="1:27">
      <c r="A110" s="1406"/>
      <c r="B110" s="1406"/>
      <c r="C110" s="1406"/>
      <c r="D110" s="1406"/>
      <c r="E110" s="1406"/>
      <c r="F110" s="1406"/>
      <c r="G110" s="1406"/>
      <c r="H110" s="1406"/>
      <c r="I110" s="1406"/>
      <c r="J110" s="1406"/>
      <c r="K110" s="1406"/>
      <c r="L110" s="1406"/>
      <c r="M110" s="1406"/>
      <c r="N110" s="1406"/>
      <c r="O110" s="1406"/>
      <c r="P110" s="1406"/>
      <c r="Q110" s="1406"/>
      <c r="R110" s="1406"/>
      <c r="S110" s="1406"/>
      <c r="T110" s="1406"/>
      <c r="U110" s="1406"/>
      <c r="V110" s="1406"/>
      <c r="W110" s="1406"/>
      <c r="X110" s="1406"/>
      <c r="Y110" s="1406"/>
      <c r="Z110" s="1406"/>
      <c r="AA110" s="1406"/>
    </row>
    <row r="111" spans="1:27">
      <c r="A111" s="1406"/>
      <c r="B111" s="1406"/>
      <c r="C111" s="1406"/>
      <c r="D111" s="1406"/>
      <c r="E111" s="1406"/>
      <c r="F111" s="1406"/>
      <c r="G111" s="1406"/>
      <c r="H111" s="1406"/>
      <c r="I111" s="1406"/>
      <c r="J111" s="1406"/>
      <c r="K111" s="1406"/>
      <c r="L111" s="1406"/>
      <c r="M111" s="1406"/>
      <c r="N111" s="1406"/>
      <c r="O111" s="1406"/>
      <c r="P111" s="1406"/>
      <c r="Q111" s="1406"/>
      <c r="R111" s="1406"/>
      <c r="S111" s="1406"/>
      <c r="T111" s="1406"/>
      <c r="U111" s="1406"/>
      <c r="V111" s="1406"/>
      <c r="W111" s="1406"/>
      <c r="X111" s="1406"/>
      <c r="Y111" s="1406"/>
      <c r="Z111" s="1406"/>
      <c r="AA111" s="1406"/>
    </row>
    <row r="112" spans="1:27">
      <c r="A112" s="1406"/>
      <c r="B112" s="1406"/>
      <c r="C112" s="1406"/>
      <c r="D112" s="1406"/>
      <c r="E112" s="1406"/>
      <c r="F112" s="1406"/>
      <c r="G112" s="1406"/>
      <c r="H112" s="1406"/>
      <c r="I112" s="1406"/>
      <c r="J112" s="1406"/>
      <c r="K112" s="1406"/>
      <c r="L112" s="1406"/>
      <c r="M112" s="1406"/>
      <c r="N112" s="1406"/>
      <c r="O112" s="1406"/>
      <c r="P112" s="1406"/>
      <c r="Q112" s="1406"/>
      <c r="R112" s="1406"/>
      <c r="S112" s="1406"/>
      <c r="T112" s="1406"/>
      <c r="U112" s="1406"/>
      <c r="V112" s="1406"/>
      <c r="W112" s="1406"/>
      <c r="X112" s="1406"/>
      <c r="Y112" s="1406"/>
      <c r="Z112" s="1406"/>
      <c r="AA112" s="1406"/>
    </row>
    <row r="113" spans="1:27">
      <c r="A113" s="1406"/>
      <c r="B113" s="1406"/>
      <c r="C113" s="1406"/>
      <c r="D113" s="1406"/>
      <c r="E113" s="1406"/>
      <c r="F113" s="1406"/>
      <c r="G113" s="1406"/>
      <c r="H113" s="1406"/>
      <c r="I113" s="1406"/>
      <c r="J113" s="1406"/>
      <c r="K113" s="1406"/>
      <c r="L113" s="1406"/>
      <c r="M113" s="1406"/>
      <c r="N113" s="1406"/>
      <c r="O113" s="1406"/>
      <c r="P113" s="1406"/>
      <c r="Q113" s="1406"/>
      <c r="R113" s="1406"/>
      <c r="S113" s="1406"/>
      <c r="T113" s="1406"/>
      <c r="U113" s="1406"/>
      <c r="V113" s="1406"/>
      <c r="W113" s="1406"/>
      <c r="X113" s="1406"/>
      <c r="Y113" s="1406"/>
      <c r="Z113" s="1406"/>
      <c r="AA113" s="1406"/>
    </row>
    <row r="114" spans="1:27">
      <c r="A114" s="1406"/>
      <c r="B114" s="1406"/>
      <c r="C114" s="1406"/>
      <c r="D114" s="1406"/>
      <c r="E114" s="1406"/>
      <c r="F114" s="1406"/>
      <c r="G114" s="1406"/>
      <c r="H114" s="1406"/>
      <c r="I114" s="1406"/>
      <c r="J114" s="1406"/>
      <c r="K114" s="1406"/>
      <c r="L114" s="1406"/>
      <c r="M114" s="1406"/>
      <c r="N114" s="1406"/>
      <c r="O114" s="1406"/>
      <c r="P114" s="1406"/>
      <c r="Q114" s="1406"/>
      <c r="R114" s="1406"/>
      <c r="S114" s="1406"/>
      <c r="T114" s="1406"/>
      <c r="U114" s="1406"/>
      <c r="V114" s="1406"/>
      <c r="W114" s="1406"/>
      <c r="X114" s="1406"/>
      <c r="Y114" s="1406"/>
      <c r="Z114" s="1406"/>
      <c r="AA114" s="1406"/>
    </row>
    <row r="115" spans="1:27">
      <c r="A115" s="1406"/>
      <c r="B115" s="1406"/>
      <c r="C115" s="1406"/>
      <c r="D115" s="1406"/>
      <c r="E115" s="1406"/>
      <c r="F115" s="1406"/>
      <c r="G115" s="1406"/>
      <c r="H115" s="1406"/>
      <c r="I115" s="1406"/>
      <c r="J115" s="1406"/>
      <c r="K115" s="1406"/>
      <c r="L115" s="1406"/>
      <c r="M115" s="1406"/>
      <c r="N115" s="1406"/>
      <c r="O115" s="1406"/>
      <c r="P115" s="1406"/>
      <c r="Q115" s="1406"/>
      <c r="R115" s="1406"/>
      <c r="S115" s="1406"/>
      <c r="T115" s="1406"/>
      <c r="U115" s="1406"/>
      <c r="V115" s="1406"/>
      <c r="W115" s="1406"/>
      <c r="X115" s="1406"/>
      <c r="Y115" s="1406"/>
      <c r="Z115" s="1406"/>
      <c r="AA115" s="1406"/>
    </row>
    <row r="116" spans="1:27">
      <c r="A116" s="1406"/>
      <c r="B116" s="1406"/>
      <c r="C116" s="1406"/>
      <c r="D116" s="1406"/>
      <c r="E116" s="1406"/>
      <c r="F116" s="1406"/>
      <c r="G116" s="1406"/>
      <c r="H116" s="1406"/>
      <c r="I116" s="1406"/>
      <c r="J116" s="1406"/>
      <c r="K116" s="1406"/>
      <c r="L116" s="1406"/>
      <c r="M116" s="1406"/>
      <c r="N116" s="1406"/>
      <c r="O116" s="1406"/>
      <c r="P116" s="1406"/>
      <c r="Q116" s="1406"/>
      <c r="R116" s="1406"/>
      <c r="S116" s="1406"/>
      <c r="T116" s="1406"/>
      <c r="U116" s="1406"/>
      <c r="V116" s="1406"/>
      <c r="W116" s="1406"/>
      <c r="X116" s="1406"/>
      <c r="Y116" s="1406"/>
      <c r="Z116" s="1406"/>
      <c r="AA116" s="1406"/>
    </row>
    <row r="117" spans="1:27">
      <c r="A117" s="1406"/>
      <c r="B117" s="1406"/>
      <c r="C117" s="1406"/>
      <c r="D117" s="1406"/>
      <c r="E117" s="1406"/>
      <c r="F117" s="1406"/>
      <c r="G117" s="1406"/>
      <c r="H117" s="1406"/>
      <c r="I117" s="1406"/>
      <c r="J117" s="1406"/>
      <c r="K117" s="1406"/>
      <c r="L117" s="1406"/>
      <c r="M117" s="1406"/>
      <c r="N117" s="1406"/>
      <c r="O117" s="1406"/>
      <c r="P117" s="1406"/>
      <c r="Q117" s="1406"/>
      <c r="R117" s="1406"/>
      <c r="S117" s="1406"/>
      <c r="T117" s="1406"/>
      <c r="U117" s="1406"/>
      <c r="V117" s="1406"/>
      <c r="W117" s="1406"/>
      <c r="X117" s="1406"/>
      <c r="Y117" s="1406"/>
      <c r="Z117" s="1406"/>
      <c r="AA117" s="1406"/>
    </row>
    <row r="118" spans="1:27">
      <c r="A118" s="1406"/>
      <c r="B118" s="1406"/>
      <c r="C118" s="1406"/>
      <c r="D118" s="1406"/>
      <c r="E118" s="1406"/>
      <c r="F118" s="1406"/>
      <c r="G118" s="1406"/>
      <c r="H118" s="1406"/>
      <c r="I118" s="1406"/>
      <c r="J118" s="1406"/>
      <c r="K118" s="1406"/>
      <c r="L118" s="1406"/>
      <c r="M118" s="1406"/>
      <c r="N118" s="1406"/>
      <c r="O118" s="1406"/>
      <c r="P118" s="1406"/>
      <c r="Q118" s="1406"/>
      <c r="R118" s="1406"/>
      <c r="S118" s="1406"/>
      <c r="T118" s="1406"/>
      <c r="U118" s="1406"/>
      <c r="V118" s="1406"/>
      <c r="W118" s="1406"/>
      <c r="X118" s="1406"/>
      <c r="Y118" s="1406"/>
      <c r="Z118" s="1406"/>
      <c r="AA118" s="1406"/>
    </row>
    <row r="119" spans="1:27">
      <c r="A119" s="1406"/>
      <c r="B119" s="1406"/>
      <c r="C119" s="1406"/>
      <c r="D119" s="1406"/>
      <c r="E119" s="1406"/>
      <c r="F119" s="1406"/>
      <c r="G119" s="1406"/>
      <c r="H119" s="1406"/>
      <c r="I119" s="1406"/>
      <c r="J119" s="1406"/>
      <c r="K119" s="1406"/>
      <c r="L119" s="1406"/>
      <c r="M119" s="1406"/>
      <c r="N119" s="1406"/>
      <c r="O119" s="1406"/>
      <c r="P119" s="1406"/>
      <c r="Q119" s="1406"/>
      <c r="R119" s="1406"/>
      <c r="S119" s="1406"/>
      <c r="T119" s="1406"/>
      <c r="U119" s="1406"/>
      <c r="V119" s="1406"/>
      <c r="W119" s="1406"/>
      <c r="X119" s="1406"/>
      <c r="Y119" s="1406"/>
      <c r="Z119" s="1406"/>
      <c r="AA119" s="1406"/>
    </row>
    <row r="120" spans="1:27">
      <c r="A120" s="1406"/>
      <c r="B120" s="1406"/>
      <c r="C120" s="1406"/>
      <c r="D120" s="1406"/>
      <c r="E120" s="1406"/>
      <c r="F120" s="1406"/>
      <c r="G120" s="1406"/>
      <c r="H120" s="1406"/>
      <c r="I120" s="1406"/>
      <c r="J120" s="1406"/>
      <c r="K120" s="1406"/>
      <c r="L120" s="1406"/>
      <c r="M120" s="1406"/>
      <c r="N120" s="1406"/>
      <c r="O120" s="1406"/>
      <c r="P120" s="1406"/>
      <c r="Q120" s="1406"/>
      <c r="R120" s="1406"/>
      <c r="S120" s="1406"/>
      <c r="T120" s="1406"/>
      <c r="U120" s="1406"/>
      <c r="V120" s="1406"/>
      <c r="W120" s="1406"/>
      <c r="X120" s="1406"/>
      <c r="Y120" s="1406"/>
      <c r="Z120" s="1406"/>
      <c r="AA120" s="1406"/>
    </row>
    <row r="121" spans="1:27">
      <c r="A121" s="1406"/>
      <c r="B121" s="1406"/>
      <c r="C121" s="1406"/>
      <c r="D121" s="1406"/>
      <c r="E121" s="1406"/>
      <c r="F121" s="1406"/>
      <c r="G121" s="1406"/>
      <c r="H121" s="1406"/>
      <c r="I121" s="1406"/>
      <c r="J121" s="1406"/>
      <c r="K121" s="1406"/>
      <c r="L121" s="1406"/>
      <c r="M121" s="1406"/>
      <c r="N121" s="1406"/>
      <c r="O121" s="1406"/>
      <c r="P121" s="1406"/>
      <c r="Q121" s="1406"/>
      <c r="R121" s="1406"/>
      <c r="S121" s="1406"/>
      <c r="T121" s="1406"/>
      <c r="U121" s="1406"/>
      <c r="V121" s="1406"/>
      <c r="W121" s="1406"/>
      <c r="X121" s="1406"/>
      <c r="Y121" s="1406"/>
      <c r="Z121" s="1406"/>
      <c r="AA121" s="1406"/>
    </row>
    <row r="122" spans="1:27">
      <c r="A122" s="1406"/>
      <c r="B122" s="1406"/>
      <c r="C122" s="1406"/>
      <c r="D122" s="1406"/>
      <c r="E122" s="1406"/>
      <c r="F122" s="1406"/>
      <c r="G122" s="1406"/>
      <c r="H122" s="1406"/>
      <c r="I122" s="1406"/>
      <c r="J122" s="1406"/>
      <c r="K122" s="1406"/>
      <c r="L122" s="1406"/>
      <c r="M122" s="1406"/>
      <c r="N122" s="1406"/>
      <c r="O122" s="1406"/>
      <c r="P122" s="1406"/>
      <c r="Q122" s="1406"/>
      <c r="R122" s="1406"/>
      <c r="S122" s="1406"/>
      <c r="T122" s="1406"/>
      <c r="U122" s="1406"/>
      <c r="V122" s="1406"/>
      <c r="W122" s="1406"/>
      <c r="X122" s="1406"/>
      <c r="Y122" s="1406"/>
      <c r="Z122" s="1406"/>
      <c r="AA122" s="1406"/>
    </row>
    <row r="123" spans="1:27">
      <c r="A123" s="1406"/>
      <c r="B123" s="1406"/>
      <c r="C123" s="1406"/>
      <c r="D123" s="1406"/>
      <c r="E123" s="1406"/>
      <c r="F123" s="1406"/>
      <c r="G123" s="1406"/>
      <c r="H123" s="1406"/>
      <c r="I123" s="1406"/>
      <c r="J123" s="1406"/>
      <c r="K123" s="1406"/>
      <c r="L123" s="1406"/>
      <c r="M123" s="1406"/>
      <c r="N123" s="1406"/>
      <c r="O123" s="1406"/>
      <c r="P123" s="1406"/>
      <c r="Q123" s="1406"/>
      <c r="R123" s="1406"/>
      <c r="S123" s="1406"/>
      <c r="T123" s="1406"/>
      <c r="U123" s="1406"/>
      <c r="V123" s="1406"/>
      <c r="W123" s="1406"/>
      <c r="X123" s="1406"/>
      <c r="Y123" s="1406"/>
      <c r="Z123" s="1406"/>
      <c r="AA123" s="1406"/>
    </row>
    <row r="124" spans="1:27">
      <c r="A124" s="1406"/>
      <c r="B124" s="1406"/>
      <c r="C124" s="1406"/>
      <c r="D124" s="1406"/>
      <c r="E124" s="1406"/>
      <c r="F124" s="1406"/>
      <c r="G124" s="1406"/>
      <c r="H124" s="1406"/>
      <c r="I124" s="1406"/>
      <c r="J124" s="1406"/>
      <c r="K124" s="1406"/>
      <c r="L124" s="1406"/>
      <c r="M124" s="1406"/>
      <c r="N124" s="1406"/>
      <c r="O124" s="1406"/>
      <c r="P124" s="1406"/>
      <c r="Q124" s="1406"/>
      <c r="R124" s="1406"/>
      <c r="S124" s="1406"/>
      <c r="T124" s="1406"/>
      <c r="U124" s="1406"/>
      <c r="V124" s="1406"/>
      <c r="W124" s="1406"/>
      <c r="X124" s="1406"/>
      <c r="Y124" s="1406"/>
      <c r="Z124" s="1406"/>
      <c r="AA124" s="1406"/>
    </row>
    <row r="125" spans="1:27">
      <c r="A125" s="1406"/>
      <c r="B125" s="1406"/>
      <c r="C125" s="1406"/>
      <c r="D125" s="1406"/>
      <c r="E125" s="1406"/>
      <c r="F125" s="1406"/>
      <c r="G125" s="1406"/>
      <c r="H125" s="1406"/>
      <c r="I125" s="1406"/>
      <c r="J125" s="1406"/>
      <c r="K125" s="1406"/>
      <c r="L125" s="1406"/>
      <c r="M125" s="1406"/>
      <c r="N125" s="1406"/>
      <c r="O125" s="1406"/>
      <c r="P125" s="1406"/>
      <c r="Q125" s="1406"/>
      <c r="R125" s="1406"/>
      <c r="S125" s="1406"/>
      <c r="T125" s="1406"/>
      <c r="U125" s="1406"/>
      <c r="V125" s="1406"/>
      <c r="W125" s="1406"/>
      <c r="X125" s="1406"/>
      <c r="Y125" s="1406"/>
      <c r="Z125" s="1406"/>
      <c r="AA125" s="1406"/>
    </row>
    <row r="126" spans="1:27">
      <c r="A126" s="1406"/>
      <c r="B126" s="1406"/>
      <c r="C126" s="1406"/>
      <c r="D126" s="1406"/>
      <c r="E126" s="1406"/>
      <c r="F126" s="1406"/>
      <c r="G126" s="1406"/>
      <c r="H126" s="1406"/>
      <c r="I126" s="1406"/>
      <c r="J126" s="1406"/>
      <c r="K126" s="1406"/>
      <c r="L126" s="1406"/>
      <c r="M126" s="1406"/>
      <c r="N126" s="1406"/>
      <c r="O126" s="1406"/>
      <c r="P126" s="1406"/>
      <c r="Q126" s="1406"/>
      <c r="R126" s="1406"/>
      <c r="S126" s="1406"/>
      <c r="T126" s="1406"/>
      <c r="U126" s="1406"/>
      <c r="V126" s="1406"/>
      <c r="W126" s="1406"/>
      <c r="X126" s="1406"/>
      <c r="Y126" s="1406"/>
      <c r="Z126" s="1406"/>
      <c r="AA126" s="1406"/>
    </row>
    <row r="127" spans="1:27">
      <c r="A127" s="1406"/>
      <c r="B127" s="1406"/>
      <c r="C127" s="1406"/>
      <c r="D127" s="1406"/>
      <c r="E127" s="1406"/>
      <c r="F127" s="1406"/>
      <c r="G127" s="1406"/>
      <c r="H127" s="1406"/>
      <c r="I127" s="1406"/>
      <c r="J127" s="1406"/>
      <c r="K127" s="1406"/>
      <c r="L127" s="1406"/>
      <c r="M127" s="1406"/>
      <c r="N127" s="1406"/>
      <c r="O127" s="1406"/>
      <c r="P127" s="1406"/>
      <c r="Q127" s="1406"/>
      <c r="R127" s="1406"/>
      <c r="S127" s="1406"/>
      <c r="T127" s="1406"/>
      <c r="U127" s="1406"/>
      <c r="V127" s="1406"/>
      <c r="W127" s="1406"/>
      <c r="X127" s="1406"/>
      <c r="Y127" s="1406"/>
      <c r="Z127" s="1406"/>
      <c r="AA127" s="1406"/>
    </row>
    <row r="128" spans="1:27">
      <c r="A128" s="1406"/>
      <c r="B128" s="1406"/>
      <c r="C128" s="1406"/>
      <c r="D128" s="1406"/>
      <c r="E128" s="1406"/>
      <c r="F128" s="1406"/>
      <c r="G128" s="1406"/>
      <c r="H128" s="1406"/>
      <c r="I128" s="1406"/>
      <c r="J128" s="1406"/>
      <c r="K128" s="1406"/>
      <c r="L128" s="1406"/>
      <c r="M128" s="1406"/>
      <c r="N128" s="1406"/>
      <c r="O128" s="1406"/>
      <c r="P128" s="1406"/>
      <c r="Q128" s="1406"/>
      <c r="R128" s="1406"/>
      <c r="S128" s="1406"/>
      <c r="T128" s="1406"/>
      <c r="U128" s="1406"/>
      <c r="V128" s="1406"/>
      <c r="W128" s="1406"/>
      <c r="X128" s="1406"/>
      <c r="Y128" s="1406"/>
      <c r="Z128" s="1406"/>
      <c r="AA128" s="1406"/>
    </row>
    <row r="129" spans="1:27">
      <c r="A129" s="1406"/>
      <c r="B129" s="1406"/>
      <c r="C129" s="1406"/>
      <c r="D129" s="1406"/>
      <c r="E129" s="1406"/>
      <c r="F129" s="1406"/>
      <c r="G129" s="1406"/>
      <c r="H129" s="1406"/>
      <c r="I129" s="1406"/>
      <c r="J129" s="1406"/>
      <c r="K129" s="1406"/>
      <c r="L129" s="1406"/>
      <c r="M129" s="1406"/>
      <c r="N129" s="1406"/>
      <c r="O129" s="1406"/>
      <c r="P129" s="1406"/>
      <c r="Q129" s="1406"/>
      <c r="R129" s="1406"/>
      <c r="S129" s="1406"/>
      <c r="T129" s="1406"/>
      <c r="U129" s="1406"/>
      <c r="V129" s="1406"/>
      <c r="W129" s="1406"/>
      <c r="X129" s="1406"/>
      <c r="Y129" s="1406"/>
      <c r="Z129" s="1406"/>
      <c r="AA129" s="1406"/>
    </row>
    <row r="130" spans="1:27">
      <c r="A130" s="1406"/>
      <c r="B130" s="1406"/>
      <c r="C130" s="1406"/>
      <c r="D130" s="1406"/>
      <c r="E130" s="1406"/>
      <c r="F130" s="1406"/>
      <c r="G130" s="1406"/>
      <c r="H130" s="1406"/>
      <c r="I130" s="1406"/>
      <c r="J130" s="1406"/>
      <c r="K130" s="1406"/>
      <c r="L130" s="1406"/>
      <c r="M130" s="1406"/>
      <c r="N130" s="1406"/>
      <c r="O130" s="1406"/>
      <c r="P130" s="1406"/>
      <c r="Q130" s="1406"/>
      <c r="R130" s="1406"/>
      <c r="S130" s="1406"/>
      <c r="T130" s="1406"/>
      <c r="U130" s="1406"/>
      <c r="V130" s="1406"/>
      <c r="W130" s="1406"/>
      <c r="X130" s="1406"/>
      <c r="Y130" s="1406"/>
      <c r="Z130" s="1406"/>
      <c r="AA130" s="1406"/>
    </row>
    <row r="131" spans="1:27">
      <c r="A131" s="1406"/>
      <c r="B131" s="1406"/>
      <c r="C131" s="1406"/>
      <c r="D131" s="1406"/>
      <c r="E131" s="1406"/>
      <c r="F131" s="1406"/>
      <c r="G131" s="1406"/>
      <c r="H131" s="1406"/>
      <c r="I131" s="1406"/>
      <c r="J131" s="1406"/>
      <c r="K131" s="1406"/>
      <c r="L131" s="1406"/>
      <c r="M131" s="1406"/>
      <c r="N131" s="1406"/>
      <c r="O131" s="1406"/>
      <c r="P131" s="1406"/>
      <c r="Q131" s="1406"/>
      <c r="R131" s="1406"/>
      <c r="S131" s="1406"/>
      <c r="T131" s="1406"/>
      <c r="U131" s="1406"/>
      <c r="V131" s="1406"/>
      <c r="W131" s="1406"/>
      <c r="X131" s="1406"/>
      <c r="Y131" s="1406"/>
      <c r="Z131" s="1406"/>
      <c r="AA131" s="1406"/>
    </row>
    <row r="132" spans="1:27">
      <c r="A132" s="1406"/>
      <c r="B132" s="1406"/>
      <c r="C132" s="1406"/>
      <c r="D132" s="1406"/>
      <c r="E132" s="1406"/>
      <c r="F132" s="1406"/>
      <c r="G132" s="1406"/>
      <c r="H132" s="1406"/>
      <c r="I132" s="1406"/>
      <c r="J132" s="1406"/>
      <c r="K132" s="1406"/>
      <c r="L132" s="1406"/>
      <c r="M132" s="1406"/>
      <c r="N132" s="1406"/>
      <c r="O132" s="1406"/>
      <c r="P132" s="1406"/>
      <c r="Q132" s="1406"/>
      <c r="R132" s="1406"/>
      <c r="S132" s="1406"/>
      <c r="T132" s="1406"/>
      <c r="U132" s="1406"/>
      <c r="V132" s="1406"/>
      <c r="W132" s="1406"/>
      <c r="X132" s="1406"/>
      <c r="Y132" s="1406"/>
      <c r="Z132" s="1406"/>
      <c r="AA132" s="1406"/>
    </row>
    <row r="133" spans="1:27">
      <c r="A133" s="1406"/>
      <c r="B133" s="1406"/>
      <c r="C133" s="1406"/>
      <c r="D133" s="1406"/>
      <c r="E133" s="1406"/>
      <c r="F133" s="1406"/>
      <c r="G133" s="1406"/>
      <c r="H133" s="1406"/>
      <c r="I133" s="1406"/>
      <c r="J133" s="1406"/>
      <c r="K133" s="1406"/>
      <c r="L133" s="1406"/>
      <c r="M133" s="1406"/>
      <c r="N133" s="1406"/>
      <c r="O133" s="1406"/>
      <c r="P133" s="1406"/>
      <c r="Q133" s="1406"/>
      <c r="R133" s="1406"/>
      <c r="S133" s="1406"/>
      <c r="T133" s="1406"/>
      <c r="U133" s="1406"/>
      <c r="V133" s="1406"/>
      <c r="W133" s="1406"/>
      <c r="X133" s="1406"/>
      <c r="Y133" s="1406"/>
      <c r="Z133" s="1406"/>
      <c r="AA133" s="1406"/>
    </row>
    <row r="134" spans="1:27">
      <c r="A134" s="1406"/>
      <c r="B134" s="1406"/>
      <c r="C134" s="1406"/>
      <c r="D134" s="1406"/>
      <c r="E134" s="1406"/>
      <c r="F134" s="1406"/>
      <c r="G134" s="1406"/>
      <c r="H134" s="1406"/>
      <c r="I134" s="1406"/>
      <c r="J134" s="1406"/>
      <c r="K134" s="1406"/>
      <c r="L134" s="1406"/>
      <c r="M134" s="1406"/>
      <c r="N134" s="1406"/>
      <c r="O134" s="1406"/>
      <c r="P134" s="1406"/>
      <c r="Q134" s="1406"/>
      <c r="R134" s="1406"/>
      <c r="S134" s="1406"/>
      <c r="T134" s="1406"/>
      <c r="U134" s="1406"/>
      <c r="V134" s="1406"/>
      <c r="W134" s="1406"/>
      <c r="X134" s="1406"/>
      <c r="Y134" s="1406"/>
      <c r="Z134" s="1406"/>
      <c r="AA134" s="1406"/>
    </row>
    <row r="135" spans="1:27">
      <c r="A135" s="1406"/>
      <c r="B135" s="1406"/>
      <c r="C135" s="1406"/>
      <c r="D135" s="1406"/>
      <c r="E135" s="1406"/>
      <c r="F135" s="1406"/>
      <c r="G135" s="1406"/>
      <c r="H135" s="1406"/>
      <c r="I135" s="1406"/>
      <c r="J135" s="1406"/>
      <c r="K135" s="1406"/>
      <c r="L135" s="1406"/>
      <c r="M135" s="1406"/>
      <c r="N135" s="1406"/>
      <c r="O135" s="1406"/>
      <c r="P135" s="1406"/>
      <c r="Q135" s="1406"/>
      <c r="R135" s="1406"/>
      <c r="S135" s="1406"/>
      <c r="T135" s="1406"/>
      <c r="U135" s="1406"/>
      <c r="V135" s="1406"/>
      <c r="W135" s="1406"/>
      <c r="X135" s="1406"/>
      <c r="Y135" s="1406"/>
      <c r="Z135" s="1406"/>
      <c r="AA135" s="1406"/>
    </row>
    <row r="136" spans="1:27">
      <c r="A136" s="1406"/>
      <c r="B136" s="1406"/>
      <c r="C136" s="1406"/>
      <c r="D136" s="1406"/>
      <c r="E136" s="1406"/>
      <c r="F136" s="1406"/>
      <c r="G136" s="1406"/>
      <c r="H136" s="1406"/>
      <c r="I136" s="1406"/>
      <c r="J136" s="1406"/>
      <c r="K136" s="1406"/>
      <c r="L136" s="1406"/>
      <c r="M136" s="1406"/>
      <c r="N136" s="1406"/>
      <c r="O136" s="1406"/>
      <c r="P136" s="1406"/>
      <c r="Q136" s="1406"/>
      <c r="R136" s="1406"/>
      <c r="S136" s="1406"/>
      <c r="T136" s="1406"/>
      <c r="U136" s="1406"/>
      <c r="V136" s="1406"/>
      <c r="W136" s="1406"/>
      <c r="X136" s="1406"/>
      <c r="Y136" s="1406"/>
      <c r="Z136" s="1406"/>
      <c r="AA136" s="1406"/>
    </row>
    <row r="137" spans="1:27">
      <c r="A137" s="1406"/>
      <c r="B137" s="1406"/>
      <c r="C137" s="1406"/>
      <c r="D137" s="1406"/>
      <c r="E137" s="1406"/>
      <c r="F137" s="1406"/>
      <c r="G137" s="1406"/>
      <c r="H137" s="1406"/>
      <c r="I137" s="1406"/>
      <c r="J137" s="1406"/>
      <c r="K137" s="1406"/>
      <c r="L137" s="1406"/>
      <c r="M137" s="1406"/>
      <c r="N137" s="1406"/>
      <c r="O137" s="1406"/>
      <c r="P137" s="1406"/>
      <c r="Q137" s="1406"/>
      <c r="R137" s="1406"/>
      <c r="S137" s="1406"/>
      <c r="T137" s="1406"/>
      <c r="U137" s="1406"/>
      <c r="V137" s="1406"/>
      <c r="W137" s="1406"/>
      <c r="X137" s="1406"/>
      <c r="Y137" s="1406"/>
      <c r="Z137" s="1406"/>
      <c r="AA137" s="1406"/>
    </row>
    <row r="138" spans="1:27">
      <c r="A138" s="1406"/>
      <c r="B138" s="1406"/>
      <c r="C138" s="1406"/>
      <c r="D138" s="1406"/>
      <c r="E138" s="1406"/>
      <c r="F138" s="1406"/>
      <c r="G138" s="1406"/>
      <c r="H138" s="1406"/>
      <c r="I138" s="1406"/>
      <c r="J138" s="1406"/>
      <c r="K138" s="1406"/>
      <c r="L138" s="1406"/>
      <c r="M138" s="1406"/>
      <c r="N138" s="1406"/>
      <c r="O138" s="1406"/>
      <c r="P138" s="1406"/>
      <c r="Q138" s="1406"/>
      <c r="R138" s="1406"/>
      <c r="S138" s="1406"/>
      <c r="T138" s="1406"/>
      <c r="U138" s="1406"/>
      <c r="V138" s="1406"/>
      <c r="W138" s="1406"/>
      <c r="X138" s="1406"/>
      <c r="Y138" s="1406"/>
      <c r="Z138" s="1406"/>
      <c r="AA138" s="1406"/>
    </row>
    <row r="139" spans="1:27">
      <c r="A139" s="1406"/>
      <c r="B139" s="1406"/>
      <c r="C139" s="1406"/>
      <c r="D139" s="1406"/>
      <c r="E139" s="1406"/>
      <c r="F139" s="1406"/>
      <c r="G139" s="1406"/>
      <c r="H139" s="1406"/>
      <c r="I139" s="1406"/>
      <c r="J139" s="1406"/>
      <c r="K139" s="1406"/>
      <c r="L139" s="1406"/>
      <c r="M139" s="1406"/>
      <c r="N139" s="1406"/>
      <c r="O139" s="1406"/>
      <c r="P139" s="1406"/>
      <c r="Q139" s="1406"/>
      <c r="R139" s="1406"/>
      <c r="S139" s="1406"/>
      <c r="T139" s="1406"/>
      <c r="U139" s="1406"/>
      <c r="V139" s="1406"/>
      <c r="W139" s="1406"/>
      <c r="X139" s="1406"/>
      <c r="Y139" s="1406"/>
      <c r="Z139" s="1406"/>
      <c r="AA139" s="1406"/>
    </row>
    <row r="140" spans="1:27">
      <c r="A140" s="1406"/>
      <c r="B140" s="1406"/>
      <c r="C140" s="1406"/>
      <c r="D140" s="1406"/>
      <c r="E140" s="1406"/>
      <c r="F140" s="1406"/>
      <c r="G140" s="1406"/>
      <c r="H140" s="1406"/>
      <c r="I140" s="1406"/>
      <c r="J140" s="1406"/>
      <c r="K140" s="1406"/>
      <c r="L140" s="1406"/>
      <c r="M140" s="1406"/>
      <c r="N140" s="1406"/>
      <c r="O140" s="1406"/>
      <c r="P140" s="1406"/>
      <c r="Q140" s="1406"/>
      <c r="R140" s="1406"/>
      <c r="S140" s="1406"/>
      <c r="T140" s="1406"/>
      <c r="U140" s="1406"/>
      <c r="V140" s="1406"/>
      <c r="W140" s="1406"/>
      <c r="X140" s="1406"/>
      <c r="Y140" s="1406"/>
      <c r="Z140" s="1406"/>
      <c r="AA140" s="1406"/>
    </row>
    <row r="141" spans="1:27">
      <c r="A141" s="1406"/>
      <c r="B141" s="1406"/>
      <c r="C141" s="1406"/>
      <c r="D141" s="1406"/>
      <c r="E141" s="1406"/>
      <c r="F141" s="1406"/>
      <c r="G141" s="1406"/>
      <c r="H141" s="1406"/>
      <c r="I141" s="1406"/>
      <c r="J141" s="1406"/>
      <c r="K141" s="1406"/>
      <c r="L141" s="1406"/>
      <c r="M141" s="1406"/>
      <c r="N141" s="1406"/>
      <c r="O141" s="1406"/>
      <c r="P141" s="1406"/>
      <c r="Q141" s="1406"/>
      <c r="R141" s="1406"/>
      <c r="S141" s="1406"/>
      <c r="T141" s="1406"/>
      <c r="U141" s="1406"/>
      <c r="V141" s="1406"/>
      <c r="W141" s="1406"/>
      <c r="X141" s="1406"/>
      <c r="Y141" s="1406"/>
      <c r="Z141" s="1406"/>
      <c r="AA141" s="1406"/>
    </row>
    <row r="142" spans="1:27">
      <c r="A142" s="1406"/>
      <c r="B142" s="1406"/>
      <c r="C142" s="1406"/>
      <c r="D142" s="1406"/>
      <c r="E142" s="1406"/>
      <c r="F142" s="1406"/>
      <c r="G142" s="1406"/>
      <c r="H142" s="1406"/>
      <c r="I142" s="1406"/>
      <c r="J142" s="1406"/>
      <c r="K142" s="1406"/>
      <c r="L142" s="1406"/>
      <c r="M142" s="1406"/>
      <c r="N142" s="1406"/>
      <c r="O142" s="1406"/>
      <c r="P142" s="1406"/>
      <c r="Q142" s="1406"/>
      <c r="R142" s="1406"/>
      <c r="S142" s="1406"/>
      <c r="T142" s="1406"/>
      <c r="U142" s="1406"/>
      <c r="V142" s="1406"/>
      <c r="W142" s="1406"/>
      <c r="X142" s="1406"/>
      <c r="Y142" s="1406"/>
      <c r="Z142" s="1406"/>
      <c r="AA142" s="1406"/>
    </row>
    <row r="143" spans="1:27">
      <c r="A143" s="1406"/>
      <c r="B143" s="1406"/>
      <c r="C143" s="1406"/>
      <c r="D143" s="1406"/>
      <c r="E143" s="1406"/>
      <c r="F143" s="1406"/>
      <c r="G143" s="1406"/>
      <c r="H143" s="1406"/>
      <c r="I143" s="1406"/>
      <c r="J143" s="1406"/>
      <c r="K143" s="1406"/>
      <c r="L143" s="1406"/>
      <c r="M143" s="1406"/>
      <c r="N143" s="1406"/>
      <c r="O143" s="1406"/>
      <c r="P143" s="1406"/>
      <c r="Q143" s="1406"/>
      <c r="R143" s="1406"/>
      <c r="S143" s="1406"/>
      <c r="T143" s="1406"/>
      <c r="U143" s="1406"/>
      <c r="V143" s="1406"/>
      <c r="W143" s="1406"/>
      <c r="X143" s="1406"/>
      <c r="Y143" s="1406"/>
      <c r="Z143" s="1406"/>
      <c r="AA143" s="1406"/>
    </row>
    <row r="144" spans="1:27">
      <c r="A144" s="1406"/>
      <c r="B144" s="1406"/>
      <c r="C144" s="1406"/>
      <c r="D144" s="1406"/>
      <c r="E144" s="1406"/>
      <c r="F144" s="1406"/>
      <c r="G144" s="1406"/>
      <c r="H144" s="1406"/>
      <c r="I144" s="1406"/>
      <c r="J144" s="1406"/>
      <c r="K144" s="1406"/>
      <c r="L144" s="1406"/>
      <c r="M144" s="1406"/>
      <c r="N144" s="1406"/>
      <c r="O144" s="1406"/>
      <c r="P144" s="1406"/>
      <c r="Q144" s="1406"/>
      <c r="R144" s="1406"/>
      <c r="S144" s="1406"/>
      <c r="T144" s="1406"/>
      <c r="U144" s="1406"/>
      <c r="V144" s="1406"/>
      <c r="W144" s="1406"/>
      <c r="X144" s="1406"/>
      <c r="Y144" s="1406"/>
      <c r="Z144" s="1406"/>
      <c r="AA144" s="1406"/>
    </row>
    <row r="145" spans="1:27">
      <c r="A145" s="1406"/>
      <c r="B145" s="1406"/>
      <c r="C145" s="1406"/>
      <c r="D145" s="1406"/>
      <c r="E145" s="1406"/>
      <c r="F145" s="1406"/>
      <c r="G145" s="1406"/>
      <c r="H145" s="1406"/>
      <c r="I145" s="1406"/>
      <c r="J145" s="1406"/>
      <c r="K145" s="1406"/>
      <c r="L145" s="1406"/>
      <c r="M145" s="1406"/>
      <c r="N145" s="1406"/>
      <c r="O145" s="1406"/>
      <c r="P145" s="1406"/>
      <c r="Q145" s="1406"/>
      <c r="R145" s="1406"/>
      <c r="S145" s="1406"/>
      <c r="T145" s="1406"/>
      <c r="U145" s="1406"/>
      <c r="V145" s="1406"/>
      <c r="W145" s="1406"/>
      <c r="X145" s="1406"/>
      <c r="Y145" s="1406"/>
      <c r="Z145" s="1406"/>
      <c r="AA145" s="1406"/>
    </row>
    <row r="146" spans="1:27">
      <c r="A146" s="1406"/>
      <c r="B146" s="1406"/>
      <c r="C146" s="1406"/>
      <c r="D146" s="1406"/>
      <c r="E146" s="1406"/>
      <c r="F146" s="1406"/>
      <c r="G146" s="1406"/>
      <c r="H146" s="1406"/>
      <c r="I146" s="1406"/>
      <c r="J146" s="1406"/>
      <c r="K146" s="1406"/>
      <c r="L146" s="1406"/>
      <c r="M146" s="1406"/>
      <c r="N146" s="1406"/>
      <c r="O146" s="1406"/>
      <c r="P146" s="1406"/>
      <c r="Q146" s="1406"/>
      <c r="R146" s="1406"/>
      <c r="S146" s="1406"/>
      <c r="T146" s="1406"/>
      <c r="U146" s="1406"/>
      <c r="V146" s="1406"/>
      <c r="W146" s="1406"/>
      <c r="X146" s="1406"/>
      <c r="Y146" s="1406"/>
      <c r="Z146" s="1406"/>
      <c r="AA146" s="1406"/>
    </row>
    <row r="147" spans="1:27">
      <c r="A147" s="1406"/>
      <c r="B147" s="1406"/>
      <c r="C147" s="1406"/>
      <c r="D147" s="1406"/>
      <c r="E147" s="1406"/>
      <c r="F147" s="1406"/>
      <c r="G147" s="1406"/>
      <c r="H147" s="1406"/>
      <c r="I147" s="1406"/>
      <c r="J147" s="1406"/>
      <c r="K147" s="1406"/>
      <c r="L147" s="1406"/>
      <c r="M147" s="1406"/>
      <c r="N147" s="1406"/>
      <c r="O147" s="1406"/>
      <c r="P147" s="1406"/>
      <c r="Q147" s="1406"/>
      <c r="R147" s="1406"/>
      <c r="S147" s="1406"/>
      <c r="T147" s="1406"/>
      <c r="U147" s="1406"/>
      <c r="V147" s="1406"/>
      <c r="W147" s="1406"/>
      <c r="X147" s="1406"/>
      <c r="Y147" s="1406"/>
      <c r="Z147" s="1406"/>
      <c r="AA147" s="1406"/>
    </row>
    <row r="148" spans="1:27">
      <c r="A148" s="1406"/>
      <c r="B148" s="1406"/>
      <c r="C148" s="1406"/>
      <c r="D148" s="1406"/>
      <c r="E148" s="1406"/>
      <c r="F148" s="1406"/>
      <c r="G148" s="1406"/>
      <c r="H148" s="1406"/>
      <c r="I148" s="1406"/>
      <c r="J148" s="1406"/>
      <c r="K148" s="1406"/>
      <c r="L148" s="1406"/>
      <c r="M148" s="1406"/>
      <c r="N148" s="1406"/>
      <c r="O148" s="1406"/>
      <c r="P148" s="1406"/>
      <c r="Q148" s="1406"/>
      <c r="R148" s="1406"/>
      <c r="S148" s="1406"/>
      <c r="T148" s="1406"/>
      <c r="U148" s="1406"/>
      <c r="V148" s="1406"/>
      <c r="W148" s="1406"/>
      <c r="X148" s="1406"/>
      <c r="Y148" s="1406"/>
      <c r="Z148" s="1406"/>
      <c r="AA148" s="1406"/>
    </row>
    <row r="149" spans="1:27">
      <c r="A149" s="1406"/>
      <c r="B149" s="1406"/>
      <c r="C149" s="1406"/>
      <c r="D149" s="1406"/>
      <c r="E149" s="1406"/>
      <c r="F149" s="1406"/>
      <c r="G149" s="1406"/>
      <c r="H149" s="1406"/>
      <c r="I149" s="1406"/>
      <c r="J149" s="1406"/>
      <c r="K149" s="1406"/>
      <c r="L149" s="1406"/>
      <c r="M149" s="1406"/>
      <c r="N149" s="1406"/>
      <c r="O149" s="1406"/>
      <c r="P149" s="1406"/>
      <c r="Q149" s="1406"/>
      <c r="R149" s="1406"/>
      <c r="S149" s="1406"/>
      <c r="T149" s="1406"/>
      <c r="U149" s="1406"/>
      <c r="V149" s="1406"/>
      <c r="W149" s="1406"/>
      <c r="X149" s="1406"/>
      <c r="Y149" s="1406"/>
      <c r="Z149" s="1406"/>
      <c r="AA149" s="1406"/>
    </row>
    <row r="150" spans="1:27">
      <c r="A150" s="1406"/>
      <c r="B150" s="1406"/>
      <c r="C150" s="1406"/>
      <c r="D150" s="1406"/>
      <c r="E150" s="1406"/>
      <c r="F150" s="1406"/>
      <c r="G150" s="1406"/>
      <c r="H150" s="1406"/>
      <c r="I150" s="1406"/>
      <c r="J150" s="1406"/>
      <c r="K150" s="1406"/>
      <c r="L150" s="1406"/>
      <c r="M150" s="1406"/>
      <c r="N150" s="1406"/>
      <c r="O150" s="1406"/>
      <c r="P150" s="1406"/>
      <c r="Q150" s="1406"/>
      <c r="R150" s="1406"/>
      <c r="S150" s="1406"/>
      <c r="T150" s="1406"/>
      <c r="U150" s="1406"/>
      <c r="V150" s="1406"/>
      <c r="W150" s="1406"/>
      <c r="X150" s="1406"/>
      <c r="Y150" s="1406"/>
      <c r="Z150" s="1406"/>
      <c r="AA150" s="1406"/>
    </row>
    <row r="151" spans="1:27">
      <c r="A151" s="1406"/>
      <c r="B151" s="1406"/>
      <c r="C151" s="1406"/>
      <c r="D151" s="1406"/>
      <c r="E151" s="1406"/>
      <c r="F151" s="1406"/>
      <c r="G151" s="1406"/>
      <c r="H151" s="1406"/>
      <c r="I151" s="1406"/>
      <c r="J151" s="1406"/>
      <c r="K151" s="1406"/>
      <c r="L151" s="1406"/>
      <c r="M151" s="1406"/>
      <c r="N151" s="1406"/>
      <c r="O151" s="1406"/>
      <c r="P151" s="1406"/>
      <c r="Q151" s="1406"/>
      <c r="R151" s="1406"/>
      <c r="S151" s="1406"/>
      <c r="T151" s="1406"/>
      <c r="U151" s="1406"/>
      <c r="V151" s="1406"/>
      <c r="W151" s="1406"/>
      <c r="X151" s="1406"/>
      <c r="Y151" s="1406"/>
      <c r="Z151" s="1406"/>
      <c r="AA151" s="1406"/>
    </row>
    <row r="152" spans="1:27">
      <c r="A152" s="1406"/>
      <c r="B152" s="1406"/>
      <c r="C152" s="1406"/>
      <c r="D152" s="1406"/>
      <c r="E152" s="1406"/>
      <c r="F152" s="1406"/>
      <c r="G152" s="1406"/>
      <c r="H152" s="1406"/>
      <c r="I152" s="1406"/>
      <c r="J152" s="1406"/>
      <c r="K152" s="1406"/>
      <c r="L152" s="1406"/>
      <c r="M152" s="1406"/>
      <c r="N152" s="1406"/>
      <c r="O152" s="1406"/>
      <c r="P152" s="1406"/>
      <c r="Q152" s="1406"/>
      <c r="R152" s="1406"/>
      <c r="S152" s="1406"/>
      <c r="T152" s="1406"/>
      <c r="U152" s="1406"/>
      <c r="V152" s="1406"/>
      <c r="W152" s="1406"/>
      <c r="X152" s="1406"/>
      <c r="Y152" s="1406"/>
      <c r="Z152" s="1406"/>
      <c r="AA152" s="1406"/>
    </row>
    <row r="153" spans="1:27">
      <c r="A153" s="1406"/>
      <c r="B153" s="1406"/>
      <c r="C153" s="1406"/>
      <c r="D153" s="1406"/>
      <c r="E153" s="1406"/>
      <c r="F153" s="1406"/>
      <c r="G153" s="1406"/>
      <c r="H153" s="1406"/>
      <c r="I153" s="1406"/>
      <c r="J153" s="1406"/>
      <c r="K153" s="1406"/>
      <c r="L153" s="1406"/>
      <c r="M153" s="1406"/>
      <c r="N153" s="1406"/>
      <c r="O153" s="1406"/>
      <c r="P153" s="1406"/>
      <c r="Q153" s="1406"/>
      <c r="R153" s="1406"/>
      <c r="S153" s="1406"/>
      <c r="T153" s="1406"/>
      <c r="U153" s="1406"/>
      <c r="V153" s="1406"/>
      <c r="W153" s="1406"/>
      <c r="X153" s="1406"/>
      <c r="Y153" s="1406"/>
      <c r="Z153" s="1406"/>
      <c r="AA153" s="1406"/>
    </row>
    <row r="154" spans="1:27">
      <c r="A154" s="1406"/>
      <c r="B154" s="1406"/>
      <c r="C154" s="1406"/>
      <c r="D154" s="1406"/>
      <c r="E154" s="1406"/>
      <c r="F154" s="1406"/>
      <c r="G154" s="1406"/>
      <c r="H154" s="1406"/>
      <c r="I154" s="1406"/>
      <c r="J154" s="1406"/>
      <c r="K154" s="1406"/>
      <c r="L154" s="1406"/>
      <c r="M154" s="1406"/>
      <c r="N154" s="1406"/>
      <c r="O154" s="1406"/>
      <c r="P154" s="1406"/>
      <c r="Q154" s="1406"/>
      <c r="R154" s="1406"/>
      <c r="S154" s="1406"/>
      <c r="T154" s="1406"/>
      <c r="U154" s="1406"/>
      <c r="V154" s="1406"/>
      <c r="W154" s="1406"/>
      <c r="X154" s="1406"/>
      <c r="Y154" s="1406"/>
      <c r="Z154" s="1406"/>
      <c r="AA154" s="1406"/>
    </row>
    <row r="155" spans="1:27">
      <c r="A155" s="1406"/>
      <c r="B155" s="1406"/>
      <c r="C155" s="1406"/>
      <c r="D155" s="1406"/>
      <c r="E155" s="1406"/>
      <c r="F155" s="1406"/>
      <c r="G155" s="1406"/>
      <c r="H155" s="1406"/>
      <c r="I155" s="1406"/>
      <c r="J155" s="1406"/>
      <c r="K155" s="1406"/>
      <c r="L155" s="1406"/>
      <c r="M155" s="1406"/>
      <c r="N155" s="1406"/>
      <c r="O155" s="1406"/>
      <c r="P155" s="1406"/>
      <c r="Q155" s="1406"/>
      <c r="R155" s="1406"/>
      <c r="S155" s="1406"/>
      <c r="T155" s="1406"/>
      <c r="U155" s="1406"/>
      <c r="V155" s="1406"/>
      <c r="W155" s="1406"/>
      <c r="X155" s="1406"/>
      <c r="Y155" s="1406"/>
      <c r="Z155" s="1406"/>
      <c r="AA155" s="1406"/>
    </row>
    <row r="156" spans="1:27">
      <c r="A156" s="1406"/>
      <c r="B156" s="1406"/>
      <c r="C156" s="1406"/>
      <c r="D156" s="1406"/>
      <c r="E156" s="1406"/>
      <c r="F156" s="1406"/>
      <c r="G156" s="1406"/>
      <c r="H156" s="1406"/>
      <c r="I156" s="1406"/>
      <c r="J156" s="1406"/>
      <c r="K156" s="1406"/>
      <c r="L156" s="1406"/>
      <c r="M156" s="1406"/>
      <c r="N156" s="1406"/>
      <c r="O156" s="1406"/>
      <c r="P156" s="1406"/>
      <c r="Q156" s="1406"/>
      <c r="R156" s="1406"/>
      <c r="S156" s="1406"/>
      <c r="T156" s="1406"/>
      <c r="U156" s="1406"/>
      <c r="V156" s="1406"/>
      <c r="W156" s="1406"/>
      <c r="X156" s="1406"/>
      <c r="Y156" s="1406"/>
      <c r="Z156" s="1406"/>
      <c r="AA156" s="1406"/>
    </row>
    <row r="157" spans="1:27">
      <c r="A157" s="1406"/>
      <c r="B157" s="1406"/>
      <c r="C157" s="1406"/>
      <c r="D157" s="1406"/>
      <c r="E157" s="1406"/>
      <c r="F157" s="1406"/>
      <c r="G157" s="1406"/>
      <c r="H157" s="1406"/>
      <c r="I157" s="1406"/>
      <c r="J157" s="1406"/>
      <c r="K157" s="1406"/>
      <c r="L157" s="1406"/>
      <c r="M157" s="1406"/>
      <c r="N157" s="1406"/>
      <c r="O157" s="1406"/>
      <c r="P157" s="1406"/>
      <c r="Q157" s="1406"/>
      <c r="R157" s="1406"/>
      <c r="S157" s="1406"/>
      <c r="T157" s="1406"/>
      <c r="U157" s="1406"/>
      <c r="V157" s="1406"/>
      <c r="W157" s="1406"/>
      <c r="X157" s="1406"/>
      <c r="Y157" s="1406"/>
      <c r="Z157" s="1406"/>
      <c r="AA157" s="1406"/>
    </row>
    <row r="158" spans="1:27">
      <c r="A158" s="1406"/>
      <c r="B158" s="1406"/>
      <c r="C158" s="1406"/>
      <c r="D158" s="1406"/>
      <c r="E158" s="1406"/>
      <c r="F158" s="1406"/>
      <c r="G158" s="1406"/>
      <c r="H158" s="1406"/>
      <c r="I158" s="1406"/>
      <c r="J158" s="1406"/>
      <c r="K158" s="1406"/>
      <c r="L158" s="1406"/>
      <c r="M158" s="1406"/>
      <c r="N158" s="1406"/>
      <c r="O158" s="1406"/>
      <c r="P158" s="1406"/>
      <c r="Q158" s="1406"/>
      <c r="R158" s="1406"/>
      <c r="S158" s="1406"/>
      <c r="T158" s="1406"/>
      <c r="U158" s="1406"/>
      <c r="V158" s="1406"/>
      <c r="W158" s="1406"/>
      <c r="X158" s="1406"/>
      <c r="Y158" s="1406"/>
      <c r="Z158" s="1406"/>
      <c r="AA158" s="1406"/>
    </row>
    <row r="159" spans="1:27">
      <c r="A159" s="1406"/>
      <c r="B159" s="1406"/>
      <c r="C159" s="1406"/>
      <c r="D159" s="1406"/>
      <c r="E159" s="1406"/>
      <c r="F159" s="1406"/>
      <c r="G159" s="1406"/>
      <c r="H159" s="1406"/>
      <c r="I159" s="1406"/>
      <c r="J159" s="1406"/>
      <c r="K159" s="1406"/>
      <c r="L159" s="1406"/>
      <c r="M159" s="1406"/>
      <c r="N159" s="1406"/>
      <c r="O159" s="1406"/>
      <c r="P159" s="1406"/>
      <c r="Q159" s="1406"/>
      <c r="R159" s="1406"/>
      <c r="S159" s="1406"/>
      <c r="T159" s="1406"/>
      <c r="U159" s="1406"/>
      <c r="V159" s="1406"/>
      <c r="W159" s="1406"/>
      <c r="X159" s="1406"/>
      <c r="Y159" s="1406"/>
      <c r="Z159" s="1406"/>
      <c r="AA159" s="1406"/>
    </row>
    <row r="160" spans="1:27">
      <c r="A160" s="1406"/>
      <c r="B160" s="1406"/>
      <c r="C160" s="1406"/>
      <c r="D160" s="1406"/>
      <c r="E160" s="1406"/>
      <c r="F160" s="1406"/>
      <c r="G160" s="1406"/>
      <c r="H160" s="1406"/>
      <c r="I160" s="1406"/>
      <c r="J160" s="1406"/>
      <c r="K160" s="1406"/>
      <c r="L160" s="1406"/>
      <c r="M160" s="1406"/>
      <c r="N160" s="1406"/>
      <c r="O160" s="1406"/>
      <c r="P160" s="1406"/>
      <c r="Q160" s="1406"/>
      <c r="R160" s="1406"/>
      <c r="S160" s="1406"/>
      <c r="T160" s="1406"/>
      <c r="U160" s="1406"/>
      <c r="V160" s="1406"/>
      <c r="W160" s="1406"/>
      <c r="X160" s="1406"/>
      <c r="Y160" s="1406"/>
      <c r="Z160" s="1406"/>
      <c r="AA160" s="1406"/>
    </row>
    <row r="161" spans="1:27">
      <c r="A161" s="1406"/>
      <c r="B161" s="1406"/>
      <c r="C161" s="1406"/>
      <c r="D161" s="1406"/>
      <c r="E161" s="1406"/>
      <c r="F161" s="1406"/>
      <c r="G161" s="1406"/>
      <c r="H161" s="1406"/>
      <c r="I161" s="1406"/>
      <c r="J161" s="1406"/>
      <c r="K161" s="1406"/>
      <c r="L161" s="1406"/>
      <c r="M161" s="1406"/>
      <c r="N161" s="1406"/>
      <c r="O161" s="1406"/>
      <c r="P161" s="1406"/>
      <c r="Q161" s="1406"/>
      <c r="R161" s="1406"/>
      <c r="S161" s="1406"/>
      <c r="T161" s="1406"/>
      <c r="U161" s="1406"/>
      <c r="V161" s="1406"/>
      <c r="W161" s="1406"/>
      <c r="X161" s="1406"/>
      <c r="Y161" s="1406"/>
      <c r="Z161" s="1406"/>
      <c r="AA161" s="1406"/>
    </row>
    <row r="162" spans="1:27">
      <c r="A162" s="1406"/>
      <c r="B162" s="1406"/>
      <c r="C162" s="1406"/>
      <c r="D162" s="1406"/>
      <c r="E162" s="1406"/>
      <c r="F162" s="1406"/>
      <c r="G162" s="1406"/>
      <c r="H162" s="1406"/>
      <c r="I162" s="1406"/>
      <c r="J162" s="1406"/>
      <c r="K162" s="1406"/>
      <c r="L162" s="1406"/>
      <c r="M162" s="1406"/>
      <c r="N162" s="1406"/>
      <c r="O162" s="1406"/>
      <c r="P162" s="1406"/>
      <c r="Q162" s="1406"/>
      <c r="R162" s="1406"/>
      <c r="S162" s="1406"/>
      <c r="T162" s="1406"/>
      <c r="U162" s="1406"/>
      <c r="V162" s="1406"/>
      <c r="W162" s="1406"/>
      <c r="X162" s="1406"/>
      <c r="Y162" s="1406"/>
      <c r="Z162" s="1406"/>
      <c r="AA162" s="1406"/>
    </row>
    <row r="163" spans="1:27">
      <c r="A163" s="1406"/>
      <c r="B163" s="1406"/>
      <c r="C163" s="1406"/>
      <c r="D163" s="1406"/>
      <c r="E163" s="1406"/>
      <c r="F163" s="1406"/>
      <c r="G163" s="1406"/>
      <c r="H163" s="1406"/>
      <c r="I163" s="1406"/>
      <c r="J163" s="1406"/>
      <c r="K163" s="1406"/>
      <c r="L163" s="1406"/>
      <c r="M163" s="1406"/>
      <c r="N163" s="1406"/>
      <c r="O163" s="1406"/>
      <c r="P163" s="1406"/>
      <c r="Q163" s="1406"/>
      <c r="R163" s="1406"/>
      <c r="S163" s="1406"/>
      <c r="T163" s="1406"/>
      <c r="U163" s="1406"/>
      <c r="V163" s="1406"/>
      <c r="W163" s="1406"/>
      <c r="X163" s="1406"/>
      <c r="Y163" s="1406"/>
      <c r="Z163" s="1406"/>
      <c r="AA163" s="1406"/>
    </row>
    <row r="164" spans="1:27">
      <c r="A164" s="1406"/>
      <c r="B164" s="1406"/>
      <c r="C164" s="1406"/>
      <c r="D164" s="1406"/>
      <c r="E164" s="1406"/>
      <c r="F164" s="1406"/>
      <c r="G164" s="1406"/>
      <c r="H164" s="1406"/>
      <c r="I164" s="1406"/>
      <c r="J164" s="1406"/>
      <c r="K164" s="1406"/>
      <c r="L164" s="1406"/>
      <c r="M164" s="1406"/>
      <c r="N164" s="1406"/>
      <c r="O164" s="1406"/>
      <c r="P164" s="1406"/>
      <c r="Q164" s="1406"/>
      <c r="R164" s="1406"/>
      <c r="S164" s="1406"/>
      <c r="T164" s="1406"/>
      <c r="U164" s="1406"/>
      <c r="V164" s="1406"/>
      <c r="W164" s="1406"/>
      <c r="X164" s="1406"/>
      <c r="Y164" s="1406"/>
      <c r="Z164" s="1406"/>
      <c r="AA164" s="1406"/>
    </row>
    <row r="165" spans="1:27">
      <c r="A165" s="1406"/>
      <c r="B165" s="1406"/>
      <c r="C165" s="1406"/>
      <c r="D165" s="1406"/>
      <c r="E165" s="1406"/>
      <c r="F165" s="1406"/>
      <c r="G165" s="1406"/>
      <c r="H165" s="1406"/>
      <c r="I165" s="1406"/>
      <c r="J165" s="1406"/>
      <c r="K165" s="1406"/>
      <c r="L165" s="1406"/>
      <c r="M165" s="1406"/>
      <c r="N165" s="1406"/>
      <c r="O165" s="1406"/>
      <c r="P165" s="1406"/>
      <c r="Q165" s="1406"/>
      <c r="R165" s="1406"/>
      <c r="S165" s="1406"/>
      <c r="T165" s="1406"/>
      <c r="U165" s="1406"/>
      <c r="V165" s="1406"/>
      <c r="W165" s="1406"/>
      <c r="X165" s="1406"/>
      <c r="Y165" s="1406"/>
      <c r="Z165" s="1406"/>
      <c r="AA165" s="1406"/>
    </row>
    <row r="166" spans="1:27">
      <c r="A166" s="1406"/>
      <c r="B166" s="1406"/>
      <c r="C166" s="1406"/>
      <c r="D166" s="1406"/>
      <c r="E166" s="1406"/>
      <c r="F166" s="1406"/>
      <c r="G166" s="1406"/>
      <c r="H166" s="1406"/>
      <c r="I166" s="1406"/>
      <c r="J166" s="1406"/>
      <c r="K166" s="1406"/>
      <c r="L166" s="1406"/>
      <c r="M166" s="1406"/>
      <c r="N166" s="1406"/>
      <c r="O166" s="1406"/>
      <c r="P166" s="1406"/>
      <c r="Q166" s="1406"/>
      <c r="R166" s="1406"/>
      <c r="S166" s="1406"/>
      <c r="T166" s="1406"/>
      <c r="U166" s="1406"/>
      <c r="V166" s="1406"/>
      <c r="W166" s="1406"/>
      <c r="X166" s="1406"/>
      <c r="Y166" s="1406"/>
      <c r="Z166" s="1406"/>
      <c r="AA166" s="1406"/>
    </row>
    <row r="167" spans="1:27">
      <c r="A167" s="1406"/>
      <c r="B167" s="1406"/>
      <c r="C167" s="1406"/>
      <c r="D167" s="1406"/>
      <c r="E167" s="1406"/>
      <c r="F167" s="1406"/>
      <c r="G167" s="1406"/>
      <c r="H167" s="1406"/>
      <c r="I167" s="1406"/>
      <c r="J167" s="1406"/>
      <c r="K167" s="1406"/>
      <c r="L167" s="1406"/>
      <c r="M167" s="1406"/>
      <c r="N167" s="1406"/>
      <c r="O167" s="1406"/>
      <c r="P167" s="1406"/>
      <c r="Q167" s="1406"/>
      <c r="R167" s="1406"/>
      <c r="S167" s="1406"/>
      <c r="T167" s="1406"/>
      <c r="U167" s="1406"/>
      <c r="V167" s="1406"/>
      <c r="W167" s="1406"/>
      <c r="X167" s="1406"/>
      <c r="Y167" s="1406"/>
      <c r="Z167" s="1406"/>
      <c r="AA167" s="1406"/>
    </row>
    <row r="168" spans="1:27">
      <c r="A168" s="1406"/>
      <c r="B168" s="1406"/>
      <c r="C168" s="1406"/>
      <c r="D168" s="1406"/>
      <c r="E168" s="1406"/>
      <c r="F168" s="1406"/>
      <c r="G168" s="1406"/>
      <c r="H168" s="1406"/>
      <c r="I168" s="1406"/>
      <c r="J168" s="1406"/>
      <c r="K168" s="1406"/>
      <c r="L168" s="1406"/>
      <c r="M168" s="1406"/>
      <c r="N168" s="1406"/>
      <c r="O168" s="1406"/>
      <c r="P168" s="1406"/>
      <c r="Q168" s="1406"/>
      <c r="R168" s="1406"/>
      <c r="S168" s="1406"/>
      <c r="T168" s="1406"/>
      <c r="U168" s="1406"/>
      <c r="V168" s="1406"/>
      <c r="W168" s="1406"/>
      <c r="X168" s="1406"/>
      <c r="Y168" s="1406"/>
      <c r="Z168" s="1406"/>
      <c r="AA168" s="1406"/>
    </row>
  </sheetData>
  <sheetProtection selectLockedCells="1" selectUnlockedCells="1"/>
  <mergeCells count="17">
    <mergeCell ref="A6:G6"/>
    <mergeCell ref="A1:G1"/>
    <mergeCell ref="A3:B4"/>
    <mergeCell ref="C3:D4"/>
    <mergeCell ref="A5:B5"/>
    <mergeCell ref="C5:D5"/>
    <mergeCell ref="C40:G40"/>
    <mergeCell ref="A7:B7"/>
    <mergeCell ref="A8:A20"/>
    <mergeCell ref="A21:B21"/>
    <mergeCell ref="A22:A34"/>
    <mergeCell ref="A35:B40"/>
    <mergeCell ref="C35:G35"/>
    <mergeCell ref="C36:G36"/>
    <mergeCell ref="C37:G37"/>
    <mergeCell ref="C38:G38"/>
    <mergeCell ref="C39:G39"/>
  </mergeCells>
  <phoneticPr fontId="135" type="noConversion"/>
  <dataValidations count="1">
    <dataValidation allowBlank="1" showErrorMessage="1" sqref="F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9"/>
  <dimension ref="A1:BC95"/>
  <sheetViews>
    <sheetView workbookViewId="0">
      <selection activeCell="E3" sqref="E3"/>
    </sheetView>
  </sheetViews>
  <sheetFormatPr defaultColWidth="9" defaultRowHeight="16.5"/>
  <cols>
    <col min="1" max="1" width="14.75" style="565" customWidth="1"/>
    <col min="2" max="2" width="10.875" style="565" customWidth="1"/>
    <col min="3" max="4" width="13.75" style="565" customWidth="1"/>
    <col min="5" max="5" width="10.875" style="565" customWidth="1"/>
    <col min="6" max="6" width="10.625" style="565" customWidth="1"/>
    <col min="7" max="7" width="13.75" style="565" customWidth="1"/>
    <col min="8" max="16384" width="9" style="565"/>
  </cols>
  <sheetData>
    <row r="1" spans="1:55" ht="25.9" customHeight="1">
      <c r="A1" s="3253" t="s">
        <v>6127</v>
      </c>
      <c r="B1" s="3254"/>
      <c r="C1" s="3254"/>
      <c r="D1" s="3254"/>
      <c r="E1" s="2754" t="str">
        <f>基本情况!$F$10</f>
        <v>厦中汇税审（2018）第DS0001号</v>
      </c>
      <c r="F1" s="2754"/>
      <c r="G1" s="2754"/>
      <c r="H1" s="958"/>
      <c r="I1" s="958"/>
      <c r="J1" s="958"/>
      <c r="K1" s="958"/>
      <c r="L1" s="958"/>
      <c r="M1" s="958"/>
      <c r="N1" s="1406"/>
      <c r="O1" s="1406"/>
      <c r="P1" s="1406"/>
      <c r="Q1" s="1406"/>
      <c r="R1" s="1406"/>
      <c r="S1" s="1406"/>
      <c r="T1" s="1406"/>
      <c r="U1" s="1406"/>
      <c r="V1" s="1406"/>
      <c r="W1" s="1406"/>
      <c r="X1" s="1406"/>
      <c r="Y1" s="1406"/>
      <c r="Z1" s="1406"/>
      <c r="AA1" s="1406"/>
      <c r="AB1" s="1406"/>
      <c r="AC1" s="1406"/>
      <c r="AD1" s="1406"/>
      <c r="AE1" s="1406"/>
      <c r="AF1" s="1406"/>
      <c r="AG1" s="1406"/>
      <c r="AH1" s="1406"/>
      <c r="AI1" s="1406"/>
      <c r="AJ1" s="1406"/>
      <c r="AK1" s="1406"/>
      <c r="AL1" s="1406"/>
      <c r="AM1" s="1406"/>
      <c r="AN1" s="1406"/>
      <c r="AO1" s="1406"/>
      <c r="AP1" s="1406"/>
      <c r="AQ1" s="1406"/>
      <c r="AR1" s="1406"/>
      <c r="AS1" s="1406"/>
      <c r="AT1" s="1406"/>
      <c r="AU1" s="1406"/>
      <c r="AV1" s="1406"/>
      <c r="AW1" s="1406"/>
      <c r="AX1" s="1406"/>
      <c r="AY1" s="1406"/>
      <c r="AZ1" s="1406"/>
      <c r="BA1" s="1406"/>
      <c r="BB1" s="1406"/>
      <c r="BC1" s="1406"/>
    </row>
    <row r="2" spans="1:55" ht="37.15" customHeight="1">
      <c r="A2" s="3255"/>
      <c r="B2" s="3255"/>
      <c r="C2" s="3255"/>
      <c r="D2" s="3255"/>
      <c r="E2" s="2949" t="str">
        <f>"底稿编号："&amp;开始!J8</f>
        <v>底稿编号：GL-06</v>
      </c>
      <c r="F2" s="2949"/>
      <c r="G2" s="2949"/>
      <c r="H2" s="958"/>
      <c r="I2" s="958"/>
      <c r="J2" s="958"/>
      <c r="K2" s="958"/>
      <c r="L2" s="958"/>
      <c r="M2" s="958"/>
      <c r="N2" s="1406"/>
      <c r="O2" s="1406"/>
      <c r="P2" s="1406"/>
      <c r="Q2" s="1406"/>
      <c r="R2" s="1406"/>
      <c r="S2" s="1406"/>
      <c r="T2" s="1406"/>
      <c r="U2" s="1406"/>
      <c r="V2" s="1406"/>
      <c r="W2" s="1406"/>
      <c r="X2" s="1406"/>
      <c r="Y2" s="1406"/>
      <c r="Z2" s="1406"/>
      <c r="AA2" s="1406"/>
      <c r="AB2" s="1406"/>
      <c r="AC2" s="1406"/>
      <c r="AD2" s="1406"/>
      <c r="AE2" s="1406"/>
      <c r="AF2" s="1406"/>
      <c r="AG2" s="1406"/>
      <c r="AH2" s="1406"/>
      <c r="AI2" s="1406"/>
      <c r="AJ2" s="1406"/>
      <c r="AK2" s="1406"/>
      <c r="AL2" s="1406"/>
      <c r="AM2" s="1406"/>
      <c r="AN2" s="1406"/>
      <c r="AO2" s="1406"/>
      <c r="AP2" s="1406"/>
      <c r="AQ2" s="1406"/>
      <c r="AR2" s="1406"/>
      <c r="AS2" s="1406"/>
      <c r="AT2" s="1406"/>
      <c r="AU2" s="1406"/>
      <c r="AV2" s="1406"/>
      <c r="AW2" s="1406"/>
      <c r="AX2" s="1406"/>
      <c r="AY2" s="1406"/>
      <c r="AZ2" s="1406"/>
      <c r="BA2" s="1406"/>
      <c r="BB2" s="1406"/>
      <c r="BC2" s="1406"/>
    </row>
    <row r="3" spans="1:55" ht="15.2" customHeight="1">
      <c r="A3" s="3240" t="s">
        <v>4510</v>
      </c>
      <c r="B3" s="3250" t="str">
        <f>基本情况!$C$3</f>
        <v/>
      </c>
      <c r="C3" s="3250"/>
      <c r="D3" s="3250"/>
      <c r="E3" s="571"/>
      <c r="F3" s="571" t="s">
        <v>4574</v>
      </c>
      <c r="G3" s="614" t="s">
        <v>4575</v>
      </c>
      <c r="H3" s="958"/>
      <c r="I3" s="958"/>
      <c r="J3" s="958"/>
      <c r="K3" s="958"/>
      <c r="L3" s="958"/>
      <c r="M3" s="958"/>
      <c r="N3" s="1406"/>
      <c r="O3" s="1406"/>
      <c r="P3" s="1406"/>
      <c r="Q3" s="1406"/>
      <c r="R3" s="1406"/>
      <c r="S3" s="1406"/>
      <c r="T3" s="1406"/>
      <c r="U3" s="1406"/>
      <c r="V3" s="1406"/>
      <c r="W3" s="1406"/>
      <c r="X3" s="1406"/>
      <c r="Y3" s="1406"/>
      <c r="Z3" s="1406"/>
      <c r="AA3" s="1406"/>
      <c r="AB3" s="1406"/>
      <c r="AC3" s="1406"/>
      <c r="AD3" s="1406"/>
      <c r="AE3" s="1406"/>
      <c r="AF3" s="1406"/>
      <c r="AG3" s="1406"/>
      <c r="AH3" s="1406"/>
      <c r="AI3" s="1406"/>
      <c r="AJ3" s="1406"/>
      <c r="AK3" s="1406"/>
      <c r="AL3" s="1406"/>
      <c r="AM3" s="1406"/>
      <c r="AN3" s="1406"/>
      <c r="AO3" s="1406"/>
      <c r="AP3" s="1406"/>
      <c r="AQ3" s="1406"/>
      <c r="AR3" s="1406"/>
      <c r="AS3" s="1406"/>
      <c r="AT3" s="1406"/>
      <c r="AU3" s="1406"/>
      <c r="AV3" s="1406"/>
      <c r="AW3" s="1406"/>
      <c r="AX3" s="1406"/>
      <c r="AY3" s="1406"/>
      <c r="AZ3" s="1406"/>
      <c r="BA3" s="1406"/>
      <c r="BB3" s="1406"/>
      <c r="BC3" s="1406"/>
    </row>
    <row r="4" spans="1:55" ht="14.25" customHeight="1">
      <c r="A4" s="3240"/>
      <c r="B4" s="3250"/>
      <c r="C4" s="3250"/>
      <c r="D4" s="3250"/>
      <c r="E4" s="616" t="s">
        <v>4407</v>
      </c>
      <c r="F4" s="617" t="str">
        <f>基本情况!$F$19&amp;""</f>
        <v/>
      </c>
      <c r="G4" s="726" t="str">
        <f>TEXT(基本情况!$F$27,"yyyy-mm-dd")</f>
        <v>2018-03-16</v>
      </c>
      <c r="H4" s="958"/>
      <c r="I4" s="958"/>
      <c r="J4" s="958"/>
      <c r="K4" s="958"/>
      <c r="L4" s="958"/>
      <c r="M4" s="958"/>
      <c r="N4" s="1406"/>
      <c r="O4" s="1406"/>
      <c r="P4" s="1406"/>
      <c r="Q4" s="1406"/>
      <c r="R4" s="1406"/>
      <c r="S4" s="1406"/>
      <c r="T4" s="1406"/>
      <c r="U4" s="1406"/>
      <c r="V4" s="1406"/>
      <c r="W4" s="1406"/>
      <c r="X4" s="1406"/>
      <c r="Y4" s="1406"/>
      <c r="Z4" s="1406"/>
      <c r="AA4" s="1406"/>
      <c r="AB4" s="1406"/>
      <c r="AC4" s="1406"/>
      <c r="AD4" s="1406"/>
      <c r="AE4" s="1406"/>
      <c r="AF4" s="1406"/>
      <c r="AG4" s="1406"/>
      <c r="AH4" s="1406"/>
      <c r="AI4" s="1406"/>
      <c r="AJ4" s="1406"/>
      <c r="AK4" s="1406"/>
      <c r="AL4" s="1406"/>
      <c r="AM4" s="1406"/>
      <c r="AN4" s="1406"/>
      <c r="AO4" s="1406"/>
      <c r="AP4" s="1406"/>
      <c r="AQ4" s="1406"/>
      <c r="AR4" s="1406"/>
      <c r="AS4" s="1406"/>
      <c r="AT4" s="1406"/>
      <c r="AU4" s="1406"/>
      <c r="AV4" s="1406"/>
      <c r="AW4" s="1406"/>
      <c r="AX4" s="1406"/>
      <c r="AY4" s="1406"/>
      <c r="AZ4" s="1406"/>
      <c r="BA4" s="1406"/>
      <c r="BB4" s="1406"/>
      <c r="BC4" s="1406"/>
    </row>
    <row r="5" spans="1:55" ht="14.25" customHeight="1">
      <c r="A5" s="625" t="s">
        <v>4512</v>
      </c>
      <c r="B5" s="3256" t="str">
        <f>基本情况!$F$9</f>
        <v>2017年01月01日至2017年12月31日</v>
      </c>
      <c r="C5" s="3256"/>
      <c r="D5" s="3256"/>
      <c r="E5" s="566" t="s">
        <v>4410</v>
      </c>
      <c r="F5" s="567" t="str">
        <f>基本情况!$F$18&amp;""</f>
        <v/>
      </c>
      <c r="G5" s="1669" t="str">
        <f>TEXT(基本情况!$F$28,"yyyy-mm-dd")</f>
        <v>2018-05-04</v>
      </c>
      <c r="H5" s="1658"/>
      <c r="I5" s="958"/>
      <c r="J5" s="958"/>
      <c r="K5" s="958"/>
      <c r="L5" s="958"/>
      <c r="M5" s="958"/>
      <c r="N5" s="1406"/>
      <c r="O5" s="1406"/>
      <c r="P5" s="1406"/>
      <c r="Q5" s="1406"/>
      <c r="R5" s="1406"/>
      <c r="S5" s="1406"/>
      <c r="T5" s="1406"/>
      <c r="U5" s="1406"/>
      <c r="V5" s="1406"/>
      <c r="W5" s="1406"/>
      <c r="X5" s="1406"/>
      <c r="Y5" s="1406"/>
      <c r="Z5" s="1406"/>
      <c r="AA5" s="1406"/>
      <c r="AB5" s="1406"/>
      <c r="AC5" s="1406"/>
      <c r="AD5" s="1406"/>
      <c r="AE5" s="1406"/>
      <c r="AF5" s="1406"/>
      <c r="AG5" s="1406"/>
      <c r="AH5" s="1406"/>
      <c r="AI5" s="1406"/>
      <c r="AJ5" s="1406"/>
      <c r="AK5" s="1406"/>
      <c r="AL5" s="1406"/>
      <c r="AM5" s="1406"/>
      <c r="AN5" s="1406"/>
      <c r="AO5" s="1406"/>
      <c r="AP5" s="1406"/>
      <c r="AQ5" s="1406"/>
      <c r="AR5" s="1406"/>
      <c r="AS5" s="1406"/>
      <c r="AT5" s="1406"/>
      <c r="AU5" s="1406"/>
      <c r="AV5" s="1406"/>
      <c r="AW5" s="1658" t="s">
        <v>1724</v>
      </c>
      <c r="AX5" s="1406"/>
      <c r="AY5" s="1406"/>
      <c r="AZ5" s="1406"/>
      <c r="BA5" s="1406"/>
      <c r="BB5" s="1406"/>
      <c r="BC5" s="1406"/>
    </row>
    <row r="6" spans="1:55" ht="7.5" customHeight="1">
      <c r="A6" s="2699"/>
      <c r="B6" s="2699"/>
      <c r="C6" s="2699"/>
      <c r="D6" s="2699"/>
      <c r="E6" s="2699"/>
      <c r="F6" s="2699"/>
      <c r="G6" s="2699"/>
      <c r="H6" s="958"/>
      <c r="I6" s="958"/>
      <c r="J6" s="958"/>
      <c r="K6" s="958"/>
      <c r="L6" s="958"/>
      <c r="M6" s="958"/>
      <c r="N6" s="1406"/>
      <c r="O6" s="1406"/>
      <c r="P6" s="1406"/>
      <c r="Q6" s="1406"/>
      <c r="R6" s="1406"/>
      <c r="S6" s="1406"/>
      <c r="T6" s="1406"/>
      <c r="U6" s="1406"/>
      <c r="V6" s="1406"/>
      <c r="W6" s="1406"/>
      <c r="X6" s="1406"/>
      <c r="Y6" s="1406"/>
      <c r="Z6" s="1406"/>
      <c r="AA6" s="1406"/>
      <c r="AB6" s="1406"/>
      <c r="AC6" s="1406"/>
      <c r="AD6" s="1406"/>
      <c r="AE6" s="1406"/>
      <c r="AF6" s="1406"/>
      <c r="AG6" s="1406"/>
      <c r="AH6" s="1406"/>
      <c r="AI6" s="1406"/>
      <c r="AJ6" s="1406"/>
      <c r="AK6" s="1406"/>
      <c r="AL6" s="1406"/>
      <c r="AM6" s="1406"/>
      <c r="AN6" s="1406"/>
      <c r="AO6" s="1406"/>
      <c r="AP6" s="1406"/>
      <c r="AQ6" s="1406"/>
      <c r="AR6" s="1406"/>
      <c r="AS6" s="1406"/>
      <c r="AT6" s="1406"/>
      <c r="AU6" s="1406"/>
      <c r="AV6" s="1406"/>
      <c r="AW6" s="1406"/>
      <c r="AX6" s="1406"/>
      <c r="AY6" s="1406"/>
      <c r="AZ6" s="1406"/>
      <c r="BA6" s="1406"/>
      <c r="BB6" s="1406"/>
      <c r="BC6" s="1406"/>
    </row>
    <row r="7" spans="1:55">
      <c r="A7" s="620" t="s">
        <v>750</v>
      </c>
      <c r="B7" s="569" t="s">
        <v>4475</v>
      </c>
      <c r="C7" s="730" t="s">
        <v>5644</v>
      </c>
      <c r="D7" s="730" t="s">
        <v>5645</v>
      </c>
      <c r="E7" s="730" t="s">
        <v>4478</v>
      </c>
      <c r="F7" s="730" t="s">
        <v>4414</v>
      </c>
      <c r="G7" s="717" t="s">
        <v>4415</v>
      </c>
      <c r="H7" s="1658" t="s">
        <v>1724</v>
      </c>
      <c r="I7" s="958"/>
      <c r="J7" s="958"/>
      <c r="K7" s="958"/>
      <c r="L7" s="958"/>
      <c r="M7" s="958"/>
      <c r="N7" s="1406"/>
      <c r="O7" s="1406"/>
      <c r="P7" s="1406"/>
      <c r="Q7" s="1406"/>
      <c r="R7" s="1406"/>
      <c r="S7" s="1406"/>
      <c r="T7" s="1406"/>
      <c r="U7" s="1406"/>
      <c r="V7" s="1406"/>
      <c r="W7" s="1406"/>
      <c r="X7" s="1406"/>
      <c r="Y7" s="1406"/>
      <c r="Z7" s="1406"/>
      <c r="AA7" s="1406"/>
      <c r="AB7" s="1406"/>
      <c r="AC7" s="1406"/>
      <c r="AD7" s="1406"/>
      <c r="AE7" s="1406"/>
      <c r="AF7" s="1406"/>
      <c r="AG7" s="1406"/>
      <c r="AH7" s="1406"/>
      <c r="AI7" s="1406"/>
      <c r="AJ7" s="1406"/>
      <c r="AK7" s="1406"/>
      <c r="AL7" s="1406"/>
      <c r="AM7" s="1406"/>
      <c r="AN7" s="1406"/>
      <c r="AO7" s="1406"/>
      <c r="AP7" s="1406"/>
      <c r="AQ7" s="1406"/>
      <c r="AR7" s="1406"/>
      <c r="AS7" s="1406"/>
      <c r="AT7" s="1406"/>
      <c r="AU7" s="1406"/>
      <c r="AV7" s="1406"/>
      <c r="AW7" s="1406"/>
      <c r="AX7" s="1406"/>
      <c r="AY7" s="1406"/>
      <c r="AZ7" s="1406"/>
      <c r="BA7" s="1406"/>
      <c r="BB7" s="1406"/>
      <c r="BC7" s="1406"/>
    </row>
    <row r="8" spans="1:55" ht="14.25" customHeight="1">
      <c r="A8" s="1670" t="s">
        <v>4346</v>
      </c>
      <c r="B8" s="1419">
        <f>B9+B13</f>
        <v>0</v>
      </c>
      <c r="C8" s="1419">
        <f>C9+C13</f>
        <v>0</v>
      </c>
      <c r="D8" s="1419">
        <f>D9+D13</f>
        <v>0</v>
      </c>
      <c r="E8" s="1419">
        <f>B8+C8-D8</f>
        <v>0</v>
      </c>
      <c r="F8" s="1419">
        <f>F9+F13</f>
        <v>0</v>
      </c>
      <c r="G8" s="1492">
        <f>E8+F8</f>
        <v>0</v>
      </c>
      <c r="H8" s="958"/>
      <c r="I8" s="958"/>
      <c r="J8" s="958"/>
      <c r="K8" s="958"/>
      <c r="L8" s="958"/>
      <c r="M8" s="958"/>
      <c r="N8" s="1406"/>
      <c r="O8" s="1406"/>
      <c r="P8" s="1406"/>
      <c r="Q8" s="1406"/>
      <c r="R8" s="1406"/>
      <c r="S8" s="1406"/>
      <c r="T8" s="1406"/>
      <c r="U8" s="1406"/>
      <c r="V8" s="1406"/>
      <c r="W8" s="1406"/>
      <c r="X8" s="1406"/>
      <c r="Y8" s="1406"/>
      <c r="Z8" s="1406"/>
      <c r="AA8" s="1406"/>
      <c r="AB8" s="1406"/>
      <c r="AC8" s="1406"/>
      <c r="AD8" s="1406"/>
      <c r="AE8" s="1406"/>
      <c r="AF8" s="1406"/>
      <c r="AG8" s="1406"/>
      <c r="AH8" s="1406"/>
      <c r="AI8" s="1406"/>
      <c r="AJ8" s="1406"/>
      <c r="AK8" s="1406"/>
      <c r="AL8" s="1406"/>
      <c r="AM8" s="1406"/>
      <c r="AN8" s="1406"/>
      <c r="AO8" s="1406"/>
      <c r="AP8" s="1406"/>
      <c r="AQ8" s="1406"/>
      <c r="AR8" s="1406"/>
      <c r="AS8" s="1406"/>
      <c r="AT8" s="1406"/>
      <c r="AU8" s="1406"/>
      <c r="AV8" s="1406"/>
      <c r="AW8" s="1406"/>
      <c r="AX8" s="1406"/>
      <c r="AY8" s="1406"/>
      <c r="AZ8" s="1406"/>
      <c r="BA8" s="1406"/>
      <c r="BB8" s="1406"/>
      <c r="BC8" s="1406"/>
    </row>
    <row r="9" spans="1:55">
      <c r="A9" s="2043" t="s">
        <v>5646</v>
      </c>
      <c r="B9" s="721">
        <f>SUM(B10:B12)</f>
        <v>0</v>
      </c>
      <c r="C9" s="721">
        <f>SUM(C10:C12)</f>
        <v>0</v>
      </c>
      <c r="D9" s="721">
        <f>SUM(D10:D12)</f>
        <v>0</v>
      </c>
      <c r="E9" s="721">
        <f t="shared" ref="E9:E40" si="0">B9+C9-D9</f>
        <v>0</v>
      </c>
      <c r="F9" s="721">
        <f>SUM(F10:F12)</f>
        <v>0</v>
      </c>
      <c r="G9" s="1401">
        <f>E9+F9</f>
        <v>0</v>
      </c>
      <c r="H9" s="958"/>
      <c r="I9" s="958"/>
      <c r="J9" s="1672"/>
      <c r="K9" s="958"/>
      <c r="L9" s="958"/>
      <c r="M9" s="958"/>
      <c r="N9" s="1406"/>
      <c r="O9" s="1406"/>
      <c r="P9" s="1406"/>
      <c r="Q9" s="1406"/>
      <c r="R9" s="1406"/>
      <c r="S9" s="1406"/>
      <c r="T9" s="1406"/>
      <c r="U9" s="1406"/>
      <c r="V9" s="1406"/>
      <c r="W9" s="1406"/>
      <c r="X9" s="1406"/>
      <c r="Y9" s="1406"/>
      <c r="Z9" s="1406"/>
      <c r="AA9" s="1406"/>
      <c r="AB9" s="1406"/>
      <c r="AC9" s="1406"/>
      <c r="AD9" s="1406"/>
      <c r="AE9" s="1406"/>
      <c r="AF9" s="1406"/>
      <c r="AG9" s="1406"/>
      <c r="AH9" s="1406"/>
      <c r="AI9" s="1406"/>
      <c r="AJ9" s="1406"/>
      <c r="AK9" s="1406"/>
      <c r="AL9" s="1406"/>
      <c r="AM9" s="1406"/>
      <c r="AN9" s="1406"/>
      <c r="AO9" s="1406"/>
      <c r="AP9" s="1406"/>
      <c r="AQ9" s="1406"/>
      <c r="AR9" s="1406"/>
      <c r="AS9" s="1406"/>
      <c r="AT9" s="1406"/>
      <c r="AU9" s="1406"/>
      <c r="AV9" s="1406"/>
      <c r="AW9" s="1406"/>
      <c r="AX9" s="1406"/>
      <c r="AY9" s="1406"/>
      <c r="AZ9" s="1406"/>
      <c r="BA9" s="1406"/>
      <c r="BB9" s="1406"/>
      <c r="BC9" s="1406"/>
    </row>
    <row r="10" spans="1:55">
      <c r="A10" s="2044" t="s">
        <v>5647</v>
      </c>
      <c r="B10" s="1200"/>
      <c r="C10" s="638"/>
      <c r="D10" s="638"/>
      <c r="E10" s="721">
        <f t="shared" si="0"/>
        <v>0</v>
      </c>
      <c r="F10" s="638"/>
      <c r="G10" s="1401">
        <f t="shared" ref="G10:G40" si="1">E10+F10</f>
        <v>0</v>
      </c>
      <c r="H10" s="1673" t="s">
        <v>5648</v>
      </c>
      <c r="I10" s="958"/>
      <c r="J10" s="958"/>
      <c r="K10" s="958"/>
      <c r="L10" s="958"/>
      <c r="M10" s="958"/>
      <c r="N10" s="1406"/>
      <c r="O10" s="1406"/>
      <c r="P10" s="1406"/>
      <c r="Q10" s="1406"/>
      <c r="R10" s="1406"/>
      <c r="S10" s="1406"/>
      <c r="T10" s="1406"/>
      <c r="U10" s="1406"/>
      <c r="V10" s="1406"/>
      <c r="W10" s="1406"/>
      <c r="X10" s="1406"/>
      <c r="Y10" s="1406"/>
      <c r="Z10" s="1406"/>
      <c r="AA10" s="1406"/>
      <c r="AB10" s="1406"/>
      <c r="AC10" s="1406"/>
      <c r="AD10" s="1406"/>
      <c r="AE10" s="1406"/>
      <c r="AF10" s="1406"/>
      <c r="AG10" s="1406"/>
      <c r="AH10" s="1406"/>
      <c r="AI10" s="1406"/>
      <c r="AJ10" s="1406"/>
      <c r="AK10" s="1406"/>
      <c r="AL10" s="1406"/>
      <c r="AM10" s="1406"/>
      <c r="AN10" s="1406"/>
      <c r="AO10" s="1406"/>
      <c r="AP10" s="1406"/>
      <c r="AQ10" s="1406"/>
      <c r="AR10" s="1406"/>
      <c r="AS10" s="1406"/>
      <c r="AT10" s="1406"/>
      <c r="AU10" s="1406"/>
      <c r="AV10" s="1406"/>
      <c r="AW10" s="1406"/>
      <c r="AX10" s="1406"/>
      <c r="AY10" s="1406"/>
      <c r="AZ10" s="1406"/>
      <c r="BA10" s="1406"/>
      <c r="BB10" s="1406"/>
      <c r="BC10" s="1406"/>
    </row>
    <row r="11" spans="1:55">
      <c r="A11" s="1671" t="s">
        <v>5649</v>
      </c>
      <c r="B11" s="1200"/>
      <c r="C11" s="638"/>
      <c r="D11" s="638"/>
      <c r="E11" s="721">
        <f t="shared" si="0"/>
        <v>0</v>
      </c>
      <c r="F11" s="638"/>
      <c r="G11" s="1401">
        <f t="shared" si="1"/>
        <v>0</v>
      </c>
      <c r="H11" s="958"/>
      <c r="I11" s="958"/>
      <c r="J11" s="958"/>
      <c r="K11" s="958"/>
      <c r="L11" s="958"/>
      <c r="M11" s="958"/>
      <c r="N11" s="1406"/>
      <c r="O11" s="1406"/>
      <c r="P11" s="1406"/>
      <c r="Q11" s="1406"/>
      <c r="R11" s="1406"/>
      <c r="S11" s="1406"/>
      <c r="T11" s="1406"/>
      <c r="U11" s="1406"/>
      <c r="V11" s="1406"/>
      <c r="W11" s="1406"/>
      <c r="X11" s="1406"/>
      <c r="Y11" s="1406"/>
      <c r="Z11" s="1406"/>
      <c r="AA11" s="1406"/>
      <c r="AB11" s="1406"/>
      <c r="AC11" s="1406"/>
      <c r="AD11" s="1406"/>
      <c r="AE11" s="1406"/>
      <c r="AF11" s="1406"/>
      <c r="AG11" s="1406"/>
      <c r="AH11" s="1406"/>
      <c r="AI11" s="1406"/>
      <c r="AJ11" s="1406"/>
      <c r="AK11" s="1406"/>
      <c r="AL11" s="1406"/>
      <c r="AM11" s="1406"/>
      <c r="AN11" s="1406"/>
      <c r="AO11" s="1406"/>
      <c r="AP11" s="1406"/>
      <c r="AQ11" s="1406"/>
      <c r="AR11" s="1406"/>
      <c r="AS11" s="1406"/>
      <c r="AT11" s="1406"/>
      <c r="AU11" s="1406"/>
      <c r="AV11" s="1406"/>
      <c r="AW11" s="1406"/>
      <c r="AX11" s="1406"/>
      <c r="AY11" s="1406"/>
      <c r="AZ11" s="1406"/>
      <c r="BA11" s="1406"/>
      <c r="BB11" s="1406"/>
      <c r="BC11" s="1406"/>
    </row>
    <row r="12" spans="1:55">
      <c r="A12" s="1346" t="s">
        <v>5650</v>
      </c>
      <c r="B12" s="1200"/>
      <c r="C12" s="638"/>
      <c r="D12" s="638"/>
      <c r="E12" s="721">
        <f t="shared" si="0"/>
        <v>0</v>
      </c>
      <c r="F12" s="638"/>
      <c r="G12" s="1401">
        <f t="shared" si="1"/>
        <v>0</v>
      </c>
      <c r="H12" s="1673" t="s">
        <v>5079</v>
      </c>
      <c r="I12" s="958"/>
      <c r="J12" s="958"/>
      <c r="K12" s="958"/>
      <c r="L12" s="958"/>
      <c r="M12" s="958"/>
      <c r="N12" s="1406"/>
      <c r="O12" s="1406"/>
      <c r="P12" s="1406"/>
      <c r="Q12" s="1406"/>
      <c r="R12" s="1406"/>
      <c r="S12" s="1406"/>
      <c r="T12" s="1406"/>
      <c r="U12" s="1406"/>
      <c r="V12" s="1406"/>
      <c r="W12" s="1406"/>
      <c r="X12" s="1406"/>
      <c r="Y12" s="1406"/>
      <c r="Z12" s="1406"/>
      <c r="AA12" s="1406"/>
      <c r="AB12" s="1406"/>
      <c r="AC12" s="1406"/>
      <c r="AD12" s="1406"/>
      <c r="AE12" s="1406"/>
      <c r="AF12" s="1406"/>
      <c r="AG12" s="1406"/>
      <c r="AH12" s="1406"/>
      <c r="AI12" s="1406"/>
      <c r="AJ12" s="1406"/>
      <c r="AK12" s="1406"/>
      <c r="AL12" s="1406"/>
      <c r="AM12" s="1406"/>
      <c r="AN12" s="1406"/>
      <c r="AO12" s="1406"/>
      <c r="AP12" s="1406"/>
      <c r="AQ12" s="1406"/>
      <c r="AR12" s="1406"/>
      <c r="AS12" s="1406"/>
      <c r="AT12" s="1406"/>
      <c r="AU12" s="1406"/>
      <c r="AV12" s="1406"/>
      <c r="AW12" s="1406"/>
      <c r="AX12" s="1406"/>
      <c r="AY12" s="1406"/>
      <c r="AZ12" s="1406"/>
      <c r="BA12" s="1406"/>
      <c r="BB12" s="1406"/>
      <c r="BC12" s="1406"/>
    </row>
    <row r="13" spans="1:55">
      <c r="A13" s="1671" t="s">
        <v>5651</v>
      </c>
      <c r="B13" s="721">
        <f>SUM(B14:B16)</f>
        <v>0</v>
      </c>
      <c r="C13" s="721">
        <f>SUM(C14:C16)</f>
        <v>0</v>
      </c>
      <c r="D13" s="721">
        <f>SUM(D14:D16)</f>
        <v>0</v>
      </c>
      <c r="E13" s="721">
        <f t="shared" si="0"/>
        <v>0</v>
      </c>
      <c r="F13" s="721">
        <f>SUM(F14:F16)</f>
        <v>0</v>
      </c>
      <c r="G13" s="1401">
        <f t="shared" si="1"/>
        <v>0</v>
      </c>
      <c r="H13" s="958"/>
      <c r="I13" s="958"/>
      <c r="J13" s="958"/>
      <c r="K13" s="958"/>
      <c r="L13" s="958"/>
      <c r="M13" s="958"/>
      <c r="N13" s="1406"/>
      <c r="O13" s="1406"/>
      <c r="P13" s="1406"/>
      <c r="Q13" s="1406"/>
      <c r="R13" s="1406"/>
      <c r="S13" s="1406"/>
      <c r="T13" s="1406"/>
      <c r="U13" s="1406"/>
      <c r="V13" s="1406"/>
      <c r="W13" s="1406"/>
      <c r="X13" s="1406"/>
      <c r="Y13" s="1406"/>
      <c r="Z13" s="1406"/>
      <c r="AA13" s="1406"/>
      <c r="AB13" s="1406"/>
      <c r="AC13" s="1406"/>
      <c r="AD13" s="1406"/>
      <c r="AE13" s="1406"/>
      <c r="AF13" s="1406"/>
      <c r="AG13" s="1406"/>
      <c r="AH13" s="1406"/>
      <c r="AI13" s="1406"/>
      <c r="AJ13" s="1406"/>
      <c r="AK13" s="1406"/>
      <c r="AL13" s="1406"/>
      <c r="AM13" s="1406"/>
      <c r="AN13" s="1406"/>
      <c r="AO13" s="1406"/>
      <c r="AP13" s="1406"/>
      <c r="AQ13" s="1406"/>
      <c r="AR13" s="1406"/>
      <c r="AS13" s="1406"/>
      <c r="AT13" s="1406"/>
      <c r="AU13" s="1406"/>
      <c r="AV13" s="1406"/>
      <c r="AW13" s="1406"/>
      <c r="AX13" s="1406"/>
      <c r="AY13" s="1406"/>
      <c r="AZ13" s="1406"/>
      <c r="BA13" s="1406"/>
      <c r="BB13" s="1406"/>
      <c r="BC13" s="1406"/>
    </row>
    <row r="14" spans="1:55">
      <c r="A14" s="1671" t="s">
        <v>5652</v>
      </c>
      <c r="B14" s="1200"/>
      <c r="C14" s="638"/>
      <c r="D14" s="638"/>
      <c r="E14" s="721">
        <f t="shared" si="0"/>
        <v>0</v>
      </c>
      <c r="F14" s="638"/>
      <c r="G14" s="1401">
        <f t="shared" si="1"/>
        <v>0</v>
      </c>
      <c r="H14" s="1673" t="s">
        <v>5653</v>
      </c>
      <c r="I14" s="958"/>
      <c r="J14" s="958"/>
      <c r="K14" s="958"/>
      <c r="L14" s="958"/>
      <c r="M14" s="958"/>
      <c r="N14" s="1406"/>
      <c r="O14" s="1406"/>
      <c r="P14" s="1406"/>
      <c r="Q14" s="1406"/>
      <c r="R14" s="1406"/>
      <c r="S14" s="1406"/>
      <c r="T14" s="1406"/>
      <c r="U14" s="1406"/>
      <c r="V14" s="1406"/>
      <c r="W14" s="1406"/>
      <c r="X14" s="1406"/>
      <c r="Y14" s="1406"/>
      <c r="Z14" s="1406"/>
      <c r="AA14" s="1406"/>
      <c r="AB14" s="1406"/>
      <c r="AC14" s="1406"/>
      <c r="AD14" s="1406"/>
      <c r="AE14" s="1406"/>
      <c r="AF14" s="1406"/>
      <c r="AG14" s="1406"/>
      <c r="AH14" s="1406"/>
      <c r="AI14" s="1406"/>
      <c r="AJ14" s="1406"/>
      <c r="AK14" s="1406"/>
      <c r="AL14" s="1406"/>
      <c r="AM14" s="1406"/>
      <c r="AN14" s="1406"/>
      <c r="AO14" s="1406"/>
      <c r="AP14" s="1406"/>
      <c r="AQ14" s="1406"/>
      <c r="AR14" s="1406"/>
      <c r="AS14" s="1406"/>
      <c r="AT14" s="1406"/>
      <c r="AU14" s="1406"/>
      <c r="AV14" s="1406"/>
      <c r="AW14" s="1406"/>
      <c r="AX14" s="1406"/>
      <c r="AY14" s="1406"/>
      <c r="AZ14" s="1406"/>
      <c r="BA14" s="1406"/>
      <c r="BB14" s="1406"/>
      <c r="BC14" s="1406"/>
    </row>
    <row r="15" spans="1:55">
      <c r="A15" s="1671" t="s">
        <v>5654</v>
      </c>
      <c r="B15" s="1200"/>
      <c r="C15" s="638"/>
      <c r="D15" s="638"/>
      <c r="E15" s="721">
        <f t="shared" si="0"/>
        <v>0</v>
      </c>
      <c r="F15" s="638"/>
      <c r="G15" s="1401">
        <f t="shared" si="1"/>
        <v>0</v>
      </c>
      <c r="H15" s="958"/>
      <c r="I15" s="958"/>
      <c r="J15" s="958"/>
      <c r="K15" s="958"/>
      <c r="L15" s="958"/>
      <c r="M15" s="958"/>
      <c r="N15" s="1406"/>
      <c r="O15" s="1406"/>
      <c r="P15" s="1406"/>
      <c r="Q15" s="1406"/>
      <c r="R15" s="1406"/>
      <c r="S15" s="1406"/>
      <c r="T15" s="1406"/>
      <c r="U15" s="1406"/>
      <c r="V15" s="1406"/>
      <c r="W15" s="1406"/>
      <c r="X15" s="1406"/>
      <c r="Y15" s="1406"/>
      <c r="Z15" s="1406"/>
      <c r="AA15" s="1406"/>
      <c r="AB15" s="1406"/>
      <c r="AC15" s="1406"/>
      <c r="AD15" s="1406"/>
      <c r="AE15" s="1406"/>
      <c r="AF15" s="1406"/>
      <c r="AG15" s="1406"/>
      <c r="AH15" s="1406"/>
      <c r="AI15" s="1406"/>
      <c r="AJ15" s="1406"/>
      <c r="AK15" s="1406"/>
      <c r="AL15" s="1406"/>
      <c r="AM15" s="1406"/>
      <c r="AN15" s="1406"/>
      <c r="AO15" s="1406"/>
      <c r="AP15" s="1406"/>
      <c r="AQ15" s="1406"/>
      <c r="AR15" s="1406"/>
      <c r="AS15" s="1406"/>
      <c r="AT15" s="1406"/>
      <c r="AU15" s="1406"/>
      <c r="AV15" s="1406"/>
      <c r="AW15" s="1406"/>
      <c r="AX15" s="1406"/>
      <c r="AY15" s="1406"/>
      <c r="AZ15" s="1406"/>
      <c r="BA15" s="1406"/>
      <c r="BB15" s="1406"/>
      <c r="BC15" s="1406"/>
    </row>
    <row r="16" spans="1:55">
      <c r="A16" s="1346" t="s">
        <v>5650</v>
      </c>
      <c r="B16" s="1200"/>
      <c r="C16" s="638"/>
      <c r="D16" s="638"/>
      <c r="E16" s="721">
        <f t="shared" si="0"/>
        <v>0</v>
      </c>
      <c r="F16" s="638"/>
      <c r="G16" s="1401">
        <f t="shared" si="1"/>
        <v>0</v>
      </c>
      <c r="H16" s="1673" t="s">
        <v>4572</v>
      </c>
      <c r="I16" s="958"/>
      <c r="J16" s="958"/>
      <c r="K16" s="958"/>
      <c r="L16" s="958"/>
      <c r="M16" s="958"/>
      <c r="N16" s="1406"/>
      <c r="O16" s="1406"/>
      <c r="P16" s="1406"/>
      <c r="Q16" s="1406"/>
      <c r="R16" s="1406"/>
      <c r="S16" s="1406"/>
      <c r="T16" s="1406"/>
      <c r="U16" s="1406"/>
      <c r="V16" s="1406"/>
      <c r="W16" s="1406"/>
      <c r="X16" s="1406"/>
      <c r="Y16" s="1406"/>
      <c r="Z16" s="1406"/>
      <c r="AA16" s="1406"/>
      <c r="AB16" s="1406"/>
      <c r="AC16" s="1406"/>
      <c r="AD16" s="1406"/>
      <c r="AE16" s="1406"/>
      <c r="AF16" s="1406"/>
      <c r="AG16" s="1406"/>
      <c r="AH16" s="1406"/>
      <c r="AI16" s="1406"/>
      <c r="AJ16" s="1406"/>
      <c r="AK16" s="1406"/>
      <c r="AL16" s="1406"/>
      <c r="AM16" s="1406"/>
      <c r="AN16" s="1406"/>
      <c r="AO16" s="1406"/>
      <c r="AP16" s="1406"/>
      <c r="AQ16" s="1406"/>
      <c r="AR16" s="1406"/>
      <c r="AS16" s="1406"/>
      <c r="AT16" s="1406"/>
      <c r="AU16" s="1406"/>
      <c r="AV16" s="1406"/>
      <c r="AW16" s="1406"/>
      <c r="AX16" s="1406"/>
      <c r="AY16" s="1406"/>
      <c r="AZ16" s="1406"/>
      <c r="BA16" s="1406"/>
      <c r="BB16" s="1406"/>
      <c r="BC16" s="1406"/>
    </row>
    <row r="17" spans="1:55">
      <c r="A17" s="1674"/>
      <c r="B17" s="1200"/>
      <c r="C17" s="638"/>
      <c r="D17" s="638"/>
      <c r="E17" s="721">
        <f t="shared" si="0"/>
        <v>0</v>
      </c>
      <c r="F17" s="638"/>
      <c r="G17" s="1401">
        <f t="shared" si="1"/>
        <v>0</v>
      </c>
      <c r="H17" s="958"/>
      <c r="I17" s="958"/>
      <c r="J17" s="958"/>
      <c r="K17" s="958"/>
      <c r="L17" s="958"/>
      <c r="M17" s="958"/>
      <c r="N17" s="1406"/>
      <c r="O17" s="1406"/>
      <c r="P17" s="1406"/>
      <c r="Q17" s="1406"/>
      <c r="R17" s="1406"/>
      <c r="S17" s="1406"/>
      <c r="T17" s="1406"/>
      <c r="U17" s="1406"/>
      <c r="V17" s="1406"/>
      <c r="W17" s="1406"/>
      <c r="X17" s="1406"/>
      <c r="Y17" s="1406"/>
      <c r="Z17" s="1406"/>
      <c r="AA17" s="1406"/>
      <c r="AB17" s="1406"/>
      <c r="AC17" s="1406"/>
      <c r="AD17" s="1406"/>
      <c r="AE17" s="1406"/>
      <c r="AF17" s="1406"/>
      <c r="AG17" s="1406"/>
      <c r="AH17" s="1406"/>
      <c r="AI17" s="1406"/>
      <c r="AJ17" s="1406"/>
      <c r="AK17" s="1406"/>
      <c r="AL17" s="1406"/>
      <c r="AM17" s="1406"/>
      <c r="AN17" s="1406"/>
      <c r="AO17" s="1406"/>
      <c r="AP17" s="1406"/>
      <c r="AQ17" s="1406"/>
      <c r="AR17" s="1406"/>
      <c r="AS17" s="1406"/>
      <c r="AT17" s="1406"/>
      <c r="AU17" s="1406"/>
      <c r="AV17" s="1406"/>
      <c r="AW17" s="1406"/>
      <c r="AX17" s="1406"/>
      <c r="AY17" s="1406"/>
      <c r="AZ17" s="1406"/>
      <c r="BA17" s="1406"/>
      <c r="BB17" s="1406"/>
      <c r="BC17" s="1406"/>
    </row>
    <row r="18" spans="1:55">
      <c r="A18" s="1674"/>
      <c r="B18" s="1200"/>
      <c r="C18" s="638"/>
      <c r="D18" s="638"/>
      <c r="E18" s="721">
        <f t="shared" si="0"/>
        <v>0</v>
      </c>
      <c r="F18" s="638"/>
      <c r="G18" s="1401">
        <f t="shared" si="1"/>
        <v>0</v>
      </c>
      <c r="H18" s="958"/>
      <c r="I18" s="958"/>
      <c r="J18" s="958"/>
      <c r="K18" s="958"/>
      <c r="L18" s="958"/>
      <c r="M18" s="958"/>
      <c r="N18" s="1406"/>
      <c r="O18" s="1406"/>
      <c r="P18" s="1406"/>
      <c r="Q18" s="1406"/>
      <c r="R18" s="1406"/>
      <c r="S18" s="1406"/>
      <c r="T18" s="1406"/>
      <c r="U18" s="1406"/>
      <c r="V18" s="1406"/>
      <c r="W18" s="1406"/>
      <c r="X18" s="1406"/>
      <c r="Y18" s="1406"/>
      <c r="Z18" s="1406"/>
      <c r="AA18" s="1406"/>
      <c r="AB18" s="1406"/>
      <c r="AC18" s="1406"/>
      <c r="AD18" s="1406"/>
      <c r="AE18" s="1406"/>
      <c r="AF18" s="1406"/>
      <c r="AG18" s="1406"/>
      <c r="AH18" s="1406"/>
      <c r="AI18" s="1406"/>
      <c r="AJ18" s="1406"/>
      <c r="AK18" s="1406"/>
      <c r="AL18" s="1406"/>
      <c r="AM18" s="1406"/>
      <c r="AN18" s="1406"/>
      <c r="AO18" s="1406"/>
      <c r="AP18" s="1406"/>
      <c r="AQ18" s="1406"/>
      <c r="AR18" s="1406"/>
      <c r="AS18" s="1406"/>
      <c r="AT18" s="1406"/>
      <c r="AU18" s="1406"/>
      <c r="AV18" s="1406"/>
      <c r="AW18" s="1406"/>
      <c r="AX18" s="1406"/>
      <c r="AY18" s="1406"/>
      <c r="AZ18" s="1406"/>
      <c r="BA18" s="1406"/>
      <c r="BB18" s="1406"/>
      <c r="BC18" s="1406"/>
    </row>
    <row r="19" spans="1:55">
      <c r="A19" s="1674"/>
      <c r="B19" s="1200"/>
      <c r="C19" s="638"/>
      <c r="D19" s="638"/>
      <c r="E19" s="721">
        <f t="shared" si="0"/>
        <v>0</v>
      </c>
      <c r="F19" s="638"/>
      <c r="G19" s="1401">
        <f t="shared" si="1"/>
        <v>0</v>
      </c>
      <c r="H19" s="958"/>
      <c r="I19" s="958"/>
      <c r="J19" s="958"/>
      <c r="K19" s="958"/>
      <c r="L19" s="958"/>
      <c r="M19" s="958"/>
      <c r="N19" s="1406"/>
      <c r="O19" s="1406"/>
      <c r="P19" s="1406"/>
      <c r="Q19" s="1406"/>
      <c r="R19" s="1406"/>
      <c r="S19" s="1406"/>
      <c r="T19" s="1406"/>
      <c r="U19" s="1406"/>
      <c r="V19" s="1406"/>
      <c r="W19" s="1406"/>
      <c r="X19" s="1406"/>
      <c r="Y19" s="1406"/>
      <c r="Z19" s="1406"/>
      <c r="AA19" s="1406"/>
      <c r="AB19" s="1406"/>
      <c r="AC19" s="1406"/>
      <c r="AD19" s="1406"/>
      <c r="AE19" s="1406"/>
      <c r="AF19" s="1406"/>
      <c r="AG19" s="1406"/>
      <c r="AH19" s="1406"/>
      <c r="AI19" s="1406"/>
      <c r="AJ19" s="1406"/>
      <c r="AK19" s="1406"/>
      <c r="AL19" s="1406"/>
      <c r="AM19" s="1406"/>
      <c r="AN19" s="1406"/>
      <c r="AO19" s="1406"/>
      <c r="AP19" s="1406"/>
      <c r="AQ19" s="1406"/>
      <c r="AR19" s="1406"/>
      <c r="AS19" s="1406"/>
      <c r="AT19" s="1406"/>
      <c r="AU19" s="1406"/>
      <c r="AV19" s="1406"/>
      <c r="AW19" s="1406"/>
      <c r="AX19" s="1406"/>
      <c r="AY19" s="1406"/>
      <c r="AZ19" s="1406"/>
      <c r="BA19" s="1406"/>
      <c r="BB19" s="1406"/>
      <c r="BC19" s="1406"/>
    </row>
    <row r="20" spans="1:55">
      <c r="A20" s="1675"/>
      <c r="B20" s="1676"/>
      <c r="C20" s="1284"/>
      <c r="D20" s="1284"/>
      <c r="E20" s="648">
        <f t="shared" si="0"/>
        <v>0</v>
      </c>
      <c r="F20" s="1284"/>
      <c r="G20" s="626">
        <f t="shared" si="1"/>
        <v>0</v>
      </c>
      <c r="H20" s="958"/>
      <c r="I20" s="958"/>
      <c r="J20" s="1677"/>
      <c r="K20" s="958"/>
      <c r="L20" s="958"/>
      <c r="M20" s="958"/>
      <c r="N20" s="1406"/>
      <c r="O20" s="1406"/>
      <c r="P20" s="1406"/>
      <c r="Q20" s="1406"/>
      <c r="R20" s="1406"/>
      <c r="S20" s="1406"/>
      <c r="T20" s="1406"/>
      <c r="U20" s="1406"/>
      <c r="V20" s="1406"/>
      <c r="W20" s="1406"/>
      <c r="X20" s="1406"/>
      <c r="Y20" s="1406"/>
      <c r="Z20" s="1406"/>
      <c r="AA20" s="1406"/>
      <c r="AB20" s="1406"/>
      <c r="AC20" s="1406"/>
      <c r="AD20" s="1406"/>
      <c r="AE20" s="1406"/>
      <c r="AF20" s="1406"/>
      <c r="AG20" s="1406"/>
      <c r="AH20" s="1406"/>
      <c r="AI20" s="1406"/>
      <c r="AJ20" s="1406"/>
      <c r="AK20" s="1406"/>
      <c r="AL20" s="1406"/>
      <c r="AM20" s="1406"/>
      <c r="AN20" s="1406"/>
      <c r="AO20" s="1406"/>
      <c r="AP20" s="1406"/>
      <c r="AQ20" s="1406"/>
      <c r="AR20" s="1406"/>
      <c r="AS20" s="1406"/>
      <c r="AT20" s="1406"/>
      <c r="AU20" s="1406"/>
      <c r="AV20" s="1406"/>
      <c r="AW20" s="1406"/>
      <c r="AX20" s="1406"/>
      <c r="AY20" s="1406"/>
      <c r="AZ20" s="1406"/>
      <c r="BA20" s="1406"/>
      <c r="BB20" s="1406"/>
      <c r="BC20" s="1406"/>
    </row>
    <row r="21" spans="1:55" ht="14.25" customHeight="1">
      <c r="A21" s="1670" t="s">
        <v>4347</v>
      </c>
      <c r="B21" s="1419">
        <f>SUM(B22:B40)</f>
        <v>0</v>
      </c>
      <c r="C21" s="1419">
        <f>SUM(C22:C40)</f>
        <v>0</v>
      </c>
      <c r="D21" s="1419">
        <f>SUM(D22:D40)</f>
        <v>0</v>
      </c>
      <c r="E21" s="1419">
        <f>B21+C21-D21</f>
        <v>0</v>
      </c>
      <c r="F21" s="1419">
        <f>SUM(F22:F40)</f>
        <v>0</v>
      </c>
      <c r="G21" s="1492">
        <f>E21+F21</f>
        <v>0</v>
      </c>
      <c r="H21" s="958"/>
      <c r="I21" s="958"/>
      <c r="J21" s="1677"/>
      <c r="K21" s="958"/>
      <c r="L21" s="958"/>
      <c r="M21" s="958"/>
      <c r="N21" s="1406"/>
      <c r="O21" s="1406"/>
      <c r="P21" s="1406"/>
      <c r="Q21" s="1406"/>
      <c r="R21" s="1406"/>
      <c r="S21" s="1406"/>
      <c r="T21" s="1406"/>
      <c r="U21" s="1406"/>
      <c r="V21" s="1406"/>
      <c r="W21" s="1406"/>
      <c r="X21" s="1406"/>
      <c r="Y21" s="1406"/>
      <c r="Z21" s="1406"/>
      <c r="AA21" s="1406"/>
      <c r="AB21" s="1406"/>
      <c r="AC21" s="1406"/>
      <c r="AD21" s="1406"/>
      <c r="AE21" s="1406"/>
      <c r="AF21" s="1406"/>
      <c r="AG21" s="1406"/>
      <c r="AH21" s="1406"/>
      <c r="AI21" s="1406"/>
      <c r="AJ21" s="1406"/>
      <c r="AK21" s="1406"/>
      <c r="AL21" s="1406"/>
      <c r="AM21" s="1406"/>
      <c r="AN21" s="1406"/>
      <c r="AO21" s="1406"/>
      <c r="AP21" s="1406"/>
      <c r="AQ21" s="1406"/>
      <c r="AR21" s="1406"/>
      <c r="AS21" s="1406"/>
      <c r="AT21" s="1406"/>
      <c r="AU21" s="1406"/>
      <c r="AV21" s="1406"/>
      <c r="AW21" s="1406"/>
      <c r="AX21" s="1406"/>
      <c r="AY21" s="1406"/>
      <c r="AZ21" s="1406"/>
      <c r="BA21" s="1406"/>
      <c r="BB21" s="1406"/>
      <c r="BC21" s="1406"/>
    </row>
    <row r="22" spans="1:55">
      <c r="A22" s="1678" t="s">
        <v>5655</v>
      </c>
      <c r="B22" s="1200"/>
      <c r="C22" s="638"/>
      <c r="D22" s="638"/>
      <c r="E22" s="721">
        <f t="shared" si="0"/>
        <v>0</v>
      </c>
      <c r="F22" s="638">
        <f>-SUMIFS(凭证检查!$G$7:$G$206,凭证检查!$E$7:$E$206,"制造费用",凭证检查!$F$7:$F$206,A22,凭证检查!$N$7:$N$206,"调入*费")</f>
        <v>0</v>
      </c>
      <c r="G22" s="1401">
        <f t="shared" si="1"/>
        <v>0</v>
      </c>
      <c r="H22" s="958"/>
      <c r="I22" s="958"/>
      <c r="J22" s="1677"/>
      <c r="K22" s="958"/>
      <c r="L22" s="958"/>
      <c r="M22" s="958"/>
      <c r="N22" s="1406"/>
      <c r="O22" s="1406"/>
      <c r="P22" s="1406"/>
      <c r="Q22" s="1406"/>
      <c r="R22" s="1406"/>
      <c r="S22" s="1406"/>
      <c r="T22" s="1406"/>
      <c r="U22" s="1406"/>
      <c r="V22" s="1406"/>
      <c r="W22" s="1406"/>
      <c r="X22" s="1406"/>
      <c r="Y22" s="1406"/>
      <c r="Z22" s="1406"/>
      <c r="AA22" s="1406"/>
      <c r="AB22" s="1406"/>
      <c r="AC22" s="1406"/>
      <c r="AD22" s="1406"/>
      <c r="AE22" s="1406"/>
      <c r="AF22" s="1406"/>
      <c r="AG22" s="1406"/>
      <c r="AH22" s="1406"/>
      <c r="AI22" s="1406"/>
      <c r="AJ22" s="1406"/>
      <c r="AK22" s="1406"/>
      <c r="AL22" s="1406"/>
      <c r="AM22" s="1406"/>
      <c r="AN22" s="1406"/>
      <c r="AO22" s="1406"/>
      <c r="AP22" s="1406"/>
      <c r="AQ22" s="1406"/>
      <c r="AR22" s="1406"/>
      <c r="AS22" s="1406"/>
      <c r="AT22" s="1406"/>
      <c r="AU22" s="1406"/>
      <c r="AV22" s="1406"/>
      <c r="AW22" s="1406"/>
      <c r="AX22" s="1406"/>
      <c r="AY22" s="1406"/>
      <c r="AZ22" s="1406"/>
      <c r="BA22" s="1406"/>
      <c r="BB22" s="1406"/>
      <c r="BC22" s="1406"/>
    </row>
    <row r="23" spans="1:55">
      <c r="A23" s="1678" t="s">
        <v>5656</v>
      </c>
      <c r="B23" s="1200"/>
      <c r="C23" s="638"/>
      <c r="D23" s="638"/>
      <c r="E23" s="721">
        <f t="shared" si="0"/>
        <v>0</v>
      </c>
      <c r="F23" s="638">
        <f>SUMIFS(凭证检查!$G$7:$G$206,凭证检查!$E$7:$E$206,"制造费用",凭证检查!$N$7:$N$206,"调入福利费")-SUMIFS(凭证检查!$G$7:$G$206,凭证检查!$E$7:$E$206,"制造费用",凭证检查!$F$7:$F$206,A23)</f>
        <v>0</v>
      </c>
      <c r="G23" s="1401">
        <f t="shared" si="1"/>
        <v>0</v>
      </c>
      <c r="H23" s="958"/>
      <c r="I23" s="958"/>
      <c r="J23" s="1677"/>
      <c r="K23" s="958"/>
      <c r="L23" s="958"/>
      <c r="M23" s="958"/>
      <c r="N23" s="1406"/>
      <c r="O23" s="1406"/>
      <c r="P23" s="1406"/>
      <c r="Q23" s="1406"/>
      <c r="R23" s="1406"/>
      <c r="S23" s="1406"/>
      <c r="T23" s="1406"/>
      <c r="U23" s="1406"/>
      <c r="V23" s="1406"/>
      <c r="W23" s="1406"/>
      <c r="X23" s="1406"/>
      <c r="Y23" s="1406"/>
      <c r="Z23" s="1406"/>
      <c r="AA23" s="1406"/>
      <c r="AB23" s="1406"/>
      <c r="AC23" s="1406"/>
      <c r="AD23" s="1406"/>
      <c r="AE23" s="1406"/>
      <c r="AF23" s="1406"/>
      <c r="AG23" s="1406"/>
      <c r="AH23" s="1406"/>
      <c r="AI23" s="1406"/>
      <c r="AJ23" s="1406"/>
      <c r="AK23" s="1406"/>
      <c r="AL23" s="1406"/>
      <c r="AM23" s="1406"/>
      <c r="AN23" s="1406"/>
      <c r="AO23" s="1406"/>
      <c r="AP23" s="1406"/>
      <c r="AQ23" s="1406"/>
      <c r="AR23" s="1406"/>
      <c r="AS23" s="1406"/>
      <c r="AT23" s="1406"/>
      <c r="AU23" s="1406"/>
      <c r="AV23" s="1406"/>
      <c r="AW23" s="1406"/>
      <c r="AX23" s="1406"/>
      <c r="AY23" s="1406"/>
      <c r="AZ23" s="1406"/>
      <c r="BA23" s="1406"/>
      <c r="BB23" s="1406"/>
      <c r="BC23" s="1406"/>
    </row>
    <row r="24" spans="1:55">
      <c r="A24" s="1678" t="s">
        <v>5657</v>
      </c>
      <c r="B24" s="1200"/>
      <c r="C24" s="638"/>
      <c r="D24" s="638"/>
      <c r="E24" s="721">
        <f t="shared" si="0"/>
        <v>0</v>
      </c>
      <c r="F24" s="2423">
        <f>SUMIFS(凭证检查!$G$7:$G$206,凭证检查!$E$7:$E$206,"制造费用",凭证检查!$N$7:$N$206,"调入教育经费")-SUMIFS(凭证检查!$G$7:$G$206,凭证检查!$E$7:$E$206,"制造费用",凭证检查!$F$7:$F$206,A24)</f>
        <v>0</v>
      </c>
      <c r="G24" s="1401">
        <f t="shared" si="1"/>
        <v>0</v>
      </c>
      <c r="H24" s="958"/>
      <c r="I24" s="958"/>
      <c r="J24" s="1677"/>
      <c r="K24" s="958"/>
      <c r="L24" s="958"/>
      <c r="M24" s="958"/>
      <c r="N24" s="1406"/>
      <c r="O24" s="1406"/>
      <c r="P24" s="1406"/>
      <c r="Q24" s="1406"/>
      <c r="R24" s="1406"/>
      <c r="S24" s="1406"/>
      <c r="T24" s="1406"/>
      <c r="U24" s="1406"/>
      <c r="V24" s="1406"/>
      <c r="W24" s="1406"/>
      <c r="X24" s="1406"/>
      <c r="Y24" s="1406"/>
      <c r="Z24" s="1406"/>
      <c r="AA24" s="1406"/>
      <c r="AB24" s="1406"/>
      <c r="AC24" s="1406"/>
      <c r="AD24" s="1406"/>
      <c r="AE24" s="1406"/>
      <c r="AF24" s="1406"/>
      <c r="AG24" s="1406"/>
      <c r="AH24" s="1406"/>
      <c r="AI24" s="1406"/>
      <c r="AJ24" s="1406"/>
      <c r="AK24" s="1406"/>
      <c r="AL24" s="1406"/>
      <c r="AM24" s="1406"/>
      <c r="AN24" s="1406"/>
      <c r="AO24" s="1406"/>
      <c r="AP24" s="1406"/>
      <c r="AQ24" s="1406"/>
      <c r="AR24" s="1406"/>
      <c r="AS24" s="1406"/>
      <c r="AT24" s="1406"/>
      <c r="AU24" s="1406"/>
      <c r="AV24" s="1406"/>
      <c r="AW24" s="1406"/>
      <c r="AX24" s="1406"/>
      <c r="AY24" s="1406"/>
      <c r="AZ24" s="1406"/>
      <c r="BA24" s="1406"/>
      <c r="BB24" s="1406"/>
      <c r="BC24" s="1406"/>
    </row>
    <row r="25" spans="1:55">
      <c r="A25" s="1679" t="s">
        <v>6668</v>
      </c>
      <c r="B25" s="1200"/>
      <c r="C25" s="638"/>
      <c r="D25" s="638"/>
      <c r="E25" s="721">
        <f t="shared" si="0"/>
        <v>0</v>
      </c>
      <c r="F25" s="2423">
        <f>SUMIFS(凭证检查!$G$7:$G$206,凭证检查!$E$7:$E$206,"制造费用",凭证检查!$N$7:$N$206,"调入招待费")-SUMIFS(凭证检查!$G$7:$G$206,凭证检查!$E$7:$E$206,"制造费用",凭证检查!$F$7:$F$206,A25)</f>
        <v>0</v>
      </c>
      <c r="G25" s="1401">
        <f t="shared" si="1"/>
        <v>0</v>
      </c>
      <c r="H25" s="958"/>
      <c r="I25" s="958"/>
      <c r="J25" s="1677"/>
      <c r="K25" s="1680"/>
      <c r="L25" s="958"/>
      <c r="M25" s="958"/>
      <c r="N25" s="1406"/>
      <c r="O25" s="1406"/>
      <c r="P25" s="1406"/>
      <c r="Q25" s="1406"/>
      <c r="R25" s="1406"/>
      <c r="S25" s="1406"/>
      <c r="T25" s="1406"/>
      <c r="U25" s="1406"/>
      <c r="V25" s="1406"/>
      <c r="W25" s="1406"/>
      <c r="X25" s="1406"/>
      <c r="Y25" s="1406"/>
      <c r="Z25" s="1406"/>
      <c r="AA25" s="1406"/>
      <c r="AB25" s="1406"/>
      <c r="AC25" s="1406"/>
      <c r="AD25" s="1406"/>
      <c r="AE25" s="1406"/>
      <c r="AF25" s="1406"/>
      <c r="AG25" s="1406"/>
      <c r="AH25" s="1406"/>
      <c r="AI25" s="1406"/>
      <c r="AJ25" s="1406"/>
      <c r="AK25" s="1406"/>
      <c r="AL25" s="1406"/>
      <c r="AM25" s="1406"/>
      <c r="AN25" s="1406"/>
      <c r="AO25" s="1406"/>
      <c r="AP25" s="1406"/>
      <c r="AQ25" s="1406"/>
      <c r="AR25" s="1406"/>
      <c r="AS25" s="1406"/>
      <c r="AT25" s="1406"/>
      <c r="AU25" s="1406"/>
      <c r="AV25" s="1406"/>
      <c r="AW25" s="1406"/>
      <c r="AX25" s="1406"/>
      <c r="AY25" s="1406"/>
      <c r="AZ25" s="1406"/>
      <c r="BA25" s="1406"/>
      <c r="BB25" s="1406"/>
      <c r="BC25" s="1406"/>
    </row>
    <row r="26" spans="1:55">
      <c r="A26" s="1681" t="s">
        <v>5659</v>
      </c>
      <c r="B26" s="1200"/>
      <c r="C26" s="638"/>
      <c r="D26" s="638"/>
      <c r="E26" s="721">
        <f t="shared" si="0"/>
        <v>0</v>
      </c>
      <c r="F26" s="2423">
        <f>-SUMIFS(凭证检查!$G$7:$G$206,凭证检查!$E$7:$E$206,"制造费用",凭证检查!$F$7:$F$206,A26,凭证检查!$N$7:$N$206,"调入*费")</f>
        <v>0</v>
      </c>
      <c r="G26" s="1401">
        <f t="shared" si="1"/>
        <v>0</v>
      </c>
      <c r="H26" s="958"/>
      <c r="I26" s="958"/>
      <c r="J26" s="1677"/>
      <c r="K26" s="1682"/>
      <c r="L26" s="958"/>
      <c r="M26" s="958"/>
      <c r="N26" s="1406"/>
      <c r="O26" s="1406"/>
      <c r="P26" s="1406"/>
      <c r="Q26" s="1406"/>
      <c r="R26" s="1406"/>
      <c r="S26" s="1406"/>
      <c r="T26" s="1406"/>
      <c r="U26" s="1406"/>
      <c r="V26" s="1406"/>
      <c r="W26" s="1406"/>
      <c r="X26" s="1406"/>
      <c r="Y26" s="1406"/>
      <c r="Z26" s="1406"/>
      <c r="AA26" s="1406"/>
      <c r="AB26" s="1406"/>
      <c r="AC26" s="1406"/>
      <c r="AD26" s="1406"/>
      <c r="AE26" s="1406"/>
      <c r="AF26" s="1406"/>
      <c r="AG26" s="1406"/>
      <c r="AH26" s="1406"/>
      <c r="AI26" s="1406"/>
      <c r="AJ26" s="1406"/>
      <c r="AK26" s="1406"/>
      <c r="AL26" s="1406"/>
      <c r="AM26" s="1406"/>
      <c r="AN26" s="1406"/>
      <c r="AO26" s="1406"/>
      <c r="AP26" s="1406"/>
      <c r="AQ26" s="1406"/>
      <c r="AR26" s="1406"/>
      <c r="AS26" s="1406"/>
      <c r="AT26" s="1406"/>
      <c r="AU26" s="1406"/>
      <c r="AV26" s="1406"/>
      <c r="AW26" s="1406"/>
      <c r="AX26" s="1406"/>
      <c r="AY26" s="1406"/>
      <c r="AZ26" s="1406"/>
      <c r="BA26" s="1406"/>
      <c r="BB26" s="1406"/>
      <c r="BC26" s="1406"/>
    </row>
    <row r="27" spans="1:55">
      <c r="A27" s="1681" t="s">
        <v>5660</v>
      </c>
      <c r="B27" s="1200"/>
      <c r="C27" s="638"/>
      <c r="D27" s="638"/>
      <c r="E27" s="721">
        <f t="shared" si="0"/>
        <v>0</v>
      </c>
      <c r="F27" s="2423">
        <f>-SUMIFS(凭证检查!$G$7:$G$206,凭证检查!$E$7:$E$206,"制造费用",凭证检查!$F$7:$F$206,A27,凭证检查!$N$7:$N$206,"调入*费")</f>
        <v>0</v>
      </c>
      <c r="G27" s="1401">
        <f t="shared" si="1"/>
        <v>0</v>
      </c>
      <c r="H27" s="958"/>
      <c r="I27" s="958"/>
      <c r="J27" s="1677"/>
      <c r="K27" s="1680"/>
      <c r="L27" s="958"/>
      <c r="M27" s="958"/>
      <c r="N27" s="1406"/>
      <c r="O27" s="1406"/>
      <c r="P27" s="1406"/>
      <c r="Q27" s="1406"/>
      <c r="R27" s="1406"/>
      <c r="S27" s="1406"/>
      <c r="T27" s="1406"/>
      <c r="U27" s="1406"/>
      <c r="V27" s="1406"/>
      <c r="W27" s="1406"/>
      <c r="X27" s="1406"/>
      <c r="Y27" s="1406"/>
      <c r="Z27" s="1406"/>
      <c r="AA27" s="1406"/>
      <c r="AB27" s="1406"/>
      <c r="AC27" s="1406"/>
      <c r="AD27" s="1406"/>
      <c r="AE27" s="1406"/>
      <c r="AF27" s="1406"/>
      <c r="AG27" s="1406"/>
      <c r="AH27" s="1406"/>
      <c r="AI27" s="1406"/>
      <c r="AJ27" s="1406"/>
      <c r="AK27" s="1406"/>
      <c r="AL27" s="1406"/>
      <c r="AM27" s="1406"/>
      <c r="AN27" s="1406"/>
      <c r="AO27" s="1406"/>
      <c r="AP27" s="1406"/>
      <c r="AQ27" s="1406"/>
      <c r="AR27" s="1406"/>
      <c r="AS27" s="1406"/>
      <c r="AT27" s="1406"/>
      <c r="AU27" s="1406"/>
      <c r="AV27" s="1406"/>
      <c r="AW27" s="1406"/>
      <c r="AX27" s="1406"/>
      <c r="AY27" s="1406"/>
      <c r="AZ27" s="1406"/>
      <c r="BA27" s="1406"/>
      <c r="BB27" s="1406"/>
      <c r="BC27" s="1406"/>
    </row>
    <row r="28" spans="1:55">
      <c r="A28" s="1681" t="s">
        <v>5661</v>
      </c>
      <c r="B28" s="1200"/>
      <c r="C28" s="638"/>
      <c r="D28" s="638"/>
      <c r="E28" s="721">
        <f t="shared" si="0"/>
        <v>0</v>
      </c>
      <c r="F28" s="2423">
        <f>-SUMIFS(凭证检查!$G$7:$G$206,凭证检查!$E$7:$E$206,"制造费用",凭证检查!$F$7:$F$206,A28,凭证检查!$N$7:$N$206,"调入*费")</f>
        <v>0</v>
      </c>
      <c r="G28" s="1401">
        <f t="shared" si="1"/>
        <v>0</v>
      </c>
      <c r="H28" s="958"/>
      <c r="I28" s="958"/>
      <c r="J28" s="1677"/>
      <c r="K28" s="958"/>
      <c r="L28" s="958"/>
      <c r="M28" s="958"/>
      <c r="N28" s="1406"/>
      <c r="O28" s="1406"/>
      <c r="P28" s="1406"/>
      <c r="Q28" s="1406"/>
      <c r="R28" s="1406"/>
      <c r="S28" s="1406"/>
      <c r="T28" s="1406"/>
      <c r="U28" s="1406"/>
      <c r="V28" s="1406"/>
      <c r="W28" s="1406"/>
      <c r="X28" s="1406"/>
      <c r="Y28" s="1406"/>
      <c r="Z28" s="1406"/>
      <c r="AA28" s="1406"/>
      <c r="AB28" s="1406"/>
      <c r="AC28" s="1406"/>
      <c r="AD28" s="1406"/>
      <c r="AE28" s="1406"/>
      <c r="AF28" s="1406"/>
      <c r="AG28" s="1406"/>
      <c r="AH28" s="1406"/>
      <c r="AI28" s="1406"/>
      <c r="AJ28" s="1406"/>
      <c r="AK28" s="1406"/>
      <c r="AL28" s="1406"/>
      <c r="AM28" s="1406"/>
      <c r="AN28" s="1406"/>
      <c r="AO28" s="1406"/>
      <c r="AP28" s="1406"/>
      <c r="AQ28" s="1406"/>
      <c r="AR28" s="1406"/>
      <c r="AS28" s="1406"/>
      <c r="AT28" s="1406"/>
      <c r="AU28" s="1406"/>
      <c r="AV28" s="1406"/>
      <c r="AW28" s="1406"/>
      <c r="AX28" s="1406"/>
      <c r="AY28" s="1406"/>
      <c r="AZ28" s="1406"/>
      <c r="BA28" s="1406"/>
      <c r="BB28" s="1406"/>
      <c r="BC28" s="1406"/>
    </row>
    <row r="29" spans="1:55">
      <c r="A29" s="1681" t="s">
        <v>5662</v>
      </c>
      <c r="B29" s="1200"/>
      <c r="C29" s="638"/>
      <c r="D29" s="638"/>
      <c r="E29" s="721">
        <f t="shared" si="0"/>
        <v>0</v>
      </c>
      <c r="F29" s="2423">
        <f>-SUMIFS(凭证检查!$G$7:$G$206,凭证检查!$E$7:$E$206,"制造费用",凭证检查!$F$7:$F$206,A29,凭证检查!$N$7:$N$206,"调入*费")</f>
        <v>0</v>
      </c>
      <c r="G29" s="1401">
        <f t="shared" si="1"/>
        <v>0</v>
      </c>
      <c r="H29" s="958"/>
      <c r="I29" s="958"/>
      <c r="J29" s="1677"/>
      <c r="K29" s="958"/>
      <c r="L29" s="958"/>
      <c r="M29" s="958"/>
      <c r="N29" s="1406"/>
      <c r="O29" s="1406"/>
      <c r="P29" s="1406"/>
      <c r="Q29" s="1406"/>
      <c r="R29" s="1406"/>
      <c r="S29" s="1406"/>
      <c r="T29" s="1406"/>
      <c r="U29" s="1406"/>
      <c r="V29" s="1406"/>
      <c r="W29" s="1406"/>
      <c r="X29" s="1406"/>
      <c r="Y29" s="1406"/>
      <c r="Z29" s="1406"/>
      <c r="AA29" s="1406"/>
      <c r="AB29" s="1406"/>
      <c r="AC29" s="1406"/>
      <c r="AD29" s="1406"/>
      <c r="AE29" s="1406"/>
      <c r="AF29" s="1406"/>
      <c r="AG29" s="1406"/>
      <c r="AH29" s="1406"/>
      <c r="AI29" s="1406"/>
      <c r="AJ29" s="1406"/>
      <c r="AK29" s="1406"/>
      <c r="AL29" s="1406"/>
      <c r="AM29" s="1406"/>
      <c r="AN29" s="1406"/>
      <c r="AO29" s="1406"/>
      <c r="AP29" s="1406"/>
      <c r="AQ29" s="1406"/>
      <c r="AR29" s="1406"/>
      <c r="AS29" s="1406"/>
      <c r="AT29" s="1406"/>
      <c r="AU29" s="1406"/>
      <c r="AV29" s="1406"/>
      <c r="AW29" s="1406"/>
      <c r="AX29" s="1406"/>
      <c r="AY29" s="1406"/>
      <c r="AZ29" s="1406"/>
      <c r="BA29" s="1406"/>
      <c r="BB29" s="1406"/>
      <c r="BC29" s="1406"/>
    </row>
    <row r="30" spans="1:55">
      <c r="A30" s="1681" t="s">
        <v>5663</v>
      </c>
      <c r="B30" s="1200"/>
      <c r="C30" s="638"/>
      <c r="D30" s="638"/>
      <c r="E30" s="721">
        <f t="shared" si="0"/>
        <v>0</v>
      </c>
      <c r="F30" s="2423">
        <f>-SUMIFS(凭证检查!$G$7:$G$206,凭证检查!$E$7:$E$206,"制造费用",凭证检查!$F$7:$F$206,A30,凭证检查!$N$7:$N$206,"调入*费")</f>
        <v>0</v>
      </c>
      <c r="G30" s="1401">
        <f t="shared" si="1"/>
        <v>0</v>
      </c>
      <c r="H30" s="958"/>
      <c r="I30" s="958"/>
      <c r="J30" s="1677"/>
      <c r="K30" s="958"/>
      <c r="L30" s="958"/>
      <c r="M30" s="958"/>
      <c r="N30" s="1406"/>
      <c r="O30" s="1406"/>
      <c r="P30" s="1406"/>
      <c r="Q30" s="1406"/>
      <c r="R30" s="1406"/>
      <c r="S30" s="1406"/>
      <c r="T30" s="1406"/>
      <c r="U30" s="1406"/>
      <c r="V30" s="1406"/>
      <c r="W30" s="1406"/>
      <c r="X30" s="1406"/>
      <c r="Y30" s="1406"/>
      <c r="Z30" s="1406"/>
      <c r="AA30" s="1406"/>
      <c r="AB30" s="1406"/>
      <c r="AC30" s="1406"/>
      <c r="AD30" s="1406"/>
      <c r="AE30" s="1406"/>
      <c r="AF30" s="1406"/>
      <c r="AG30" s="1406"/>
      <c r="AH30" s="1406"/>
      <c r="AI30" s="1406"/>
      <c r="AJ30" s="1406"/>
      <c r="AK30" s="1406"/>
      <c r="AL30" s="1406"/>
      <c r="AM30" s="1406"/>
      <c r="AN30" s="1406"/>
      <c r="AO30" s="1406"/>
      <c r="AP30" s="1406"/>
      <c r="AQ30" s="1406"/>
      <c r="AR30" s="1406"/>
      <c r="AS30" s="1406"/>
      <c r="AT30" s="1406"/>
      <c r="AU30" s="1406"/>
      <c r="AV30" s="1406"/>
      <c r="AW30" s="1406"/>
      <c r="AX30" s="1406"/>
      <c r="AY30" s="1406"/>
      <c r="AZ30" s="1406"/>
      <c r="BA30" s="1406"/>
      <c r="BB30" s="1406"/>
      <c r="BC30" s="1406"/>
    </row>
    <row r="31" spans="1:55">
      <c r="A31" s="1681" t="s">
        <v>5664</v>
      </c>
      <c r="B31" s="1200"/>
      <c r="C31" s="638"/>
      <c r="D31" s="638"/>
      <c r="E31" s="721">
        <f t="shared" si="0"/>
        <v>0</v>
      </c>
      <c r="F31" s="2423">
        <f>-SUMIFS(凭证检查!$G$7:$G$206,凭证检查!$E$7:$E$206,"制造费用",凭证检查!$F$7:$F$206,A31,凭证检查!$N$7:$N$206,"调入*费")</f>
        <v>0</v>
      </c>
      <c r="G31" s="1401">
        <f t="shared" si="1"/>
        <v>0</v>
      </c>
      <c r="H31" s="958"/>
      <c r="I31" s="958"/>
      <c r="J31" s="1677"/>
      <c r="K31" s="958"/>
      <c r="L31" s="958"/>
      <c r="M31" s="958"/>
      <c r="N31" s="1406"/>
      <c r="O31" s="1406"/>
      <c r="P31" s="1406"/>
      <c r="Q31" s="1406"/>
      <c r="R31" s="1406"/>
      <c r="S31" s="1406"/>
      <c r="T31" s="1406"/>
      <c r="U31" s="1406"/>
      <c r="V31" s="1406"/>
      <c r="W31" s="1406"/>
      <c r="X31" s="1406"/>
      <c r="Y31" s="1406"/>
      <c r="Z31" s="1406"/>
      <c r="AA31" s="1406"/>
      <c r="AB31" s="1406"/>
      <c r="AC31" s="1406"/>
      <c r="AD31" s="1406"/>
      <c r="AE31" s="1406"/>
      <c r="AF31" s="1406"/>
      <c r="AG31" s="1406"/>
      <c r="AH31" s="1406"/>
      <c r="AI31" s="1406"/>
      <c r="AJ31" s="1406"/>
      <c r="AK31" s="1406"/>
      <c r="AL31" s="1406"/>
      <c r="AM31" s="1406"/>
      <c r="AN31" s="1406"/>
      <c r="AO31" s="1406"/>
      <c r="AP31" s="1406"/>
      <c r="AQ31" s="1406"/>
      <c r="AR31" s="1406"/>
      <c r="AS31" s="1406"/>
      <c r="AT31" s="1406"/>
      <c r="AU31" s="1406"/>
      <c r="AV31" s="1406"/>
      <c r="AW31" s="1406"/>
      <c r="AX31" s="1406"/>
      <c r="AY31" s="1406"/>
      <c r="AZ31" s="1406"/>
      <c r="BA31" s="1406"/>
      <c r="BB31" s="1406"/>
      <c r="BC31" s="1406"/>
    </row>
    <row r="32" spans="1:55">
      <c r="A32" s="1681" t="s">
        <v>5665</v>
      </c>
      <c r="B32" s="1200"/>
      <c r="C32" s="638"/>
      <c r="D32" s="638"/>
      <c r="E32" s="721">
        <f t="shared" si="0"/>
        <v>0</v>
      </c>
      <c r="F32" s="2423">
        <f>-SUMIFS(凭证检查!$G$7:$G$206,凭证检查!$E$7:$E$206,"制造费用",凭证检查!$F$7:$F$206,A32,凭证检查!$N$7:$N$206,"调入*费")</f>
        <v>0</v>
      </c>
      <c r="G32" s="1401">
        <f t="shared" si="1"/>
        <v>0</v>
      </c>
      <c r="H32" s="958"/>
      <c r="I32" s="958"/>
      <c r="J32" s="1677"/>
      <c r="K32" s="958"/>
      <c r="L32" s="958"/>
      <c r="M32" s="958"/>
      <c r="N32" s="1406"/>
      <c r="O32" s="1406"/>
      <c r="P32" s="1406"/>
      <c r="Q32" s="1406"/>
      <c r="R32" s="1406"/>
      <c r="S32" s="1406"/>
      <c r="T32" s="1406"/>
      <c r="U32" s="1406"/>
      <c r="V32" s="1406"/>
      <c r="W32" s="1406"/>
      <c r="X32" s="1406"/>
      <c r="Y32" s="1406"/>
      <c r="Z32" s="1406"/>
      <c r="AA32" s="1406"/>
      <c r="AB32" s="1406"/>
      <c r="AC32" s="1406"/>
      <c r="AD32" s="1406"/>
      <c r="AE32" s="1406"/>
      <c r="AF32" s="1406"/>
      <c r="AG32" s="1406"/>
      <c r="AH32" s="1406"/>
      <c r="AI32" s="1406"/>
      <c r="AJ32" s="1406"/>
      <c r="AK32" s="1406"/>
      <c r="AL32" s="1406"/>
      <c r="AM32" s="1406"/>
      <c r="AN32" s="1406"/>
      <c r="AO32" s="1406"/>
      <c r="AP32" s="1406"/>
      <c r="AQ32" s="1406"/>
      <c r="AR32" s="1406"/>
      <c r="AS32" s="1406"/>
      <c r="AT32" s="1406"/>
      <c r="AU32" s="1406"/>
      <c r="AV32" s="1406"/>
      <c r="AW32" s="1406"/>
      <c r="AX32" s="1406"/>
      <c r="AY32" s="1406"/>
      <c r="AZ32" s="1406"/>
      <c r="BA32" s="1406"/>
      <c r="BB32" s="1406"/>
      <c r="BC32" s="1406"/>
    </row>
    <row r="33" spans="1:55">
      <c r="A33" s="1681" t="s">
        <v>5666</v>
      </c>
      <c r="B33" s="1200"/>
      <c r="C33" s="638"/>
      <c r="D33" s="638"/>
      <c r="E33" s="721">
        <f t="shared" si="0"/>
        <v>0</v>
      </c>
      <c r="F33" s="2423">
        <f>-SUMIFS(凭证检查!$G$7:$G$206,凭证检查!$E$7:$E$206,"制造费用",凭证检查!$F$7:$F$206,A33,凭证检查!$N$7:$N$206,"调入*费")</f>
        <v>0</v>
      </c>
      <c r="G33" s="1401">
        <f t="shared" si="1"/>
        <v>0</v>
      </c>
      <c r="H33" s="958"/>
      <c r="I33" s="958"/>
      <c r="J33" s="1677"/>
      <c r="K33" s="958"/>
      <c r="L33" s="958"/>
      <c r="M33" s="958"/>
      <c r="N33" s="1406"/>
      <c r="O33" s="1406"/>
      <c r="P33" s="1406"/>
      <c r="Q33" s="1406"/>
      <c r="R33" s="1406"/>
      <c r="S33" s="1406"/>
      <c r="T33" s="1406"/>
      <c r="U33" s="1406"/>
      <c r="V33" s="1406"/>
      <c r="W33" s="1406"/>
      <c r="X33" s="1406"/>
      <c r="Y33" s="1406"/>
      <c r="Z33" s="1406"/>
      <c r="AA33" s="1406"/>
      <c r="AB33" s="1406"/>
      <c r="AC33" s="1406"/>
      <c r="AD33" s="1406"/>
      <c r="AE33" s="1406"/>
      <c r="AF33" s="1406"/>
      <c r="AG33" s="1406"/>
      <c r="AH33" s="1406"/>
      <c r="AI33" s="1406"/>
      <c r="AJ33" s="1406"/>
      <c r="AK33" s="1406"/>
      <c r="AL33" s="1406"/>
      <c r="AM33" s="1406"/>
      <c r="AN33" s="1406"/>
      <c r="AO33" s="1406"/>
      <c r="AP33" s="1406"/>
      <c r="AQ33" s="1406"/>
      <c r="AR33" s="1406"/>
      <c r="AS33" s="1406"/>
      <c r="AT33" s="1406"/>
      <c r="AU33" s="1406"/>
      <c r="AV33" s="1406"/>
      <c r="AW33" s="1406"/>
      <c r="AX33" s="1406"/>
      <c r="AY33" s="1406"/>
      <c r="AZ33" s="1406"/>
      <c r="BA33" s="1406"/>
      <c r="BB33" s="1406"/>
      <c r="BC33" s="1406"/>
    </row>
    <row r="34" spans="1:55">
      <c r="A34" s="1681" t="s">
        <v>5667</v>
      </c>
      <c r="B34" s="1200"/>
      <c r="C34" s="638"/>
      <c r="D34" s="638"/>
      <c r="E34" s="721">
        <f t="shared" si="0"/>
        <v>0</v>
      </c>
      <c r="F34" s="2423">
        <f>-SUMIFS(凭证检查!$G$7:$G$206,凭证检查!$E$7:$E$206,"制造费用",凭证检查!$F$7:$F$206,A34,凭证检查!$N$7:$N$206,"调入*费")</f>
        <v>0</v>
      </c>
      <c r="G34" s="1401">
        <f t="shared" si="1"/>
        <v>0</v>
      </c>
      <c r="H34" s="958"/>
      <c r="I34" s="958"/>
      <c r="J34" s="958"/>
      <c r="K34" s="958"/>
      <c r="L34" s="958"/>
      <c r="M34" s="958"/>
      <c r="N34" s="1406"/>
      <c r="O34" s="1406"/>
      <c r="P34" s="1406"/>
      <c r="Q34" s="1406"/>
      <c r="R34" s="1406"/>
      <c r="S34" s="1406"/>
      <c r="T34" s="1406"/>
      <c r="U34" s="1406"/>
      <c r="V34" s="1406"/>
      <c r="W34" s="1406"/>
      <c r="X34" s="1406"/>
      <c r="Y34" s="1406"/>
      <c r="Z34" s="1406"/>
      <c r="AA34" s="1406"/>
      <c r="AB34" s="1406"/>
      <c r="AC34" s="1406"/>
      <c r="AD34" s="1406"/>
      <c r="AE34" s="1406"/>
      <c r="AF34" s="1406"/>
      <c r="AG34" s="1406"/>
      <c r="AH34" s="1406"/>
      <c r="AI34" s="1406"/>
      <c r="AJ34" s="1406"/>
      <c r="AK34" s="1406"/>
      <c r="AL34" s="1406"/>
      <c r="AM34" s="1406"/>
      <c r="AN34" s="1406"/>
      <c r="AO34" s="1406"/>
      <c r="AP34" s="1406"/>
      <c r="AQ34" s="1406"/>
      <c r="AR34" s="1406"/>
      <c r="AS34" s="1406"/>
      <c r="AT34" s="1406"/>
      <c r="AU34" s="1406"/>
      <c r="AV34" s="1406"/>
      <c r="AW34" s="1406"/>
      <c r="AX34" s="1406"/>
      <c r="AY34" s="1406"/>
      <c r="AZ34" s="1406"/>
      <c r="BA34" s="1406"/>
      <c r="BB34" s="1406"/>
      <c r="BC34" s="1406"/>
    </row>
    <row r="35" spans="1:55">
      <c r="A35" s="1681" t="s">
        <v>5668</v>
      </c>
      <c r="B35" s="1200"/>
      <c r="C35" s="638"/>
      <c r="D35" s="638"/>
      <c r="E35" s="721">
        <f t="shared" si="0"/>
        <v>0</v>
      </c>
      <c r="F35" s="2423">
        <f>-SUMIFS(凭证检查!$G$7:$G$206,凭证检查!$E$7:$E$206,"制造费用",凭证检查!$F$7:$F$206,A35,凭证检查!$N$7:$N$206,"调入*费")</f>
        <v>0</v>
      </c>
      <c r="G35" s="1401">
        <f t="shared" si="1"/>
        <v>0</v>
      </c>
      <c r="H35" s="958"/>
      <c r="I35" s="958"/>
      <c r="J35" s="958"/>
      <c r="K35" s="958"/>
      <c r="L35" s="958"/>
      <c r="M35" s="958"/>
      <c r="N35" s="1406"/>
      <c r="O35" s="1406"/>
      <c r="P35" s="1406"/>
      <c r="Q35" s="1406"/>
      <c r="R35" s="1406"/>
      <c r="S35" s="1406"/>
      <c r="T35" s="1406"/>
      <c r="U35" s="1406"/>
      <c r="V35" s="1406"/>
      <c r="W35" s="1406"/>
      <c r="X35" s="1406"/>
      <c r="Y35" s="1406"/>
      <c r="Z35" s="1406"/>
      <c r="AA35" s="1406"/>
      <c r="AB35" s="1406"/>
      <c r="AC35" s="1406"/>
      <c r="AD35" s="1406"/>
      <c r="AE35" s="1406"/>
      <c r="AF35" s="1406"/>
      <c r="AG35" s="1406"/>
      <c r="AH35" s="1406"/>
      <c r="AI35" s="1406"/>
      <c r="AJ35" s="1406"/>
      <c r="AK35" s="1406"/>
      <c r="AL35" s="1406"/>
      <c r="AM35" s="1406"/>
      <c r="AN35" s="1406"/>
      <c r="AO35" s="1406"/>
      <c r="AP35" s="1406"/>
      <c r="AQ35" s="1406"/>
      <c r="AR35" s="1406"/>
      <c r="AS35" s="1406"/>
      <c r="AT35" s="1406"/>
      <c r="AU35" s="1406"/>
      <c r="AV35" s="1406"/>
      <c r="AW35" s="1406"/>
      <c r="AX35" s="1406"/>
      <c r="AY35" s="1406"/>
      <c r="AZ35" s="1406"/>
      <c r="BA35" s="1406"/>
      <c r="BB35" s="1406"/>
      <c r="BC35" s="1406"/>
    </row>
    <row r="36" spans="1:55">
      <c r="A36" s="1683" t="s">
        <v>5669</v>
      </c>
      <c r="B36" s="1200"/>
      <c r="C36" s="638"/>
      <c r="D36" s="638"/>
      <c r="E36" s="721">
        <f t="shared" si="0"/>
        <v>0</v>
      </c>
      <c r="F36" s="2423">
        <f>-SUMIFS(凭证检查!$G$7:$G$206,凭证检查!$E$7:$E$206,"制造费用",凭证检查!$F$7:$F$206,A36,凭证检查!$N$7:$N$206,"调入*费")</f>
        <v>0</v>
      </c>
      <c r="G36" s="1401">
        <f t="shared" si="1"/>
        <v>0</v>
      </c>
      <c r="H36" s="958"/>
      <c r="I36" s="958"/>
      <c r="J36" s="958"/>
      <c r="K36" s="958"/>
      <c r="L36" s="958"/>
      <c r="M36" s="958"/>
      <c r="N36" s="1406"/>
      <c r="O36" s="1406"/>
      <c r="P36" s="1406"/>
      <c r="Q36" s="1406"/>
      <c r="R36" s="1406"/>
      <c r="S36" s="1406"/>
      <c r="T36" s="1406"/>
      <c r="U36" s="1406"/>
      <c r="V36" s="1406"/>
      <c r="W36" s="1406"/>
      <c r="X36" s="1406"/>
      <c r="Y36" s="1406"/>
      <c r="Z36" s="1406"/>
      <c r="AA36" s="1406"/>
      <c r="AB36" s="1406"/>
      <c r="AC36" s="1406"/>
      <c r="AD36" s="1406"/>
      <c r="AE36" s="1406"/>
      <c r="AF36" s="1406"/>
      <c r="AG36" s="1406"/>
      <c r="AH36" s="1406"/>
      <c r="AI36" s="1406"/>
      <c r="AJ36" s="1406"/>
      <c r="AK36" s="1406"/>
      <c r="AL36" s="1406"/>
      <c r="AM36" s="1406"/>
      <c r="AN36" s="1406"/>
      <c r="AO36" s="1406"/>
      <c r="AP36" s="1406"/>
      <c r="AQ36" s="1406"/>
      <c r="AR36" s="1406"/>
      <c r="AS36" s="1406"/>
      <c r="AT36" s="1406"/>
      <c r="AU36" s="1406"/>
      <c r="AV36" s="1406"/>
      <c r="AW36" s="1406"/>
      <c r="AX36" s="1406"/>
      <c r="AY36" s="1406"/>
      <c r="AZ36" s="1406"/>
      <c r="BA36" s="1406"/>
      <c r="BB36" s="1406"/>
      <c r="BC36" s="1406"/>
    </row>
    <row r="37" spans="1:55">
      <c r="A37" s="1681" t="s">
        <v>5670</v>
      </c>
      <c r="B37" s="1200"/>
      <c r="C37" s="638"/>
      <c r="D37" s="638"/>
      <c r="E37" s="721">
        <f t="shared" si="0"/>
        <v>0</v>
      </c>
      <c r="F37" s="2423">
        <f>-SUMIFS(凭证检查!$G$7:$G$206,凭证检查!$E$7:$E$206,"制造费用",凭证检查!$F$7:$F$206,A37,凭证检查!$N$7:$N$206,"调入*费")</f>
        <v>0</v>
      </c>
      <c r="G37" s="1401">
        <f t="shared" si="1"/>
        <v>0</v>
      </c>
      <c r="H37" s="958"/>
      <c r="I37" s="958"/>
      <c r="J37" s="958"/>
      <c r="K37" s="958"/>
      <c r="L37" s="958"/>
      <c r="M37" s="958"/>
      <c r="N37" s="1406"/>
      <c r="O37" s="1406"/>
      <c r="P37" s="1406"/>
      <c r="Q37" s="1406"/>
      <c r="R37" s="1406"/>
      <c r="S37" s="1406"/>
      <c r="T37" s="1406"/>
      <c r="U37" s="1406"/>
      <c r="V37" s="1406"/>
      <c r="W37" s="1406"/>
      <c r="X37" s="1406"/>
      <c r="Y37" s="1406"/>
      <c r="Z37" s="1406"/>
      <c r="AA37" s="1406"/>
      <c r="AB37" s="1406"/>
      <c r="AC37" s="1406"/>
      <c r="AD37" s="1406"/>
      <c r="AE37" s="1406"/>
      <c r="AF37" s="1406"/>
      <c r="AG37" s="1406"/>
      <c r="AH37" s="1406"/>
      <c r="AI37" s="1406"/>
      <c r="AJ37" s="1406"/>
      <c r="AK37" s="1406"/>
      <c r="AL37" s="1406"/>
      <c r="AM37" s="1406"/>
      <c r="AN37" s="1406"/>
      <c r="AO37" s="1406"/>
      <c r="AP37" s="1406"/>
      <c r="AQ37" s="1406"/>
      <c r="AR37" s="1406"/>
      <c r="AS37" s="1406"/>
      <c r="AT37" s="1406"/>
      <c r="AU37" s="1406"/>
      <c r="AV37" s="1406"/>
      <c r="AW37" s="1406"/>
      <c r="AX37" s="1406"/>
      <c r="AY37" s="1406"/>
      <c r="AZ37" s="1406"/>
      <c r="BA37" s="1406"/>
      <c r="BB37" s="1406"/>
      <c r="BC37" s="1406"/>
    </row>
    <row r="38" spans="1:55">
      <c r="A38" s="1681" t="s">
        <v>5671</v>
      </c>
      <c r="B38" s="1200"/>
      <c r="C38" s="1202"/>
      <c r="D38" s="1202"/>
      <c r="E38" s="721">
        <f t="shared" si="0"/>
        <v>0</v>
      </c>
      <c r="F38" s="2423">
        <f>-SUMIFS(凭证检查!$G$7:$G$206,凭证检查!$E$7:$E$206,"制造费用",凭证检查!$F$7:$F$206,A38,凭证检查!$N$7:$N$206,"调入*费")+SUMIFS(凭证检查!$G$7:$G$206,凭证检查!$E$7:$E$206,"制造费用",凭证检查!$F$7:$F$206,A24,凭证检查!$N$7:$N$206,"&lt;&gt;调入*费")+SUMIFS(凭证检查!$G$7:$G$206,凭证检查!$E$7:$E$206,"制造费用",凭证检查!$F$7:$F$206,A25,凭证检查!$N$7:$N$206,"&lt;&gt;调入*费")+SUMIFS(凭证检查!$G$7:$G$206,凭证检查!$E$7:$E$206,"制造费用",凭证检查!$F$7:$F$206,A23,凭证检查!$N$7:$N$206,"&lt;&gt;调入*费")</f>
        <v>0</v>
      </c>
      <c r="G38" s="1401">
        <f t="shared" si="1"/>
        <v>0</v>
      </c>
      <c r="H38" s="958"/>
      <c r="I38" s="958"/>
      <c r="J38" s="958"/>
      <c r="K38" s="958"/>
      <c r="L38" s="958"/>
      <c r="M38" s="958"/>
      <c r="N38" s="1406"/>
      <c r="O38" s="1406"/>
      <c r="P38" s="1406"/>
      <c r="Q38" s="1406"/>
      <c r="R38" s="1406"/>
      <c r="S38" s="1406"/>
      <c r="T38" s="1406"/>
      <c r="U38" s="1406"/>
      <c r="V38" s="1406"/>
      <c r="W38" s="1406"/>
      <c r="X38" s="1406"/>
      <c r="Y38" s="1406"/>
      <c r="Z38" s="1406"/>
      <c r="AA38" s="1406"/>
      <c r="AB38" s="1406"/>
      <c r="AC38" s="1406"/>
      <c r="AD38" s="1406"/>
      <c r="AE38" s="1406"/>
      <c r="AF38" s="1406"/>
      <c r="AG38" s="1406"/>
      <c r="AH38" s="1406"/>
      <c r="AI38" s="1406"/>
      <c r="AJ38" s="1406"/>
      <c r="AK38" s="1406"/>
      <c r="AL38" s="1406"/>
      <c r="AM38" s="1406"/>
      <c r="AN38" s="1406"/>
      <c r="AO38" s="1406"/>
      <c r="AP38" s="1406"/>
      <c r="AQ38" s="1406"/>
      <c r="AR38" s="1406"/>
      <c r="AS38" s="1406"/>
      <c r="AT38" s="1406"/>
      <c r="AU38" s="1406"/>
      <c r="AV38" s="1406"/>
      <c r="AW38" s="1406"/>
      <c r="AX38" s="1406"/>
      <c r="AY38" s="1406"/>
      <c r="AZ38" s="1406"/>
      <c r="BA38" s="1406"/>
      <c r="BB38" s="1406"/>
      <c r="BC38" s="1406"/>
    </row>
    <row r="39" spans="1:55">
      <c r="A39" s="1674"/>
      <c r="B39" s="1200"/>
      <c r="C39" s="1202"/>
      <c r="D39" s="1202"/>
      <c r="E39" s="721">
        <f t="shared" si="0"/>
        <v>0</v>
      </c>
      <c r="F39" s="1202"/>
      <c r="G39" s="1401">
        <f t="shared" si="1"/>
        <v>0</v>
      </c>
      <c r="H39" s="958"/>
      <c r="I39" s="958"/>
      <c r="J39" s="958"/>
      <c r="K39" s="958"/>
      <c r="L39" s="958"/>
      <c r="M39" s="958"/>
      <c r="N39" s="1406"/>
      <c r="O39" s="1406"/>
      <c r="P39" s="1406"/>
      <c r="Q39" s="1406"/>
      <c r="R39" s="1406"/>
      <c r="S39" s="1406"/>
      <c r="T39" s="1406"/>
      <c r="U39" s="1406"/>
      <c r="V39" s="1406"/>
      <c r="W39" s="1406"/>
      <c r="X39" s="1406"/>
      <c r="Y39" s="1406"/>
      <c r="Z39" s="1406"/>
      <c r="AA39" s="1406"/>
      <c r="AB39" s="1406"/>
      <c r="AC39" s="1406"/>
      <c r="AD39" s="1406"/>
      <c r="AE39" s="1406"/>
      <c r="AF39" s="1406"/>
      <c r="AG39" s="1406"/>
      <c r="AH39" s="1406"/>
      <c r="AI39" s="1406"/>
      <c r="AJ39" s="1406"/>
      <c r="AK39" s="1406"/>
      <c r="AL39" s="1406"/>
      <c r="AM39" s="1406"/>
      <c r="AN39" s="1406"/>
      <c r="AO39" s="1406"/>
      <c r="AP39" s="1406"/>
      <c r="AQ39" s="1406"/>
      <c r="AR39" s="1406"/>
      <c r="AS39" s="1406"/>
      <c r="AT39" s="1406"/>
      <c r="AU39" s="1406"/>
      <c r="AV39" s="1406"/>
      <c r="AW39" s="1406"/>
      <c r="AX39" s="1406"/>
      <c r="AY39" s="1406"/>
      <c r="AZ39" s="1406"/>
      <c r="BA39" s="1406"/>
      <c r="BB39" s="1406"/>
      <c r="BC39" s="1406"/>
    </row>
    <row r="40" spans="1:55">
      <c r="A40" s="1684"/>
      <c r="B40" s="1676"/>
      <c r="C40" s="1284"/>
      <c r="D40" s="1284"/>
      <c r="E40" s="648">
        <f t="shared" si="0"/>
        <v>0</v>
      </c>
      <c r="F40" s="1284"/>
      <c r="G40" s="626">
        <f t="shared" si="1"/>
        <v>0</v>
      </c>
      <c r="H40" s="958"/>
      <c r="I40" s="958"/>
      <c r="J40" s="958"/>
      <c r="K40" s="958"/>
      <c r="L40" s="958"/>
      <c r="M40" s="958"/>
      <c r="N40" s="1406"/>
      <c r="O40" s="1406"/>
      <c r="P40" s="1406"/>
      <c r="Q40" s="1406"/>
      <c r="R40" s="1406"/>
      <c r="S40" s="1406"/>
      <c r="T40" s="1406"/>
      <c r="U40" s="1406"/>
      <c r="V40" s="1406"/>
      <c r="W40" s="1406"/>
      <c r="X40" s="1406"/>
      <c r="Y40" s="1406"/>
      <c r="Z40" s="1406"/>
      <c r="AA40" s="1406"/>
      <c r="AB40" s="1406"/>
      <c r="AC40" s="1406"/>
      <c r="AD40" s="1406"/>
      <c r="AE40" s="1406"/>
      <c r="AF40" s="1406"/>
      <c r="AG40" s="1406"/>
      <c r="AH40" s="1406"/>
      <c r="AI40" s="1406"/>
      <c r="AJ40" s="1406"/>
      <c r="AK40" s="1406"/>
      <c r="AL40" s="1406"/>
      <c r="AM40" s="1406"/>
      <c r="AN40" s="1406"/>
      <c r="AO40" s="1406"/>
      <c r="AP40" s="1406"/>
      <c r="AQ40" s="1406"/>
      <c r="AR40" s="1406"/>
      <c r="AS40" s="1406"/>
      <c r="AT40" s="1406"/>
      <c r="AU40" s="1406"/>
      <c r="AV40" s="1406"/>
      <c r="AW40" s="1406"/>
      <c r="AX40" s="1406"/>
      <c r="AY40" s="1406"/>
      <c r="AZ40" s="1406"/>
      <c r="BA40" s="1406"/>
      <c r="BB40" s="1406"/>
      <c r="BC40" s="1406"/>
    </row>
    <row r="41" spans="1:55" ht="9" customHeight="1">
      <c r="A41" s="3239" t="s">
        <v>4430</v>
      </c>
      <c r="B41" s="3239"/>
      <c r="C41" s="3102" t="str">
        <f>IF(D21&lt;&gt;C12+C16,"生产成本借方发生额与制造费用贷方发生额相差"&amp;DOLLAR(D21-C12-C16,2)&amp;"元！","生产成本借方发生额与制造费用贷方发生额相符！")</f>
        <v>生产成本借方发生额与制造费用贷方发生额相符！</v>
      </c>
      <c r="D41" s="3102"/>
      <c r="E41" s="3102"/>
      <c r="F41" s="3102"/>
      <c r="G41" s="3102"/>
      <c r="H41" s="958"/>
      <c r="I41" s="958"/>
      <c r="J41" s="958"/>
      <c r="K41" s="958"/>
      <c r="L41" s="958"/>
      <c r="M41" s="958"/>
      <c r="N41" s="1406"/>
      <c r="O41" s="1406"/>
      <c r="P41" s="1406"/>
      <c r="Q41" s="1406"/>
      <c r="R41" s="1406"/>
      <c r="S41" s="1406"/>
      <c r="T41" s="1406"/>
      <c r="U41" s="1406"/>
      <c r="V41" s="1406"/>
      <c r="W41" s="1406"/>
      <c r="X41" s="1406"/>
      <c r="Y41" s="1406"/>
      <c r="Z41" s="1406"/>
      <c r="AA41" s="1406"/>
      <c r="AB41" s="1406"/>
      <c r="AC41" s="1406"/>
      <c r="AD41" s="1406"/>
      <c r="AE41" s="1406"/>
      <c r="AF41" s="1406"/>
      <c r="AG41" s="1406"/>
      <c r="AH41" s="1406"/>
      <c r="AI41" s="1406"/>
      <c r="AJ41" s="1406"/>
      <c r="AK41" s="1406"/>
      <c r="AL41" s="1406"/>
      <c r="AM41" s="1406"/>
      <c r="AN41" s="1406"/>
      <c r="AO41" s="1406"/>
      <c r="AP41" s="1406"/>
      <c r="AQ41" s="1406"/>
      <c r="AR41" s="1406"/>
      <c r="AS41" s="1406"/>
      <c r="AT41" s="1406"/>
      <c r="AU41" s="1406"/>
      <c r="AV41" s="1406"/>
      <c r="AW41" s="1406"/>
      <c r="AX41" s="1406"/>
      <c r="AY41" s="1406"/>
      <c r="AZ41" s="1406"/>
      <c r="BA41" s="1406"/>
      <c r="BB41" s="1406"/>
      <c r="BC41" s="1406"/>
    </row>
    <row r="42" spans="1:55" ht="9" customHeight="1">
      <c r="A42" s="3239"/>
      <c r="B42" s="3239"/>
      <c r="C42" s="3102"/>
      <c r="D42" s="3102"/>
      <c r="E42" s="3102"/>
      <c r="F42" s="3102"/>
      <c r="G42" s="3102"/>
      <c r="H42" s="958"/>
      <c r="I42" s="958"/>
      <c r="J42" s="958"/>
      <c r="K42" s="958"/>
      <c r="L42" s="958"/>
      <c r="M42" s="958"/>
      <c r="N42" s="1406"/>
      <c r="O42" s="1406"/>
      <c r="P42" s="1406"/>
      <c r="Q42" s="1406"/>
      <c r="R42" s="1406"/>
      <c r="S42" s="1406"/>
      <c r="T42" s="1406"/>
      <c r="U42" s="1406"/>
      <c r="V42" s="1406"/>
      <c r="W42" s="1406"/>
      <c r="X42" s="1406"/>
      <c r="Y42" s="1406"/>
      <c r="Z42" s="1406"/>
      <c r="AA42" s="1406"/>
      <c r="AB42" s="1406"/>
      <c r="AC42" s="1406"/>
      <c r="AD42" s="1406"/>
      <c r="AE42" s="1406"/>
      <c r="AF42" s="1406"/>
      <c r="AG42" s="1406"/>
      <c r="AH42" s="1406"/>
      <c r="AI42" s="1406"/>
      <c r="AJ42" s="1406"/>
      <c r="AK42" s="1406"/>
      <c r="AL42" s="1406"/>
      <c r="AM42" s="1406"/>
      <c r="AN42" s="1406"/>
      <c r="AO42" s="1406"/>
      <c r="AP42" s="1406"/>
      <c r="AQ42" s="1406"/>
      <c r="AR42" s="1406"/>
      <c r="AS42" s="1406"/>
      <c r="AT42" s="1406"/>
      <c r="AU42" s="1406"/>
      <c r="AV42" s="1406"/>
      <c r="AW42" s="1406"/>
      <c r="AX42" s="1406"/>
      <c r="AY42" s="1406"/>
      <c r="AZ42" s="1406"/>
      <c r="BA42" s="1406"/>
      <c r="BB42" s="1406"/>
      <c r="BC42" s="1406"/>
    </row>
    <row r="43" spans="1:55" ht="15.2" customHeight="1">
      <c r="A43" s="3240" t="s">
        <v>4431</v>
      </c>
      <c r="B43" s="3240"/>
      <c r="C43" s="3251" t="s">
        <v>5672</v>
      </c>
      <c r="D43" s="3251"/>
      <c r="E43" s="3172" t="str">
        <f>IF(OR(F8&lt;&gt;0,F21&lt;&gt;0),"、E","")</f>
        <v/>
      </c>
      <c r="F43" s="3172"/>
      <c r="G43" s="3172"/>
      <c r="H43" s="958"/>
      <c r="I43" s="958"/>
      <c r="J43" s="958"/>
      <c r="K43" s="958"/>
      <c r="L43" s="958"/>
      <c r="M43" s="958"/>
      <c r="N43" s="1406"/>
      <c r="O43" s="1406"/>
      <c r="P43" s="1406"/>
      <c r="Q43" s="1406"/>
      <c r="R43" s="1406"/>
      <c r="S43" s="1406"/>
      <c r="T43" s="1406"/>
      <c r="U43" s="1406"/>
      <c r="V43" s="1406"/>
      <c r="W43" s="1406"/>
      <c r="X43" s="1406"/>
      <c r="Y43" s="1406"/>
      <c r="Z43" s="1406"/>
      <c r="AA43" s="1406"/>
      <c r="AB43" s="1406"/>
      <c r="AC43" s="1406"/>
      <c r="AD43" s="1406"/>
      <c r="AE43" s="1406"/>
      <c r="AF43" s="1406"/>
      <c r="AG43" s="1406"/>
      <c r="AH43" s="1406"/>
      <c r="AI43" s="1406"/>
      <c r="AJ43" s="1406"/>
      <c r="AK43" s="1406"/>
      <c r="AL43" s="1406"/>
      <c r="AM43" s="1406"/>
      <c r="AN43" s="1406"/>
      <c r="AO43" s="1406"/>
      <c r="AP43" s="1406"/>
      <c r="AQ43" s="1406"/>
      <c r="AR43" s="1406"/>
      <c r="AS43" s="1406"/>
      <c r="AT43" s="1406"/>
      <c r="AU43" s="1406"/>
      <c r="AV43" s="1406"/>
      <c r="AW43" s="1406"/>
      <c r="AX43" s="1406"/>
      <c r="AY43" s="1406"/>
      <c r="AZ43" s="1406"/>
      <c r="BA43" s="1406"/>
      <c r="BB43" s="1406"/>
      <c r="BC43" s="1406"/>
    </row>
    <row r="44" spans="1:55">
      <c r="A44" s="3240"/>
      <c r="B44" s="3240"/>
      <c r="C44" s="3252"/>
      <c r="D44" s="3252"/>
      <c r="E44" s="3252"/>
      <c r="F44" s="3252"/>
      <c r="G44" s="3252"/>
      <c r="H44" s="958"/>
      <c r="I44" s="958"/>
      <c r="J44" s="958"/>
      <c r="K44" s="958"/>
      <c r="L44" s="958"/>
      <c r="M44" s="958"/>
      <c r="N44" s="1406"/>
      <c r="O44" s="1406"/>
      <c r="P44" s="1406"/>
      <c r="Q44" s="1406"/>
      <c r="R44" s="1406"/>
      <c r="S44" s="1406"/>
      <c r="T44" s="1406"/>
      <c r="U44" s="1406"/>
      <c r="V44" s="1406"/>
      <c r="W44" s="1406"/>
      <c r="X44" s="1406"/>
      <c r="Y44" s="1406"/>
      <c r="Z44" s="1406"/>
      <c r="AA44" s="1406"/>
      <c r="AB44" s="1406"/>
      <c r="AC44" s="1406"/>
      <c r="AD44" s="1406"/>
      <c r="AE44" s="1406"/>
      <c r="AF44" s="1406"/>
      <c r="AG44" s="1406"/>
      <c r="AH44" s="1406"/>
      <c r="AI44" s="1406"/>
      <c r="AJ44" s="1406"/>
      <c r="AK44" s="1406"/>
      <c r="AL44" s="1406"/>
      <c r="AM44" s="1406"/>
      <c r="AN44" s="1406"/>
      <c r="AO44" s="1406"/>
      <c r="AP44" s="1406"/>
      <c r="AQ44" s="1406"/>
      <c r="AR44" s="1406"/>
      <c r="AS44" s="1406"/>
      <c r="AT44" s="1406"/>
      <c r="AU44" s="1406"/>
      <c r="AV44" s="1406"/>
      <c r="AW44" s="1406"/>
      <c r="AX44" s="1406"/>
      <c r="AY44" s="1406"/>
      <c r="AZ44" s="1406"/>
      <c r="BA44" s="1406"/>
      <c r="BB44" s="1406"/>
      <c r="BC44" s="1406"/>
    </row>
    <row r="45" spans="1:55">
      <c r="A45" s="3240"/>
      <c r="B45" s="3240"/>
      <c r="C45" s="3252"/>
      <c r="D45" s="3252"/>
      <c r="E45" s="3252"/>
      <c r="F45" s="3252"/>
      <c r="G45" s="3252"/>
      <c r="H45" s="958"/>
      <c r="I45" s="958"/>
      <c r="J45" s="958"/>
      <c r="K45" s="958"/>
      <c r="L45" s="958"/>
      <c r="M45" s="958"/>
      <c r="N45" s="1406"/>
      <c r="O45" s="1406"/>
      <c r="P45" s="1406"/>
      <c r="Q45" s="1406"/>
      <c r="R45" s="1406"/>
      <c r="S45" s="1406"/>
      <c r="T45" s="1406"/>
      <c r="U45" s="1406"/>
      <c r="V45" s="1406"/>
      <c r="W45" s="1406"/>
      <c r="X45" s="1406"/>
      <c r="Y45" s="1406"/>
      <c r="Z45" s="1406"/>
      <c r="AA45" s="1406"/>
      <c r="AB45" s="1406"/>
      <c r="AC45" s="1406"/>
      <c r="AD45" s="1406"/>
      <c r="AE45" s="1406"/>
      <c r="AF45" s="1406"/>
      <c r="AG45" s="1406"/>
      <c r="AH45" s="1406"/>
      <c r="AI45" s="1406"/>
      <c r="AJ45" s="1406"/>
      <c r="AK45" s="1406"/>
      <c r="AL45" s="1406"/>
      <c r="AM45" s="1406"/>
      <c r="AN45" s="1406"/>
      <c r="AO45" s="1406"/>
      <c r="AP45" s="1406"/>
      <c r="AQ45" s="1406"/>
      <c r="AR45" s="1406"/>
      <c r="AS45" s="1406"/>
      <c r="AT45" s="1406"/>
      <c r="AU45" s="1406"/>
      <c r="AV45" s="1406"/>
      <c r="AW45" s="1406"/>
      <c r="AX45" s="1406"/>
      <c r="AY45" s="1406"/>
      <c r="AZ45" s="1406"/>
      <c r="BA45" s="1406"/>
      <c r="BB45" s="1406"/>
      <c r="BC45" s="1406"/>
    </row>
    <row r="46" spans="1:55">
      <c r="A46" s="3240"/>
      <c r="B46" s="3240"/>
      <c r="C46" s="3252"/>
      <c r="D46" s="3252"/>
      <c r="E46" s="3252"/>
      <c r="F46" s="3252"/>
      <c r="G46" s="3252"/>
      <c r="H46" s="958"/>
      <c r="I46" s="958"/>
      <c r="J46" s="958"/>
      <c r="K46" s="958"/>
      <c r="L46" s="958"/>
      <c r="M46" s="958"/>
      <c r="N46" s="1406"/>
      <c r="O46" s="1406"/>
      <c r="P46" s="1406"/>
      <c r="Q46" s="1406"/>
      <c r="R46" s="1406"/>
      <c r="S46" s="1406"/>
      <c r="T46" s="1406"/>
      <c r="U46" s="1406"/>
      <c r="V46" s="1406"/>
      <c r="W46" s="1406"/>
      <c r="X46" s="1406"/>
      <c r="Y46" s="1406"/>
      <c r="Z46" s="1406"/>
      <c r="AA46" s="1406"/>
      <c r="AB46" s="1406"/>
      <c r="AC46" s="1406"/>
      <c r="AD46" s="1406"/>
      <c r="AE46" s="1406"/>
      <c r="AF46" s="1406"/>
      <c r="AG46" s="1406"/>
      <c r="AH46" s="1406"/>
      <c r="AI46" s="1406"/>
      <c r="AJ46" s="1406"/>
      <c r="AK46" s="1406"/>
      <c r="AL46" s="1406"/>
      <c r="AM46" s="1406"/>
      <c r="AN46" s="1406"/>
      <c r="AO46" s="1406"/>
      <c r="AP46" s="1406"/>
      <c r="AQ46" s="1406"/>
      <c r="AR46" s="1406"/>
      <c r="AS46" s="1406"/>
      <c r="AT46" s="1406"/>
      <c r="AU46" s="1406"/>
      <c r="AV46" s="1406"/>
      <c r="AW46" s="1406"/>
      <c r="AX46" s="1406"/>
      <c r="AY46" s="1406"/>
      <c r="AZ46" s="1406"/>
      <c r="BA46" s="1406"/>
      <c r="BB46" s="1406"/>
      <c r="BC46" s="1406"/>
    </row>
    <row r="47" spans="1:55">
      <c r="A47" s="3240"/>
      <c r="B47" s="3240"/>
      <c r="C47" s="3252"/>
      <c r="D47" s="3252"/>
      <c r="E47" s="3252"/>
      <c r="F47" s="3252"/>
      <c r="G47" s="3252"/>
      <c r="H47" s="958"/>
      <c r="I47" s="958"/>
      <c r="J47" s="958"/>
      <c r="K47" s="958"/>
      <c r="L47" s="958"/>
      <c r="M47" s="958"/>
      <c r="N47" s="1406"/>
      <c r="O47" s="1406"/>
      <c r="P47" s="1406"/>
      <c r="Q47" s="1406"/>
      <c r="R47" s="1406"/>
      <c r="S47" s="1406"/>
      <c r="T47" s="1406"/>
      <c r="U47" s="1406"/>
      <c r="V47" s="1406"/>
      <c r="W47" s="1406"/>
      <c r="X47" s="1406"/>
      <c r="Y47" s="1406"/>
      <c r="Z47" s="1406"/>
      <c r="AA47" s="1406"/>
      <c r="AB47" s="1406"/>
      <c r="AC47" s="1406"/>
      <c r="AD47" s="1406"/>
      <c r="AE47" s="1406"/>
      <c r="AF47" s="1406"/>
      <c r="AG47" s="1406"/>
      <c r="AH47" s="1406"/>
      <c r="AI47" s="1406"/>
      <c r="AJ47" s="1406"/>
      <c r="AK47" s="1406"/>
      <c r="AL47" s="1406"/>
      <c r="AM47" s="1406"/>
      <c r="AN47" s="1406"/>
      <c r="AO47" s="1406"/>
      <c r="AP47" s="1406"/>
      <c r="AQ47" s="1406"/>
      <c r="AR47" s="1406"/>
      <c r="AS47" s="1406"/>
      <c r="AT47" s="1406"/>
      <c r="AU47" s="1406"/>
      <c r="AV47" s="1406"/>
      <c r="AW47" s="1406"/>
      <c r="AX47" s="1406"/>
      <c r="AY47" s="1406"/>
      <c r="AZ47" s="1406"/>
      <c r="BA47" s="1406"/>
      <c r="BB47" s="1406"/>
      <c r="BC47" s="1406"/>
    </row>
    <row r="48" spans="1:55">
      <c r="A48" s="2727" t="s">
        <v>4433</v>
      </c>
      <c r="B48" s="2727"/>
      <c r="C48" s="3170" t="str">
        <f>IF(AND(F8=0,F21=0),"不存在调整事项,认可！","调整后认可！")</f>
        <v>不存在调整事项,认可！</v>
      </c>
      <c r="D48" s="3170"/>
      <c r="E48" s="3170"/>
      <c r="F48" s="3170"/>
      <c r="G48" s="3170"/>
      <c r="H48" s="958"/>
      <c r="I48" s="958"/>
      <c r="J48" s="958"/>
      <c r="K48" s="958"/>
      <c r="L48" s="958"/>
      <c r="M48" s="958"/>
      <c r="N48" s="1406"/>
      <c r="O48" s="1406"/>
      <c r="P48" s="1406"/>
      <c r="Q48" s="1406"/>
      <c r="R48" s="1406"/>
      <c r="S48" s="1406"/>
      <c r="T48" s="1406"/>
      <c r="U48" s="1406"/>
      <c r="V48" s="1406"/>
      <c r="W48" s="1406"/>
      <c r="X48" s="1406"/>
      <c r="Y48" s="1406"/>
      <c r="Z48" s="1406"/>
      <c r="AA48" s="1406"/>
      <c r="AB48" s="1406"/>
      <c r="AC48" s="1406"/>
      <c r="AD48" s="1406"/>
      <c r="AE48" s="1406"/>
      <c r="AF48" s="1406"/>
      <c r="AG48" s="1406"/>
      <c r="AH48" s="1406"/>
      <c r="AI48" s="1406"/>
      <c r="AJ48" s="1406"/>
      <c r="AK48" s="1406"/>
      <c r="AL48" s="1406"/>
      <c r="AM48" s="1406"/>
      <c r="AN48" s="1406"/>
      <c r="AO48" s="1406"/>
      <c r="AP48" s="1406"/>
      <c r="AQ48" s="1406"/>
      <c r="AR48" s="1406"/>
      <c r="AS48" s="1406"/>
      <c r="AT48" s="1406"/>
      <c r="AU48" s="1406"/>
      <c r="AV48" s="1406"/>
      <c r="AW48" s="1406"/>
      <c r="AX48" s="1406"/>
      <c r="AY48" s="1406"/>
      <c r="AZ48" s="1406"/>
      <c r="BA48" s="1406"/>
      <c r="BB48" s="1406"/>
      <c r="BC48" s="1406"/>
    </row>
    <row r="49" spans="1:55">
      <c r="A49" s="958"/>
      <c r="B49" s="958"/>
      <c r="C49" s="958"/>
      <c r="D49" s="958"/>
      <c r="E49" s="958"/>
      <c r="F49" s="958"/>
      <c r="G49" s="958"/>
      <c r="H49" s="958"/>
      <c r="I49" s="958"/>
      <c r="J49" s="958"/>
      <c r="K49" s="958"/>
      <c r="L49" s="958"/>
      <c r="M49" s="958"/>
      <c r="N49" s="1406"/>
      <c r="O49" s="1406"/>
      <c r="P49" s="1406"/>
      <c r="Q49" s="1406"/>
      <c r="R49" s="1406"/>
      <c r="S49" s="1406"/>
      <c r="T49" s="1406"/>
      <c r="U49" s="1406"/>
      <c r="V49" s="1406"/>
      <c r="W49" s="1406"/>
      <c r="X49" s="1406"/>
      <c r="Y49" s="1406"/>
      <c r="Z49" s="1406"/>
      <c r="AA49" s="1406"/>
      <c r="AB49" s="1406"/>
      <c r="AC49" s="1406"/>
      <c r="AD49" s="1406"/>
      <c r="AE49" s="1406"/>
      <c r="AF49" s="1406"/>
      <c r="AG49" s="1406"/>
      <c r="AH49" s="1406"/>
      <c r="AI49" s="1406"/>
      <c r="AJ49" s="1406"/>
      <c r="AK49" s="1406"/>
      <c r="AL49" s="1406"/>
      <c r="AM49" s="1406"/>
      <c r="AN49" s="1406"/>
      <c r="AO49" s="1406"/>
      <c r="AP49" s="1406"/>
      <c r="AQ49" s="1406"/>
      <c r="AR49" s="1406"/>
      <c r="AS49" s="1406"/>
      <c r="AT49" s="1406"/>
      <c r="AU49" s="1406"/>
      <c r="AV49" s="1406"/>
      <c r="AW49" s="1406"/>
      <c r="AX49" s="1406"/>
      <c r="AY49" s="1406"/>
      <c r="AZ49" s="1406"/>
      <c r="BA49" s="1406"/>
      <c r="BB49" s="1406"/>
      <c r="BC49" s="1406"/>
    </row>
    <row r="50" spans="1:55">
      <c r="A50" s="958"/>
      <c r="B50" s="958"/>
      <c r="C50" s="958"/>
      <c r="D50" s="958"/>
      <c r="E50" s="958"/>
      <c r="F50" s="958"/>
      <c r="G50" s="958"/>
      <c r="H50" s="958"/>
      <c r="I50" s="958"/>
      <c r="J50" s="958"/>
      <c r="K50" s="958"/>
      <c r="L50" s="958"/>
      <c r="M50" s="958"/>
      <c r="N50" s="1406"/>
      <c r="O50" s="1406"/>
      <c r="P50" s="1406"/>
      <c r="Q50" s="1406"/>
      <c r="R50" s="1406"/>
      <c r="S50" s="1406"/>
      <c r="T50" s="1406"/>
      <c r="U50" s="1406"/>
      <c r="V50" s="1406"/>
      <c r="W50" s="1406"/>
      <c r="X50" s="1406"/>
      <c r="Y50" s="1406"/>
      <c r="Z50" s="1406"/>
      <c r="AA50" s="1406"/>
      <c r="AB50" s="1406"/>
      <c r="AC50" s="1406"/>
      <c r="AD50" s="1406"/>
      <c r="AE50" s="1406"/>
      <c r="AF50" s="1406"/>
      <c r="AG50" s="1406"/>
      <c r="AH50" s="1406"/>
      <c r="AI50" s="1406"/>
      <c r="AJ50" s="1406"/>
      <c r="AK50" s="1406"/>
      <c r="AL50" s="1406"/>
      <c r="AM50" s="1406"/>
      <c r="AN50" s="1406"/>
      <c r="AO50" s="1406"/>
      <c r="AP50" s="1406"/>
      <c r="AQ50" s="1406"/>
      <c r="AR50" s="1406"/>
      <c r="AS50" s="1406"/>
      <c r="AT50" s="1406"/>
      <c r="AU50" s="1406"/>
      <c r="AV50" s="1406"/>
      <c r="AW50" s="1406"/>
      <c r="AX50" s="1406"/>
      <c r="AY50" s="1406"/>
      <c r="AZ50" s="1406"/>
      <c r="BA50" s="1406"/>
      <c r="BB50" s="1406"/>
      <c r="BC50" s="1406"/>
    </row>
    <row r="51" spans="1:55">
      <c r="A51" s="958"/>
      <c r="B51" s="958"/>
      <c r="C51" s="958"/>
      <c r="D51" s="958"/>
      <c r="E51" s="958"/>
      <c r="F51" s="958"/>
      <c r="G51" s="958"/>
      <c r="H51" s="958"/>
      <c r="I51" s="958"/>
      <c r="J51" s="958"/>
      <c r="K51" s="958"/>
      <c r="L51" s="958"/>
      <c r="M51" s="958"/>
      <c r="N51" s="1406"/>
      <c r="O51" s="1406"/>
      <c r="P51" s="1406"/>
      <c r="Q51" s="1406"/>
      <c r="R51" s="1406"/>
      <c r="S51" s="1406"/>
      <c r="T51" s="1406"/>
      <c r="U51" s="1406"/>
      <c r="V51" s="1406"/>
      <c r="W51" s="1406"/>
      <c r="X51" s="1406"/>
      <c r="Y51" s="1406"/>
      <c r="Z51" s="1406"/>
      <c r="AA51" s="1406"/>
      <c r="AB51" s="1406"/>
      <c r="AC51" s="1406"/>
      <c r="AD51" s="1406"/>
      <c r="AE51" s="1406"/>
      <c r="AF51" s="1406"/>
      <c r="AG51" s="1406"/>
      <c r="AH51" s="1406"/>
      <c r="AI51" s="1406"/>
      <c r="AJ51" s="1406"/>
      <c r="AK51" s="1406"/>
      <c r="AL51" s="1406"/>
      <c r="AM51" s="1406"/>
      <c r="AN51" s="1406"/>
      <c r="AO51" s="1406"/>
      <c r="AP51" s="1406"/>
      <c r="AQ51" s="1406"/>
      <c r="AR51" s="1406"/>
      <c r="AS51" s="1406"/>
      <c r="AT51" s="1406"/>
      <c r="AU51" s="1406"/>
      <c r="AV51" s="1406"/>
      <c r="AW51" s="1406"/>
      <c r="AX51" s="1406"/>
      <c r="AY51" s="1406"/>
      <c r="AZ51" s="1406"/>
      <c r="BA51" s="1406"/>
      <c r="BB51" s="1406"/>
      <c r="BC51" s="1406"/>
    </row>
    <row r="52" spans="1:55">
      <c r="A52" s="958"/>
      <c r="B52" s="958"/>
      <c r="C52" s="958"/>
      <c r="D52" s="958"/>
      <c r="E52" s="958"/>
      <c r="F52" s="958"/>
      <c r="G52" s="958"/>
      <c r="H52" s="958"/>
      <c r="I52" s="958"/>
      <c r="J52" s="958"/>
      <c r="K52" s="958"/>
      <c r="L52" s="958"/>
      <c r="M52" s="958"/>
      <c r="N52" s="1406"/>
      <c r="O52" s="1406"/>
      <c r="P52" s="1406"/>
      <c r="Q52" s="1406"/>
      <c r="R52" s="1406"/>
      <c r="S52" s="1406"/>
      <c r="T52" s="1406"/>
      <c r="U52" s="1406"/>
      <c r="V52" s="1406"/>
      <c r="W52" s="1406"/>
      <c r="X52" s="1406"/>
      <c r="Y52" s="1406"/>
      <c r="Z52" s="1406"/>
      <c r="AA52" s="1406"/>
      <c r="AB52" s="1406"/>
      <c r="AC52" s="1406"/>
      <c r="AD52" s="1406"/>
      <c r="AE52" s="1406"/>
      <c r="AF52" s="1406"/>
      <c r="AG52" s="1406"/>
      <c r="AH52" s="1406"/>
      <c r="AI52" s="1406"/>
      <c r="AJ52" s="1406"/>
      <c r="AK52" s="1406"/>
      <c r="AL52" s="1406"/>
      <c r="AM52" s="1406"/>
      <c r="AN52" s="1406"/>
      <c r="AO52" s="1406"/>
      <c r="AP52" s="1406"/>
      <c r="AQ52" s="1406"/>
      <c r="AR52" s="1406"/>
      <c r="AS52" s="1406"/>
      <c r="AT52" s="1406"/>
      <c r="AU52" s="1406"/>
      <c r="AV52" s="1406"/>
      <c r="AW52" s="1406"/>
      <c r="AX52" s="1406"/>
      <c r="AY52" s="1406"/>
      <c r="AZ52" s="1406"/>
      <c r="BA52" s="1406"/>
      <c r="BB52" s="1406"/>
      <c r="BC52" s="1406"/>
    </row>
    <row r="53" spans="1:55">
      <c r="A53" s="958"/>
      <c r="B53" s="958"/>
      <c r="C53" s="958"/>
      <c r="D53" s="958"/>
      <c r="E53" s="958"/>
      <c r="F53" s="958"/>
      <c r="G53" s="958"/>
      <c r="H53" s="958"/>
      <c r="I53" s="958"/>
      <c r="J53" s="958"/>
      <c r="K53" s="958"/>
      <c r="L53" s="958"/>
      <c r="M53" s="958"/>
      <c r="N53" s="1406"/>
      <c r="O53" s="1406"/>
      <c r="P53" s="1406"/>
      <c r="Q53" s="1406"/>
      <c r="R53" s="1406"/>
      <c r="S53" s="1406"/>
      <c r="T53" s="1406"/>
      <c r="U53" s="1406"/>
      <c r="V53" s="1406"/>
      <c r="W53" s="1406"/>
      <c r="X53" s="1406"/>
      <c r="Y53" s="1406"/>
      <c r="Z53" s="1406"/>
      <c r="AA53" s="1406"/>
      <c r="AB53" s="1406"/>
      <c r="AC53" s="1406"/>
      <c r="AD53" s="1406"/>
      <c r="AE53" s="1406"/>
      <c r="AF53" s="1406"/>
      <c r="AG53" s="1406"/>
      <c r="AH53" s="1406"/>
      <c r="AI53" s="1406"/>
      <c r="AJ53" s="1406"/>
      <c r="AK53" s="1406"/>
      <c r="AL53" s="1406"/>
      <c r="AM53" s="1406"/>
      <c r="AN53" s="1406"/>
      <c r="AO53" s="1406"/>
      <c r="AP53" s="1406"/>
      <c r="AQ53" s="1406"/>
      <c r="AR53" s="1406"/>
      <c r="AS53" s="1406"/>
      <c r="AT53" s="1406"/>
      <c r="AU53" s="1406"/>
      <c r="AV53" s="1406"/>
      <c r="AW53" s="1406"/>
      <c r="AX53" s="1406"/>
      <c r="AY53" s="1406"/>
      <c r="AZ53" s="1406"/>
      <c r="BA53" s="1406"/>
      <c r="BB53" s="1406"/>
      <c r="BC53" s="1406"/>
    </row>
    <row r="54" spans="1:55">
      <c r="A54" s="958"/>
      <c r="B54" s="958"/>
      <c r="C54" s="958"/>
      <c r="D54" s="958"/>
      <c r="E54" s="958"/>
      <c r="F54" s="958"/>
      <c r="G54" s="958"/>
      <c r="H54" s="958"/>
      <c r="I54" s="958"/>
      <c r="J54" s="958"/>
      <c r="K54" s="958"/>
      <c r="L54" s="958"/>
      <c r="M54" s="958"/>
      <c r="N54" s="1406"/>
      <c r="O54" s="1406"/>
      <c r="P54" s="1406"/>
      <c r="Q54" s="1406"/>
      <c r="R54" s="1406"/>
      <c r="S54" s="1406"/>
      <c r="T54" s="1406"/>
      <c r="U54" s="1406"/>
      <c r="V54" s="1406"/>
      <c r="W54" s="1406"/>
      <c r="X54" s="1406"/>
      <c r="Y54" s="1406"/>
      <c r="Z54" s="1406"/>
      <c r="AA54" s="1406"/>
      <c r="AB54" s="1406"/>
      <c r="AC54" s="1406"/>
      <c r="AD54" s="1406"/>
      <c r="AE54" s="1406"/>
      <c r="AF54" s="1406"/>
      <c r="AG54" s="1406"/>
      <c r="AH54" s="1406"/>
      <c r="AI54" s="1406"/>
      <c r="AJ54" s="1406"/>
      <c r="AK54" s="1406"/>
      <c r="AL54" s="1406"/>
      <c r="AM54" s="1406"/>
      <c r="AN54" s="1406"/>
      <c r="AO54" s="1406"/>
      <c r="AP54" s="1406"/>
      <c r="AQ54" s="1406"/>
      <c r="AR54" s="1406"/>
      <c r="AS54" s="1406"/>
      <c r="AT54" s="1406"/>
      <c r="AU54" s="1406"/>
      <c r="AV54" s="1406"/>
      <c r="AW54" s="1406"/>
      <c r="AX54" s="1406"/>
      <c r="AY54" s="1406"/>
      <c r="AZ54" s="1406"/>
      <c r="BA54" s="1406"/>
      <c r="BB54" s="1406"/>
      <c r="BC54" s="1406"/>
    </row>
    <row r="55" spans="1:55">
      <c r="A55" s="958"/>
      <c r="B55" s="958"/>
      <c r="C55" s="958"/>
      <c r="D55" s="958"/>
      <c r="E55" s="958"/>
      <c r="F55" s="958"/>
      <c r="G55" s="958"/>
      <c r="H55" s="958"/>
      <c r="I55" s="958"/>
      <c r="J55" s="958"/>
      <c r="K55" s="958"/>
      <c r="L55" s="958"/>
      <c r="M55" s="958"/>
      <c r="N55" s="1406"/>
      <c r="O55" s="1406"/>
      <c r="P55" s="1406"/>
      <c r="Q55" s="1406"/>
      <c r="R55" s="1406"/>
      <c r="S55" s="1406"/>
      <c r="T55" s="1406"/>
      <c r="U55" s="1406"/>
      <c r="V55" s="1406"/>
      <c r="W55" s="1406"/>
      <c r="X55" s="1406"/>
      <c r="Y55" s="1406"/>
      <c r="Z55" s="1406"/>
      <c r="AA55" s="1406"/>
      <c r="AB55" s="1406"/>
      <c r="AC55" s="1406"/>
      <c r="AD55" s="1406"/>
      <c r="AE55" s="1406"/>
      <c r="AF55" s="1406"/>
      <c r="AG55" s="1406"/>
      <c r="AH55" s="1406"/>
      <c r="AI55" s="1406"/>
      <c r="AJ55" s="1406"/>
      <c r="AK55" s="1406"/>
      <c r="AL55" s="1406"/>
      <c r="AM55" s="1406"/>
      <c r="AN55" s="1406"/>
      <c r="AO55" s="1406"/>
      <c r="AP55" s="1406"/>
      <c r="AQ55" s="1406"/>
      <c r="AR55" s="1406"/>
      <c r="AS55" s="1406"/>
      <c r="AT55" s="1406"/>
      <c r="AU55" s="1406"/>
      <c r="AV55" s="1406"/>
      <c r="AW55" s="1406"/>
      <c r="AX55" s="1406"/>
      <c r="AY55" s="1406"/>
      <c r="AZ55" s="1406"/>
      <c r="BA55" s="1406"/>
      <c r="BB55" s="1406"/>
      <c r="BC55" s="1406"/>
    </row>
    <row r="56" spans="1:55">
      <c r="A56" s="958"/>
      <c r="B56" s="958"/>
      <c r="C56" s="958"/>
      <c r="D56" s="958"/>
      <c r="E56" s="958"/>
      <c r="F56" s="958"/>
      <c r="G56" s="958"/>
      <c r="H56" s="958"/>
      <c r="I56" s="958"/>
      <c r="J56" s="958"/>
      <c r="K56" s="958"/>
      <c r="L56" s="958"/>
      <c r="M56" s="958"/>
      <c r="N56" s="1406"/>
      <c r="O56" s="1406"/>
      <c r="P56" s="1406"/>
      <c r="Q56" s="1406"/>
      <c r="R56" s="1406"/>
      <c r="S56" s="1406"/>
      <c r="T56" s="1406"/>
      <c r="U56" s="1406"/>
      <c r="V56" s="1406"/>
      <c r="W56" s="1406"/>
      <c r="X56" s="1406"/>
      <c r="Y56" s="1406"/>
      <c r="Z56" s="1406"/>
      <c r="AA56" s="1406"/>
      <c r="AB56" s="1406"/>
      <c r="AC56" s="1406"/>
      <c r="AD56" s="1406"/>
      <c r="AE56" s="1406"/>
      <c r="AF56" s="1406"/>
      <c r="AG56" s="1406"/>
      <c r="AH56" s="1406"/>
      <c r="AI56" s="1406"/>
      <c r="AJ56" s="1406"/>
      <c r="AK56" s="1406"/>
      <c r="AL56" s="1406"/>
      <c r="AM56" s="1406"/>
      <c r="AN56" s="1406"/>
      <c r="AO56" s="1406"/>
      <c r="AP56" s="1406"/>
      <c r="AQ56" s="1406"/>
      <c r="AR56" s="1406"/>
      <c r="AS56" s="1406"/>
      <c r="AT56" s="1406"/>
      <c r="AU56" s="1406"/>
      <c r="AV56" s="1406"/>
      <c r="AW56" s="1406"/>
      <c r="AX56" s="1406"/>
      <c r="AY56" s="1406"/>
      <c r="AZ56" s="1406"/>
      <c r="BA56" s="1406"/>
      <c r="BB56" s="1406"/>
      <c r="BC56" s="1406"/>
    </row>
    <row r="57" spans="1:55">
      <c r="A57" s="958"/>
      <c r="B57" s="958"/>
      <c r="C57" s="958"/>
      <c r="D57" s="958"/>
      <c r="E57" s="958"/>
      <c r="F57" s="958"/>
      <c r="G57" s="958"/>
      <c r="H57" s="958"/>
      <c r="I57" s="958"/>
      <c r="J57" s="958"/>
      <c r="K57" s="958"/>
      <c r="L57" s="958"/>
      <c r="M57" s="958"/>
      <c r="N57" s="1406"/>
      <c r="O57" s="1406"/>
      <c r="P57" s="1406"/>
      <c r="Q57" s="1406"/>
      <c r="R57" s="1406"/>
      <c r="S57" s="1406"/>
      <c r="T57" s="1406"/>
      <c r="U57" s="1406"/>
      <c r="V57" s="1406"/>
      <c r="W57" s="1406"/>
      <c r="X57" s="1406"/>
      <c r="Y57" s="1406"/>
      <c r="Z57" s="1406"/>
      <c r="AA57" s="1406"/>
      <c r="AB57" s="1406"/>
      <c r="AC57" s="1406"/>
      <c r="AD57" s="1406"/>
      <c r="AE57" s="1406"/>
      <c r="AF57" s="1406"/>
      <c r="AG57" s="1406"/>
      <c r="AH57" s="1406"/>
      <c r="AI57" s="1406"/>
      <c r="AJ57" s="1406"/>
      <c r="AK57" s="1406"/>
      <c r="AL57" s="1406"/>
      <c r="AM57" s="1406"/>
      <c r="AN57" s="1406"/>
      <c r="AO57" s="1406"/>
      <c r="AP57" s="1406"/>
      <c r="AQ57" s="1406"/>
      <c r="AR57" s="1406"/>
      <c r="AS57" s="1406"/>
      <c r="AT57" s="1406"/>
      <c r="AU57" s="1406"/>
      <c r="AV57" s="1406"/>
      <c r="AW57" s="1406"/>
      <c r="AX57" s="1406"/>
      <c r="AY57" s="1406"/>
      <c r="AZ57" s="1406"/>
      <c r="BA57" s="1406"/>
      <c r="BB57" s="1406"/>
      <c r="BC57" s="1406"/>
    </row>
    <row r="58" spans="1:55">
      <c r="A58" s="958"/>
      <c r="B58" s="958"/>
      <c r="C58" s="958"/>
      <c r="D58" s="958"/>
      <c r="E58" s="958"/>
      <c r="F58" s="958"/>
      <c r="G58" s="958"/>
      <c r="H58" s="958"/>
      <c r="I58" s="958"/>
      <c r="J58" s="958"/>
      <c r="K58" s="958"/>
      <c r="L58" s="958"/>
      <c r="M58" s="958"/>
      <c r="N58" s="1406"/>
      <c r="O58" s="1406"/>
      <c r="P58" s="1406"/>
      <c r="Q58" s="1406"/>
      <c r="R58" s="1406"/>
      <c r="S58" s="1406"/>
      <c r="T58" s="1406"/>
      <c r="U58" s="1406"/>
      <c r="V58" s="1406"/>
      <c r="W58" s="1406"/>
      <c r="X58" s="1406"/>
      <c r="Y58" s="1406"/>
      <c r="Z58" s="1406"/>
      <c r="AA58" s="1406"/>
      <c r="AB58" s="1406"/>
      <c r="AC58" s="1406"/>
      <c r="AD58" s="1406"/>
      <c r="AE58" s="1406"/>
      <c r="AF58" s="1406"/>
      <c r="AG58" s="1406"/>
      <c r="AH58" s="1406"/>
      <c r="AI58" s="1406"/>
      <c r="AJ58" s="1406"/>
      <c r="AK58" s="1406"/>
      <c r="AL58" s="1406"/>
      <c r="AM58" s="1406"/>
      <c r="AN58" s="1406"/>
      <c r="AO58" s="1406"/>
      <c r="AP58" s="1406"/>
      <c r="AQ58" s="1406"/>
      <c r="AR58" s="1406"/>
      <c r="AS58" s="1406"/>
      <c r="AT58" s="1406"/>
      <c r="AU58" s="1406"/>
      <c r="AV58" s="1406"/>
      <c r="AW58" s="1406"/>
      <c r="AX58" s="1406"/>
      <c r="AY58" s="1406"/>
      <c r="AZ58" s="1406"/>
      <c r="BA58" s="1406"/>
      <c r="BB58" s="1406"/>
      <c r="BC58" s="1406"/>
    </row>
    <row r="59" spans="1:55">
      <c r="A59" s="958"/>
      <c r="B59" s="958"/>
      <c r="C59" s="958"/>
      <c r="D59" s="958"/>
      <c r="E59" s="958"/>
      <c r="F59" s="958"/>
      <c r="G59" s="958"/>
      <c r="H59" s="958"/>
      <c r="I59" s="958"/>
      <c r="J59" s="958"/>
      <c r="K59" s="958"/>
      <c r="L59" s="958"/>
      <c r="M59" s="958"/>
      <c r="N59" s="1406"/>
      <c r="O59" s="1406"/>
      <c r="P59" s="1406"/>
      <c r="Q59" s="1406"/>
      <c r="R59" s="1406"/>
      <c r="S59" s="1406"/>
      <c r="T59" s="1406"/>
      <c r="U59" s="1406"/>
      <c r="V59" s="1406"/>
      <c r="W59" s="1406"/>
      <c r="X59" s="1406"/>
      <c r="Y59" s="1406"/>
      <c r="Z59" s="1406"/>
      <c r="AA59" s="1406"/>
      <c r="AB59" s="1406"/>
      <c r="AC59" s="1406"/>
      <c r="AD59" s="1406"/>
      <c r="AE59" s="1406"/>
      <c r="AF59" s="1406"/>
      <c r="AG59" s="1406"/>
      <c r="AH59" s="1406"/>
      <c r="AI59" s="1406"/>
      <c r="AJ59" s="1406"/>
      <c r="AK59" s="1406"/>
      <c r="AL59" s="1406"/>
      <c r="AM59" s="1406"/>
      <c r="AN59" s="1406"/>
      <c r="AO59" s="1406"/>
      <c r="AP59" s="1406"/>
      <c r="AQ59" s="1406"/>
      <c r="AR59" s="1406"/>
      <c r="AS59" s="1406"/>
      <c r="AT59" s="1406"/>
      <c r="AU59" s="1406"/>
      <c r="AV59" s="1406"/>
      <c r="AW59" s="1406"/>
      <c r="AX59" s="1406"/>
      <c r="AY59" s="1406"/>
      <c r="AZ59" s="1406"/>
      <c r="BA59" s="1406"/>
      <c r="BB59" s="1406"/>
      <c r="BC59" s="1406"/>
    </row>
    <row r="60" spans="1:55">
      <c r="A60" s="958"/>
      <c r="B60" s="958"/>
      <c r="C60" s="958"/>
      <c r="D60" s="958"/>
      <c r="E60" s="958"/>
      <c r="F60" s="958"/>
      <c r="G60" s="958"/>
      <c r="H60" s="958"/>
      <c r="I60" s="958"/>
      <c r="J60" s="958"/>
      <c r="K60" s="958"/>
      <c r="L60" s="958"/>
      <c r="M60" s="958"/>
      <c r="N60" s="1406"/>
      <c r="O60" s="1406"/>
      <c r="P60" s="1406"/>
      <c r="Q60" s="1406"/>
      <c r="R60" s="1406"/>
      <c r="S60" s="1406"/>
      <c r="T60" s="1406"/>
      <c r="U60" s="1406"/>
      <c r="V60" s="1406"/>
      <c r="W60" s="1406"/>
      <c r="X60" s="1406"/>
      <c r="Y60" s="1406"/>
      <c r="Z60" s="1406"/>
      <c r="AA60" s="1406"/>
      <c r="AB60" s="1406"/>
      <c r="AC60" s="1406"/>
      <c r="AD60" s="1406"/>
      <c r="AE60" s="1406"/>
      <c r="AF60" s="1406"/>
      <c r="AG60" s="1406"/>
      <c r="AH60" s="1406"/>
      <c r="AI60" s="1406"/>
      <c r="AJ60" s="1406"/>
      <c r="AK60" s="1406"/>
      <c r="AL60" s="1406"/>
      <c r="AM60" s="1406"/>
      <c r="AN60" s="1406"/>
      <c r="AO60" s="1406"/>
      <c r="AP60" s="1406"/>
      <c r="AQ60" s="1406"/>
      <c r="AR60" s="1406"/>
      <c r="AS60" s="1406"/>
      <c r="AT60" s="1406"/>
      <c r="AU60" s="1406"/>
      <c r="AV60" s="1406"/>
      <c r="AW60" s="1406"/>
      <c r="AX60" s="1406"/>
      <c r="AY60" s="1406"/>
      <c r="AZ60" s="1406"/>
      <c r="BA60" s="1406"/>
      <c r="BB60" s="1406"/>
      <c r="BC60" s="1406"/>
    </row>
    <row r="61" spans="1:55">
      <c r="A61" s="958"/>
      <c r="B61" s="958"/>
      <c r="C61" s="958"/>
      <c r="D61" s="958"/>
      <c r="E61" s="958"/>
      <c r="F61" s="958"/>
      <c r="G61" s="958"/>
      <c r="H61" s="958"/>
      <c r="I61" s="958"/>
      <c r="J61" s="958"/>
      <c r="K61" s="958"/>
      <c r="L61" s="958"/>
      <c r="M61" s="958"/>
      <c r="N61" s="1406"/>
      <c r="O61" s="1406"/>
      <c r="P61" s="1406"/>
      <c r="Q61" s="1406"/>
      <c r="R61" s="1406"/>
      <c r="S61" s="1406"/>
      <c r="T61" s="1406"/>
      <c r="U61" s="1406"/>
      <c r="V61" s="1406"/>
      <c r="W61" s="1406"/>
      <c r="X61" s="1406"/>
      <c r="Y61" s="1406"/>
      <c r="Z61" s="1406"/>
      <c r="AA61" s="1406"/>
      <c r="AB61" s="1406"/>
      <c r="AC61" s="1406"/>
      <c r="AD61" s="1406"/>
      <c r="AE61" s="1406"/>
      <c r="AF61" s="1406"/>
      <c r="AG61" s="1406"/>
      <c r="AH61" s="1406"/>
      <c r="AI61" s="1406"/>
      <c r="AJ61" s="1406"/>
      <c r="AK61" s="1406"/>
      <c r="AL61" s="1406"/>
      <c r="AM61" s="1406"/>
      <c r="AN61" s="1406"/>
      <c r="AO61" s="1406"/>
      <c r="AP61" s="1406"/>
      <c r="AQ61" s="1406"/>
      <c r="AR61" s="1406"/>
      <c r="AS61" s="1406"/>
      <c r="AT61" s="1406"/>
      <c r="AU61" s="1406"/>
      <c r="AV61" s="1406"/>
      <c r="AW61" s="1406"/>
      <c r="AX61" s="1406"/>
      <c r="AY61" s="1406"/>
      <c r="AZ61" s="1406"/>
      <c r="BA61" s="1406"/>
      <c r="BB61" s="1406"/>
      <c r="BC61" s="1406"/>
    </row>
    <row r="62" spans="1:55">
      <c r="A62" s="958"/>
      <c r="B62" s="958"/>
      <c r="C62" s="958"/>
      <c r="D62" s="958"/>
      <c r="E62" s="958"/>
      <c r="F62" s="958"/>
      <c r="G62" s="958"/>
      <c r="H62" s="958"/>
      <c r="I62" s="958"/>
      <c r="J62" s="958"/>
      <c r="K62" s="958"/>
      <c r="L62" s="958"/>
      <c r="M62" s="958"/>
      <c r="N62" s="1406"/>
      <c r="O62" s="1406"/>
      <c r="P62" s="1406"/>
      <c r="Q62" s="1406"/>
      <c r="R62" s="1406"/>
      <c r="S62" s="1406"/>
      <c r="T62" s="1406"/>
      <c r="U62" s="1406"/>
      <c r="V62" s="1406"/>
      <c r="W62" s="1406"/>
      <c r="X62" s="1406"/>
      <c r="Y62" s="1406"/>
      <c r="Z62" s="1406"/>
      <c r="AA62" s="1406"/>
      <c r="AB62" s="1406"/>
      <c r="AC62" s="1406"/>
      <c r="AD62" s="1406"/>
      <c r="AE62" s="1406"/>
      <c r="AF62" s="1406"/>
      <c r="AG62" s="1406"/>
      <c r="AH62" s="1406"/>
      <c r="AI62" s="1406"/>
      <c r="AJ62" s="1406"/>
      <c r="AK62" s="1406"/>
      <c r="AL62" s="1406"/>
      <c r="AM62" s="1406"/>
      <c r="AN62" s="1406"/>
      <c r="AO62" s="1406"/>
      <c r="AP62" s="1406"/>
      <c r="AQ62" s="1406"/>
      <c r="AR62" s="1406"/>
      <c r="AS62" s="1406"/>
      <c r="AT62" s="1406"/>
      <c r="AU62" s="1406"/>
      <c r="AV62" s="1406"/>
      <c r="AW62" s="1406"/>
      <c r="AX62" s="1406"/>
      <c r="AY62" s="1406"/>
      <c r="AZ62" s="1406"/>
      <c r="BA62" s="1406"/>
      <c r="BB62" s="1406"/>
      <c r="BC62" s="1406"/>
    </row>
    <row r="63" spans="1:55">
      <c r="A63" s="958"/>
      <c r="B63" s="958"/>
      <c r="C63" s="958"/>
      <c r="D63" s="958"/>
      <c r="E63" s="958"/>
      <c r="F63" s="958"/>
      <c r="G63" s="958"/>
      <c r="H63" s="958"/>
      <c r="I63" s="958"/>
      <c r="J63" s="958"/>
      <c r="K63" s="958"/>
      <c r="L63" s="958"/>
      <c r="M63" s="958"/>
      <c r="N63" s="1406"/>
      <c r="O63" s="1406"/>
      <c r="P63" s="1406"/>
      <c r="Q63" s="1406"/>
      <c r="R63" s="1406"/>
      <c r="S63" s="1406"/>
      <c r="T63" s="1406"/>
      <c r="U63" s="1406"/>
      <c r="V63" s="1406"/>
      <c r="W63" s="1406"/>
      <c r="X63" s="1406"/>
      <c r="Y63" s="1406"/>
      <c r="Z63" s="1406"/>
      <c r="AA63" s="1406"/>
      <c r="AB63" s="1406"/>
      <c r="AC63" s="1406"/>
      <c r="AD63" s="1406"/>
      <c r="AE63" s="1406"/>
      <c r="AF63" s="1406"/>
      <c r="AG63" s="1406"/>
      <c r="AH63" s="1406"/>
      <c r="AI63" s="1406"/>
      <c r="AJ63" s="1406"/>
      <c r="AK63" s="1406"/>
      <c r="AL63" s="1406"/>
      <c r="AM63" s="1406"/>
      <c r="AN63" s="1406"/>
      <c r="AO63" s="1406"/>
      <c r="AP63" s="1406"/>
      <c r="AQ63" s="1406"/>
      <c r="AR63" s="1406"/>
      <c r="AS63" s="1406"/>
      <c r="AT63" s="1406"/>
      <c r="AU63" s="1406"/>
      <c r="AV63" s="1406"/>
      <c r="AW63" s="1406"/>
      <c r="AX63" s="1406"/>
      <c r="AY63" s="1406"/>
      <c r="AZ63" s="1406"/>
      <c r="BA63" s="1406"/>
      <c r="BB63" s="1406"/>
      <c r="BC63" s="1406"/>
    </row>
    <row r="64" spans="1:55">
      <c r="A64" s="958"/>
      <c r="B64" s="958"/>
      <c r="C64" s="958"/>
      <c r="D64" s="958"/>
      <c r="E64" s="958"/>
      <c r="F64" s="958"/>
      <c r="G64" s="958"/>
      <c r="H64" s="958"/>
      <c r="I64" s="958"/>
      <c r="J64" s="958"/>
      <c r="K64" s="958"/>
      <c r="L64" s="958"/>
      <c r="M64" s="958"/>
      <c r="N64" s="1406"/>
      <c r="O64" s="1406"/>
      <c r="P64" s="1406"/>
      <c r="Q64" s="1406"/>
      <c r="R64" s="1406"/>
      <c r="S64" s="1406"/>
      <c r="T64" s="1406"/>
      <c r="U64" s="1406"/>
      <c r="V64" s="1406"/>
      <c r="W64" s="1406"/>
      <c r="X64" s="1406"/>
      <c r="Y64" s="1406"/>
      <c r="Z64" s="1406"/>
      <c r="AA64" s="1406"/>
      <c r="AB64" s="1406"/>
      <c r="AC64" s="1406"/>
      <c r="AD64" s="1406"/>
      <c r="AE64" s="1406"/>
      <c r="AF64" s="1406"/>
      <c r="AG64" s="1406"/>
      <c r="AH64" s="1406"/>
      <c r="AI64" s="1406"/>
      <c r="AJ64" s="1406"/>
      <c r="AK64" s="1406"/>
      <c r="AL64" s="1406"/>
      <c r="AM64" s="1406"/>
      <c r="AN64" s="1406"/>
      <c r="AO64" s="1406"/>
      <c r="AP64" s="1406"/>
      <c r="AQ64" s="1406"/>
      <c r="AR64" s="1406"/>
      <c r="AS64" s="1406"/>
      <c r="AT64" s="1406"/>
      <c r="AU64" s="1406"/>
      <c r="AV64" s="1406"/>
      <c r="AW64" s="1406"/>
      <c r="AX64" s="1406"/>
      <c r="AY64" s="1406"/>
      <c r="AZ64" s="1406"/>
      <c r="BA64" s="1406"/>
      <c r="BB64" s="1406"/>
      <c r="BC64" s="1406"/>
    </row>
    <row r="65" spans="1:55">
      <c r="A65" s="958"/>
      <c r="B65" s="958"/>
      <c r="C65" s="958"/>
      <c r="D65" s="958"/>
      <c r="E65" s="958"/>
      <c r="F65" s="958"/>
      <c r="G65" s="958"/>
      <c r="H65" s="958"/>
      <c r="I65" s="958"/>
      <c r="J65" s="958"/>
      <c r="K65" s="958"/>
      <c r="L65" s="958"/>
      <c r="M65" s="958"/>
      <c r="N65" s="1406"/>
      <c r="O65" s="1406"/>
      <c r="P65" s="1406"/>
      <c r="Q65" s="1406"/>
      <c r="R65" s="1406"/>
      <c r="S65" s="1406"/>
      <c r="T65" s="1406"/>
      <c r="U65" s="1406"/>
      <c r="V65" s="1406"/>
      <c r="W65" s="1406"/>
      <c r="X65" s="1406"/>
      <c r="Y65" s="1406"/>
      <c r="Z65" s="1406"/>
      <c r="AA65" s="1406"/>
      <c r="AB65" s="1406"/>
      <c r="AC65" s="1406"/>
      <c r="AD65" s="1406"/>
      <c r="AE65" s="1406"/>
      <c r="AF65" s="1406"/>
      <c r="AG65" s="1406"/>
      <c r="AH65" s="1406"/>
      <c r="AI65" s="1406"/>
      <c r="AJ65" s="1406"/>
      <c r="AK65" s="1406"/>
      <c r="AL65" s="1406"/>
      <c r="AM65" s="1406"/>
      <c r="AN65" s="1406"/>
      <c r="AO65" s="1406"/>
      <c r="AP65" s="1406"/>
      <c r="AQ65" s="1406"/>
      <c r="AR65" s="1406"/>
      <c r="AS65" s="1406"/>
      <c r="AT65" s="1406"/>
      <c r="AU65" s="1406"/>
      <c r="AV65" s="1406"/>
      <c r="AW65" s="1406"/>
      <c r="AX65" s="1406"/>
      <c r="AY65" s="1406"/>
      <c r="AZ65" s="1406"/>
      <c r="BA65" s="1406"/>
      <c r="BB65" s="1406"/>
      <c r="BC65" s="1406"/>
    </row>
    <row r="66" spans="1:55">
      <c r="A66" s="958"/>
      <c r="B66" s="958"/>
      <c r="C66" s="958"/>
      <c r="D66" s="958"/>
      <c r="E66" s="958"/>
      <c r="F66" s="958"/>
      <c r="G66" s="958"/>
      <c r="H66" s="958"/>
      <c r="I66" s="958"/>
      <c r="J66" s="958"/>
      <c r="K66" s="958"/>
      <c r="L66" s="958"/>
      <c r="M66" s="958"/>
      <c r="N66" s="1406"/>
      <c r="O66" s="1406"/>
      <c r="P66" s="1406"/>
      <c r="Q66" s="1406"/>
      <c r="R66" s="1406"/>
      <c r="S66" s="1406"/>
      <c r="T66" s="1406"/>
      <c r="U66" s="1406"/>
      <c r="V66" s="1406"/>
      <c r="W66" s="1406"/>
      <c r="X66" s="1406"/>
      <c r="Y66" s="1406"/>
      <c r="Z66" s="1406"/>
      <c r="AA66" s="1406"/>
      <c r="AB66" s="1406"/>
      <c r="AC66" s="1406"/>
      <c r="AD66" s="1406"/>
      <c r="AE66" s="1406"/>
      <c r="AF66" s="1406"/>
      <c r="AG66" s="1406"/>
      <c r="AH66" s="1406"/>
      <c r="AI66" s="1406"/>
      <c r="AJ66" s="1406"/>
      <c r="AK66" s="1406"/>
      <c r="AL66" s="1406"/>
      <c r="AM66" s="1406"/>
      <c r="AN66" s="1406"/>
      <c r="AO66" s="1406"/>
      <c r="AP66" s="1406"/>
      <c r="AQ66" s="1406"/>
      <c r="AR66" s="1406"/>
      <c r="AS66" s="1406"/>
      <c r="AT66" s="1406"/>
      <c r="AU66" s="1406"/>
      <c r="AV66" s="1406"/>
      <c r="AW66" s="1406"/>
      <c r="AX66" s="1406"/>
      <c r="AY66" s="1406"/>
      <c r="AZ66" s="1406"/>
      <c r="BA66" s="1406"/>
      <c r="BB66" s="1406"/>
      <c r="BC66" s="1406"/>
    </row>
    <row r="67" spans="1:55">
      <c r="A67" s="958"/>
      <c r="B67" s="958"/>
      <c r="C67" s="958"/>
      <c r="D67" s="958"/>
      <c r="E67" s="958"/>
      <c r="F67" s="958"/>
      <c r="G67" s="958"/>
      <c r="H67" s="958"/>
      <c r="I67" s="958"/>
      <c r="J67" s="958"/>
      <c r="K67" s="958"/>
      <c r="L67" s="958"/>
      <c r="M67" s="958"/>
      <c r="N67" s="1406"/>
      <c r="O67" s="1406"/>
      <c r="P67" s="1406"/>
      <c r="Q67" s="1406"/>
      <c r="R67" s="1406"/>
      <c r="S67" s="1406"/>
      <c r="T67" s="1406"/>
      <c r="U67" s="1406"/>
      <c r="V67" s="1406"/>
      <c r="W67" s="1406"/>
      <c r="X67" s="1406"/>
      <c r="Y67" s="1406"/>
      <c r="Z67" s="1406"/>
      <c r="AA67" s="1406"/>
      <c r="AB67" s="1406"/>
      <c r="AC67" s="1406"/>
      <c r="AD67" s="1406"/>
      <c r="AE67" s="1406"/>
      <c r="AF67" s="1406"/>
      <c r="AG67" s="1406"/>
      <c r="AH67" s="1406"/>
      <c r="AI67" s="1406"/>
      <c r="AJ67" s="1406"/>
      <c r="AK67" s="1406"/>
      <c r="AL67" s="1406"/>
      <c r="AM67" s="1406"/>
      <c r="AN67" s="1406"/>
      <c r="AO67" s="1406"/>
      <c r="AP67" s="1406"/>
      <c r="AQ67" s="1406"/>
      <c r="AR67" s="1406"/>
      <c r="AS67" s="1406"/>
      <c r="AT67" s="1406"/>
      <c r="AU67" s="1406"/>
      <c r="AV67" s="1406"/>
      <c r="AW67" s="1406"/>
      <c r="AX67" s="1406"/>
      <c r="AY67" s="1406"/>
      <c r="AZ67" s="1406"/>
      <c r="BA67" s="1406"/>
      <c r="BB67" s="1406"/>
      <c r="BC67" s="1406"/>
    </row>
    <row r="68" spans="1:55">
      <c r="A68" s="958"/>
      <c r="B68" s="958"/>
      <c r="C68" s="958"/>
      <c r="D68" s="958"/>
      <c r="E68" s="958"/>
      <c r="F68" s="958"/>
      <c r="G68" s="958"/>
      <c r="H68" s="958"/>
      <c r="I68" s="958"/>
      <c r="J68" s="958"/>
      <c r="K68" s="958"/>
      <c r="L68" s="958"/>
      <c r="M68" s="958"/>
      <c r="N68" s="1406"/>
      <c r="O68" s="1406"/>
      <c r="P68" s="1406"/>
      <c r="Q68" s="1406"/>
      <c r="R68" s="1406"/>
      <c r="S68" s="1406"/>
      <c r="T68" s="1406"/>
      <c r="U68" s="1406"/>
      <c r="V68" s="1406"/>
      <c r="W68" s="1406"/>
      <c r="X68" s="1406"/>
      <c r="Y68" s="1406"/>
      <c r="Z68" s="1406"/>
      <c r="AA68" s="1406"/>
      <c r="AB68" s="1406"/>
      <c r="AC68" s="1406"/>
      <c r="AD68" s="1406"/>
      <c r="AE68" s="1406"/>
      <c r="AF68" s="1406"/>
      <c r="AG68" s="1406"/>
      <c r="AH68" s="1406"/>
      <c r="AI68" s="1406"/>
      <c r="AJ68" s="1406"/>
      <c r="AK68" s="1406"/>
      <c r="AL68" s="1406"/>
      <c r="AM68" s="1406"/>
      <c r="AN68" s="1406"/>
      <c r="AO68" s="1406"/>
      <c r="AP68" s="1406"/>
      <c r="AQ68" s="1406"/>
      <c r="AR68" s="1406"/>
      <c r="AS68" s="1406"/>
      <c r="AT68" s="1406"/>
      <c r="AU68" s="1406"/>
      <c r="AV68" s="1406"/>
      <c r="AW68" s="1406"/>
      <c r="AX68" s="1406"/>
      <c r="AY68" s="1406"/>
      <c r="AZ68" s="1406"/>
      <c r="BA68" s="1406"/>
      <c r="BB68" s="1406"/>
      <c r="BC68" s="1406"/>
    </row>
    <row r="69" spans="1:55">
      <c r="A69" s="958"/>
      <c r="B69" s="958"/>
      <c r="C69" s="958"/>
      <c r="D69" s="958"/>
      <c r="E69" s="958"/>
      <c r="F69" s="958"/>
      <c r="G69" s="958"/>
      <c r="H69" s="958"/>
      <c r="I69" s="958"/>
      <c r="J69" s="958"/>
      <c r="K69" s="958"/>
      <c r="L69" s="958"/>
      <c r="M69" s="958"/>
      <c r="N69" s="1406"/>
      <c r="O69" s="1406"/>
      <c r="P69" s="1406"/>
      <c r="Q69" s="1406"/>
      <c r="R69" s="1406"/>
      <c r="S69" s="1406"/>
      <c r="T69" s="1406"/>
      <c r="U69" s="1406"/>
      <c r="V69" s="1406"/>
      <c r="W69" s="1406"/>
      <c r="X69" s="1406"/>
      <c r="Y69" s="1406"/>
      <c r="Z69" s="1406"/>
      <c r="AA69" s="1406"/>
      <c r="AB69" s="1406"/>
      <c r="AC69" s="1406"/>
      <c r="AD69" s="1406"/>
      <c r="AE69" s="1406"/>
      <c r="AF69" s="1406"/>
      <c r="AG69" s="1406"/>
      <c r="AH69" s="1406"/>
      <c r="AI69" s="1406"/>
      <c r="AJ69" s="1406"/>
      <c r="AK69" s="1406"/>
      <c r="AL69" s="1406"/>
      <c r="AM69" s="1406"/>
      <c r="AN69" s="1406"/>
      <c r="AO69" s="1406"/>
      <c r="AP69" s="1406"/>
      <c r="AQ69" s="1406"/>
      <c r="AR69" s="1406"/>
      <c r="AS69" s="1406"/>
      <c r="AT69" s="1406"/>
      <c r="AU69" s="1406"/>
      <c r="AV69" s="1406"/>
      <c r="AW69" s="1406"/>
      <c r="AX69" s="1406"/>
      <c r="AY69" s="1406"/>
      <c r="AZ69" s="1406"/>
      <c r="BA69" s="1406"/>
      <c r="BB69" s="1406"/>
      <c r="BC69" s="1406"/>
    </row>
    <row r="70" spans="1:55">
      <c r="A70" s="958"/>
      <c r="B70" s="958"/>
      <c r="C70" s="958"/>
      <c r="D70" s="958"/>
      <c r="E70" s="958"/>
      <c r="F70" s="958"/>
      <c r="G70" s="958"/>
      <c r="H70" s="958"/>
      <c r="I70" s="958"/>
      <c r="J70" s="958"/>
      <c r="K70" s="958"/>
      <c r="L70" s="958"/>
      <c r="M70" s="958"/>
      <c r="N70" s="1406"/>
      <c r="O70" s="1406"/>
      <c r="P70" s="1406"/>
      <c r="Q70" s="1406"/>
      <c r="R70" s="1406"/>
      <c r="S70" s="1406"/>
      <c r="T70" s="1406"/>
      <c r="U70" s="1406"/>
      <c r="V70" s="1406"/>
      <c r="W70" s="1406"/>
      <c r="X70" s="1406"/>
      <c r="Y70" s="1406"/>
      <c r="Z70" s="1406"/>
      <c r="AA70" s="1406"/>
      <c r="AB70" s="1406"/>
      <c r="AC70" s="1406"/>
      <c r="AD70" s="1406"/>
      <c r="AE70" s="1406"/>
      <c r="AF70" s="1406"/>
      <c r="AG70" s="1406"/>
      <c r="AH70" s="1406"/>
      <c r="AI70" s="1406"/>
      <c r="AJ70" s="1406"/>
      <c r="AK70" s="1406"/>
      <c r="AL70" s="1406"/>
      <c r="AM70" s="1406"/>
      <c r="AN70" s="1406"/>
      <c r="AO70" s="1406"/>
      <c r="AP70" s="1406"/>
      <c r="AQ70" s="1406"/>
      <c r="AR70" s="1406"/>
      <c r="AS70" s="1406"/>
      <c r="AT70" s="1406"/>
      <c r="AU70" s="1406"/>
      <c r="AV70" s="1406"/>
      <c r="AW70" s="1406"/>
      <c r="AX70" s="1406"/>
      <c r="AY70" s="1406"/>
      <c r="AZ70" s="1406"/>
      <c r="BA70" s="1406"/>
      <c r="BB70" s="1406"/>
      <c r="BC70" s="1406"/>
    </row>
    <row r="71" spans="1:55">
      <c r="A71" s="958"/>
      <c r="B71" s="958"/>
      <c r="C71" s="958"/>
      <c r="D71" s="958"/>
      <c r="E71" s="958"/>
      <c r="F71" s="958"/>
      <c r="G71" s="958"/>
      <c r="H71" s="958"/>
      <c r="I71" s="958"/>
      <c r="J71" s="958"/>
      <c r="K71" s="958"/>
      <c r="L71" s="958"/>
      <c r="M71" s="958"/>
      <c r="N71" s="1406"/>
      <c r="O71" s="1406"/>
      <c r="P71" s="1406"/>
      <c r="Q71" s="1406"/>
      <c r="R71" s="1406"/>
      <c r="S71" s="1406"/>
      <c r="T71" s="1406"/>
      <c r="U71" s="1406"/>
      <c r="V71" s="1406"/>
      <c r="W71" s="1406"/>
      <c r="X71" s="1406"/>
      <c r="Y71" s="1406"/>
      <c r="Z71" s="1406"/>
      <c r="AA71" s="1406"/>
      <c r="AB71" s="1406"/>
      <c r="AC71" s="1406"/>
      <c r="AD71" s="1406"/>
      <c r="AE71" s="1406"/>
      <c r="AF71" s="1406"/>
      <c r="AG71" s="1406"/>
      <c r="AH71" s="1406"/>
      <c r="AI71" s="1406"/>
      <c r="AJ71" s="1406"/>
      <c r="AK71" s="1406"/>
      <c r="AL71" s="1406"/>
      <c r="AM71" s="1406"/>
      <c r="AN71" s="1406"/>
      <c r="AO71" s="1406"/>
      <c r="AP71" s="1406"/>
      <c r="AQ71" s="1406"/>
      <c r="AR71" s="1406"/>
      <c r="AS71" s="1406"/>
      <c r="AT71" s="1406"/>
      <c r="AU71" s="1406"/>
      <c r="AV71" s="1406"/>
      <c r="AW71" s="1406"/>
      <c r="AX71" s="1406"/>
      <c r="AY71" s="1406"/>
      <c r="AZ71" s="1406"/>
      <c r="BA71" s="1406"/>
      <c r="BB71" s="1406"/>
      <c r="BC71" s="1406"/>
    </row>
    <row r="72" spans="1:55">
      <c r="A72" s="958"/>
      <c r="B72" s="958"/>
      <c r="C72" s="958"/>
      <c r="D72" s="958"/>
      <c r="E72" s="958"/>
      <c r="F72" s="958"/>
      <c r="G72" s="958"/>
      <c r="H72" s="958"/>
      <c r="I72" s="958"/>
      <c r="J72" s="958"/>
      <c r="K72" s="958"/>
      <c r="L72" s="958"/>
      <c r="M72" s="958"/>
      <c r="N72" s="1406"/>
      <c r="O72" s="1406"/>
      <c r="P72" s="1406"/>
      <c r="Q72" s="1406"/>
      <c r="R72" s="1406"/>
      <c r="S72" s="1406"/>
      <c r="T72" s="1406"/>
      <c r="U72" s="1406"/>
      <c r="V72" s="1406"/>
      <c r="W72" s="1406"/>
      <c r="X72" s="1406"/>
      <c r="Y72" s="1406"/>
      <c r="Z72" s="1406"/>
      <c r="AA72" s="1406"/>
      <c r="AB72" s="1406"/>
      <c r="AC72" s="1406"/>
      <c r="AD72" s="1406"/>
      <c r="AE72" s="1406"/>
      <c r="AF72" s="1406"/>
      <c r="AG72" s="1406"/>
      <c r="AH72" s="1406"/>
      <c r="AI72" s="1406"/>
      <c r="AJ72" s="1406"/>
      <c r="AK72" s="1406"/>
      <c r="AL72" s="1406"/>
      <c r="AM72" s="1406"/>
      <c r="AN72" s="1406"/>
      <c r="AO72" s="1406"/>
      <c r="AP72" s="1406"/>
      <c r="AQ72" s="1406"/>
      <c r="AR72" s="1406"/>
      <c r="AS72" s="1406"/>
      <c r="AT72" s="1406"/>
      <c r="AU72" s="1406"/>
      <c r="AV72" s="1406"/>
      <c r="AW72" s="1406"/>
      <c r="AX72" s="1406"/>
      <c r="AY72" s="1406"/>
      <c r="AZ72" s="1406"/>
      <c r="BA72" s="1406"/>
      <c r="BB72" s="1406"/>
      <c r="BC72" s="1406"/>
    </row>
    <row r="73" spans="1:55">
      <c r="A73" s="958"/>
      <c r="B73" s="958"/>
      <c r="C73" s="958"/>
      <c r="D73" s="958"/>
      <c r="E73" s="958"/>
      <c r="F73" s="958"/>
      <c r="G73" s="958"/>
      <c r="H73" s="958"/>
      <c r="I73" s="958"/>
      <c r="J73" s="958"/>
      <c r="K73" s="958"/>
      <c r="L73" s="958"/>
      <c r="M73" s="958"/>
      <c r="N73" s="1406"/>
      <c r="O73" s="1406"/>
      <c r="P73" s="1406"/>
      <c r="Q73" s="1406"/>
      <c r="R73" s="1406"/>
      <c r="S73" s="1406"/>
      <c r="T73" s="1406"/>
      <c r="U73" s="1406"/>
      <c r="V73" s="1406"/>
      <c r="W73" s="1406"/>
      <c r="X73" s="1406"/>
      <c r="Y73" s="1406"/>
      <c r="Z73" s="1406"/>
      <c r="AA73" s="1406"/>
      <c r="AB73" s="1406"/>
      <c r="AC73" s="1406"/>
      <c r="AD73" s="1406"/>
      <c r="AE73" s="1406"/>
      <c r="AF73" s="1406"/>
      <c r="AG73" s="1406"/>
      <c r="AH73" s="1406"/>
      <c r="AI73" s="1406"/>
      <c r="AJ73" s="1406"/>
      <c r="AK73" s="1406"/>
      <c r="AL73" s="1406"/>
      <c r="AM73" s="1406"/>
      <c r="AN73" s="1406"/>
      <c r="AO73" s="1406"/>
      <c r="AP73" s="1406"/>
      <c r="AQ73" s="1406"/>
      <c r="AR73" s="1406"/>
      <c r="AS73" s="1406"/>
      <c r="AT73" s="1406"/>
      <c r="AU73" s="1406"/>
      <c r="AV73" s="1406"/>
      <c r="AW73" s="1406"/>
      <c r="AX73" s="1406"/>
      <c r="AY73" s="1406"/>
      <c r="AZ73" s="1406"/>
      <c r="BA73" s="1406"/>
      <c r="BB73" s="1406"/>
      <c r="BC73" s="1406"/>
    </row>
    <row r="74" spans="1:55">
      <c r="A74" s="958"/>
      <c r="B74" s="958"/>
      <c r="C74" s="958"/>
      <c r="D74" s="958"/>
      <c r="E74" s="958"/>
      <c r="F74" s="958"/>
      <c r="G74" s="958"/>
      <c r="H74" s="958"/>
      <c r="I74" s="958"/>
      <c r="J74" s="958"/>
      <c r="K74" s="958"/>
      <c r="L74" s="958"/>
      <c r="M74" s="958"/>
      <c r="N74" s="1406"/>
      <c r="O74" s="1406"/>
      <c r="P74" s="1406"/>
      <c r="Q74" s="1406"/>
      <c r="R74" s="1406"/>
      <c r="S74" s="1406"/>
      <c r="T74" s="1406"/>
      <c r="U74" s="1406"/>
      <c r="V74" s="1406"/>
      <c r="W74" s="1406"/>
      <c r="X74" s="1406"/>
      <c r="Y74" s="1406"/>
      <c r="Z74" s="1406"/>
      <c r="AA74" s="1406"/>
      <c r="AB74" s="1406"/>
      <c r="AC74" s="1406"/>
      <c r="AD74" s="1406"/>
      <c r="AE74" s="1406"/>
      <c r="AF74" s="1406"/>
      <c r="AG74" s="1406"/>
      <c r="AH74" s="1406"/>
      <c r="AI74" s="1406"/>
      <c r="AJ74" s="1406"/>
      <c r="AK74" s="1406"/>
      <c r="AL74" s="1406"/>
      <c r="AM74" s="1406"/>
      <c r="AN74" s="1406"/>
      <c r="AO74" s="1406"/>
      <c r="AP74" s="1406"/>
      <c r="AQ74" s="1406"/>
      <c r="AR74" s="1406"/>
      <c r="AS74" s="1406"/>
      <c r="AT74" s="1406"/>
      <c r="AU74" s="1406"/>
      <c r="AV74" s="1406"/>
      <c r="AW74" s="1406"/>
      <c r="AX74" s="1406"/>
      <c r="AY74" s="1406"/>
      <c r="AZ74" s="1406"/>
      <c r="BA74" s="1406"/>
      <c r="BB74" s="1406"/>
      <c r="BC74" s="1406"/>
    </row>
    <row r="75" spans="1:55">
      <c r="A75" s="958"/>
      <c r="B75" s="958"/>
      <c r="C75" s="958"/>
      <c r="D75" s="958"/>
      <c r="E75" s="958"/>
      <c r="F75" s="958"/>
      <c r="G75" s="958"/>
      <c r="H75" s="958"/>
      <c r="I75" s="958"/>
      <c r="J75" s="958"/>
      <c r="K75" s="958"/>
      <c r="L75" s="958"/>
      <c r="M75" s="958"/>
      <c r="N75" s="1406"/>
      <c r="O75" s="1406"/>
      <c r="P75" s="1406"/>
      <c r="Q75" s="1406"/>
      <c r="R75" s="1406"/>
      <c r="S75" s="1406"/>
      <c r="T75" s="1406"/>
      <c r="U75" s="1406"/>
      <c r="V75" s="1406"/>
      <c r="W75" s="1406"/>
      <c r="X75" s="1406"/>
      <c r="Y75" s="1406"/>
      <c r="Z75" s="1406"/>
      <c r="AA75" s="1406"/>
      <c r="AB75" s="1406"/>
      <c r="AC75" s="1406"/>
      <c r="AD75" s="1406"/>
      <c r="AE75" s="1406"/>
      <c r="AF75" s="1406"/>
      <c r="AG75" s="1406"/>
      <c r="AH75" s="1406"/>
      <c r="AI75" s="1406"/>
      <c r="AJ75" s="1406"/>
      <c r="AK75" s="1406"/>
      <c r="AL75" s="1406"/>
      <c r="AM75" s="1406"/>
      <c r="AN75" s="1406"/>
      <c r="AO75" s="1406"/>
      <c r="AP75" s="1406"/>
      <c r="AQ75" s="1406"/>
      <c r="AR75" s="1406"/>
      <c r="AS75" s="1406"/>
      <c r="AT75" s="1406"/>
      <c r="AU75" s="1406"/>
      <c r="AV75" s="1406"/>
      <c r="AW75" s="1406"/>
      <c r="AX75" s="1406"/>
      <c r="AY75" s="1406"/>
      <c r="AZ75" s="1406"/>
      <c r="BA75" s="1406"/>
      <c r="BB75" s="1406"/>
      <c r="BC75" s="1406"/>
    </row>
    <row r="76" spans="1:55">
      <c r="A76" s="958"/>
      <c r="B76" s="958"/>
      <c r="C76" s="958"/>
      <c r="D76" s="958"/>
      <c r="E76" s="958"/>
      <c r="F76" s="958"/>
      <c r="G76" s="958"/>
      <c r="H76" s="958"/>
      <c r="I76" s="958"/>
      <c r="J76" s="958"/>
      <c r="K76" s="958"/>
      <c r="L76" s="958"/>
      <c r="M76" s="958"/>
      <c r="N76" s="1406"/>
      <c r="O76" s="1406"/>
      <c r="P76" s="1406"/>
      <c r="Q76" s="1406"/>
      <c r="R76" s="1406"/>
      <c r="S76" s="1406"/>
      <c r="T76" s="1406"/>
      <c r="U76" s="1406"/>
      <c r="V76" s="1406"/>
      <c r="W76" s="1406"/>
      <c r="X76" s="1406"/>
      <c r="Y76" s="1406"/>
      <c r="Z76" s="1406"/>
      <c r="AA76" s="1406"/>
      <c r="AB76" s="1406"/>
      <c r="AC76" s="1406"/>
      <c r="AD76" s="1406"/>
      <c r="AE76" s="1406"/>
      <c r="AF76" s="1406"/>
      <c r="AG76" s="1406"/>
      <c r="AH76" s="1406"/>
      <c r="AI76" s="1406"/>
      <c r="AJ76" s="1406"/>
      <c r="AK76" s="1406"/>
      <c r="AL76" s="1406"/>
      <c r="AM76" s="1406"/>
      <c r="AN76" s="1406"/>
      <c r="AO76" s="1406"/>
      <c r="AP76" s="1406"/>
      <c r="AQ76" s="1406"/>
      <c r="AR76" s="1406"/>
      <c r="AS76" s="1406"/>
      <c r="AT76" s="1406"/>
      <c r="AU76" s="1406"/>
      <c r="AV76" s="1406"/>
      <c r="AW76" s="1406"/>
      <c r="AX76" s="1406"/>
      <c r="AY76" s="1406"/>
      <c r="AZ76" s="1406"/>
      <c r="BA76" s="1406"/>
      <c r="BB76" s="1406"/>
      <c r="BC76" s="1406"/>
    </row>
    <row r="77" spans="1:55">
      <c r="A77" s="958"/>
      <c r="B77" s="958"/>
      <c r="C77" s="958"/>
      <c r="D77" s="958"/>
      <c r="E77" s="958"/>
      <c r="F77" s="958"/>
      <c r="G77" s="958"/>
      <c r="H77" s="958"/>
      <c r="I77" s="958"/>
      <c r="J77" s="958"/>
      <c r="K77" s="958"/>
      <c r="L77" s="958"/>
      <c r="M77" s="958"/>
      <c r="N77" s="1406"/>
      <c r="O77" s="1406"/>
      <c r="P77" s="1406"/>
      <c r="Q77" s="1406"/>
      <c r="R77" s="1406"/>
      <c r="S77" s="1406"/>
      <c r="T77" s="1406"/>
      <c r="U77" s="1406"/>
      <c r="V77" s="1406"/>
      <c r="W77" s="1406"/>
      <c r="X77" s="1406"/>
      <c r="Y77" s="1406"/>
      <c r="Z77" s="1406"/>
      <c r="AA77" s="1406"/>
      <c r="AB77" s="1406"/>
      <c r="AC77" s="1406"/>
      <c r="AD77" s="1406"/>
      <c r="AE77" s="1406"/>
      <c r="AF77" s="1406"/>
      <c r="AG77" s="1406"/>
      <c r="AH77" s="1406"/>
      <c r="AI77" s="1406"/>
      <c r="AJ77" s="1406"/>
      <c r="AK77" s="1406"/>
      <c r="AL77" s="1406"/>
      <c r="AM77" s="1406"/>
      <c r="AN77" s="1406"/>
      <c r="AO77" s="1406"/>
      <c r="AP77" s="1406"/>
      <c r="AQ77" s="1406"/>
      <c r="AR77" s="1406"/>
      <c r="AS77" s="1406"/>
      <c r="AT77" s="1406"/>
      <c r="AU77" s="1406"/>
      <c r="AV77" s="1406"/>
      <c r="AW77" s="1406"/>
      <c r="AX77" s="1406"/>
      <c r="AY77" s="1406"/>
      <c r="AZ77" s="1406"/>
      <c r="BA77" s="1406"/>
      <c r="BB77" s="1406"/>
      <c r="BC77" s="1406"/>
    </row>
    <row r="78" spans="1:55">
      <c r="A78" s="958"/>
      <c r="B78" s="958"/>
      <c r="C78" s="958"/>
      <c r="D78" s="958"/>
      <c r="E78" s="958"/>
      <c r="F78" s="958"/>
      <c r="G78" s="958"/>
      <c r="H78" s="958"/>
      <c r="I78" s="958"/>
      <c r="J78" s="958"/>
      <c r="K78" s="958"/>
      <c r="L78" s="958"/>
      <c r="M78" s="958"/>
      <c r="N78" s="1406"/>
      <c r="O78" s="1406"/>
      <c r="P78" s="1406"/>
      <c r="Q78" s="1406"/>
      <c r="R78" s="1406"/>
      <c r="S78" s="1406"/>
      <c r="T78" s="1406"/>
      <c r="U78" s="1406"/>
      <c r="V78" s="1406"/>
      <c r="W78" s="1406"/>
      <c r="X78" s="1406"/>
      <c r="Y78" s="1406"/>
      <c r="Z78" s="1406"/>
      <c r="AA78" s="1406"/>
      <c r="AB78" s="1406"/>
      <c r="AC78" s="1406"/>
      <c r="AD78" s="1406"/>
      <c r="AE78" s="1406"/>
      <c r="AF78" s="1406"/>
      <c r="AG78" s="1406"/>
      <c r="AH78" s="1406"/>
      <c r="AI78" s="1406"/>
      <c r="AJ78" s="1406"/>
      <c r="AK78" s="1406"/>
      <c r="AL78" s="1406"/>
      <c r="AM78" s="1406"/>
      <c r="AN78" s="1406"/>
      <c r="AO78" s="1406"/>
      <c r="AP78" s="1406"/>
      <c r="AQ78" s="1406"/>
      <c r="AR78" s="1406"/>
      <c r="AS78" s="1406"/>
      <c r="AT78" s="1406"/>
      <c r="AU78" s="1406"/>
      <c r="AV78" s="1406"/>
      <c r="AW78" s="1406"/>
      <c r="AX78" s="1406"/>
      <c r="AY78" s="1406"/>
      <c r="AZ78" s="1406"/>
      <c r="BA78" s="1406"/>
      <c r="BB78" s="1406"/>
      <c r="BC78" s="1406"/>
    </row>
    <row r="79" spans="1:55">
      <c r="A79" s="958"/>
      <c r="B79" s="958"/>
      <c r="C79" s="958"/>
      <c r="D79" s="958"/>
      <c r="E79" s="958"/>
      <c r="F79" s="958"/>
      <c r="G79" s="958"/>
      <c r="H79" s="958"/>
      <c r="I79" s="958"/>
      <c r="J79" s="958"/>
      <c r="K79" s="958"/>
      <c r="L79" s="958"/>
      <c r="M79" s="958"/>
      <c r="N79" s="1406"/>
      <c r="O79" s="1406"/>
      <c r="P79" s="1406"/>
      <c r="Q79" s="1406"/>
      <c r="R79" s="1406"/>
      <c r="S79" s="1406"/>
      <c r="T79" s="1406"/>
      <c r="U79" s="1406"/>
      <c r="V79" s="1406"/>
      <c r="W79" s="1406"/>
      <c r="X79" s="1406"/>
      <c r="Y79" s="1406"/>
      <c r="Z79" s="1406"/>
      <c r="AA79" s="1406"/>
      <c r="AB79" s="1406"/>
      <c r="AC79" s="1406"/>
      <c r="AD79" s="1406"/>
      <c r="AE79" s="1406"/>
      <c r="AF79" s="1406"/>
      <c r="AG79" s="1406"/>
      <c r="AH79" s="1406"/>
      <c r="AI79" s="1406"/>
      <c r="AJ79" s="1406"/>
      <c r="AK79" s="1406"/>
      <c r="AL79" s="1406"/>
      <c r="AM79" s="1406"/>
      <c r="AN79" s="1406"/>
      <c r="AO79" s="1406"/>
      <c r="AP79" s="1406"/>
      <c r="AQ79" s="1406"/>
      <c r="AR79" s="1406"/>
      <c r="AS79" s="1406"/>
      <c r="AT79" s="1406"/>
      <c r="AU79" s="1406"/>
      <c r="AV79" s="1406"/>
      <c r="AW79" s="1406"/>
      <c r="AX79" s="1406"/>
      <c r="AY79" s="1406"/>
      <c r="AZ79" s="1406"/>
      <c r="BA79" s="1406"/>
      <c r="BB79" s="1406"/>
      <c r="BC79" s="1406"/>
    </row>
    <row r="80" spans="1:55">
      <c r="A80" s="958"/>
      <c r="B80" s="958"/>
      <c r="C80" s="958"/>
      <c r="D80" s="958"/>
      <c r="E80" s="958"/>
      <c r="F80" s="958"/>
      <c r="G80" s="958"/>
      <c r="H80" s="958"/>
      <c r="I80" s="958"/>
      <c r="J80" s="958"/>
      <c r="K80" s="958"/>
      <c r="L80" s="958"/>
      <c r="M80" s="958"/>
      <c r="N80" s="1406"/>
      <c r="O80" s="1406"/>
      <c r="P80" s="1406"/>
      <c r="Q80" s="1406"/>
      <c r="R80" s="1406"/>
      <c r="S80" s="1406"/>
      <c r="T80" s="1406"/>
      <c r="U80" s="1406"/>
      <c r="V80" s="1406"/>
      <c r="W80" s="1406"/>
      <c r="X80" s="1406"/>
      <c r="Y80" s="1406"/>
      <c r="Z80" s="1406"/>
      <c r="AA80" s="1406"/>
      <c r="AB80" s="1406"/>
      <c r="AC80" s="1406"/>
      <c r="AD80" s="1406"/>
      <c r="AE80" s="1406"/>
      <c r="AF80" s="1406"/>
      <c r="AG80" s="1406"/>
      <c r="AH80" s="1406"/>
      <c r="AI80" s="1406"/>
      <c r="AJ80" s="1406"/>
      <c r="AK80" s="1406"/>
      <c r="AL80" s="1406"/>
      <c r="AM80" s="1406"/>
      <c r="AN80" s="1406"/>
      <c r="AO80" s="1406"/>
      <c r="AP80" s="1406"/>
      <c r="AQ80" s="1406"/>
      <c r="AR80" s="1406"/>
      <c r="AS80" s="1406"/>
      <c r="AT80" s="1406"/>
      <c r="AU80" s="1406"/>
      <c r="AV80" s="1406"/>
      <c r="AW80" s="1406"/>
      <c r="AX80" s="1406"/>
      <c r="AY80" s="1406"/>
      <c r="AZ80" s="1406"/>
      <c r="BA80" s="1406"/>
      <c r="BB80" s="1406"/>
      <c r="BC80" s="1406"/>
    </row>
    <row r="81" spans="1:55">
      <c r="A81" s="958"/>
      <c r="B81" s="958"/>
      <c r="C81" s="958"/>
      <c r="D81" s="958"/>
      <c r="E81" s="958"/>
      <c r="F81" s="958"/>
      <c r="G81" s="958"/>
      <c r="H81" s="958"/>
      <c r="I81" s="958"/>
      <c r="J81" s="958"/>
      <c r="K81" s="958"/>
      <c r="L81" s="958"/>
      <c r="M81" s="958"/>
      <c r="N81" s="1406"/>
      <c r="O81" s="1406"/>
      <c r="P81" s="1406"/>
      <c r="Q81" s="1406"/>
      <c r="R81" s="1406"/>
      <c r="S81" s="1406"/>
      <c r="T81" s="1406"/>
      <c r="U81" s="1406"/>
      <c r="V81" s="1406"/>
      <c r="W81" s="1406"/>
      <c r="X81" s="1406"/>
      <c r="Y81" s="1406"/>
      <c r="Z81" s="1406"/>
      <c r="AA81" s="1406"/>
      <c r="AB81" s="1406"/>
      <c r="AC81" s="1406"/>
      <c r="AD81" s="1406"/>
      <c r="AE81" s="1406"/>
      <c r="AF81" s="1406"/>
      <c r="AG81" s="1406"/>
      <c r="AH81" s="1406"/>
      <c r="AI81" s="1406"/>
      <c r="AJ81" s="1406"/>
      <c r="AK81" s="1406"/>
      <c r="AL81" s="1406"/>
      <c r="AM81" s="1406"/>
      <c r="AN81" s="1406"/>
      <c r="AO81" s="1406"/>
      <c r="AP81" s="1406"/>
      <c r="AQ81" s="1406"/>
      <c r="AR81" s="1406"/>
      <c r="AS81" s="1406"/>
      <c r="AT81" s="1406"/>
      <c r="AU81" s="1406"/>
      <c r="AV81" s="1406"/>
      <c r="AW81" s="1406"/>
      <c r="AX81" s="1406"/>
      <c r="AY81" s="1406"/>
      <c r="AZ81" s="1406"/>
      <c r="BA81" s="1406"/>
      <c r="BB81" s="1406"/>
      <c r="BC81" s="1406"/>
    </row>
    <row r="82" spans="1:55">
      <c r="A82" s="958"/>
      <c r="B82" s="958"/>
      <c r="C82" s="958"/>
      <c r="D82" s="958"/>
      <c r="E82" s="958"/>
      <c r="F82" s="958"/>
      <c r="G82" s="958"/>
      <c r="H82" s="958"/>
      <c r="I82" s="958"/>
      <c r="J82" s="958"/>
      <c r="K82" s="958"/>
      <c r="L82" s="958"/>
      <c r="M82" s="958"/>
      <c r="N82" s="1406"/>
      <c r="O82" s="1406"/>
      <c r="P82" s="1406"/>
      <c r="Q82" s="1406"/>
      <c r="R82" s="1406"/>
      <c r="S82" s="1406"/>
      <c r="T82" s="1406"/>
      <c r="U82" s="1406"/>
      <c r="V82" s="1406"/>
      <c r="W82" s="1406"/>
      <c r="X82" s="1406"/>
      <c r="Y82" s="1406"/>
      <c r="Z82" s="1406"/>
      <c r="AA82" s="1406"/>
      <c r="AB82" s="1406"/>
      <c r="AC82" s="1406"/>
      <c r="AD82" s="1406"/>
      <c r="AE82" s="1406"/>
      <c r="AF82" s="1406"/>
      <c r="AG82" s="1406"/>
      <c r="AH82" s="1406"/>
      <c r="AI82" s="1406"/>
      <c r="AJ82" s="1406"/>
      <c r="AK82" s="1406"/>
      <c r="AL82" s="1406"/>
      <c r="AM82" s="1406"/>
      <c r="AN82" s="1406"/>
      <c r="AO82" s="1406"/>
      <c r="AP82" s="1406"/>
      <c r="AQ82" s="1406"/>
      <c r="AR82" s="1406"/>
      <c r="AS82" s="1406"/>
      <c r="AT82" s="1406"/>
      <c r="AU82" s="1406"/>
      <c r="AV82" s="1406"/>
      <c r="AW82" s="1406"/>
      <c r="AX82" s="1406"/>
      <c r="AY82" s="1406"/>
      <c r="AZ82" s="1406"/>
      <c r="BA82" s="1406"/>
      <c r="BB82" s="1406"/>
      <c r="BC82" s="1406"/>
    </row>
    <row r="83" spans="1:55">
      <c r="A83" s="958"/>
      <c r="B83" s="958"/>
      <c r="C83" s="958"/>
      <c r="D83" s="958"/>
      <c r="E83" s="958"/>
      <c r="F83" s="958"/>
      <c r="G83" s="958"/>
      <c r="H83" s="958"/>
      <c r="I83" s="958"/>
      <c r="J83" s="958"/>
      <c r="K83" s="958"/>
      <c r="L83" s="958"/>
      <c r="M83" s="958"/>
      <c r="N83" s="1406"/>
      <c r="O83" s="1406"/>
      <c r="P83" s="1406"/>
      <c r="Q83" s="1406"/>
      <c r="R83" s="1406"/>
      <c r="S83" s="1406"/>
      <c r="T83" s="1406"/>
      <c r="U83" s="1406"/>
      <c r="V83" s="1406"/>
      <c r="W83" s="1406"/>
      <c r="X83" s="1406"/>
      <c r="Y83" s="1406"/>
      <c r="Z83" s="1406"/>
      <c r="AA83" s="1406"/>
      <c r="AB83" s="1406"/>
      <c r="AC83" s="1406"/>
      <c r="AD83" s="1406"/>
      <c r="AE83" s="1406"/>
      <c r="AF83" s="1406"/>
      <c r="AG83" s="1406"/>
      <c r="AH83" s="1406"/>
      <c r="AI83" s="1406"/>
      <c r="AJ83" s="1406"/>
      <c r="AK83" s="1406"/>
      <c r="AL83" s="1406"/>
      <c r="AM83" s="1406"/>
      <c r="AN83" s="1406"/>
      <c r="AO83" s="1406"/>
      <c r="AP83" s="1406"/>
      <c r="AQ83" s="1406"/>
      <c r="AR83" s="1406"/>
      <c r="AS83" s="1406"/>
      <c r="AT83" s="1406"/>
      <c r="AU83" s="1406"/>
      <c r="AV83" s="1406"/>
      <c r="AW83" s="1406"/>
      <c r="AX83" s="1406"/>
      <c r="AY83" s="1406"/>
      <c r="AZ83" s="1406"/>
      <c r="BA83" s="1406"/>
      <c r="BB83" s="1406"/>
      <c r="BC83" s="1406"/>
    </row>
    <row r="84" spans="1:55">
      <c r="A84" s="958"/>
      <c r="B84" s="958"/>
      <c r="C84" s="958"/>
      <c r="D84" s="958"/>
      <c r="E84" s="958"/>
      <c r="F84" s="958"/>
      <c r="G84" s="958"/>
      <c r="H84" s="958"/>
      <c r="I84" s="958"/>
      <c r="J84" s="958"/>
      <c r="K84" s="958"/>
      <c r="L84" s="958"/>
      <c r="M84" s="958"/>
      <c r="N84" s="1406"/>
      <c r="O84" s="1406"/>
      <c r="P84" s="1406"/>
      <c r="Q84" s="1406"/>
      <c r="R84" s="1406"/>
      <c r="S84" s="1406"/>
      <c r="T84" s="1406"/>
      <c r="U84" s="1406"/>
      <c r="V84" s="1406"/>
      <c r="W84" s="1406"/>
      <c r="X84" s="1406"/>
      <c r="Y84" s="1406"/>
      <c r="Z84" s="1406"/>
      <c r="AA84" s="1406"/>
      <c r="AB84" s="1406"/>
      <c r="AC84" s="1406"/>
      <c r="AD84" s="1406"/>
      <c r="AE84" s="1406"/>
      <c r="AF84" s="1406"/>
      <c r="AG84" s="1406"/>
      <c r="AH84" s="1406"/>
      <c r="AI84" s="1406"/>
      <c r="AJ84" s="1406"/>
      <c r="AK84" s="1406"/>
      <c r="AL84" s="1406"/>
      <c r="AM84" s="1406"/>
      <c r="AN84" s="1406"/>
      <c r="AO84" s="1406"/>
      <c r="AP84" s="1406"/>
      <c r="AQ84" s="1406"/>
      <c r="AR84" s="1406"/>
      <c r="AS84" s="1406"/>
      <c r="AT84" s="1406"/>
      <c r="AU84" s="1406"/>
      <c r="AV84" s="1406"/>
      <c r="AW84" s="1406"/>
      <c r="AX84" s="1406"/>
      <c r="AY84" s="1406"/>
      <c r="AZ84" s="1406"/>
      <c r="BA84" s="1406"/>
      <c r="BB84" s="1406"/>
      <c r="BC84" s="1406"/>
    </row>
    <row r="85" spans="1:55">
      <c r="A85" s="958"/>
      <c r="B85" s="958"/>
      <c r="C85" s="958"/>
      <c r="D85" s="958"/>
      <c r="E85" s="958"/>
      <c r="F85" s="958"/>
      <c r="G85" s="958"/>
      <c r="H85" s="958"/>
      <c r="I85" s="958"/>
      <c r="J85" s="958"/>
      <c r="K85" s="958"/>
      <c r="L85" s="958"/>
      <c r="M85" s="958"/>
      <c r="N85" s="1406"/>
      <c r="O85" s="1406"/>
      <c r="P85" s="1406"/>
      <c r="Q85" s="1406"/>
      <c r="R85" s="1406"/>
      <c r="S85" s="1406"/>
      <c r="T85" s="1406"/>
      <c r="U85" s="1406"/>
      <c r="V85" s="1406"/>
      <c r="W85" s="1406"/>
      <c r="X85" s="1406"/>
      <c r="Y85" s="1406"/>
      <c r="Z85" s="1406"/>
      <c r="AA85" s="1406"/>
      <c r="AB85" s="1406"/>
      <c r="AC85" s="1406"/>
      <c r="AD85" s="1406"/>
      <c r="AE85" s="1406"/>
      <c r="AF85" s="1406"/>
      <c r="AG85" s="1406"/>
      <c r="AH85" s="1406"/>
      <c r="AI85" s="1406"/>
      <c r="AJ85" s="1406"/>
      <c r="AK85" s="1406"/>
      <c r="AL85" s="1406"/>
      <c r="AM85" s="1406"/>
      <c r="AN85" s="1406"/>
      <c r="AO85" s="1406"/>
      <c r="AP85" s="1406"/>
      <c r="AQ85" s="1406"/>
      <c r="AR85" s="1406"/>
      <c r="AS85" s="1406"/>
      <c r="AT85" s="1406"/>
      <c r="AU85" s="1406"/>
      <c r="AV85" s="1406"/>
      <c r="AW85" s="1406"/>
      <c r="AX85" s="1406"/>
      <c r="AY85" s="1406"/>
      <c r="AZ85" s="1406"/>
      <c r="BA85" s="1406"/>
      <c r="BB85" s="1406"/>
      <c r="BC85" s="1406"/>
    </row>
    <row r="86" spans="1:55">
      <c r="A86" s="958"/>
      <c r="B86" s="958"/>
      <c r="C86" s="958"/>
      <c r="D86" s="958"/>
      <c r="E86" s="958"/>
      <c r="F86" s="958"/>
      <c r="G86" s="958"/>
      <c r="H86" s="958"/>
      <c r="I86" s="958"/>
      <c r="J86" s="958"/>
      <c r="K86" s="958"/>
      <c r="L86" s="958"/>
      <c r="M86" s="958"/>
      <c r="N86" s="1406"/>
      <c r="O86" s="1406"/>
      <c r="P86" s="1406"/>
      <c r="Q86" s="1406"/>
      <c r="R86" s="1406"/>
      <c r="S86" s="1406"/>
      <c r="T86" s="1406"/>
      <c r="U86" s="1406"/>
      <c r="V86" s="1406"/>
      <c r="W86" s="1406"/>
      <c r="X86" s="1406"/>
      <c r="Y86" s="1406"/>
      <c r="Z86" s="1406"/>
      <c r="AA86" s="1406"/>
      <c r="AB86" s="1406"/>
      <c r="AC86" s="1406"/>
      <c r="AD86" s="1406"/>
      <c r="AE86" s="1406"/>
      <c r="AF86" s="1406"/>
      <c r="AG86" s="1406"/>
      <c r="AH86" s="1406"/>
      <c r="AI86" s="1406"/>
      <c r="AJ86" s="1406"/>
      <c r="AK86" s="1406"/>
      <c r="AL86" s="1406"/>
      <c r="AM86" s="1406"/>
      <c r="AN86" s="1406"/>
      <c r="AO86" s="1406"/>
      <c r="AP86" s="1406"/>
      <c r="AQ86" s="1406"/>
      <c r="AR86" s="1406"/>
      <c r="AS86" s="1406"/>
      <c r="AT86" s="1406"/>
      <c r="AU86" s="1406"/>
      <c r="AV86" s="1406"/>
      <c r="AW86" s="1406"/>
      <c r="AX86" s="1406"/>
      <c r="AY86" s="1406"/>
      <c r="AZ86" s="1406"/>
      <c r="BA86" s="1406"/>
      <c r="BB86" s="1406"/>
      <c r="BC86" s="1406"/>
    </row>
    <row r="87" spans="1:55">
      <c r="A87" s="958"/>
      <c r="B87" s="958"/>
      <c r="C87" s="958"/>
      <c r="D87" s="958"/>
      <c r="E87" s="958"/>
      <c r="F87" s="958"/>
      <c r="G87" s="958"/>
      <c r="H87" s="958"/>
      <c r="I87" s="958"/>
      <c r="J87" s="958"/>
      <c r="K87" s="958"/>
      <c r="L87" s="958"/>
      <c r="M87" s="958"/>
      <c r="N87" s="1406"/>
      <c r="O87" s="1406"/>
      <c r="P87" s="1406"/>
      <c r="Q87" s="1406"/>
      <c r="R87" s="1406"/>
      <c r="S87" s="1406"/>
      <c r="T87" s="1406"/>
      <c r="U87" s="1406"/>
      <c r="V87" s="1406"/>
      <c r="W87" s="1406"/>
      <c r="X87" s="1406"/>
      <c r="Y87" s="1406"/>
      <c r="Z87" s="1406"/>
      <c r="AA87" s="1406"/>
      <c r="AB87" s="1406"/>
      <c r="AC87" s="1406"/>
      <c r="AD87" s="1406"/>
      <c r="AE87" s="1406"/>
      <c r="AF87" s="1406"/>
      <c r="AG87" s="1406"/>
      <c r="AH87" s="1406"/>
      <c r="AI87" s="1406"/>
      <c r="AJ87" s="1406"/>
      <c r="AK87" s="1406"/>
      <c r="AL87" s="1406"/>
      <c r="AM87" s="1406"/>
      <c r="AN87" s="1406"/>
      <c r="AO87" s="1406"/>
      <c r="AP87" s="1406"/>
      <c r="AQ87" s="1406"/>
      <c r="AR87" s="1406"/>
      <c r="AS87" s="1406"/>
      <c r="AT87" s="1406"/>
      <c r="AU87" s="1406"/>
      <c r="AV87" s="1406"/>
      <c r="AW87" s="1406"/>
      <c r="AX87" s="1406"/>
      <c r="AY87" s="1406"/>
      <c r="AZ87" s="1406"/>
      <c r="BA87" s="1406"/>
      <c r="BB87" s="1406"/>
      <c r="BC87" s="1406"/>
    </row>
    <row r="88" spans="1:55">
      <c r="A88" s="958"/>
      <c r="B88" s="958"/>
      <c r="C88" s="958"/>
      <c r="D88" s="958"/>
      <c r="E88" s="958"/>
      <c r="F88" s="958"/>
      <c r="G88" s="958"/>
      <c r="H88" s="958"/>
      <c r="I88" s="958"/>
      <c r="J88" s="958"/>
      <c r="K88" s="958"/>
      <c r="L88" s="958"/>
      <c r="M88" s="958"/>
      <c r="N88" s="1406"/>
      <c r="O88" s="1406"/>
      <c r="P88" s="1406"/>
      <c r="Q88" s="1406"/>
      <c r="R88" s="1406"/>
      <c r="S88" s="1406"/>
      <c r="T88" s="1406"/>
      <c r="U88" s="1406"/>
      <c r="V88" s="1406"/>
      <c r="W88" s="1406"/>
      <c r="X88" s="1406"/>
      <c r="Y88" s="1406"/>
      <c r="Z88" s="1406"/>
      <c r="AA88" s="1406"/>
      <c r="AB88" s="1406"/>
      <c r="AC88" s="1406"/>
      <c r="AD88" s="1406"/>
      <c r="AE88" s="1406"/>
      <c r="AF88" s="1406"/>
      <c r="AG88" s="1406"/>
      <c r="AH88" s="1406"/>
      <c r="AI88" s="1406"/>
      <c r="AJ88" s="1406"/>
      <c r="AK88" s="1406"/>
      <c r="AL88" s="1406"/>
      <c r="AM88" s="1406"/>
      <c r="AN88" s="1406"/>
      <c r="AO88" s="1406"/>
      <c r="AP88" s="1406"/>
      <c r="AQ88" s="1406"/>
      <c r="AR88" s="1406"/>
      <c r="AS88" s="1406"/>
      <c r="AT88" s="1406"/>
      <c r="AU88" s="1406"/>
      <c r="AV88" s="1406"/>
      <c r="AW88" s="1406"/>
      <c r="AX88" s="1406"/>
      <c r="AY88" s="1406"/>
      <c r="AZ88" s="1406"/>
      <c r="BA88" s="1406"/>
      <c r="BB88" s="1406"/>
      <c r="BC88" s="1406"/>
    </row>
    <row r="89" spans="1:55">
      <c r="A89" s="958"/>
      <c r="B89" s="958"/>
      <c r="C89" s="958"/>
      <c r="D89" s="958"/>
      <c r="E89" s="958"/>
      <c r="F89" s="958"/>
      <c r="G89" s="958"/>
      <c r="H89" s="958"/>
      <c r="I89" s="958"/>
      <c r="J89" s="958"/>
      <c r="K89" s="958"/>
      <c r="L89" s="958"/>
      <c r="M89" s="958"/>
      <c r="N89" s="1406"/>
      <c r="O89" s="1406"/>
      <c r="P89" s="1406"/>
      <c r="Q89" s="1406"/>
      <c r="R89" s="1406"/>
      <c r="S89" s="1406"/>
      <c r="T89" s="1406"/>
      <c r="U89" s="1406"/>
      <c r="V89" s="1406"/>
      <c r="W89" s="1406"/>
      <c r="X89" s="1406"/>
      <c r="Y89" s="1406"/>
      <c r="Z89" s="1406"/>
      <c r="AA89" s="1406"/>
      <c r="AB89" s="1406"/>
      <c r="AC89" s="1406"/>
      <c r="AD89" s="1406"/>
      <c r="AE89" s="1406"/>
      <c r="AF89" s="1406"/>
      <c r="AG89" s="1406"/>
      <c r="AH89" s="1406"/>
      <c r="AI89" s="1406"/>
      <c r="AJ89" s="1406"/>
      <c r="AK89" s="1406"/>
      <c r="AL89" s="1406"/>
      <c r="AM89" s="1406"/>
      <c r="AN89" s="1406"/>
      <c r="AO89" s="1406"/>
      <c r="AP89" s="1406"/>
      <c r="AQ89" s="1406"/>
      <c r="AR89" s="1406"/>
      <c r="AS89" s="1406"/>
      <c r="AT89" s="1406"/>
      <c r="AU89" s="1406"/>
      <c r="AV89" s="1406"/>
      <c r="AW89" s="1406"/>
      <c r="AX89" s="1406"/>
      <c r="AY89" s="1406"/>
      <c r="AZ89" s="1406"/>
      <c r="BA89" s="1406"/>
      <c r="BB89" s="1406"/>
      <c r="BC89" s="1406"/>
    </row>
    <row r="90" spans="1:55">
      <c r="A90" s="958"/>
      <c r="B90" s="958"/>
      <c r="C90" s="958"/>
      <c r="D90" s="958"/>
      <c r="E90" s="958"/>
      <c r="F90" s="958"/>
      <c r="G90" s="958"/>
      <c r="H90" s="958"/>
      <c r="I90" s="958"/>
      <c r="J90" s="958"/>
      <c r="K90" s="958"/>
      <c r="L90" s="958"/>
      <c r="M90" s="958"/>
      <c r="N90" s="1406"/>
      <c r="O90" s="1406"/>
      <c r="P90" s="1406"/>
      <c r="Q90" s="1406"/>
      <c r="R90" s="1406"/>
      <c r="S90" s="1406"/>
      <c r="T90" s="1406"/>
      <c r="U90" s="1406"/>
      <c r="V90" s="1406"/>
      <c r="W90" s="1406"/>
      <c r="X90" s="1406"/>
      <c r="Y90" s="1406"/>
      <c r="Z90" s="1406"/>
      <c r="AA90" s="1406"/>
      <c r="AB90" s="1406"/>
      <c r="AC90" s="1406"/>
      <c r="AD90" s="1406"/>
      <c r="AE90" s="1406"/>
      <c r="AF90" s="1406"/>
      <c r="AG90" s="1406"/>
      <c r="AH90" s="1406"/>
      <c r="AI90" s="1406"/>
      <c r="AJ90" s="1406"/>
      <c r="AK90" s="1406"/>
      <c r="AL90" s="1406"/>
      <c r="AM90" s="1406"/>
      <c r="AN90" s="1406"/>
      <c r="AO90" s="1406"/>
      <c r="AP90" s="1406"/>
      <c r="AQ90" s="1406"/>
      <c r="AR90" s="1406"/>
      <c r="AS90" s="1406"/>
      <c r="AT90" s="1406"/>
      <c r="AU90" s="1406"/>
      <c r="AV90" s="1406"/>
      <c r="AW90" s="1406"/>
      <c r="AX90" s="1406"/>
      <c r="AY90" s="1406"/>
      <c r="AZ90" s="1406"/>
      <c r="BA90" s="1406"/>
      <c r="BB90" s="1406"/>
      <c r="BC90" s="1406"/>
    </row>
    <row r="91" spans="1:55">
      <c r="A91" s="958"/>
      <c r="B91" s="958"/>
      <c r="C91" s="958"/>
      <c r="D91" s="958"/>
      <c r="E91" s="958"/>
      <c r="F91" s="958"/>
      <c r="G91" s="958"/>
      <c r="H91" s="958"/>
      <c r="I91" s="958"/>
      <c r="J91" s="958"/>
      <c r="K91" s="958"/>
      <c r="L91" s="958"/>
      <c r="M91" s="958"/>
      <c r="N91" s="1406"/>
      <c r="O91" s="1406"/>
      <c r="P91" s="1406"/>
      <c r="Q91" s="1406"/>
      <c r="R91" s="1406"/>
      <c r="S91" s="1406"/>
      <c r="T91" s="1406"/>
      <c r="U91" s="1406"/>
      <c r="V91" s="1406"/>
      <c r="W91" s="1406"/>
      <c r="X91" s="1406"/>
      <c r="Y91" s="1406"/>
      <c r="Z91" s="1406"/>
      <c r="AA91" s="1406"/>
      <c r="AB91" s="1406"/>
      <c r="AC91" s="1406"/>
      <c r="AD91" s="1406"/>
      <c r="AE91" s="1406"/>
      <c r="AF91" s="1406"/>
      <c r="AG91" s="1406"/>
      <c r="AH91" s="1406"/>
      <c r="AI91" s="1406"/>
      <c r="AJ91" s="1406"/>
      <c r="AK91" s="1406"/>
      <c r="AL91" s="1406"/>
      <c r="AM91" s="1406"/>
      <c r="AN91" s="1406"/>
      <c r="AO91" s="1406"/>
      <c r="AP91" s="1406"/>
      <c r="AQ91" s="1406"/>
      <c r="AR91" s="1406"/>
      <c r="AS91" s="1406"/>
      <c r="AT91" s="1406"/>
      <c r="AU91" s="1406"/>
      <c r="AV91" s="1406"/>
      <c r="AW91" s="1406"/>
      <c r="AX91" s="1406"/>
      <c r="AY91" s="1406"/>
      <c r="AZ91" s="1406"/>
      <c r="BA91" s="1406"/>
      <c r="BB91" s="1406"/>
      <c r="BC91" s="1406"/>
    </row>
    <row r="92" spans="1:55">
      <c r="A92" s="958"/>
      <c r="B92" s="958"/>
      <c r="C92" s="958"/>
      <c r="D92" s="958"/>
      <c r="E92" s="958"/>
      <c r="F92" s="958"/>
      <c r="G92" s="958"/>
      <c r="H92" s="958"/>
      <c r="I92" s="958"/>
      <c r="J92" s="958"/>
      <c r="K92" s="958"/>
      <c r="L92" s="958"/>
      <c r="M92" s="958"/>
      <c r="N92" s="1406"/>
      <c r="O92" s="1406"/>
      <c r="P92" s="1406"/>
      <c r="Q92" s="1406"/>
      <c r="R92" s="1406"/>
      <c r="S92" s="1406"/>
      <c r="T92" s="1406"/>
      <c r="U92" s="1406"/>
      <c r="V92" s="1406"/>
      <c r="W92" s="1406"/>
      <c r="X92" s="1406"/>
      <c r="Y92" s="1406"/>
      <c r="Z92" s="1406"/>
      <c r="AA92" s="1406"/>
      <c r="AB92" s="1406"/>
      <c r="AC92" s="1406"/>
      <c r="AD92" s="1406"/>
      <c r="AE92" s="1406"/>
      <c r="AF92" s="1406"/>
      <c r="AG92" s="1406"/>
      <c r="AH92" s="1406"/>
      <c r="AI92" s="1406"/>
      <c r="AJ92" s="1406"/>
      <c r="AK92" s="1406"/>
      <c r="AL92" s="1406"/>
      <c r="AM92" s="1406"/>
      <c r="AN92" s="1406"/>
      <c r="AO92" s="1406"/>
      <c r="AP92" s="1406"/>
      <c r="AQ92" s="1406"/>
      <c r="AR92" s="1406"/>
      <c r="AS92" s="1406"/>
      <c r="AT92" s="1406"/>
      <c r="AU92" s="1406"/>
      <c r="AV92" s="1406"/>
      <c r="AW92" s="1406"/>
      <c r="AX92" s="1406"/>
      <c r="AY92" s="1406"/>
      <c r="AZ92" s="1406"/>
      <c r="BA92" s="1406"/>
      <c r="BB92" s="1406"/>
      <c r="BC92" s="1406"/>
    </row>
    <row r="93" spans="1:55">
      <c r="A93" s="958"/>
      <c r="B93" s="958"/>
      <c r="C93" s="958"/>
      <c r="D93" s="958"/>
      <c r="E93" s="958"/>
      <c r="F93" s="958"/>
      <c r="G93" s="958"/>
      <c r="H93" s="958"/>
      <c r="I93" s="958"/>
      <c r="J93" s="958"/>
      <c r="K93" s="958"/>
      <c r="L93" s="958"/>
      <c r="M93" s="958"/>
      <c r="N93" s="1406"/>
      <c r="O93" s="1406"/>
      <c r="P93" s="1406"/>
      <c r="Q93" s="1406"/>
      <c r="R93" s="1406"/>
      <c r="S93" s="1406"/>
      <c r="T93" s="1406"/>
      <c r="U93" s="1406"/>
      <c r="V93" s="1406"/>
      <c r="W93" s="1406"/>
      <c r="X93" s="1406"/>
      <c r="Y93" s="1406"/>
      <c r="Z93" s="1406"/>
      <c r="AA93" s="1406"/>
      <c r="AB93" s="1406"/>
      <c r="AC93" s="1406"/>
      <c r="AD93" s="1406"/>
      <c r="AE93" s="1406"/>
      <c r="AF93" s="1406"/>
      <c r="AG93" s="1406"/>
      <c r="AH93" s="1406"/>
      <c r="AI93" s="1406"/>
      <c r="AJ93" s="1406"/>
      <c r="AK93" s="1406"/>
      <c r="AL93" s="1406"/>
      <c r="AM93" s="1406"/>
      <c r="AN93" s="1406"/>
      <c r="AO93" s="1406"/>
      <c r="AP93" s="1406"/>
      <c r="AQ93" s="1406"/>
      <c r="AR93" s="1406"/>
      <c r="AS93" s="1406"/>
      <c r="AT93" s="1406"/>
      <c r="AU93" s="1406"/>
      <c r="AV93" s="1406"/>
      <c r="AW93" s="1406"/>
      <c r="AX93" s="1406"/>
      <c r="AY93" s="1406"/>
      <c r="AZ93" s="1406"/>
      <c r="BA93" s="1406"/>
      <c r="BB93" s="1406"/>
      <c r="BC93" s="1406"/>
    </row>
    <row r="94" spans="1:55">
      <c r="A94" s="958"/>
      <c r="B94" s="958"/>
      <c r="C94" s="958"/>
      <c r="D94" s="958"/>
      <c r="E94" s="958"/>
      <c r="F94" s="958"/>
      <c r="G94" s="958"/>
      <c r="H94" s="958"/>
      <c r="I94" s="958"/>
      <c r="J94" s="958"/>
      <c r="K94" s="958"/>
      <c r="L94" s="958"/>
      <c r="M94" s="958"/>
      <c r="N94" s="1406"/>
      <c r="O94" s="1406"/>
      <c r="P94" s="1406"/>
      <c r="Q94" s="1406"/>
      <c r="R94" s="1406"/>
      <c r="S94" s="1406"/>
      <c r="T94" s="1406"/>
      <c r="U94" s="1406"/>
      <c r="V94" s="1406"/>
      <c r="W94" s="1406"/>
      <c r="X94" s="1406"/>
      <c r="Y94" s="1406"/>
      <c r="Z94" s="1406"/>
      <c r="AA94" s="1406"/>
      <c r="AB94" s="1406"/>
      <c r="AC94" s="1406"/>
      <c r="AD94" s="1406"/>
      <c r="AE94" s="1406"/>
      <c r="AF94" s="1406"/>
      <c r="AG94" s="1406"/>
      <c r="AH94" s="1406"/>
      <c r="AI94" s="1406"/>
      <c r="AJ94" s="1406"/>
      <c r="AK94" s="1406"/>
      <c r="AL94" s="1406"/>
      <c r="AM94" s="1406"/>
      <c r="AN94" s="1406"/>
      <c r="AO94" s="1406"/>
      <c r="AP94" s="1406"/>
      <c r="AQ94" s="1406"/>
      <c r="AR94" s="1406"/>
      <c r="AS94" s="1406"/>
      <c r="AT94" s="1406"/>
      <c r="AU94" s="1406"/>
      <c r="AV94" s="1406"/>
      <c r="AW94" s="1406"/>
      <c r="AX94" s="1406"/>
      <c r="AY94" s="1406"/>
      <c r="AZ94" s="1406"/>
      <c r="BA94" s="1406"/>
      <c r="BB94" s="1406"/>
      <c r="BC94" s="1406"/>
    </row>
    <row r="95" spans="1:55">
      <c r="A95" s="958"/>
      <c r="B95" s="958"/>
      <c r="C95" s="958"/>
      <c r="D95" s="958"/>
      <c r="E95" s="958"/>
      <c r="F95" s="958"/>
      <c r="G95" s="958"/>
      <c r="H95" s="958"/>
      <c r="I95" s="958"/>
      <c r="J95" s="958"/>
      <c r="K95" s="958"/>
      <c r="L95" s="958"/>
      <c r="M95" s="958"/>
      <c r="N95" s="1406"/>
      <c r="O95" s="1406"/>
      <c r="P95" s="1406"/>
      <c r="Q95" s="1406"/>
      <c r="R95" s="1406"/>
      <c r="S95" s="1406"/>
      <c r="T95" s="1406"/>
      <c r="U95" s="1406"/>
      <c r="V95" s="1406"/>
      <c r="W95" s="1406"/>
      <c r="X95" s="1406"/>
      <c r="Y95" s="1406"/>
      <c r="Z95" s="1406"/>
      <c r="AA95" s="1406"/>
      <c r="AB95" s="1406"/>
      <c r="AC95" s="1406"/>
      <c r="AD95" s="1406"/>
      <c r="AE95" s="1406"/>
      <c r="AF95" s="1406"/>
      <c r="AG95" s="1406"/>
      <c r="AH95" s="1406"/>
      <c r="AI95" s="1406"/>
      <c r="AJ95" s="1406"/>
      <c r="AK95" s="1406"/>
      <c r="AL95" s="1406"/>
      <c r="AM95" s="1406"/>
      <c r="AN95" s="1406"/>
      <c r="AO95" s="1406"/>
      <c r="AP95" s="1406"/>
      <c r="AQ95" s="1406"/>
      <c r="AR95" s="1406"/>
      <c r="AS95" s="1406"/>
      <c r="AT95" s="1406"/>
      <c r="AU95" s="1406"/>
      <c r="AV95" s="1406"/>
      <c r="AW95" s="1406"/>
      <c r="AX95" s="1406"/>
      <c r="AY95" s="1406"/>
      <c r="AZ95" s="1406"/>
      <c r="BA95" s="1406"/>
      <c r="BB95" s="1406"/>
      <c r="BC95" s="1406"/>
    </row>
  </sheetData>
  <sheetProtection selectLockedCells="1" selectUnlockedCells="1"/>
  <mergeCells count="15">
    <mergeCell ref="E1:G1"/>
    <mergeCell ref="E2:G2"/>
    <mergeCell ref="A1:D2"/>
    <mergeCell ref="A41:B42"/>
    <mergeCell ref="C41:G42"/>
    <mergeCell ref="A3:A4"/>
    <mergeCell ref="B3:D4"/>
    <mergeCell ref="B5:D5"/>
    <mergeCell ref="A6:G6"/>
    <mergeCell ref="A43:B47"/>
    <mergeCell ref="C43:D43"/>
    <mergeCell ref="E43:G43"/>
    <mergeCell ref="C44:G47"/>
    <mergeCell ref="A48:B48"/>
    <mergeCell ref="C48:G48"/>
  </mergeCells>
  <phoneticPr fontId="135" type="noConversion"/>
  <dataValidations count="2">
    <dataValidation allowBlank="1" showErrorMessage="1" promptTitle="存在调整事项时" prompt="_x000a_选择 “E”" sqref="E43:G43">
      <formula1>0</formula1>
      <formula2>0</formula2>
    </dataValidation>
    <dataValidation allowBlank="1" showErrorMessage="1" sqref="F4">
      <formula1>0</formula1>
      <formula2>0</formula2>
    </dataValidation>
  </dataValidations>
  <hyperlinks>
    <hyperlink ref="H10" location="工资福利!A1" display="工资福利审核表"/>
    <hyperlink ref="H12" location="招待!A1" display="业务招待费审核表"/>
    <hyperlink ref="H14" location="成本倒轧!A1" display="成本倒轧审核表"/>
    <hyperlink ref="H16" location="主营收支!A1" display="主营业务收支审核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0">
    <pageSetUpPr fitToPage="1"/>
  </sheetPr>
  <dimension ref="A1:J47"/>
  <sheetViews>
    <sheetView workbookViewId="0">
      <selection activeCell="F3" sqref="F3"/>
    </sheetView>
  </sheetViews>
  <sheetFormatPr defaultColWidth="9" defaultRowHeight="16.5"/>
  <cols>
    <col min="1" max="1" width="3.75" style="757" customWidth="1"/>
    <col min="2" max="2" width="5.125" style="757" customWidth="1"/>
    <col min="3" max="3" width="14.75" style="757" customWidth="1"/>
    <col min="4" max="5" width="16.25" style="757" customWidth="1"/>
    <col min="6" max="6" width="14.5" style="757" customWidth="1"/>
    <col min="7" max="7" width="10.875" style="757" customWidth="1"/>
    <col min="8" max="8" width="10.25" style="757" customWidth="1"/>
    <col min="9" max="16384" width="9" style="757"/>
  </cols>
  <sheetData>
    <row r="1" spans="1:10" ht="25.9" customHeight="1">
      <c r="A1" s="3270" t="s">
        <v>6126</v>
      </c>
      <c r="B1" s="2994"/>
      <c r="C1" s="2994"/>
      <c r="D1" s="2994"/>
      <c r="E1" s="2994"/>
      <c r="F1" s="2754" t="str">
        <f>基本情况!$F$10</f>
        <v>厦中汇税审（2018）第DS0001号</v>
      </c>
      <c r="G1" s="2754"/>
      <c r="H1" s="2754"/>
    </row>
    <row r="2" spans="1:10" ht="37.15" customHeight="1">
      <c r="A2" s="2994"/>
      <c r="B2" s="2994"/>
      <c r="C2" s="2994"/>
      <c r="D2" s="2994"/>
      <c r="E2" s="2994"/>
      <c r="F2" s="2949" t="str">
        <f>"底稿编号："&amp;开始!J9</f>
        <v>底稿编号：GL-07</v>
      </c>
      <c r="G2" s="2949"/>
      <c r="H2" s="2949"/>
    </row>
    <row r="3" spans="1:10">
      <c r="A3" s="3200" t="s">
        <v>4510</v>
      </c>
      <c r="B3" s="3201"/>
      <c r="C3" s="3161" t="str">
        <f>基本情况!$C$3</f>
        <v/>
      </c>
      <c r="D3" s="3094"/>
      <c r="E3" s="3095"/>
      <c r="F3" s="2027"/>
      <c r="G3" s="1912" t="s">
        <v>5080</v>
      </c>
      <c r="H3" s="1913" t="s">
        <v>4575</v>
      </c>
    </row>
    <row r="4" spans="1:10" ht="16.5" customHeight="1">
      <c r="A4" s="3202"/>
      <c r="B4" s="3070"/>
      <c r="C4" s="3162"/>
      <c r="D4" s="3097"/>
      <c r="E4" s="3098"/>
      <c r="F4" s="1427" t="s">
        <v>4407</v>
      </c>
      <c r="G4" s="2029" t="str">
        <f>基本情况!$F$19&amp;""</f>
        <v/>
      </c>
      <c r="H4" s="1908" t="str">
        <f>TEXT(基本情况!$F$27,"yyyy-mm-dd")</f>
        <v>2018-03-16</v>
      </c>
    </row>
    <row r="5" spans="1:10" ht="16.5" customHeight="1">
      <c r="A5" s="3203" t="s">
        <v>4512</v>
      </c>
      <c r="B5" s="3204"/>
      <c r="C5" s="3271" t="str">
        <f>基本情况!$F$9</f>
        <v>2017年01月01日至2017年12月31日</v>
      </c>
      <c r="D5" s="3272"/>
      <c r="E5" s="3273"/>
      <c r="F5" s="2028" t="s">
        <v>4410</v>
      </c>
      <c r="G5" s="2030" t="str">
        <f>基本情况!$F$18&amp;""</f>
        <v/>
      </c>
      <c r="H5" s="1910" t="str">
        <f>TEXT(基本情况!$F$28,"yyyy-mm-dd")</f>
        <v>2018-05-04</v>
      </c>
    </row>
    <row r="6" spans="1:10" ht="7.5" customHeight="1">
      <c r="A6" s="3055"/>
      <c r="B6" s="3055"/>
      <c r="C6" s="3055"/>
      <c r="D6" s="3055"/>
      <c r="E6" s="3055"/>
      <c r="F6" s="3055"/>
      <c r="G6" s="3055"/>
      <c r="H6" s="3055"/>
    </row>
    <row r="7" spans="1:10" ht="16.5" customHeight="1">
      <c r="A7" s="3269" t="s">
        <v>5673</v>
      </c>
      <c r="B7" s="3269"/>
      <c r="C7" s="3269"/>
      <c r="D7" s="1963" t="s">
        <v>4412</v>
      </c>
      <c r="E7" s="1963" t="s">
        <v>4529</v>
      </c>
      <c r="F7" s="1963" t="s">
        <v>5674</v>
      </c>
      <c r="G7" s="2031" t="s">
        <v>4409</v>
      </c>
      <c r="H7" s="1891" t="s">
        <v>4388</v>
      </c>
    </row>
    <row r="8" spans="1:10" ht="16.5" customHeight="1">
      <c r="A8" s="3264" t="s">
        <v>5675</v>
      </c>
      <c r="B8" s="3264"/>
      <c r="C8" s="3264"/>
      <c r="D8" s="2021"/>
      <c r="E8" s="2021"/>
      <c r="F8" s="2032" t="s">
        <v>5676</v>
      </c>
      <c r="G8" s="1879"/>
      <c r="H8" s="1889"/>
      <c r="I8" s="3268" t="s">
        <v>1724</v>
      </c>
      <c r="J8" s="3268"/>
    </row>
    <row r="9" spans="1:10" ht="16.5" customHeight="1">
      <c r="A9" s="3152" t="s">
        <v>5677</v>
      </c>
      <c r="B9" s="3152"/>
      <c r="C9" s="3152"/>
      <c r="D9" s="2022"/>
      <c r="E9" s="2022"/>
      <c r="F9" s="2033" t="s">
        <v>5678</v>
      </c>
      <c r="G9" s="1876"/>
      <c r="H9" s="1885"/>
    </row>
    <row r="10" spans="1:10" ht="16.5" customHeight="1">
      <c r="A10" s="3152" t="s">
        <v>5679</v>
      </c>
      <c r="B10" s="3152"/>
      <c r="C10" s="3152"/>
      <c r="D10" s="2022"/>
      <c r="E10" s="2022"/>
      <c r="F10" s="2033" t="s">
        <v>5680</v>
      </c>
      <c r="G10" s="1876"/>
      <c r="H10" s="1408"/>
    </row>
    <row r="11" spans="1:10" ht="16.5" customHeight="1">
      <c r="A11" s="3152" t="s">
        <v>5681</v>
      </c>
      <c r="B11" s="3152"/>
      <c r="C11" s="3152"/>
      <c r="D11" s="2022"/>
      <c r="E11" s="2022"/>
      <c r="F11" s="2033" t="s">
        <v>5682</v>
      </c>
      <c r="G11" s="1876"/>
      <c r="H11" s="1408"/>
    </row>
    <row r="12" spans="1:10" ht="16.5" customHeight="1">
      <c r="A12" s="3267"/>
      <c r="B12" s="3267"/>
      <c r="C12" s="3267"/>
      <c r="D12" s="2022"/>
      <c r="E12" s="2022"/>
      <c r="F12" s="2033" t="s">
        <v>5683</v>
      </c>
      <c r="G12" s="1876"/>
      <c r="H12" s="1408"/>
    </row>
    <row r="13" spans="1:10" ht="16.5" customHeight="1">
      <c r="A13" s="3267"/>
      <c r="B13" s="3267"/>
      <c r="C13" s="3267"/>
      <c r="D13" s="2022"/>
      <c r="E13" s="2022"/>
      <c r="F13" s="2033" t="s">
        <v>5684</v>
      </c>
      <c r="G13" s="1876"/>
      <c r="H13" s="1408"/>
    </row>
    <row r="14" spans="1:10" ht="16.5" customHeight="1">
      <c r="A14" s="3266" t="s">
        <v>5685</v>
      </c>
      <c r="B14" s="3266"/>
      <c r="C14" s="3266"/>
      <c r="D14" s="2034">
        <f>D8+D9-D10-D11</f>
        <v>0</v>
      </c>
      <c r="E14" s="2034">
        <f>E8+E9-E10-E11</f>
        <v>0</v>
      </c>
      <c r="F14" s="2035" t="s">
        <v>5686</v>
      </c>
      <c r="G14" s="1878"/>
      <c r="H14" s="1685"/>
    </row>
    <row r="15" spans="1:10" ht="16.5" customHeight="1">
      <c r="A15" s="3152" t="s">
        <v>5687</v>
      </c>
      <c r="B15" s="3152"/>
      <c r="C15" s="3152"/>
      <c r="D15" s="2022"/>
      <c r="E15" s="2022"/>
      <c r="F15" s="2033" t="s">
        <v>5688</v>
      </c>
      <c r="G15" s="1876"/>
      <c r="H15" s="1408"/>
    </row>
    <row r="16" spans="1:10" ht="16.5" customHeight="1">
      <c r="A16" s="3152" t="s">
        <v>5689</v>
      </c>
      <c r="B16" s="3152"/>
      <c r="C16" s="3152"/>
      <c r="D16" s="2022"/>
      <c r="E16" s="2022"/>
      <c r="F16" s="2033" t="s">
        <v>5690</v>
      </c>
      <c r="G16" s="1876"/>
      <c r="H16" s="1408"/>
    </row>
    <row r="17" spans="1:8" ht="16.5" customHeight="1">
      <c r="A17" s="3261"/>
      <c r="B17" s="3261"/>
      <c r="C17" s="3261"/>
      <c r="D17" s="2022"/>
      <c r="E17" s="2022"/>
      <c r="F17" s="2033" t="s">
        <v>5691</v>
      </c>
      <c r="G17" s="1876"/>
      <c r="H17" s="1408"/>
    </row>
    <row r="18" spans="1:8" ht="16.5" customHeight="1">
      <c r="A18" s="3262"/>
      <c r="B18" s="3262"/>
      <c r="C18" s="3262"/>
      <c r="D18" s="2040"/>
      <c r="E18" s="2040"/>
      <c r="F18" s="2033" t="s">
        <v>5692</v>
      </c>
      <c r="G18" s="2041"/>
      <c r="H18" s="1686"/>
    </row>
    <row r="19" spans="1:8" ht="16.5" customHeight="1">
      <c r="A19" s="3266" t="s">
        <v>5693</v>
      </c>
      <c r="B19" s="3266"/>
      <c r="C19" s="3266"/>
      <c r="D19" s="2034">
        <f>D14+D15+D16</f>
        <v>0</v>
      </c>
      <c r="E19" s="2034">
        <f>E14+E15+E16</f>
        <v>0</v>
      </c>
      <c r="F19" s="2035" t="s">
        <v>5694</v>
      </c>
      <c r="G19" s="1878"/>
      <c r="H19" s="1685"/>
    </row>
    <row r="20" spans="1:8" ht="16.5" customHeight="1">
      <c r="A20" s="3152" t="s">
        <v>5695</v>
      </c>
      <c r="B20" s="3152"/>
      <c r="C20" s="3152"/>
      <c r="D20" s="2022"/>
      <c r="E20" s="2022"/>
      <c r="F20" s="2033" t="s">
        <v>5696</v>
      </c>
      <c r="G20" s="1876"/>
      <c r="H20" s="1408"/>
    </row>
    <row r="21" spans="1:8" ht="16.5" customHeight="1">
      <c r="A21" s="3152" t="s">
        <v>5697</v>
      </c>
      <c r="B21" s="3152"/>
      <c r="C21" s="3152"/>
      <c r="D21" s="2022"/>
      <c r="E21" s="2022"/>
      <c r="F21" s="2033" t="s">
        <v>5698</v>
      </c>
      <c r="G21" s="1876"/>
      <c r="H21" s="1408"/>
    </row>
    <row r="22" spans="1:8" ht="16.5" customHeight="1">
      <c r="A22" s="3152" t="s">
        <v>5699</v>
      </c>
      <c r="B22" s="3152"/>
      <c r="C22" s="3152"/>
      <c r="D22" s="2022"/>
      <c r="E22" s="2022"/>
      <c r="F22" s="2033" t="s">
        <v>5700</v>
      </c>
      <c r="G22" s="1876"/>
      <c r="H22" s="1408"/>
    </row>
    <row r="23" spans="1:8" ht="16.5" customHeight="1">
      <c r="A23" s="3261"/>
      <c r="B23" s="3261"/>
      <c r="C23" s="3261"/>
      <c r="D23" s="2022"/>
      <c r="E23" s="2022"/>
      <c r="F23" s="2033" t="s">
        <v>5701</v>
      </c>
      <c r="G23" s="1876"/>
      <c r="H23" s="1408"/>
    </row>
    <row r="24" spans="1:8" ht="16.5" customHeight="1">
      <c r="A24" s="3262"/>
      <c r="B24" s="3262"/>
      <c r="C24" s="3262"/>
      <c r="D24" s="2023"/>
      <c r="E24" s="2023"/>
      <c r="F24" s="2033" t="s">
        <v>5702</v>
      </c>
      <c r="G24" s="1877"/>
      <c r="H24" s="1686"/>
    </row>
    <row r="25" spans="1:8" ht="16.5" customHeight="1">
      <c r="A25" s="3266" t="s">
        <v>5703</v>
      </c>
      <c r="B25" s="3266"/>
      <c r="C25" s="3266"/>
      <c r="D25" s="2034">
        <f>D19+D20-D21-D22</f>
        <v>0</v>
      </c>
      <c r="E25" s="2034">
        <f>E19+E20-E21-E22</f>
        <v>0</v>
      </c>
      <c r="F25" s="2036" t="s">
        <v>5704</v>
      </c>
      <c r="G25" s="1878"/>
      <c r="H25" s="1685"/>
    </row>
    <row r="26" spans="1:8" ht="16.5" customHeight="1">
      <c r="A26" s="3152" t="s">
        <v>5705</v>
      </c>
      <c r="B26" s="3152"/>
      <c r="C26" s="3152"/>
      <c r="D26" s="2022"/>
      <c r="E26" s="2022"/>
      <c r="F26" s="2033" t="s">
        <v>5706</v>
      </c>
      <c r="G26" s="1876"/>
      <c r="H26" s="1408"/>
    </row>
    <row r="27" spans="1:8" ht="16.5" customHeight="1">
      <c r="A27" s="3152" t="s">
        <v>5707</v>
      </c>
      <c r="B27" s="3152"/>
      <c r="C27" s="3152"/>
      <c r="D27" s="2022"/>
      <c r="E27" s="2022"/>
      <c r="F27" s="2033" t="s">
        <v>5708</v>
      </c>
      <c r="G27" s="1876"/>
      <c r="H27" s="1408"/>
    </row>
    <row r="28" spans="1:8" ht="16.5" customHeight="1">
      <c r="A28" s="3152" t="s">
        <v>5709</v>
      </c>
      <c r="B28" s="3152"/>
      <c r="C28" s="3152"/>
      <c r="D28" s="2022"/>
      <c r="E28" s="2022"/>
      <c r="F28" s="2033" t="s">
        <v>5710</v>
      </c>
      <c r="G28" s="1876"/>
      <c r="H28" s="1408"/>
    </row>
    <row r="29" spans="1:8" ht="16.5" customHeight="1">
      <c r="A29" s="3152" t="s">
        <v>5711</v>
      </c>
      <c r="B29" s="3152"/>
      <c r="C29" s="3152"/>
      <c r="D29" s="2022"/>
      <c r="E29" s="2022"/>
      <c r="F29" s="2033" t="s">
        <v>5712</v>
      </c>
      <c r="G29" s="1876"/>
      <c r="H29" s="1408"/>
    </row>
    <row r="30" spans="1:8" ht="16.5" customHeight="1">
      <c r="A30" s="3265"/>
      <c r="B30" s="3265"/>
      <c r="C30" s="3265"/>
      <c r="D30" s="2024"/>
      <c r="E30" s="2024"/>
      <c r="F30" s="2033" t="s">
        <v>5713</v>
      </c>
      <c r="G30" s="1876"/>
      <c r="H30" s="1687"/>
    </row>
    <row r="31" spans="1:8" ht="16.5" customHeight="1">
      <c r="A31" s="3265"/>
      <c r="B31" s="3265"/>
      <c r="C31" s="3265"/>
      <c r="D31" s="2024"/>
      <c r="E31" s="2024"/>
      <c r="F31" s="2037" t="s">
        <v>5714</v>
      </c>
      <c r="G31" s="1876"/>
      <c r="H31" s="1687"/>
    </row>
    <row r="32" spans="1:8" ht="16.5" customHeight="1">
      <c r="A32" s="3264" t="s">
        <v>5715</v>
      </c>
      <c r="B32" s="3264"/>
      <c r="C32" s="3264"/>
      <c r="D32" s="2025"/>
      <c r="E32" s="2025"/>
      <c r="F32" s="2032" t="s">
        <v>5716</v>
      </c>
      <c r="G32" s="1878"/>
      <c r="H32" s="1685"/>
    </row>
    <row r="33" spans="1:8" ht="16.5" customHeight="1">
      <c r="A33" s="3261"/>
      <c r="B33" s="3261"/>
      <c r="C33" s="3261"/>
      <c r="D33" s="2022"/>
      <c r="E33" s="2022"/>
      <c r="F33" s="2033" t="s">
        <v>5717</v>
      </c>
      <c r="G33" s="1876"/>
      <c r="H33" s="1408"/>
    </row>
    <row r="34" spans="1:8" ht="16.5" customHeight="1">
      <c r="A34" s="3261"/>
      <c r="B34" s="3261"/>
      <c r="C34" s="3261"/>
      <c r="D34" s="2022"/>
      <c r="E34" s="2022"/>
      <c r="F34" s="2033" t="s">
        <v>5718</v>
      </c>
      <c r="G34" s="1876"/>
      <c r="H34" s="1408"/>
    </row>
    <row r="35" spans="1:8" ht="16.5" customHeight="1">
      <c r="A35" s="3261"/>
      <c r="B35" s="3261"/>
      <c r="C35" s="3261"/>
      <c r="D35" s="2039"/>
      <c r="E35" s="2039"/>
      <c r="F35" s="2033" t="s">
        <v>5719</v>
      </c>
      <c r="G35" s="1876"/>
      <c r="H35" s="1408"/>
    </row>
    <row r="36" spans="1:8" ht="27" customHeight="1">
      <c r="A36" s="3263" t="s">
        <v>6125</v>
      </c>
      <c r="B36" s="3263"/>
      <c r="C36" s="3263"/>
      <c r="D36" s="2039"/>
      <c r="E36" s="2039"/>
      <c r="F36" s="2033" t="s">
        <v>5720</v>
      </c>
      <c r="G36" s="1876"/>
      <c r="H36" s="1885"/>
    </row>
    <row r="37" spans="1:8" ht="16.5" customHeight="1">
      <c r="A37" s="3261"/>
      <c r="B37" s="3261"/>
      <c r="C37" s="3261"/>
      <c r="D37" s="2039"/>
      <c r="E37" s="2039"/>
      <c r="F37" s="2033" t="s">
        <v>5721</v>
      </c>
      <c r="G37" s="1876"/>
      <c r="H37" s="1885"/>
    </row>
    <row r="38" spans="1:8" ht="16.5" customHeight="1">
      <c r="A38" s="3261"/>
      <c r="B38" s="3261"/>
      <c r="C38" s="3261"/>
      <c r="D38" s="2039"/>
      <c r="E38" s="2039"/>
      <c r="F38" s="2033" t="s">
        <v>5722</v>
      </c>
      <c r="G38" s="1876"/>
      <c r="H38" s="1885"/>
    </row>
    <row r="39" spans="1:8" ht="16.5" customHeight="1">
      <c r="A39" s="3262"/>
      <c r="B39" s="3262"/>
      <c r="C39" s="3262"/>
      <c r="D39" s="2040"/>
      <c r="E39" s="2040"/>
      <c r="F39" s="2033" t="s">
        <v>5723</v>
      </c>
      <c r="G39" s="1877"/>
      <c r="H39" s="1688"/>
    </row>
    <row r="40" spans="1:8" ht="24" customHeight="1">
      <c r="A40" s="3257" t="s">
        <v>4350</v>
      </c>
      <c r="B40" s="3257"/>
      <c r="C40" s="3257"/>
      <c r="D40" s="2026">
        <f>D25+D26+D27-D28-D29+D32+D36</f>
        <v>0</v>
      </c>
      <c r="E40" s="2026">
        <f>E25+E26+E27-E28-E29+E32+E36</f>
        <v>0</v>
      </c>
      <c r="F40" s="2038" t="s">
        <v>5724</v>
      </c>
      <c r="G40" s="2042"/>
      <c r="H40" s="1689"/>
    </row>
    <row r="41" spans="1:8" ht="15" customHeight="1">
      <c r="A41" s="3258" t="s">
        <v>4431</v>
      </c>
      <c r="B41" s="3258"/>
      <c r="C41" s="3258"/>
      <c r="D41" s="3071" t="s">
        <v>5725</v>
      </c>
      <c r="E41" s="3071"/>
      <c r="F41" s="3259"/>
      <c r="G41" s="3259"/>
      <c r="H41" s="3259"/>
    </row>
    <row r="42" spans="1:8" ht="36" customHeight="1">
      <c r="A42" s="3258"/>
      <c r="B42" s="3258"/>
      <c r="C42" s="3258"/>
      <c r="D42" s="3260"/>
      <c r="E42" s="3260"/>
      <c r="F42" s="3260"/>
      <c r="G42" s="3260"/>
      <c r="H42" s="3260"/>
    </row>
    <row r="43" spans="1:8" ht="10.5" customHeight="1">
      <c r="A43" s="3133" t="s">
        <v>4433</v>
      </c>
      <c r="B43" s="3133"/>
      <c r="C43" s="3133"/>
      <c r="D43" s="3067"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主营业务成本借方发生额与产成品贷方转出数一致，认可！</v>
      </c>
      <c r="E43" s="3067"/>
      <c r="F43" s="3067"/>
      <c r="G43" s="3067"/>
      <c r="H43" s="3067"/>
    </row>
    <row r="44" spans="1:8" ht="8.25" customHeight="1">
      <c r="A44" s="3133"/>
      <c r="B44" s="3133"/>
      <c r="C44" s="3133"/>
      <c r="D44" s="3067"/>
      <c r="E44" s="3067"/>
      <c r="F44" s="3067"/>
      <c r="G44" s="3067"/>
      <c r="H44" s="3067"/>
    </row>
    <row r="45" spans="1:8" ht="10.5" customHeight="1">
      <c r="A45" s="3133"/>
      <c r="B45" s="3133"/>
      <c r="C45" s="3133"/>
      <c r="D45" s="3067"/>
      <c r="E45" s="3067"/>
      <c r="F45" s="3067"/>
      <c r="G45" s="3067"/>
      <c r="H45" s="3067"/>
    </row>
    <row r="46" spans="1:8" ht="13.5" customHeight="1">
      <c r="A46" s="1937"/>
      <c r="B46" s="1937"/>
      <c r="C46" s="1937"/>
      <c r="D46" s="1937"/>
      <c r="E46" s="1937"/>
      <c r="F46" s="1937"/>
      <c r="G46" s="1937"/>
      <c r="H46" s="1937"/>
    </row>
    <row r="47" spans="1:8" ht="13.5" customHeight="1">
      <c r="A47" s="1937"/>
      <c r="B47" s="1937" t="s">
        <v>5726</v>
      </c>
      <c r="C47" s="1937"/>
      <c r="D47" s="1937"/>
      <c r="E47" s="1937"/>
      <c r="F47" s="1937"/>
      <c r="G47" s="1937"/>
      <c r="H47" s="1937"/>
    </row>
  </sheetData>
  <sheetProtection formatCells="0" selectLockedCells="1"/>
  <mergeCells count="49">
    <mergeCell ref="A3:B4"/>
    <mergeCell ref="A5:B5"/>
    <mergeCell ref="F1:H1"/>
    <mergeCell ref="F2:H2"/>
    <mergeCell ref="A1:E2"/>
    <mergeCell ref="C3:E4"/>
    <mergeCell ref="C5:E5"/>
    <mergeCell ref="A8:C8"/>
    <mergeCell ref="I8:J8"/>
    <mergeCell ref="A9:C9"/>
    <mergeCell ref="A6:H6"/>
    <mergeCell ref="A7:C7"/>
    <mergeCell ref="A14:C14"/>
    <mergeCell ref="A15:C15"/>
    <mergeCell ref="A12:C12"/>
    <mergeCell ref="A13:C13"/>
    <mergeCell ref="A10:C10"/>
    <mergeCell ref="A11:C11"/>
    <mergeCell ref="A20:C20"/>
    <mergeCell ref="A21:C21"/>
    <mergeCell ref="A18:C18"/>
    <mergeCell ref="A19:C19"/>
    <mergeCell ref="A16:C16"/>
    <mergeCell ref="A17:C17"/>
    <mergeCell ref="A26:C26"/>
    <mergeCell ref="A27:C27"/>
    <mergeCell ref="A24:C24"/>
    <mergeCell ref="A25:C25"/>
    <mergeCell ref="A22:C22"/>
    <mergeCell ref="A23:C23"/>
    <mergeCell ref="A32:C32"/>
    <mergeCell ref="A33:C33"/>
    <mergeCell ref="A30:C30"/>
    <mergeCell ref="A31:C31"/>
    <mergeCell ref="A28:C28"/>
    <mergeCell ref="A29:C29"/>
    <mergeCell ref="A38:C38"/>
    <mergeCell ref="A39:C39"/>
    <mergeCell ref="A36:C36"/>
    <mergeCell ref="A37:C37"/>
    <mergeCell ref="A34:C34"/>
    <mergeCell ref="A35:C35"/>
    <mergeCell ref="A43:C45"/>
    <mergeCell ref="D43:H45"/>
    <mergeCell ref="A40:C40"/>
    <mergeCell ref="A41:C42"/>
    <mergeCell ref="D41:E41"/>
    <mergeCell ref="F41:H41"/>
    <mergeCell ref="D42:H42"/>
  </mergeCells>
  <phoneticPr fontId="135" type="noConversion"/>
  <dataValidations count="2">
    <dataValidation type="list" allowBlank="1" showInputMessage="1" showErrorMessage="1" promptTitle="存在调整事项时" prompt="_x000a_选择 “E”" sqref="F41:H41">
      <formula1>"、E,"</formula1>
      <formula2>0</formula2>
    </dataValidation>
    <dataValidation allowBlank="1" showErrorMessage="1" sqref="H4">
      <formula1>0</formula1>
      <formula2>0</formula2>
    </dataValidation>
  </dataValidations>
  <printOptions horizontalCentered="1"/>
  <pageMargins left="0.39370078740157477" right="0.39370078740157477" top="0.59055118110236215" bottom="0.59055118110236215" header="0.511811023622047" footer="0.511811023622047"/>
  <pageSetup paperSize="9" scale="99" firstPageNumber="0" fitToHeight="0" orientation="portrait" blackAndWhite="1" r:id="rId1"/>
  <headerFooter alignWithMargins="0"/>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U21"/>
  <sheetViews>
    <sheetView topLeftCell="F1" workbookViewId="0">
      <selection activeCell="A5" sqref="A5:O5"/>
    </sheetView>
  </sheetViews>
  <sheetFormatPr defaultColWidth="9" defaultRowHeight="16.5"/>
  <cols>
    <col min="1" max="1" width="3.5" style="565" customWidth="1"/>
    <col min="2" max="2" width="9.75" style="565" customWidth="1"/>
    <col min="3" max="3" width="5.625" style="565" customWidth="1"/>
    <col min="4" max="4" width="11.125" style="565" customWidth="1"/>
    <col min="5" max="5" width="10.25" style="565" customWidth="1"/>
    <col min="6" max="6" width="5.75" style="565" customWidth="1"/>
    <col min="7" max="7" width="12.5" style="565" customWidth="1"/>
    <col min="8" max="8" width="10.25" style="565" customWidth="1"/>
    <col min="9" max="9" width="6.125" style="565" customWidth="1"/>
    <col min="10" max="10" width="12.625" style="565" customWidth="1"/>
    <col min="11" max="11" width="10.375" style="565" customWidth="1"/>
    <col min="12" max="12" width="6.375" style="565" customWidth="1"/>
    <col min="13" max="13" width="11.625" style="565" customWidth="1"/>
    <col min="14" max="14" width="10.375" style="565" customWidth="1"/>
    <col min="15" max="15" width="7.625" style="565" customWidth="1"/>
    <col min="16" max="16384" width="9" style="565"/>
  </cols>
  <sheetData>
    <row r="1" spans="1:21" ht="21" customHeight="1">
      <c r="A1" s="3243" t="s">
        <v>5727</v>
      </c>
      <c r="B1" s="3243"/>
      <c r="C1" s="3243"/>
      <c r="D1" s="3243"/>
      <c r="E1" s="3243"/>
      <c r="F1" s="3243"/>
      <c r="G1" s="3243"/>
      <c r="H1" s="3243"/>
      <c r="I1" s="3243"/>
      <c r="J1" s="3243"/>
      <c r="K1" s="3243"/>
      <c r="L1" s="3243"/>
      <c r="M1" s="3243"/>
      <c r="N1" s="3243"/>
      <c r="O1" s="3243"/>
      <c r="P1" s="564"/>
      <c r="Q1" s="564"/>
      <c r="R1" s="564"/>
      <c r="S1" s="564"/>
      <c r="T1" s="564"/>
      <c r="U1" s="564"/>
    </row>
    <row r="2" spans="1:21">
      <c r="A2" s="3276"/>
      <c r="B2" s="3276"/>
      <c r="C2" s="3276"/>
      <c r="D2" s="3276"/>
      <c r="E2" s="3276"/>
      <c r="F2" s="3276"/>
      <c r="G2" s="3276"/>
      <c r="H2" s="3276"/>
      <c r="I2" s="3276"/>
      <c r="J2" s="1690"/>
      <c r="K2" s="1690"/>
      <c r="L2" s="1690"/>
      <c r="M2" s="645"/>
      <c r="N2" s="1690"/>
      <c r="O2" s="1690"/>
      <c r="P2" s="564"/>
      <c r="Q2" s="564"/>
      <c r="R2" s="564"/>
      <c r="S2" s="564"/>
      <c r="T2" s="564"/>
      <c r="U2" s="564"/>
    </row>
    <row r="3" spans="1:21" ht="20.25" customHeight="1">
      <c r="A3" s="3277" t="str">
        <f>"委托单位名称："&amp;基本情况!$C$3</f>
        <v>委托单位名称：</v>
      </c>
      <c r="B3" s="3277"/>
      <c r="C3" s="3277"/>
      <c r="D3" s="3277"/>
      <c r="E3" s="3277"/>
      <c r="F3" s="3277"/>
      <c r="G3" s="3277"/>
      <c r="H3" s="3277"/>
      <c r="I3" s="3277"/>
      <c r="J3" s="1431" t="s">
        <v>4407</v>
      </c>
      <c r="K3" s="1461" t="str">
        <f>基本情况!$F$19&amp;""</f>
        <v/>
      </c>
      <c r="L3" s="1431" t="s">
        <v>4575</v>
      </c>
      <c r="M3" s="3278" t="str">
        <f>TEXT(基本情况!$F$27,"yyyy-mm-dd")</f>
        <v>2018-03-16</v>
      </c>
      <c r="N3" s="3278"/>
      <c r="O3" s="614" t="s">
        <v>4409</v>
      </c>
      <c r="P3" s="564"/>
      <c r="Q3" s="564"/>
      <c r="R3" s="564"/>
      <c r="S3" s="564"/>
      <c r="T3" s="564"/>
      <c r="U3" s="564"/>
    </row>
    <row r="4" spans="1:21" ht="20.25" customHeight="1">
      <c r="A4" s="3279" t="str">
        <f>"会计期间："&amp;基本情况!$F$9</f>
        <v>会计期间：2017年01月01日至2017年12月31日</v>
      </c>
      <c r="B4" s="3279"/>
      <c r="C4" s="3279"/>
      <c r="D4" s="3279"/>
      <c r="E4" s="3279"/>
      <c r="F4" s="3279"/>
      <c r="G4" s="3279"/>
      <c r="H4" s="3279"/>
      <c r="I4" s="3279"/>
      <c r="J4" s="1298" t="s">
        <v>4410</v>
      </c>
      <c r="K4" s="567" t="str">
        <f>基本情况!$F$18&amp;""</f>
        <v/>
      </c>
      <c r="L4" s="1298" t="s">
        <v>4575</v>
      </c>
      <c r="M4" s="3280" t="str">
        <f>TEXT(基本情况!$F$28,"yyyy-mm-dd")</f>
        <v>2018-05-04</v>
      </c>
      <c r="N4" s="3280"/>
      <c r="O4" s="1691" t="str">
        <f>开始!J10</f>
        <v>GL-08</v>
      </c>
      <c r="P4" s="564"/>
      <c r="Q4" s="564"/>
      <c r="R4" s="564"/>
      <c r="S4" s="564"/>
      <c r="T4" s="564"/>
      <c r="U4" s="564"/>
    </row>
    <row r="5" spans="1:21" ht="7.5" customHeight="1">
      <c r="A5" s="2661"/>
      <c r="B5" s="2661"/>
      <c r="C5" s="2661"/>
      <c r="D5" s="2661"/>
      <c r="E5" s="2661"/>
      <c r="F5" s="2661"/>
      <c r="G5" s="2661"/>
      <c r="H5" s="2661"/>
      <c r="I5" s="2661"/>
      <c r="J5" s="2661"/>
      <c r="K5" s="2661"/>
      <c r="L5" s="2661"/>
      <c r="M5" s="2661"/>
      <c r="N5" s="2661"/>
      <c r="O5" s="2661"/>
      <c r="P5" s="564"/>
      <c r="Q5" s="564"/>
      <c r="R5" s="564"/>
      <c r="S5" s="564"/>
      <c r="T5" s="564"/>
      <c r="U5" s="564"/>
    </row>
    <row r="6" spans="1:21" ht="20.25" customHeight="1">
      <c r="A6" s="3239" t="s">
        <v>5728</v>
      </c>
      <c r="B6" s="3274" t="s">
        <v>5729</v>
      </c>
      <c r="C6" s="3274"/>
      <c r="D6" s="3274"/>
      <c r="E6" s="3274" t="s">
        <v>4476</v>
      </c>
      <c r="F6" s="3274"/>
      <c r="G6" s="3274"/>
      <c r="H6" s="3274" t="s">
        <v>5730</v>
      </c>
      <c r="I6" s="3274"/>
      <c r="J6" s="3274"/>
      <c r="K6" s="3274" t="s">
        <v>5731</v>
      </c>
      <c r="L6" s="3274"/>
      <c r="M6" s="3274"/>
      <c r="N6" s="2928" t="s">
        <v>5732</v>
      </c>
      <c r="O6" s="3275" t="s">
        <v>5733</v>
      </c>
      <c r="P6" s="564"/>
      <c r="Q6" s="564"/>
      <c r="R6" s="564"/>
      <c r="S6" s="564"/>
      <c r="T6" s="564"/>
      <c r="U6" s="564"/>
    </row>
    <row r="7" spans="1:21" ht="18" customHeight="1">
      <c r="A7" s="3239"/>
      <c r="B7" s="1298" t="s">
        <v>5734</v>
      </c>
      <c r="C7" s="1298" t="s">
        <v>5735</v>
      </c>
      <c r="D7" s="1298" t="s">
        <v>4378</v>
      </c>
      <c r="E7" s="1298" t="s">
        <v>5734</v>
      </c>
      <c r="F7" s="1298" t="s">
        <v>5735</v>
      </c>
      <c r="G7" s="1298" t="s">
        <v>4378</v>
      </c>
      <c r="H7" s="1298" t="s">
        <v>5734</v>
      </c>
      <c r="I7" s="1298" t="s">
        <v>5735</v>
      </c>
      <c r="J7" s="1298" t="s">
        <v>4378</v>
      </c>
      <c r="K7" s="1298" t="s">
        <v>5734</v>
      </c>
      <c r="L7" s="1298" t="s">
        <v>5735</v>
      </c>
      <c r="M7" s="1298" t="s">
        <v>4378</v>
      </c>
      <c r="N7" s="2928"/>
      <c r="O7" s="3275"/>
      <c r="P7" s="2913" t="s">
        <v>1724</v>
      </c>
      <c r="Q7" s="2913"/>
      <c r="R7" s="564"/>
      <c r="S7" s="564"/>
      <c r="T7" s="564"/>
      <c r="U7" s="564"/>
    </row>
    <row r="8" spans="1:21" ht="23.1" customHeight="1">
      <c r="A8" s="627">
        <v>1</v>
      </c>
      <c r="B8" s="633"/>
      <c r="C8" s="1419">
        <f>IF(B8=0,0,D8/B8)</f>
        <v>0</v>
      </c>
      <c r="D8" s="633"/>
      <c r="E8" s="633"/>
      <c r="F8" s="1419">
        <f t="shared" ref="F8:F19" si="0">IF(E8=0,0,G8/E8)</f>
        <v>0</v>
      </c>
      <c r="G8" s="633"/>
      <c r="H8" s="633"/>
      <c r="I8" s="1419">
        <f>IF(AND(C8=0,F8=0),0,(D8+G8)/(B8+E8))</f>
        <v>0</v>
      </c>
      <c r="J8" s="1419">
        <f>ROUND(H8*I8,2)</f>
        <v>0</v>
      </c>
      <c r="K8" s="1419">
        <f t="shared" ref="K8:K19" si="1">B8+E8-H8</f>
        <v>0</v>
      </c>
      <c r="L8" s="1419">
        <f t="shared" ref="L8:L19" si="2">IF(K8=0,0,M8/K8)</f>
        <v>0</v>
      </c>
      <c r="M8" s="1419">
        <f t="shared" ref="M8:M19" si="3">D8+G8-J8</f>
        <v>0</v>
      </c>
      <c r="N8" s="633"/>
      <c r="O8" s="1492">
        <f t="shared" ref="O8:O19" si="4">M8-N8</f>
        <v>0</v>
      </c>
      <c r="P8" s="564"/>
      <c r="Q8" s="564"/>
      <c r="R8" s="564"/>
      <c r="S8" s="564"/>
      <c r="T8" s="564"/>
      <c r="U8" s="564"/>
    </row>
    <row r="9" spans="1:21" ht="23.1" customHeight="1">
      <c r="A9" s="1030">
        <v>2</v>
      </c>
      <c r="B9" s="721">
        <f t="shared" ref="B9:D19" si="5">K8</f>
        <v>0</v>
      </c>
      <c r="C9" s="721">
        <f t="shared" si="5"/>
        <v>0</v>
      </c>
      <c r="D9" s="1692">
        <f>M8</f>
        <v>0</v>
      </c>
      <c r="E9" s="638"/>
      <c r="F9" s="721">
        <f t="shared" si="0"/>
        <v>0</v>
      </c>
      <c r="G9" s="638"/>
      <c r="H9" s="638"/>
      <c r="I9" s="721">
        <f>IF(AND(C9=0,F9=0),0,(D9+G9)/(B9+E9))</f>
        <v>0</v>
      </c>
      <c r="J9" s="721">
        <f>ROUND(H9*I9,2)</f>
        <v>0</v>
      </c>
      <c r="K9" s="721">
        <f t="shared" si="1"/>
        <v>0</v>
      </c>
      <c r="L9" s="721">
        <f t="shared" si="2"/>
        <v>0</v>
      </c>
      <c r="M9" s="721">
        <f t="shared" si="3"/>
        <v>0</v>
      </c>
      <c r="N9" s="638"/>
      <c r="O9" s="1401">
        <f t="shared" si="4"/>
        <v>0</v>
      </c>
      <c r="P9" s="564"/>
      <c r="Q9" s="564"/>
      <c r="R9" s="564"/>
      <c r="S9" s="564"/>
      <c r="T9" s="564"/>
      <c r="U9" s="564"/>
    </row>
    <row r="10" spans="1:21" ht="23.1" customHeight="1">
      <c r="A10" s="1030">
        <v>3</v>
      </c>
      <c r="B10" s="721">
        <f t="shared" si="5"/>
        <v>0</v>
      </c>
      <c r="C10" s="721">
        <f t="shared" si="5"/>
        <v>0</v>
      </c>
      <c r="D10" s="1692">
        <f t="shared" si="5"/>
        <v>0</v>
      </c>
      <c r="E10" s="638"/>
      <c r="F10" s="721">
        <f t="shared" si="0"/>
        <v>0</v>
      </c>
      <c r="G10" s="638"/>
      <c r="H10" s="638"/>
      <c r="I10" s="721">
        <f t="shared" ref="I10:I19" si="6">IF(AND(C10=0,F10=0),0,(D10+G10)/(B10+E10))</f>
        <v>0</v>
      </c>
      <c r="J10" s="721">
        <f t="shared" ref="J10:J19" si="7">ROUND(H10*I10,2)</f>
        <v>0</v>
      </c>
      <c r="K10" s="721">
        <f t="shared" si="1"/>
        <v>0</v>
      </c>
      <c r="L10" s="721">
        <f t="shared" si="2"/>
        <v>0</v>
      </c>
      <c r="M10" s="721">
        <f t="shared" si="3"/>
        <v>0</v>
      </c>
      <c r="N10" s="638"/>
      <c r="O10" s="1401">
        <f t="shared" si="4"/>
        <v>0</v>
      </c>
      <c r="P10" s="564"/>
      <c r="Q10" s="564"/>
      <c r="R10" s="564"/>
      <c r="S10" s="564"/>
      <c r="T10" s="564"/>
      <c r="U10" s="564"/>
    </row>
    <row r="11" spans="1:21" ht="23.1" customHeight="1">
      <c r="A11" s="1030">
        <v>4</v>
      </c>
      <c r="B11" s="721">
        <f t="shared" si="5"/>
        <v>0</v>
      </c>
      <c r="C11" s="721">
        <f t="shared" si="5"/>
        <v>0</v>
      </c>
      <c r="D11" s="1692">
        <f t="shared" si="5"/>
        <v>0</v>
      </c>
      <c r="E11" s="638"/>
      <c r="F11" s="721">
        <f t="shared" si="0"/>
        <v>0</v>
      </c>
      <c r="G11" s="638"/>
      <c r="H11" s="638"/>
      <c r="I11" s="721">
        <f t="shared" si="6"/>
        <v>0</v>
      </c>
      <c r="J11" s="721">
        <f t="shared" si="7"/>
        <v>0</v>
      </c>
      <c r="K11" s="721">
        <f t="shared" si="1"/>
        <v>0</v>
      </c>
      <c r="L11" s="721">
        <f t="shared" si="2"/>
        <v>0</v>
      </c>
      <c r="M11" s="721">
        <f t="shared" si="3"/>
        <v>0</v>
      </c>
      <c r="N11" s="638"/>
      <c r="O11" s="1401">
        <f t="shared" si="4"/>
        <v>0</v>
      </c>
      <c r="P11" s="564"/>
      <c r="Q11" s="564"/>
      <c r="R11" s="564"/>
      <c r="S11" s="564"/>
      <c r="T11" s="564"/>
      <c r="U11" s="564"/>
    </row>
    <row r="12" spans="1:21" ht="23.1" customHeight="1">
      <c r="A12" s="1030">
        <v>5</v>
      </c>
      <c r="B12" s="721">
        <f t="shared" si="5"/>
        <v>0</v>
      </c>
      <c r="C12" s="721">
        <f t="shared" si="5"/>
        <v>0</v>
      </c>
      <c r="D12" s="1692">
        <f t="shared" si="5"/>
        <v>0</v>
      </c>
      <c r="E12" s="638"/>
      <c r="F12" s="721">
        <f t="shared" si="0"/>
        <v>0</v>
      </c>
      <c r="G12" s="638"/>
      <c r="H12" s="638"/>
      <c r="I12" s="721">
        <f t="shared" si="6"/>
        <v>0</v>
      </c>
      <c r="J12" s="721">
        <f t="shared" si="7"/>
        <v>0</v>
      </c>
      <c r="K12" s="721">
        <f t="shared" si="1"/>
        <v>0</v>
      </c>
      <c r="L12" s="721">
        <f t="shared" si="2"/>
        <v>0</v>
      </c>
      <c r="M12" s="721">
        <f t="shared" si="3"/>
        <v>0</v>
      </c>
      <c r="N12" s="638"/>
      <c r="O12" s="1401">
        <f t="shared" si="4"/>
        <v>0</v>
      </c>
      <c r="P12" s="564"/>
      <c r="Q12" s="564"/>
      <c r="R12" s="564"/>
      <c r="S12" s="564"/>
      <c r="T12" s="564"/>
      <c r="U12" s="564"/>
    </row>
    <row r="13" spans="1:21" ht="23.1" customHeight="1">
      <c r="A13" s="1030">
        <v>6</v>
      </c>
      <c r="B13" s="721">
        <f t="shared" si="5"/>
        <v>0</v>
      </c>
      <c r="C13" s="721">
        <f t="shared" si="5"/>
        <v>0</v>
      </c>
      <c r="D13" s="1692">
        <f t="shared" si="5"/>
        <v>0</v>
      </c>
      <c r="E13" s="638"/>
      <c r="F13" s="721">
        <f t="shared" si="0"/>
        <v>0</v>
      </c>
      <c r="G13" s="638"/>
      <c r="H13" s="638"/>
      <c r="I13" s="721">
        <f t="shared" si="6"/>
        <v>0</v>
      </c>
      <c r="J13" s="721">
        <f t="shared" si="7"/>
        <v>0</v>
      </c>
      <c r="K13" s="721">
        <f t="shared" si="1"/>
        <v>0</v>
      </c>
      <c r="L13" s="721">
        <f t="shared" si="2"/>
        <v>0</v>
      </c>
      <c r="M13" s="721">
        <f t="shared" si="3"/>
        <v>0</v>
      </c>
      <c r="N13" s="638"/>
      <c r="O13" s="1401">
        <f t="shared" si="4"/>
        <v>0</v>
      </c>
      <c r="P13" s="564"/>
      <c r="Q13" s="564"/>
      <c r="R13" s="564"/>
      <c r="S13" s="564"/>
      <c r="T13" s="564"/>
      <c r="U13" s="564"/>
    </row>
    <row r="14" spans="1:21" ht="23.1" customHeight="1">
      <c r="A14" s="1030">
        <v>7</v>
      </c>
      <c r="B14" s="721">
        <f t="shared" si="5"/>
        <v>0</v>
      </c>
      <c r="C14" s="721">
        <f t="shared" si="5"/>
        <v>0</v>
      </c>
      <c r="D14" s="1692">
        <f t="shared" si="5"/>
        <v>0</v>
      </c>
      <c r="E14" s="638"/>
      <c r="F14" s="721">
        <f t="shared" si="0"/>
        <v>0</v>
      </c>
      <c r="G14" s="638"/>
      <c r="H14" s="638"/>
      <c r="I14" s="721">
        <f t="shared" si="6"/>
        <v>0</v>
      </c>
      <c r="J14" s="721">
        <f t="shared" si="7"/>
        <v>0</v>
      </c>
      <c r="K14" s="721">
        <f t="shared" si="1"/>
        <v>0</v>
      </c>
      <c r="L14" s="721">
        <f t="shared" si="2"/>
        <v>0</v>
      </c>
      <c r="M14" s="721">
        <f t="shared" si="3"/>
        <v>0</v>
      </c>
      <c r="N14" s="638"/>
      <c r="O14" s="1401">
        <f t="shared" si="4"/>
        <v>0</v>
      </c>
      <c r="P14" s="564"/>
      <c r="Q14" s="564"/>
      <c r="R14" s="564"/>
      <c r="S14" s="564"/>
      <c r="T14" s="564"/>
      <c r="U14" s="564"/>
    </row>
    <row r="15" spans="1:21" ht="23.1" customHeight="1">
      <c r="A15" s="1030">
        <v>8</v>
      </c>
      <c r="B15" s="721">
        <f t="shared" si="5"/>
        <v>0</v>
      </c>
      <c r="C15" s="721">
        <f t="shared" si="5"/>
        <v>0</v>
      </c>
      <c r="D15" s="1692">
        <f t="shared" si="5"/>
        <v>0</v>
      </c>
      <c r="E15" s="638"/>
      <c r="F15" s="721">
        <f t="shared" si="0"/>
        <v>0</v>
      </c>
      <c r="G15" s="638"/>
      <c r="H15" s="638"/>
      <c r="I15" s="721">
        <f t="shared" si="6"/>
        <v>0</v>
      </c>
      <c r="J15" s="721">
        <f t="shared" si="7"/>
        <v>0</v>
      </c>
      <c r="K15" s="721">
        <f t="shared" si="1"/>
        <v>0</v>
      </c>
      <c r="L15" s="721">
        <f t="shared" si="2"/>
        <v>0</v>
      </c>
      <c r="M15" s="721">
        <f t="shared" si="3"/>
        <v>0</v>
      </c>
      <c r="N15" s="638"/>
      <c r="O15" s="1401">
        <f t="shared" si="4"/>
        <v>0</v>
      </c>
      <c r="P15" s="564"/>
      <c r="Q15" s="564"/>
      <c r="R15" s="564"/>
      <c r="S15" s="564"/>
      <c r="T15" s="564"/>
      <c r="U15" s="564"/>
    </row>
    <row r="16" spans="1:21" ht="23.1" customHeight="1">
      <c r="A16" s="1030">
        <v>9</v>
      </c>
      <c r="B16" s="721">
        <f t="shared" si="5"/>
        <v>0</v>
      </c>
      <c r="C16" s="721">
        <f t="shared" si="5"/>
        <v>0</v>
      </c>
      <c r="D16" s="1692">
        <f t="shared" si="5"/>
        <v>0</v>
      </c>
      <c r="E16" s="638"/>
      <c r="F16" s="721">
        <f t="shared" si="0"/>
        <v>0</v>
      </c>
      <c r="G16" s="638"/>
      <c r="H16" s="638"/>
      <c r="I16" s="721">
        <f t="shared" si="6"/>
        <v>0</v>
      </c>
      <c r="J16" s="721">
        <f t="shared" si="7"/>
        <v>0</v>
      </c>
      <c r="K16" s="721">
        <f t="shared" si="1"/>
        <v>0</v>
      </c>
      <c r="L16" s="721">
        <f t="shared" si="2"/>
        <v>0</v>
      </c>
      <c r="M16" s="721">
        <f t="shared" si="3"/>
        <v>0</v>
      </c>
      <c r="N16" s="638"/>
      <c r="O16" s="1401">
        <f t="shared" si="4"/>
        <v>0</v>
      </c>
      <c r="P16" s="564"/>
      <c r="Q16" s="564"/>
      <c r="R16" s="564"/>
      <c r="S16" s="564"/>
      <c r="T16" s="564"/>
      <c r="U16" s="564"/>
    </row>
    <row r="17" spans="1:21" ht="23.1" customHeight="1">
      <c r="A17" s="1030">
        <v>10</v>
      </c>
      <c r="B17" s="721">
        <f t="shared" si="5"/>
        <v>0</v>
      </c>
      <c r="C17" s="721">
        <f t="shared" si="5"/>
        <v>0</v>
      </c>
      <c r="D17" s="1692">
        <f t="shared" si="5"/>
        <v>0</v>
      </c>
      <c r="E17" s="638"/>
      <c r="F17" s="721">
        <f t="shared" si="0"/>
        <v>0</v>
      </c>
      <c r="G17" s="638"/>
      <c r="H17" s="638"/>
      <c r="I17" s="721">
        <f t="shared" si="6"/>
        <v>0</v>
      </c>
      <c r="J17" s="721">
        <f t="shared" si="7"/>
        <v>0</v>
      </c>
      <c r="K17" s="721">
        <f t="shared" si="1"/>
        <v>0</v>
      </c>
      <c r="L17" s="721">
        <f t="shared" si="2"/>
        <v>0</v>
      </c>
      <c r="M17" s="721">
        <f t="shared" si="3"/>
        <v>0</v>
      </c>
      <c r="N17" s="638"/>
      <c r="O17" s="1401">
        <f t="shared" si="4"/>
        <v>0</v>
      </c>
      <c r="P17" s="564"/>
      <c r="Q17" s="564"/>
      <c r="R17" s="564"/>
      <c r="S17" s="564"/>
      <c r="T17" s="564"/>
      <c r="U17" s="564"/>
    </row>
    <row r="18" spans="1:21" ht="23.1" customHeight="1">
      <c r="A18" s="1030">
        <v>11</v>
      </c>
      <c r="B18" s="721">
        <f t="shared" si="5"/>
        <v>0</v>
      </c>
      <c r="C18" s="721">
        <f t="shared" si="5"/>
        <v>0</v>
      </c>
      <c r="D18" s="1692">
        <f t="shared" si="5"/>
        <v>0</v>
      </c>
      <c r="E18" s="638"/>
      <c r="F18" s="721">
        <f t="shared" si="0"/>
        <v>0</v>
      </c>
      <c r="G18" s="638"/>
      <c r="H18" s="638"/>
      <c r="I18" s="721">
        <f t="shared" si="6"/>
        <v>0</v>
      </c>
      <c r="J18" s="721">
        <f t="shared" si="7"/>
        <v>0</v>
      </c>
      <c r="K18" s="721">
        <f t="shared" si="1"/>
        <v>0</v>
      </c>
      <c r="L18" s="721">
        <f t="shared" si="2"/>
        <v>0</v>
      </c>
      <c r="M18" s="721">
        <f t="shared" si="3"/>
        <v>0</v>
      </c>
      <c r="N18" s="638"/>
      <c r="O18" s="1401">
        <f t="shared" si="4"/>
        <v>0</v>
      </c>
      <c r="P18" s="564"/>
      <c r="Q18" s="564"/>
      <c r="R18" s="564"/>
      <c r="S18" s="564"/>
      <c r="T18" s="564"/>
      <c r="U18" s="564"/>
    </row>
    <row r="19" spans="1:21" ht="23.1" customHeight="1">
      <c r="A19" s="715">
        <v>12</v>
      </c>
      <c r="B19" s="648">
        <f t="shared" si="5"/>
        <v>0</v>
      </c>
      <c r="C19" s="648">
        <f t="shared" si="5"/>
        <v>0</v>
      </c>
      <c r="D19" s="1692">
        <f t="shared" si="5"/>
        <v>0</v>
      </c>
      <c r="E19" s="642"/>
      <c r="F19" s="648">
        <f t="shared" si="0"/>
        <v>0</v>
      </c>
      <c r="G19" s="642"/>
      <c r="H19" s="642"/>
      <c r="I19" s="721">
        <f t="shared" si="6"/>
        <v>0</v>
      </c>
      <c r="J19" s="721">
        <f t="shared" si="7"/>
        <v>0</v>
      </c>
      <c r="K19" s="648">
        <f t="shared" si="1"/>
        <v>0</v>
      </c>
      <c r="L19" s="648">
        <f t="shared" si="2"/>
        <v>0</v>
      </c>
      <c r="M19" s="648">
        <f t="shared" si="3"/>
        <v>0</v>
      </c>
      <c r="N19" s="642"/>
      <c r="O19" s="626">
        <f t="shared" si="4"/>
        <v>0</v>
      </c>
      <c r="P19" s="564"/>
      <c r="Q19" s="564"/>
      <c r="R19" s="564"/>
      <c r="S19" s="564"/>
      <c r="T19" s="564"/>
      <c r="U19" s="564"/>
    </row>
    <row r="20" spans="1:21" ht="23.1" customHeight="1">
      <c r="A20" s="1693" t="s">
        <v>757</v>
      </c>
      <c r="B20" s="1265" t="s">
        <v>1167</v>
      </c>
      <c r="C20" s="1265" t="s">
        <v>1167</v>
      </c>
      <c r="D20" s="1265" t="s">
        <v>1167</v>
      </c>
      <c r="E20" s="1265">
        <f>SUM(E8:E19)</f>
        <v>0</v>
      </c>
      <c r="F20" s="1265" t="s">
        <v>1167</v>
      </c>
      <c r="G20" s="1265">
        <f>SUM(G8:G19)</f>
        <v>0</v>
      </c>
      <c r="H20" s="1265">
        <f>SUM(H8:H19)</f>
        <v>0</v>
      </c>
      <c r="I20" s="1265" t="s">
        <v>1167</v>
      </c>
      <c r="J20" s="1265">
        <f>SUM(J8:J19)</f>
        <v>0</v>
      </c>
      <c r="K20" s="1265" t="s">
        <v>1167</v>
      </c>
      <c r="L20" s="1265" t="s">
        <v>1167</v>
      </c>
      <c r="M20" s="1265" t="s">
        <v>1167</v>
      </c>
      <c r="N20" s="1265" t="s">
        <v>1167</v>
      </c>
      <c r="O20" s="1266">
        <f>O19</f>
        <v>0</v>
      </c>
      <c r="P20" s="564"/>
      <c r="Q20" s="564"/>
      <c r="R20" s="564"/>
      <c r="S20" s="564"/>
      <c r="T20" s="564"/>
      <c r="U20" s="564"/>
    </row>
    <row r="21" spans="1:21" ht="4.5" customHeight="1">
      <c r="A21" s="576"/>
      <c r="B21" s="576"/>
      <c r="C21" s="576"/>
      <c r="D21" s="576"/>
      <c r="E21" s="576"/>
      <c r="F21" s="576"/>
      <c r="G21" s="576"/>
      <c r="H21" s="576"/>
      <c r="I21" s="576"/>
      <c r="J21" s="576"/>
      <c r="K21" s="576"/>
      <c r="L21" s="576"/>
      <c r="M21" s="576"/>
      <c r="N21" s="576"/>
      <c r="O21" s="576"/>
      <c r="P21" s="564"/>
      <c r="Q21" s="564"/>
      <c r="R21" s="564"/>
      <c r="S21" s="564"/>
      <c r="T21" s="564"/>
      <c r="U21" s="564"/>
    </row>
  </sheetData>
  <sheetProtection selectLockedCells="1" selectUnlockedCells="1"/>
  <mergeCells count="15">
    <mergeCell ref="A1:O1"/>
    <mergeCell ref="A2:I2"/>
    <mergeCell ref="A3:I3"/>
    <mergeCell ref="M3:N3"/>
    <mergeCell ref="A4:I4"/>
    <mergeCell ref="M4:N4"/>
    <mergeCell ref="P7:Q7"/>
    <mergeCell ref="A5:O5"/>
    <mergeCell ref="A6:A7"/>
    <mergeCell ref="B6:D6"/>
    <mergeCell ref="E6:G6"/>
    <mergeCell ref="H6:J6"/>
    <mergeCell ref="K6:M6"/>
    <mergeCell ref="N6:N7"/>
    <mergeCell ref="O6:O7"/>
  </mergeCells>
  <phoneticPr fontId="135" type="noConversion"/>
  <dataValidations count="1">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2">
    <pageSetUpPr fitToPage="1"/>
  </sheetPr>
  <dimension ref="A1:O39"/>
  <sheetViews>
    <sheetView workbookViewId="0">
      <selection activeCell="H3" sqref="H3"/>
    </sheetView>
  </sheetViews>
  <sheetFormatPr defaultColWidth="9" defaultRowHeight="16.5"/>
  <cols>
    <col min="1" max="1" width="4.625" style="2000" customWidth="1"/>
    <col min="2" max="2" width="13.375" style="2000" customWidth="1"/>
    <col min="3" max="3" width="12.875" style="2000" customWidth="1"/>
    <col min="4" max="6" width="9.25" style="2000" customWidth="1"/>
    <col min="7" max="7" width="12" style="2000" customWidth="1"/>
    <col min="8" max="8" width="11.375" style="2000" customWidth="1"/>
    <col min="9" max="9" width="12" style="2000" customWidth="1"/>
    <col min="10" max="10" width="10.875" style="2000" customWidth="1"/>
    <col min="11" max="11" width="39" style="757" customWidth="1"/>
    <col min="12" max="16384" width="9" style="757"/>
  </cols>
  <sheetData>
    <row r="1" spans="1:11" ht="25.9" customHeight="1">
      <c r="A1" s="2994" t="s">
        <v>6121</v>
      </c>
      <c r="B1" s="2994"/>
      <c r="C1" s="2994"/>
      <c r="D1" s="2994"/>
      <c r="E1" s="2994"/>
      <c r="F1" s="2994"/>
      <c r="G1" s="2994"/>
      <c r="H1" s="2754" t="str">
        <f>基本情况!$F$10</f>
        <v>厦中汇税审（2018）第DS0001号</v>
      </c>
      <c r="I1" s="2754"/>
      <c r="J1" s="2754"/>
      <c r="K1" s="3297"/>
    </row>
    <row r="2" spans="1:11" ht="37.15" customHeight="1">
      <c r="A2" s="2994"/>
      <c r="B2" s="2994"/>
      <c r="C2" s="2994"/>
      <c r="D2" s="2994"/>
      <c r="E2" s="2994"/>
      <c r="F2" s="2994"/>
      <c r="G2" s="2994"/>
      <c r="H2" s="2949" t="str">
        <f>"底稿编号："&amp;开始!J11</f>
        <v>底稿编号：GL-09</v>
      </c>
      <c r="I2" s="2949"/>
      <c r="J2" s="2949"/>
      <c r="K2" s="3297"/>
    </row>
    <row r="3" spans="1:11" s="1931" customFormat="1" ht="15" customHeight="1">
      <c r="A3" s="3093" t="str">
        <f>"委托单位："&amp;基本情况!$C$3</f>
        <v>委托单位：</v>
      </c>
      <c r="B3" s="3094"/>
      <c r="C3" s="3094"/>
      <c r="D3" s="3094"/>
      <c r="E3" s="3094"/>
      <c r="F3" s="3094"/>
      <c r="G3" s="3095"/>
      <c r="H3" s="2027"/>
      <c r="I3" s="2011" t="s">
        <v>4523</v>
      </c>
      <c r="J3" s="2012" t="s">
        <v>4511</v>
      </c>
      <c r="K3" s="3297"/>
    </row>
    <row r="4" spans="1:11" s="1931" customFormat="1" ht="15" customHeight="1">
      <c r="A4" s="3096"/>
      <c r="B4" s="3097"/>
      <c r="C4" s="3097"/>
      <c r="D4" s="3097"/>
      <c r="E4" s="3097"/>
      <c r="F4" s="3097"/>
      <c r="G4" s="3098"/>
      <c r="H4" s="1427" t="s">
        <v>4407</v>
      </c>
      <c r="I4" s="1914" t="str">
        <f>基本情况!$F$19&amp;""</f>
        <v/>
      </c>
      <c r="J4" s="1908" t="str">
        <f>TEXT(基本情况!$F$27,"yyyy-mm-dd")</f>
        <v>2018-03-16</v>
      </c>
      <c r="K4" s="3297"/>
    </row>
    <row r="5" spans="1:11" s="1931" customFormat="1" ht="15" customHeight="1">
      <c r="A5" s="3298" t="str">
        <f>"会计期间："&amp;基本情况!$F$9</f>
        <v>会计期间：2017年01月01日至2017年12月31日</v>
      </c>
      <c r="B5" s="3299"/>
      <c r="C5" s="3299"/>
      <c r="D5" s="3299"/>
      <c r="E5" s="3299"/>
      <c r="F5" s="3299"/>
      <c r="G5" s="3300"/>
      <c r="H5" s="1915" t="s">
        <v>4410</v>
      </c>
      <c r="I5" s="1909" t="str">
        <f>基本情况!$F$18&amp;""</f>
        <v/>
      </c>
      <c r="J5" s="1910" t="str">
        <f>TEXT(基本情况!$F$28,"yyyy-mm-dd")</f>
        <v>2018-05-04</v>
      </c>
      <c r="K5" s="3297"/>
    </row>
    <row r="6" spans="1:11" s="1937" customFormat="1" ht="6.75" customHeight="1">
      <c r="A6" s="3291"/>
      <c r="B6" s="3291"/>
      <c r="C6" s="3291"/>
      <c r="D6" s="3291"/>
      <c r="E6" s="3291"/>
      <c r="F6" s="3291"/>
      <c r="G6" s="3291"/>
      <c r="H6" s="3291"/>
      <c r="I6" s="3291"/>
      <c r="J6" s="3291"/>
    </row>
    <row r="7" spans="1:11" s="1937" customFormat="1" ht="14.25" customHeight="1">
      <c r="A7" s="3068"/>
      <c r="B7" s="3292" t="s">
        <v>5736</v>
      </c>
      <c r="C7" s="3292" t="s">
        <v>5737</v>
      </c>
      <c r="D7" s="3293" t="s">
        <v>5738</v>
      </c>
      <c r="E7" s="3295" t="s">
        <v>6558</v>
      </c>
      <c r="F7" s="3295" t="s">
        <v>5751</v>
      </c>
      <c r="G7" s="3294" t="s">
        <v>5739</v>
      </c>
      <c r="H7" s="3294"/>
      <c r="I7" s="3294"/>
      <c r="J7" s="3149" t="s">
        <v>4388</v>
      </c>
    </row>
    <row r="8" spans="1:11" s="1937" customFormat="1" ht="14.25" customHeight="1">
      <c r="A8" s="3068"/>
      <c r="B8" s="3292"/>
      <c r="C8" s="3292"/>
      <c r="D8" s="3293"/>
      <c r="E8" s="3296"/>
      <c r="F8" s="3296"/>
      <c r="G8" s="1920" t="s">
        <v>5740</v>
      </c>
      <c r="H8" s="1920" t="s">
        <v>4414</v>
      </c>
      <c r="I8" s="1920" t="s">
        <v>4415</v>
      </c>
      <c r="J8" s="3149"/>
      <c r="K8" s="1894" t="s">
        <v>1724</v>
      </c>
    </row>
    <row r="9" spans="1:11" s="1937" customFormat="1" ht="18" customHeight="1">
      <c r="A9" s="3281" t="s">
        <v>6559</v>
      </c>
      <c r="B9" s="2406" t="s">
        <v>5912</v>
      </c>
      <c r="C9" s="2403" t="s">
        <v>6557</v>
      </c>
      <c r="D9" s="2401" t="s">
        <v>6557</v>
      </c>
      <c r="E9" s="2409" t="s">
        <v>6557</v>
      </c>
      <c r="F9" s="2409">
        <f>税费缴纳测算!$D$9</f>
        <v>0</v>
      </c>
      <c r="G9" s="652"/>
      <c r="H9" s="719">
        <f>I9-G9</f>
        <v>0</v>
      </c>
      <c r="I9" s="719">
        <f>IF(ABS(F9-G9)&lt;1,G9,ROUND(F9,2))</f>
        <v>0</v>
      </c>
      <c r="J9" s="2045"/>
      <c r="K9" s="1965" t="s">
        <v>4369</v>
      </c>
    </row>
    <row r="10" spans="1:11" s="1937" customFormat="1" ht="18" customHeight="1">
      <c r="A10" s="3282"/>
      <c r="B10" s="2407" t="s">
        <v>5917</v>
      </c>
      <c r="C10" s="2403" t="s">
        <v>6556</v>
      </c>
      <c r="D10" s="2400" t="s">
        <v>6556</v>
      </c>
      <c r="E10" s="2410" t="s">
        <v>6557</v>
      </c>
      <c r="F10" s="2410">
        <f>税费缴纳测算!$D$13</f>
        <v>0</v>
      </c>
      <c r="G10" s="1978"/>
      <c r="H10" s="1975">
        <f t="shared" ref="H10:H19" si="0">I10-G10</f>
        <v>0</v>
      </c>
      <c r="I10" s="719">
        <f t="shared" ref="I10:I19" si="1">IF(ABS(F10-G10)&lt;1,G10,ROUND(F10,2))</f>
        <v>0</v>
      </c>
      <c r="J10" s="2047"/>
      <c r="K10" s="1965" t="s">
        <v>5040</v>
      </c>
    </row>
    <row r="11" spans="1:11" s="1937" customFormat="1" ht="18" customHeight="1">
      <c r="A11" s="3282"/>
      <c r="B11" s="2407" t="s">
        <v>5913</v>
      </c>
      <c r="C11" s="2404">
        <f>$F$9+应交税费!$D$16+应交税费!$F$19</f>
        <v>0</v>
      </c>
      <c r="D11" s="2046">
        <v>7.0000000000000007E-2</v>
      </c>
      <c r="E11" s="2402"/>
      <c r="F11" s="2410">
        <f>ROUND((C11-E11)*D11,2)</f>
        <v>0</v>
      </c>
      <c r="G11" s="1978"/>
      <c r="H11" s="1975">
        <f t="shared" si="0"/>
        <v>0</v>
      </c>
      <c r="I11" s="719">
        <f t="shared" si="1"/>
        <v>0</v>
      </c>
      <c r="J11" s="2047"/>
      <c r="K11" s="1965" t="s">
        <v>1711</v>
      </c>
    </row>
    <row r="12" spans="1:11" s="1937" customFormat="1" ht="18" customHeight="1">
      <c r="A12" s="3282"/>
      <c r="B12" s="2407" t="s">
        <v>5915</v>
      </c>
      <c r="C12" s="2404">
        <f>C11</f>
        <v>0</v>
      </c>
      <c r="D12" s="2046">
        <v>0.03</v>
      </c>
      <c r="E12" s="2402"/>
      <c r="F12" s="2410">
        <f>ROUND((C12-E12)*D12,2)</f>
        <v>0</v>
      </c>
      <c r="G12" s="1978"/>
      <c r="H12" s="1975">
        <f>I12-G12</f>
        <v>0</v>
      </c>
      <c r="I12" s="719">
        <f t="shared" si="1"/>
        <v>0</v>
      </c>
      <c r="J12" s="2048"/>
      <c r="K12" s="672" t="s">
        <v>4654</v>
      </c>
    </row>
    <row r="13" spans="1:11" s="1937" customFormat="1" ht="18" customHeight="1">
      <c r="A13" s="3282"/>
      <c r="B13" s="2407" t="s">
        <v>5745</v>
      </c>
      <c r="C13" s="2405">
        <f>C12</f>
        <v>0</v>
      </c>
      <c r="D13" s="2046">
        <v>0.02</v>
      </c>
      <c r="E13" s="2402"/>
      <c r="F13" s="2410">
        <f>ROUND((C13-E13)*D13,2)</f>
        <v>0</v>
      </c>
      <c r="G13" s="1978"/>
      <c r="H13" s="1975">
        <f t="shared" si="0"/>
        <v>0</v>
      </c>
      <c r="I13" s="719">
        <f t="shared" si="1"/>
        <v>0</v>
      </c>
      <c r="J13" s="2047"/>
      <c r="K13" s="672" t="s">
        <v>4586</v>
      </c>
    </row>
    <row r="14" spans="1:11" s="1937" customFormat="1" ht="18" customHeight="1">
      <c r="A14" s="3282"/>
      <c r="B14" s="2407" t="s">
        <v>5761</v>
      </c>
      <c r="C14" s="2408" t="s">
        <v>6556</v>
      </c>
      <c r="D14" s="2400" t="s">
        <v>6556</v>
      </c>
      <c r="E14" s="2410" t="s">
        <v>6557</v>
      </c>
      <c r="F14" s="2410">
        <f>税费缴纳测算!$D$16</f>
        <v>0</v>
      </c>
      <c r="G14" s="1978"/>
      <c r="H14" s="1975">
        <f t="shared" si="0"/>
        <v>0</v>
      </c>
      <c r="I14" s="719">
        <f t="shared" si="1"/>
        <v>0</v>
      </c>
      <c r="J14" s="2048"/>
      <c r="K14" s="1965" t="s">
        <v>4572</v>
      </c>
    </row>
    <row r="15" spans="1:11" s="1937" customFormat="1" ht="18" customHeight="1">
      <c r="A15" s="3282"/>
      <c r="B15" s="2407" t="s">
        <v>5764</v>
      </c>
      <c r="C15" s="2408" t="s">
        <v>6556</v>
      </c>
      <c r="D15" s="2400" t="s">
        <v>6556</v>
      </c>
      <c r="E15" s="2410" t="s">
        <v>6557</v>
      </c>
      <c r="F15" s="2410">
        <f>税费缴纳测算!$D$19</f>
        <v>0</v>
      </c>
      <c r="G15" s="1978"/>
      <c r="H15" s="1975">
        <f t="shared" si="0"/>
        <v>0</v>
      </c>
      <c r="I15" s="719">
        <f t="shared" si="1"/>
        <v>0</v>
      </c>
      <c r="J15" s="2045"/>
      <c r="K15" s="1965" t="s">
        <v>5634</v>
      </c>
    </row>
    <row r="16" spans="1:11" s="1937" customFormat="1" ht="18" customHeight="1">
      <c r="A16" s="3282"/>
      <c r="B16" s="2407" t="s">
        <v>5832</v>
      </c>
      <c r="C16" s="2408" t="s">
        <v>6556</v>
      </c>
      <c r="D16" s="2400" t="s">
        <v>6556</v>
      </c>
      <c r="E16" s="2410" t="s">
        <v>6557</v>
      </c>
      <c r="F16" s="2410">
        <f>税费缴纳测算!$D$18</f>
        <v>0</v>
      </c>
      <c r="G16" s="1978"/>
      <c r="H16" s="1975">
        <f t="shared" si="0"/>
        <v>0</v>
      </c>
      <c r="I16" s="719">
        <f t="shared" si="1"/>
        <v>0</v>
      </c>
      <c r="J16" s="2047"/>
      <c r="K16" s="1965" t="s">
        <v>4534</v>
      </c>
    </row>
    <row r="17" spans="1:15" s="1937" customFormat="1" ht="18" customHeight="1">
      <c r="A17" s="3282"/>
      <c r="B17" s="2407" t="s">
        <v>5762</v>
      </c>
      <c r="C17" s="2408" t="s">
        <v>6556</v>
      </c>
      <c r="D17" s="2400" t="s">
        <v>6556</v>
      </c>
      <c r="E17" s="2410" t="s">
        <v>6557</v>
      </c>
      <c r="F17" s="2410">
        <f>税费缴纳测算!$D$17</f>
        <v>0</v>
      </c>
      <c r="G17" s="1978"/>
      <c r="H17" s="1975">
        <f>I17-G17</f>
        <v>0</v>
      </c>
      <c r="I17" s="719">
        <f t="shared" si="1"/>
        <v>0</v>
      </c>
      <c r="J17" s="2047"/>
      <c r="K17" s="1965" t="s">
        <v>5742</v>
      </c>
    </row>
    <row r="18" spans="1:15" s="1937" customFormat="1" ht="18" customHeight="1">
      <c r="A18" s="3282"/>
      <c r="B18" s="2407"/>
      <c r="C18" s="2405"/>
      <c r="D18" s="2046"/>
      <c r="E18" s="2402"/>
      <c r="F18" s="2402"/>
      <c r="G18" s="1978"/>
      <c r="H18" s="1975">
        <f t="shared" si="0"/>
        <v>0</v>
      </c>
      <c r="I18" s="719">
        <f t="shared" si="1"/>
        <v>0</v>
      </c>
      <c r="J18" s="2048"/>
      <c r="K18" s="2049" t="s">
        <v>5744</v>
      </c>
    </row>
    <row r="19" spans="1:15" s="1937" customFormat="1" ht="18" customHeight="1">
      <c r="A19" s="3282"/>
      <c r="B19" s="1696"/>
      <c r="C19" s="1979"/>
      <c r="D19" s="1697"/>
      <c r="E19" s="1697"/>
      <c r="F19" s="1697"/>
      <c r="G19" s="1262"/>
      <c r="H19" s="1975">
        <f t="shared" si="0"/>
        <v>0</v>
      </c>
      <c r="I19" s="719">
        <f t="shared" si="1"/>
        <v>0</v>
      </c>
      <c r="J19" s="2051"/>
      <c r="K19" s="3284"/>
      <c r="L19" s="3284"/>
      <c r="N19" s="2050"/>
      <c r="O19" s="2050"/>
    </row>
    <row r="20" spans="1:15" s="1937" customFormat="1" ht="18" customHeight="1">
      <c r="A20" s="3283"/>
      <c r="B20" s="3285" t="s">
        <v>6560</v>
      </c>
      <c r="C20" s="3285"/>
      <c r="D20" s="3285"/>
      <c r="E20" s="2375"/>
      <c r="F20" s="2375"/>
      <c r="G20" s="1974">
        <f>SUM(G9:G19)</f>
        <v>0</v>
      </c>
      <c r="H20" s="1974">
        <f>SUM(H9:H19)</f>
        <v>0</v>
      </c>
      <c r="I20" s="1974">
        <f>SUM(I9:I19)</f>
        <v>0</v>
      </c>
      <c r="J20" s="2052"/>
      <c r="N20" s="2050"/>
      <c r="O20" s="2050"/>
    </row>
    <row r="21" spans="1:15" s="1937" customFormat="1" ht="18" customHeight="1">
      <c r="A21" s="3127" t="s">
        <v>4430</v>
      </c>
      <c r="B21" s="3127"/>
      <c r="C21" s="3286" t="str">
        <f>IF(G20&lt;&gt;利润表!$C$11,"税金及附加账载数与会计报表数相差"&amp;DOLLAR(G20-利润表!$C$11,2)&amp;"元！","税金及附加账载数与会计报表数相符！")</f>
        <v>税金及附加账载数与会计报表数相符！</v>
      </c>
      <c r="D21" s="3286"/>
      <c r="E21" s="3286"/>
      <c r="F21" s="3286"/>
      <c r="G21" s="3286"/>
      <c r="H21" s="3286"/>
      <c r="I21" s="3286"/>
      <c r="J21" s="3286"/>
      <c r="K21" s="3287"/>
      <c r="L21" s="3287"/>
      <c r="N21" s="2050"/>
      <c r="O21" s="2050"/>
    </row>
    <row r="22" spans="1:15" s="1937" customFormat="1" ht="15" customHeight="1">
      <c r="A22" s="3190" t="s">
        <v>4431</v>
      </c>
      <c r="B22" s="3190"/>
      <c r="C22" s="3288" t="s">
        <v>5746</v>
      </c>
      <c r="D22" s="3288"/>
      <c r="E22" s="2399"/>
      <c r="F22" s="2399"/>
      <c r="G22" s="3289" t="str">
        <f>IF(H20&lt;&gt;0,"、E","")</f>
        <v/>
      </c>
      <c r="H22" s="3289"/>
      <c r="I22" s="3289"/>
      <c r="J22" s="3289"/>
    </row>
    <row r="23" spans="1:15" s="1937" customFormat="1" ht="6.75" customHeight="1">
      <c r="A23" s="3190"/>
      <c r="B23" s="3190"/>
      <c r="C23" s="3290"/>
      <c r="D23" s="3252"/>
      <c r="E23" s="3252"/>
      <c r="F23" s="3252"/>
      <c r="G23" s="3252"/>
      <c r="H23" s="3252"/>
      <c r="I23" s="3252"/>
      <c r="J23" s="3252"/>
      <c r="K23" s="3287"/>
      <c r="L23" s="3287"/>
    </row>
    <row r="24" spans="1:15" s="1937" customFormat="1" ht="6.75" customHeight="1">
      <c r="A24" s="3190"/>
      <c r="B24" s="3190"/>
      <c r="C24" s="3252"/>
      <c r="D24" s="3252"/>
      <c r="E24" s="3252"/>
      <c r="F24" s="3252"/>
      <c r="G24" s="3252"/>
      <c r="H24" s="3252"/>
      <c r="I24" s="3252"/>
      <c r="J24" s="3252"/>
    </row>
    <row r="25" spans="1:15" s="1937" customFormat="1" ht="6.75" customHeight="1">
      <c r="A25" s="3190"/>
      <c r="B25" s="3190"/>
      <c r="C25" s="3252"/>
      <c r="D25" s="3252"/>
      <c r="E25" s="3252"/>
      <c r="F25" s="3252"/>
      <c r="G25" s="3252"/>
      <c r="H25" s="3252"/>
      <c r="I25" s="3252"/>
      <c r="J25" s="3252"/>
      <c r="K25" s="3287"/>
      <c r="L25" s="3287"/>
    </row>
    <row r="26" spans="1:15" s="1937" customFormat="1" ht="6.75" customHeight="1">
      <c r="A26" s="3190"/>
      <c r="B26" s="3190"/>
      <c r="C26" s="3252"/>
      <c r="D26" s="3252"/>
      <c r="E26" s="3252"/>
      <c r="F26" s="3252"/>
      <c r="G26" s="3252"/>
      <c r="H26" s="3252"/>
      <c r="I26" s="3252"/>
      <c r="J26" s="3252"/>
    </row>
    <row r="27" spans="1:15" s="1937" customFormat="1" ht="6.75" customHeight="1">
      <c r="A27" s="3190"/>
      <c r="B27" s="3190"/>
      <c r="C27" s="3252"/>
      <c r="D27" s="3252"/>
      <c r="E27" s="3252"/>
      <c r="F27" s="3252"/>
      <c r="G27" s="3252"/>
      <c r="H27" s="3252"/>
      <c r="I27" s="3252"/>
      <c r="J27" s="3252"/>
      <c r="K27" s="1965"/>
    </row>
    <row r="28" spans="1:15" s="1937" customFormat="1" ht="6.75" customHeight="1">
      <c r="A28" s="3190"/>
      <c r="B28" s="3190"/>
      <c r="C28" s="3252"/>
      <c r="D28" s="3252"/>
      <c r="E28" s="3252"/>
      <c r="F28" s="3252"/>
      <c r="G28" s="3252"/>
      <c r="H28" s="3252"/>
      <c r="I28" s="3252"/>
      <c r="J28" s="3252"/>
    </row>
    <row r="29" spans="1:15" s="1937" customFormat="1" ht="20.25" customHeight="1">
      <c r="A29" s="3066" t="s">
        <v>4433</v>
      </c>
      <c r="B29" s="3066"/>
      <c r="C29" s="3067" t="str">
        <f>IF(H20=0,"税金计提正确，认可！","税金计提有误，账面数与应计提数相差"&amp;DOLLAR(H20,2)&amp;"！")</f>
        <v>税金计提正确，认可！</v>
      </c>
      <c r="D29" s="3067"/>
      <c r="E29" s="3067"/>
      <c r="F29" s="3067"/>
      <c r="G29" s="3067"/>
      <c r="H29" s="3067"/>
      <c r="I29" s="3067"/>
      <c r="J29" s="3067"/>
      <c r="K29" s="1965"/>
    </row>
    <row r="30" spans="1:15" s="2054" customFormat="1">
      <c r="A30" s="2053"/>
      <c r="B30" s="2053"/>
      <c r="C30" s="2053"/>
      <c r="D30" s="2053"/>
      <c r="E30" s="2053"/>
      <c r="F30" s="2053"/>
      <c r="G30" s="2053"/>
      <c r="H30" s="2053"/>
      <c r="I30" s="2053"/>
      <c r="J30" s="2053"/>
    </row>
    <row r="31" spans="1:15" s="2054" customFormat="1">
      <c r="A31" s="2053"/>
      <c r="B31" s="2053"/>
      <c r="C31" s="2053"/>
      <c r="D31" s="2053"/>
      <c r="E31" s="2053"/>
      <c r="F31" s="2053"/>
      <c r="G31" s="2053"/>
      <c r="H31" s="2053"/>
      <c r="I31" s="2053"/>
      <c r="J31" s="2053"/>
    </row>
    <row r="32" spans="1:15" s="2054" customFormat="1">
      <c r="A32" s="2053"/>
      <c r="B32" s="2053"/>
      <c r="C32" s="2053"/>
      <c r="D32" s="2053"/>
      <c r="E32" s="2053"/>
      <c r="F32" s="2053"/>
      <c r="G32" s="2053"/>
      <c r="H32" s="2053"/>
      <c r="I32" s="2053"/>
      <c r="J32" s="2053"/>
    </row>
    <row r="33" spans="1:10" s="2054" customFormat="1">
      <c r="A33" s="2053"/>
      <c r="B33" s="2053"/>
      <c r="C33" s="2053"/>
      <c r="D33" s="2053"/>
      <c r="E33" s="2053"/>
      <c r="F33" s="2053"/>
      <c r="G33" s="2053"/>
      <c r="H33" s="2053"/>
      <c r="I33" s="2053"/>
      <c r="J33" s="2053"/>
    </row>
    <row r="34" spans="1:10" s="2054" customFormat="1">
      <c r="A34" s="2053"/>
      <c r="B34" s="2053"/>
      <c r="C34" s="2053"/>
      <c r="D34" s="2053"/>
      <c r="E34" s="2053"/>
      <c r="F34" s="2053"/>
      <c r="G34" s="2053"/>
      <c r="H34" s="2053"/>
      <c r="I34" s="2053"/>
      <c r="J34" s="2053"/>
    </row>
    <row r="35" spans="1:10" s="2054" customFormat="1">
      <c r="A35" s="2053"/>
      <c r="B35" s="2053"/>
      <c r="C35" s="2053"/>
      <c r="D35" s="2053"/>
      <c r="E35" s="2053"/>
      <c r="F35" s="2053"/>
      <c r="G35" s="2053"/>
      <c r="H35" s="2053"/>
      <c r="I35" s="2053"/>
      <c r="J35" s="2053"/>
    </row>
    <row r="36" spans="1:10" s="2054" customFormat="1">
      <c r="A36" s="2053"/>
      <c r="B36" s="2053"/>
      <c r="C36" s="2053"/>
      <c r="D36" s="2053"/>
      <c r="E36" s="2053"/>
      <c r="F36" s="2053"/>
      <c r="G36" s="2053"/>
      <c r="H36" s="2053"/>
      <c r="I36" s="2053"/>
      <c r="J36" s="2053"/>
    </row>
    <row r="37" spans="1:10" s="2054" customFormat="1">
      <c r="A37" s="2053"/>
      <c r="B37" s="2053"/>
      <c r="C37" s="2053"/>
      <c r="D37" s="2053"/>
      <c r="E37" s="2053"/>
      <c r="F37" s="2053"/>
      <c r="G37" s="2053"/>
      <c r="H37" s="2053"/>
      <c r="I37" s="2053"/>
      <c r="J37" s="2053"/>
    </row>
    <row r="38" spans="1:10" s="2054" customFormat="1">
      <c r="A38" s="2053"/>
      <c r="B38" s="2053"/>
      <c r="C38" s="2053"/>
      <c r="D38" s="2053"/>
      <c r="E38" s="2053"/>
      <c r="F38" s="2053"/>
      <c r="G38" s="2053"/>
      <c r="H38" s="2053"/>
      <c r="I38" s="2053"/>
      <c r="J38" s="2053"/>
    </row>
    <row r="39" spans="1:10" s="2054" customFormat="1">
      <c r="A39" s="2053"/>
      <c r="B39" s="2053"/>
      <c r="C39" s="2053"/>
      <c r="D39" s="2053"/>
      <c r="E39" s="2053"/>
      <c r="F39" s="2053"/>
      <c r="G39" s="2053"/>
      <c r="H39" s="2053"/>
      <c r="I39" s="2053"/>
      <c r="J39" s="2053"/>
    </row>
  </sheetData>
  <sheetProtection formatCells="0" selectLockedCells="1"/>
  <mergeCells count="29">
    <mergeCell ref="K1:K5"/>
    <mergeCell ref="A3:G4"/>
    <mergeCell ref="A5:G5"/>
    <mergeCell ref="H1:J1"/>
    <mergeCell ref="H2:J2"/>
    <mergeCell ref="A1:G2"/>
    <mergeCell ref="A6:J6"/>
    <mergeCell ref="A7:A8"/>
    <mergeCell ref="B7:B8"/>
    <mergeCell ref="C7:C8"/>
    <mergeCell ref="D7:D8"/>
    <mergeCell ref="G7:I7"/>
    <mergeCell ref="J7:J8"/>
    <mergeCell ref="F7:F8"/>
    <mergeCell ref="E7:E8"/>
    <mergeCell ref="A9:A20"/>
    <mergeCell ref="K19:L19"/>
    <mergeCell ref="B20:D20"/>
    <mergeCell ref="A29:B29"/>
    <mergeCell ref="C29:J29"/>
    <mergeCell ref="A21:B21"/>
    <mergeCell ref="C21:J21"/>
    <mergeCell ref="K21:L21"/>
    <mergeCell ref="A22:B28"/>
    <mergeCell ref="C22:D22"/>
    <mergeCell ref="G22:J22"/>
    <mergeCell ref="C23:J28"/>
    <mergeCell ref="K23:L23"/>
    <mergeCell ref="K25:L25"/>
  </mergeCells>
  <phoneticPr fontId="135" type="noConversion"/>
  <dataValidations count="5">
    <dataValidation allowBlank="1" showErrorMessage="1" promptTitle="存在调整事项时" prompt="_x000a_选择 “E”" sqref="G22:J22">
      <formula1>0</formula1>
      <formula2>0</formula2>
    </dataValidation>
    <dataValidation allowBlank="1" showErrorMessage="1" sqref="I4 B19 D19:F19">
      <formula1>0</formula1>
      <formula2>0</formula2>
    </dataValidation>
    <dataValidation type="list" allowBlank="1" showErrorMessage="1" sqref="D9:D13 D18">
      <formula1>"20%,10%,7%,5%,3%,2%,1%"</formula1>
      <formula2>0</formula2>
    </dataValidation>
    <dataValidation type="list" allowBlank="1" showInputMessage="1" showErrorMessage="1" sqref="B9:B18">
      <formula1>"消费税,城市维护建设税,资源税,教育费附加,地方教育附加,房产税,土地使用税,车船使用税,印花税"</formula1>
    </dataValidation>
    <dataValidation allowBlank="1" showErrorMessage="1" sqref="E9:F18 C14:D17"/>
  </dataValidations>
  <hyperlinks>
    <hyperlink ref="K9" location="纳税申报数据!A1" display="纳税申报数据"/>
    <hyperlink ref="K10" location="纳税调整明细表!A1" display="纳税调整明细表"/>
    <hyperlink ref="K11" location="资产负债!A1" display="资产负债表"/>
    <hyperlink ref="K12" location="申报主表!A1" display="申报主表"/>
    <hyperlink ref="K13" location="企业各税审核汇总表!A1" display="企业各税审核汇总表"/>
    <hyperlink ref="K14" location="主营收支!A1" display="主营业务收支审核表"/>
    <hyperlink ref="K15" location="其他业务!A1" display="其他业务利润审核表"/>
    <hyperlink ref="K16" location="利润!A1" display="利润及利润分配表"/>
    <hyperlink ref="K17" location="事项说明!A1" display="审核报告事项说明"/>
  </hyperlinks>
  <printOptions horizontalCentered="1"/>
  <pageMargins left="0.39370078740157477" right="0.39370078740157477" top="0.59055118110236215" bottom="0.59055118110236215" header="0.511811023622047" footer="0.511811023622047"/>
  <pageSetup paperSize="9" scale="89" firstPageNumber="0" orientation="portrait" blackAndWhite="1" r:id="rId1"/>
  <headerFooter alignWithMargins="0"/>
  <drawing r:id="rId2"/>
  <legacyDrawing r:id="rId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3">
    <pageSetUpPr fitToPage="1"/>
  </sheetPr>
  <dimension ref="A1:M126"/>
  <sheetViews>
    <sheetView workbookViewId="0">
      <selection activeCell="F3" sqref="F3"/>
    </sheetView>
  </sheetViews>
  <sheetFormatPr defaultColWidth="9" defaultRowHeight="16.5"/>
  <cols>
    <col min="1" max="1" width="4.5" style="753" customWidth="1"/>
    <col min="2" max="2" width="13.375" style="753" customWidth="1"/>
    <col min="3" max="8" width="12.875" style="753" customWidth="1"/>
    <col min="9" max="9" width="39" style="565" customWidth="1"/>
    <col min="10" max="16384" width="9" style="565"/>
  </cols>
  <sheetData>
    <row r="1" spans="1:13" ht="25.9" customHeight="1">
      <c r="A1" s="3332" t="s">
        <v>5747</v>
      </c>
      <c r="B1" s="3332"/>
      <c r="C1" s="3332"/>
      <c r="D1" s="3332"/>
      <c r="E1" s="3332"/>
      <c r="F1" s="2754" t="str">
        <f>基本情况!$F$10</f>
        <v>厦中汇税审（2018）第DS0001号</v>
      </c>
      <c r="G1" s="2754"/>
      <c r="H1" s="2754"/>
      <c r="I1" s="3331"/>
      <c r="J1" s="564"/>
      <c r="K1" s="564"/>
      <c r="L1" s="564"/>
      <c r="M1" s="564"/>
    </row>
    <row r="2" spans="1:13" s="1850" customFormat="1" ht="37.15" customHeight="1">
      <c r="A2" s="3333"/>
      <c r="B2" s="3333"/>
      <c r="C2" s="3333"/>
      <c r="D2" s="3333"/>
      <c r="E2" s="3333"/>
      <c r="F2" s="2949" t="str">
        <f>"底稿编号："&amp;开始!J12</f>
        <v>底稿编号：GL-10</v>
      </c>
      <c r="G2" s="2949"/>
      <c r="H2" s="2949"/>
      <c r="I2" s="3331"/>
      <c r="J2" s="1968"/>
      <c r="K2" s="1968"/>
      <c r="L2" s="1968"/>
      <c r="M2" s="1968"/>
    </row>
    <row r="3" spans="1:13" s="622" customFormat="1" ht="15" customHeight="1">
      <c r="A3" s="3315" t="str">
        <f>"委托单位："&amp;基本情况!$C$3</f>
        <v>委托单位：</v>
      </c>
      <c r="B3" s="3316"/>
      <c r="C3" s="3316"/>
      <c r="D3" s="3316"/>
      <c r="E3" s="3317"/>
      <c r="F3" s="1227"/>
      <c r="G3" s="571" t="s">
        <v>4523</v>
      </c>
      <c r="H3" s="571" t="s">
        <v>4511</v>
      </c>
      <c r="I3" s="3331"/>
      <c r="J3" s="653"/>
      <c r="K3" s="653"/>
      <c r="L3" s="653"/>
      <c r="M3" s="653"/>
    </row>
    <row r="4" spans="1:13" s="622" customFormat="1" ht="15" customHeight="1">
      <c r="A4" s="3318"/>
      <c r="B4" s="3097"/>
      <c r="C4" s="3097"/>
      <c r="D4" s="3097"/>
      <c r="E4" s="3098"/>
      <c r="F4" s="616" t="s">
        <v>4407</v>
      </c>
      <c r="G4" s="617" t="str">
        <f>基本情况!$F$19&amp;""</f>
        <v/>
      </c>
      <c r="H4" s="618" t="str">
        <f>TEXT(基本情况!$F$27,"yyyy-mm-dd")</f>
        <v>2018-03-16</v>
      </c>
      <c r="I4" s="3331"/>
      <c r="J4" s="653"/>
      <c r="K4" s="653"/>
      <c r="L4" s="653"/>
      <c r="M4" s="653"/>
    </row>
    <row r="5" spans="1:13" s="622" customFormat="1" ht="15" customHeight="1">
      <c r="A5" s="3319" t="str">
        <f>"会计期间："&amp;基本情况!$F$9</f>
        <v>会计期间：2017年01月01日至2017年12月31日</v>
      </c>
      <c r="B5" s="3320"/>
      <c r="C5" s="3320"/>
      <c r="D5" s="3320"/>
      <c r="E5" s="3321"/>
      <c r="F5" s="566" t="s">
        <v>4410</v>
      </c>
      <c r="G5" s="567" t="str">
        <f>基本情况!$F$18&amp;""</f>
        <v/>
      </c>
      <c r="H5" s="567" t="str">
        <f>TEXT(基本情况!$F$28,"yyyy-mm-dd")</f>
        <v>2018-05-04</v>
      </c>
      <c r="I5" s="3331"/>
      <c r="J5" s="653"/>
      <c r="K5" s="653"/>
      <c r="L5" s="653"/>
      <c r="M5" s="653"/>
    </row>
    <row r="6" spans="1:13" s="640" customFormat="1" ht="6.75" customHeight="1">
      <c r="A6" s="3310"/>
      <c r="B6" s="3310"/>
      <c r="C6" s="3310"/>
      <c r="D6" s="3310"/>
      <c r="E6" s="3310"/>
      <c r="F6" s="3310"/>
      <c r="G6" s="3310"/>
      <c r="H6" s="3310"/>
      <c r="I6" s="654"/>
      <c r="J6" s="654"/>
      <c r="K6" s="654"/>
      <c r="L6" s="654"/>
      <c r="M6" s="654"/>
    </row>
    <row r="7" spans="1:13" s="640" customFormat="1" ht="15" customHeight="1">
      <c r="A7" s="1699" t="s">
        <v>5748</v>
      </c>
      <c r="B7" s="1700" t="s">
        <v>5749</v>
      </c>
      <c r="C7" s="1700" t="s">
        <v>5750</v>
      </c>
      <c r="D7" s="1701" t="s">
        <v>5751</v>
      </c>
      <c r="E7" s="1700" t="s">
        <v>5752</v>
      </c>
      <c r="F7" s="1700" t="s">
        <v>5753</v>
      </c>
      <c r="G7" s="1700" t="s">
        <v>5754</v>
      </c>
      <c r="H7" s="614" t="s">
        <v>4388</v>
      </c>
      <c r="I7" s="654"/>
      <c r="J7" s="654"/>
      <c r="K7" s="654"/>
      <c r="L7" s="654"/>
      <c r="M7" s="654"/>
    </row>
    <row r="8" spans="1:13" s="640" customFormat="1" ht="15" customHeight="1">
      <c r="A8" s="1702">
        <v>1</v>
      </c>
      <c r="B8" s="1703" t="s">
        <v>5755</v>
      </c>
      <c r="C8" s="1704"/>
      <c r="D8" s="1705"/>
      <c r="E8" s="1704"/>
      <c r="F8" s="1706">
        <f t="shared" ref="F8:F24" si="0">D8-E8</f>
        <v>0</v>
      </c>
      <c r="G8" s="1704"/>
      <c r="H8" s="1707"/>
      <c r="I8" s="654"/>
      <c r="J8" s="654"/>
      <c r="K8" s="654"/>
      <c r="L8" s="654"/>
      <c r="M8" s="654"/>
    </row>
    <row r="9" spans="1:13" s="640" customFormat="1" ht="15" customHeight="1">
      <c r="A9" s="1702">
        <v>2</v>
      </c>
      <c r="B9" s="1703" t="s">
        <v>5756</v>
      </c>
      <c r="C9" s="1704"/>
      <c r="D9" s="1705"/>
      <c r="E9" s="1708"/>
      <c r="F9" s="1706">
        <f t="shared" si="0"/>
        <v>0</v>
      </c>
      <c r="G9" s="1704"/>
      <c r="H9" s="1707"/>
      <c r="I9" s="654"/>
      <c r="J9" s="654"/>
      <c r="K9" s="654"/>
      <c r="L9" s="654"/>
      <c r="M9" s="654"/>
    </row>
    <row r="10" spans="1:13" s="640" customFormat="1" ht="18" customHeight="1">
      <c r="A10" s="1702">
        <v>3</v>
      </c>
      <c r="B10" s="1710" t="s">
        <v>5741</v>
      </c>
      <c r="C10" s="1712">
        <f>税金附加!G11</f>
        <v>0</v>
      </c>
      <c r="D10" s="1706">
        <f>税金附加!F11</f>
        <v>0</v>
      </c>
      <c r="E10" s="1708"/>
      <c r="F10" s="1706">
        <f t="shared" si="0"/>
        <v>0</v>
      </c>
      <c r="G10" s="1200"/>
      <c r="H10" s="1024"/>
      <c r="I10" s="704" t="s">
        <v>4369</v>
      </c>
      <c r="J10" s="654"/>
      <c r="K10" s="654"/>
      <c r="L10" s="654"/>
      <c r="M10" s="654"/>
    </row>
    <row r="11" spans="1:13" s="640" customFormat="1" ht="18" customHeight="1">
      <c r="A11" s="1702">
        <v>4</v>
      </c>
      <c r="B11" s="1710" t="s">
        <v>5757</v>
      </c>
      <c r="C11" s="1712">
        <f>税金附加!G12</f>
        <v>0</v>
      </c>
      <c r="D11" s="1706">
        <f>税金附加!F12</f>
        <v>0</v>
      </c>
      <c r="E11" s="1708"/>
      <c r="F11" s="1706">
        <f t="shared" si="0"/>
        <v>0</v>
      </c>
      <c r="G11" s="1200"/>
      <c r="H11" s="1024"/>
      <c r="I11" s="704" t="s">
        <v>5040</v>
      </c>
      <c r="J11" s="654"/>
      <c r="K11" s="654"/>
      <c r="L11" s="654"/>
      <c r="M11" s="654"/>
    </row>
    <row r="12" spans="1:13" s="640" customFormat="1" ht="18" customHeight="1">
      <c r="A12" s="1702">
        <v>5</v>
      </c>
      <c r="B12" s="1710" t="s">
        <v>5745</v>
      </c>
      <c r="C12" s="1712">
        <f>税金附加!G13</f>
        <v>0</v>
      </c>
      <c r="D12" s="1706">
        <f>税金附加!F13</f>
        <v>0</v>
      </c>
      <c r="E12" s="1708"/>
      <c r="F12" s="1706">
        <f t="shared" si="0"/>
        <v>0</v>
      </c>
      <c r="G12" s="1200"/>
      <c r="H12" s="1024"/>
      <c r="I12" s="704" t="s">
        <v>1711</v>
      </c>
      <c r="J12" s="654"/>
      <c r="K12" s="654"/>
      <c r="L12" s="654"/>
      <c r="M12" s="654"/>
    </row>
    <row r="13" spans="1:13" s="640" customFormat="1" ht="18" customHeight="1">
      <c r="A13" s="1702">
        <v>6</v>
      </c>
      <c r="B13" s="1710" t="s">
        <v>5758</v>
      </c>
      <c r="C13" s="1704"/>
      <c r="D13" s="1705"/>
      <c r="E13" s="1708"/>
      <c r="F13" s="1706">
        <f>D13-E13</f>
        <v>0</v>
      </c>
      <c r="G13" s="1704"/>
      <c r="H13" s="1707"/>
      <c r="I13" s="704"/>
      <c r="J13" s="654"/>
      <c r="K13" s="654"/>
      <c r="L13" s="654"/>
      <c r="M13" s="654"/>
    </row>
    <row r="14" spans="1:13" s="640" customFormat="1" ht="18" customHeight="1">
      <c r="A14" s="1702">
        <v>7</v>
      </c>
      <c r="B14" s="1710" t="s">
        <v>5759</v>
      </c>
      <c r="C14" s="1704"/>
      <c r="D14" s="1705"/>
      <c r="E14" s="1708"/>
      <c r="F14" s="1706">
        <f>D14-E14</f>
        <v>0</v>
      </c>
      <c r="G14" s="1704"/>
      <c r="H14" s="1707"/>
      <c r="I14" s="704"/>
      <c r="J14" s="654"/>
      <c r="K14" s="654"/>
      <c r="L14" s="654"/>
      <c r="M14" s="654"/>
    </row>
    <row r="15" spans="1:13" s="640" customFormat="1" ht="18" customHeight="1">
      <c r="A15" s="1702">
        <v>8</v>
      </c>
      <c r="B15" s="1710" t="s">
        <v>5760</v>
      </c>
      <c r="C15" s="1713"/>
      <c r="D15" s="1706">
        <f>'A100000 中华人民共和国企业所得税年度纳税申报表（A类）'!D34</f>
        <v>0</v>
      </c>
      <c r="E15" s="1714">
        <f>应交税费!$H$11</f>
        <v>0</v>
      </c>
      <c r="F15" s="1706">
        <f t="shared" si="0"/>
        <v>0</v>
      </c>
      <c r="G15" s="1200"/>
      <c r="H15" s="1024"/>
      <c r="I15" s="570" t="s">
        <v>4654</v>
      </c>
      <c r="J15" s="654"/>
      <c r="K15" s="654"/>
      <c r="L15" s="654"/>
      <c r="M15" s="654"/>
    </row>
    <row r="16" spans="1:13" s="640" customFormat="1" ht="18" customHeight="1">
      <c r="A16" s="1702">
        <v>9</v>
      </c>
      <c r="B16" s="1710" t="s">
        <v>5761</v>
      </c>
      <c r="C16" s="1711">
        <f>E51</f>
        <v>0</v>
      </c>
      <c r="D16" s="1706">
        <f>G51+G16</f>
        <v>0</v>
      </c>
      <c r="E16" s="1708"/>
      <c r="F16" s="1706">
        <f t="shared" si="0"/>
        <v>0</v>
      </c>
      <c r="G16" s="1200"/>
      <c r="H16" s="1024"/>
      <c r="I16" s="570" t="s">
        <v>4586</v>
      </c>
      <c r="J16" s="654"/>
      <c r="K16" s="654"/>
      <c r="L16" s="654"/>
      <c r="M16" s="654"/>
    </row>
    <row r="17" spans="1:13" s="640" customFormat="1" ht="18" customHeight="1">
      <c r="A17" s="1702">
        <v>10</v>
      </c>
      <c r="B17" s="1710" t="s">
        <v>5762</v>
      </c>
      <c r="C17" s="1711">
        <f>E37</f>
        <v>0</v>
      </c>
      <c r="D17" s="1706">
        <f>G37+G17</f>
        <v>0</v>
      </c>
      <c r="E17" s="1708"/>
      <c r="F17" s="1706">
        <f t="shared" si="0"/>
        <v>0</v>
      </c>
      <c r="G17" s="1200"/>
      <c r="H17" s="1024"/>
      <c r="I17" s="704" t="s">
        <v>4572</v>
      </c>
      <c r="J17" s="654"/>
      <c r="K17" s="654"/>
      <c r="L17" s="654"/>
      <c r="M17" s="654"/>
    </row>
    <row r="18" spans="1:13" s="640" customFormat="1" ht="18" customHeight="1">
      <c r="A18" s="1702">
        <v>11</v>
      </c>
      <c r="B18" s="1710" t="s">
        <v>5763</v>
      </c>
      <c r="C18" s="1713"/>
      <c r="D18" s="1708"/>
      <c r="E18" s="1708"/>
      <c r="F18" s="1706">
        <f t="shared" si="0"/>
        <v>0</v>
      </c>
      <c r="G18" s="1200"/>
      <c r="H18" s="1024"/>
      <c r="I18" s="704" t="s">
        <v>5634</v>
      </c>
      <c r="J18" s="654"/>
      <c r="K18" s="654"/>
      <c r="L18" s="654"/>
      <c r="M18" s="654"/>
    </row>
    <row r="19" spans="1:13" s="640" customFormat="1" ht="18" customHeight="1">
      <c r="A19" s="1702">
        <v>12</v>
      </c>
      <c r="B19" s="1710" t="s">
        <v>5764</v>
      </c>
      <c r="C19" s="1711">
        <f>E54</f>
        <v>0</v>
      </c>
      <c r="D19" s="1706">
        <f>G54+G19</f>
        <v>0</v>
      </c>
      <c r="E19" s="1708"/>
      <c r="F19" s="1706">
        <f t="shared" si="0"/>
        <v>0</v>
      </c>
      <c r="G19" s="1200"/>
      <c r="H19" s="1024"/>
      <c r="I19" s="704" t="s">
        <v>4534</v>
      </c>
      <c r="J19" s="654"/>
      <c r="K19" s="654"/>
      <c r="L19" s="654"/>
      <c r="M19" s="654"/>
    </row>
    <row r="20" spans="1:13" s="640" customFormat="1" ht="18" customHeight="1">
      <c r="A20" s="1702">
        <v>13</v>
      </c>
      <c r="B20" s="1710" t="s">
        <v>5765</v>
      </c>
      <c r="C20" s="1704"/>
      <c r="D20" s="1705"/>
      <c r="E20" s="1708"/>
      <c r="F20" s="1706">
        <f t="shared" si="0"/>
        <v>0</v>
      </c>
      <c r="G20" s="1704"/>
      <c r="H20" s="1707"/>
      <c r="I20" s="704"/>
      <c r="J20" s="654"/>
      <c r="K20" s="654"/>
      <c r="L20" s="654"/>
      <c r="M20" s="654"/>
    </row>
    <row r="21" spans="1:13" s="640" customFormat="1" ht="18" customHeight="1">
      <c r="A21" s="1702">
        <v>14</v>
      </c>
      <c r="B21" s="1710" t="s">
        <v>5766</v>
      </c>
      <c r="C21" s="1713"/>
      <c r="D21" s="1708"/>
      <c r="E21" s="1708"/>
      <c r="F21" s="1706">
        <f t="shared" si="0"/>
        <v>0</v>
      </c>
      <c r="G21" s="1200"/>
      <c r="H21" s="1024"/>
      <c r="I21" s="704" t="s">
        <v>5742</v>
      </c>
      <c r="J21" s="654"/>
      <c r="K21" s="654"/>
      <c r="L21" s="654"/>
      <c r="M21" s="654"/>
    </row>
    <row r="22" spans="1:13" s="640" customFormat="1" ht="18" customHeight="1">
      <c r="A22" s="1702">
        <v>15</v>
      </c>
      <c r="B22" s="1710" t="s">
        <v>5767</v>
      </c>
      <c r="C22" s="1713"/>
      <c r="D22" s="1708"/>
      <c r="E22" s="1708"/>
      <c r="F22" s="1706">
        <f t="shared" si="0"/>
        <v>0</v>
      </c>
      <c r="G22" s="1200"/>
      <c r="H22" s="1024"/>
      <c r="I22" s="570"/>
      <c r="J22" s="654"/>
      <c r="K22" s="654"/>
      <c r="L22" s="654"/>
      <c r="M22" s="654"/>
    </row>
    <row r="23" spans="1:13" s="640" customFormat="1" ht="18" customHeight="1">
      <c r="A23" s="1702">
        <v>16</v>
      </c>
      <c r="B23" s="1710" t="s">
        <v>5768</v>
      </c>
      <c r="C23" s="1713"/>
      <c r="D23" s="1708"/>
      <c r="E23" s="1708"/>
      <c r="F23" s="1706">
        <f t="shared" si="0"/>
        <v>0</v>
      </c>
      <c r="G23" s="1200"/>
      <c r="H23" s="1024"/>
      <c r="I23" s="704" t="s">
        <v>5743</v>
      </c>
      <c r="J23" s="654"/>
      <c r="K23" s="654"/>
      <c r="L23" s="654"/>
      <c r="M23" s="654"/>
    </row>
    <row r="24" spans="1:13" s="640" customFormat="1" ht="18" hidden="1" customHeight="1">
      <c r="A24" s="1709">
        <v>13</v>
      </c>
      <c r="B24" s="1715"/>
      <c r="C24" s="1716"/>
      <c r="D24" s="1708"/>
      <c r="E24" s="1708"/>
      <c r="F24" s="1706">
        <f t="shared" si="0"/>
        <v>0</v>
      </c>
      <c r="G24" s="1200"/>
      <c r="H24" s="1024"/>
      <c r="I24" s="570"/>
      <c r="J24" s="654"/>
      <c r="K24" s="654"/>
      <c r="L24" s="654"/>
      <c r="M24" s="654"/>
    </row>
    <row r="25" spans="1:13" s="640" customFormat="1" ht="18" customHeight="1">
      <c r="A25" s="1717"/>
      <c r="B25" s="1718" t="s">
        <v>5769</v>
      </c>
      <c r="C25" s="1719">
        <f>SUM(C8:C24)</f>
        <v>0</v>
      </c>
      <c r="D25" s="1719">
        <f>SUM(D8:D24)+G25</f>
        <v>0</v>
      </c>
      <c r="E25" s="1719">
        <f>SUM(E8:E24)</f>
        <v>0</v>
      </c>
      <c r="F25" s="1719">
        <f>SUM(F8:F24)</f>
        <v>0</v>
      </c>
      <c r="G25" s="1719">
        <f>SUM(G8:G24)</f>
        <v>0</v>
      </c>
      <c r="H25" s="1021"/>
      <c r="I25" s="570"/>
      <c r="J25" s="654"/>
      <c r="K25" s="654"/>
      <c r="L25" s="654"/>
      <c r="M25" s="654"/>
    </row>
    <row r="26" spans="1:13" s="640" customFormat="1" ht="18" customHeight="1">
      <c r="A26" s="3324" t="s">
        <v>4431</v>
      </c>
      <c r="B26" s="3324"/>
      <c r="C26" s="3325" t="s">
        <v>5746</v>
      </c>
      <c r="D26" s="3325"/>
      <c r="E26" s="3325"/>
      <c r="F26" s="3325"/>
      <c r="G26" s="3326" t="str">
        <f>IF(F25&lt;&gt;0,"、E","")</f>
        <v/>
      </c>
      <c r="H26" s="3326"/>
      <c r="I26" s="570"/>
      <c r="J26" s="654"/>
      <c r="K26" s="654"/>
      <c r="L26" s="654"/>
      <c r="M26" s="654"/>
    </row>
    <row r="27" spans="1:13" s="640" customFormat="1" ht="18.75" customHeight="1">
      <c r="A27" s="3327" t="s">
        <v>4433</v>
      </c>
      <c r="B27" s="3327"/>
      <c r="C27" s="3328" t="str">
        <f>IF(F25=0,"税金缴纳正确，认可！","税金计算缴纳有误，处理后认可！")</f>
        <v>税金缴纳正确，认可！</v>
      </c>
      <c r="D27" s="3329"/>
      <c r="E27" s="3329"/>
      <c r="F27" s="3329"/>
      <c r="G27" s="3329"/>
      <c r="H27" s="3330"/>
      <c r="I27" s="570"/>
      <c r="J27" s="654"/>
      <c r="K27" s="654"/>
      <c r="L27" s="654"/>
      <c r="M27" s="654"/>
    </row>
    <row r="28" spans="1:13" s="640" customFormat="1" ht="18" customHeight="1">
      <c r="A28" s="3314"/>
      <c r="B28" s="3314"/>
      <c r="C28" s="3314"/>
      <c r="D28" s="3314"/>
      <c r="E28" s="3314"/>
      <c r="F28" s="3314"/>
      <c r="G28" s="3314"/>
      <c r="H28" s="3314"/>
      <c r="I28" s="1694"/>
      <c r="J28" s="654"/>
      <c r="K28" s="654"/>
      <c r="L28" s="654"/>
      <c r="M28" s="654"/>
    </row>
    <row r="29" spans="1:13" s="640" customFormat="1" ht="25.9" customHeight="1">
      <c r="A29" s="3322" t="s">
        <v>5770</v>
      </c>
      <c r="B29" s="3322"/>
      <c r="C29" s="3322"/>
      <c r="D29" s="3322"/>
      <c r="E29" s="3322"/>
      <c r="F29" s="2754" t="str">
        <f>基本情况!$F$10</f>
        <v>厦中汇税审（2018）第DS0001号</v>
      </c>
      <c r="G29" s="2754"/>
      <c r="H29" s="2754"/>
      <c r="I29" s="737"/>
      <c r="J29" s="1695"/>
      <c r="K29" s="1695"/>
      <c r="L29" s="1695"/>
      <c r="M29" s="1695"/>
    </row>
    <row r="30" spans="1:13" s="640" customFormat="1" ht="37.15" customHeight="1">
      <c r="A30" s="3323"/>
      <c r="B30" s="3323"/>
      <c r="C30" s="3323"/>
      <c r="D30" s="3323"/>
      <c r="E30" s="3323"/>
      <c r="F30" s="2949" t="str">
        <f>"底稿编号："&amp;开始!$J$13</f>
        <v>底稿编号：GL-11</v>
      </c>
      <c r="G30" s="2949"/>
      <c r="H30" s="2949"/>
      <c r="I30" s="1973"/>
      <c r="J30" s="1695"/>
      <c r="K30" s="1695"/>
      <c r="L30" s="1695"/>
      <c r="M30" s="1695"/>
    </row>
    <row r="31" spans="1:13" s="640" customFormat="1" ht="15" customHeight="1">
      <c r="A31" s="3315" t="str">
        <f>"委托单位："&amp;基本情况!$C$3</f>
        <v>委托单位：</v>
      </c>
      <c r="B31" s="3316"/>
      <c r="C31" s="3316"/>
      <c r="D31" s="3316"/>
      <c r="E31" s="3317"/>
      <c r="F31" s="1977"/>
      <c r="G31" s="1969" t="s">
        <v>4523</v>
      </c>
      <c r="H31" s="1969" t="s">
        <v>4511</v>
      </c>
      <c r="I31" s="737"/>
      <c r="J31" s="1695"/>
      <c r="K31" s="1695"/>
      <c r="L31" s="1695"/>
      <c r="M31" s="1695"/>
    </row>
    <row r="32" spans="1:13" s="640" customFormat="1" ht="15" customHeight="1">
      <c r="A32" s="3318"/>
      <c r="B32" s="3097"/>
      <c r="C32" s="3097"/>
      <c r="D32" s="3097"/>
      <c r="E32" s="3098"/>
      <c r="F32" s="1971" t="s">
        <v>4407</v>
      </c>
      <c r="G32" s="1976" t="str">
        <f>基本情况!$F$19&amp;""</f>
        <v/>
      </c>
      <c r="H32" s="1980" t="str">
        <f>TEXT(基本情况!$F$27,"yyyy-mm-dd")</f>
        <v>2018-03-16</v>
      </c>
      <c r="I32" s="737"/>
      <c r="J32" s="1695"/>
      <c r="K32" s="1695"/>
      <c r="L32" s="1695"/>
      <c r="M32" s="1695"/>
    </row>
    <row r="33" spans="1:13" s="640" customFormat="1" ht="18" customHeight="1">
      <c r="A33" s="3319" t="str">
        <f>"会计期间："&amp;基本情况!$F$9</f>
        <v>会计期间：2017年01月01日至2017年12月31日</v>
      </c>
      <c r="B33" s="3320"/>
      <c r="C33" s="3320"/>
      <c r="D33" s="3320"/>
      <c r="E33" s="3321"/>
      <c r="F33" s="1970" t="s">
        <v>4410</v>
      </c>
      <c r="G33" s="1972" t="str">
        <f>基本情况!$F$18&amp;""</f>
        <v/>
      </c>
      <c r="H33" s="1972" t="str">
        <f>TEXT(基本情况!$F$28,"yyyy-mm-dd")</f>
        <v>2018-05-04</v>
      </c>
      <c r="I33" s="737"/>
      <c r="J33" s="1695"/>
      <c r="K33" s="1695"/>
      <c r="L33" s="1695"/>
      <c r="M33" s="1695"/>
    </row>
    <row r="34" spans="1:13" s="640" customFormat="1" ht="6.75" customHeight="1">
      <c r="A34" s="3310"/>
      <c r="B34" s="3310"/>
      <c r="C34" s="3310"/>
      <c r="D34" s="3310"/>
      <c r="E34" s="3310"/>
      <c r="F34" s="3310"/>
      <c r="G34" s="3310"/>
      <c r="H34" s="3310"/>
      <c r="I34" s="737"/>
      <c r="J34" s="1695"/>
      <c r="K34" s="1695"/>
      <c r="L34" s="1695"/>
      <c r="M34" s="1695"/>
    </row>
    <row r="35" spans="1:13" s="640" customFormat="1" ht="15" customHeight="1">
      <c r="A35" s="3301" t="s">
        <v>4513</v>
      </c>
      <c r="B35" s="3311" t="s">
        <v>750</v>
      </c>
      <c r="C35" s="3312" t="s">
        <v>5737</v>
      </c>
      <c r="D35" s="3311" t="s">
        <v>1065</v>
      </c>
      <c r="E35" s="3311" t="s">
        <v>5771</v>
      </c>
      <c r="F35" s="3311"/>
      <c r="G35" s="3311"/>
      <c r="H35" s="1720" t="s">
        <v>4388</v>
      </c>
      <c r="I35" s="737"/>
      <c r="J35" s="1695"/>
      <c r="K35" s="1695"/>
      <c r="L35" s="1695"/>
      <c r="M35" s="1695"/>
    </row>
    <row r="36" spans="1:13" s="640" customFormat="1" ht="15" customHeight="1">
      <c r="A36" s="3301"/>
      <c r="B36" s="3311"/>
      <c r="C36" s="3312"/>
      <c r="D36" s="3311"/>
      <c r="E36" s="1721" t="s">
        <v>5740</v>
      </c>
      <c r="F36" s="1722" t="s">
        <v>4414</v>
      </c>
      <c r="G36" s="1722" t="s">
        <v>4415</v>
      </c>
      <c r="H36" s="1723" t="s">
        <v>5772</v>
      </c>
      <c r="I36" s="737"/>
      <c r="J36" s="1695"/>
      <c r="K36" s="1695"/>
      <c r="L36" s="1695"/>
      <c r="M36" s="1695"/>
    </row>
    <row r="37" spans="1:13" s="640" customFormat="1" ht="18" customHeight="1">
      <c r="A37" s="1724">
        <v>1</v>
      </c>
      <c r="B37" s="1725" t="s">
        <v>5773</v>
      </c>
      <c r="C37" s="1726">
        <f>SUM(C38:C50)</f>
        <v>0</v>
      </c>
      <c r="D37" s="1727"/>
      <c r="E37" s="1728">
        <f>SUM(E38:E50)</f>
        <v>0</v>
      </c>
      <c r="F37" s="1726">
        <f>SUM(F38:F50)</f>
        <v>0</v>
      </c>
      <c r="G37" s="1728">
        <f>SUM(G38:G50)</f>
        <v>0</v>
      </c>
      <c r="H37" s="1729"/>
      <c r="I37" s="737"/>
      <c r="J37" s="1695"/>
      <c r="K37" s="1695"/>
      <c r="L37" s="1695"/>
      <c r="M37" s="1695"/>
    </row>
    <row r="38" spans="1:13" s="640" customFormat="1" ht="18" customHeight="1">
      <c r="A38" s="1730"/>
      <c r="B38" s="1731" t="s">
        <v>5774</v>
      </c>
      <c r="C38" s="1732"/>
      <c r="D38" s="1722" t="s">
        <v>4728</v>
      </c>
      <c r="E38" s="1732"/>
      <c r="F38" s="1733">
        <f>G38-E38</f>
        <v>0</v>
      </c>
      <c r="G38" s="1734">
        <f>ROUND(C38*0.0003,2)+H38</f>
        <v>0</v>
      </c>
      <c r="H38" s="1735"/>
      <c r="I38" s="737"/>
      <c r="J38" s="1695"/>
      <c r="K38" s="1695"/>
      <c r="L38" s="1695"/>
      <c r="M38" s="1695"/>
    </row>
    <row r="39" spans="1:13" s="640" customFormat="1" ht="24">
      <c r="A39" s="1730"/>
      <c r="B39" s="1736" t="s">
        <v>5775</v>
      </c>
      <c r="C39" s="1732">
        <v>0</v>
      </c>
      <c r="D39" s="1722" t="s">
        <v>4728</v>
      </c>
      <c r="E39" s="1732">
        <v>0</v>
      </c>
      <c r="F39" s="1733">
        <f t="shared" ref="F39:F56" si="1">G39-E39</f>
        <v>0</v>
      </c>
      <c r="G39" s="1734">
        <f>ROUND(C39*0.0003,2)+H39</f>
        <v>0</v>
      </c>
      <c r="H39" s="1735"/>
      <c r="I39" s="737"/>
      <c r="J39" s="1695"/>
      <c r="K39" s="1695"/>
      <c r="L39" s="1695"/>
      <c r="M39" s="1695"/>
    </row>
    <row r="40" spans="1:13" s="640" customFormat="1" ht="18" customHeight="1">
      <c r="A40" s="1730"/>
      <c r="B40" s="1736" t="s">
        <v>5776</v>
      </c>
      <c r="C40" s="1732">
        <v>0</v>
      </c>
      <c r="D40" s="1722" t="s">
        <v>4728</v>
      </c>
      <c r="E40" s="1732">
        <v>0</v>
      </c>
      <c r="F40" s="1733">
        <f t="shared" si="1"/>
        <v>0</v>
      </c>
      <c r="G40" s="1734">
        <f>ROUND(C40*0.0003,2)+H40</f>
        <v>0</v>
      </c>
      <c r="H40" s="1735"/>
      <c r="I40" s="3309"/>
      <c r="J40" s="3309"/>
      <c r="K40" s="3309"/>
      <c r="L40" s="1695"/>
      <c r="M40" s="1695"/>
    </row>
    <row r="41" spans="1:13" s="640" customFormat="1" ht="18" customHeight="1">
      <c r="A41" s="1730"/>
      <c r="B41" s="1731" t="s">
        <v>5777</v>
      </c>
      <c r="C41" s="1732">
        <v>0</v>
      </c>
      <c r="D41" s="1722" t="s">
        <v>4706</v>
      </c>
      <c r="E41" s="1732">
        <v>0</v>
      </c>
      <c r="F41" s="1733">
        <f t="shared" si="1"/>
        <v>0</v>
      </c>
      <c r="G41" s="1734">
        <f>ROUND(C41*0.001,2)+H41</f>
        <v>0</v>
      </c>
      <c r="H41" s="1735"/>
      <c r="I41" s="654"/>
      <c r="J41" s="654"/>
      <c r="K41" s="654"/>
      <c r="L41" s="1695"/>
      <c r="M41" s="1695"/>
    </row>
    <row r="42" spans="1:13" s="640" customFormat="1" ht="18" customHeight="1">
      <c r="A42" s="1730"/>
      <c r="B42" s="1731" t="s">
        <v>5778</v>
      </c>
      <c r="C42" s="1732">
        <v>0</v>
      </c>
      <c r="D42" s="1722" t="s">
        <v>4706</v>
      </c>
      <c r="E42" s="1732">
        <v>0</v>
      </c>
      <c r="F42" s="1733">
        <f t="shared" si="1"/>
        <v>0</v>
      </c>
      <c r="G42" s="1734">
        <f>ROUND(C42*0.001,2)+H42</f>
        <v>0</v>
      </c>
      <c r="H42" s="1735"/>
      <c r="I42" s="3309"/>
      <c r="J42" s="3309"/>
      <c r="K42" s="3309"/>
      <c r="L42" s="1695"/>
      <c r="M42" s="1695"/>
    </row>
    <row r="43" spans="1:13" s="640" customFormat="1" ht="18" customHeight="1">
      <c r="A43" s="1730"/>
      <c r="B43" s="1731" t="s">
        <v>5779</v>
      </c>
      <c r="C43" s="1732">
        <v>0</v>
      </c>
      <c r="D43" s="1722" t="s">
        <v>4706</v>
      </c>
      <c r="E43" s="1732">
        <v>0</v>
      </c>
      <c r="F43" s="1733">
        <f t="shared" si="1"/>
        <v>0</v>
      </c>
      <c r="G43" s="1734">
        <f>ROUND(C43*0.001,2)+H43</f>
        <v>0</v>
      </c>
      <c r="H43" s="1735"/>
      <c r="I43" s="654"/>
      <c r="J43" s="654"/>
      <c r="K43" s="654"/>
      <c r="L43" s="1695"/>
      <c r="M43" s="1695"/>
    </row>
    <row r="44" spans="1:13" s="640" customFormat="1" ht="18" customHeight="1">
      <c r="A44" s="1730"/>
      <c r="B44" s="1731" t="s">
        <v>5780</v>
      </c>
      <c r="C44" s="1732">
        <v>0</v>
      </c>
      <c r="D44" s="1722" t="s">
        <v>4730</v>
      </c>
      <c r="E44" s="1732">
        <v>0</v>
      </c>
      <c r="F44" s="1733">
        <f>G44-E44</f>
        <v>0</v>
      </c>
      <c r="G44" s="1734">
        <f>ROUND(C44*0.0005,2)+H44</f>
        <v>0</v>
      </c>
      <c r="H44" s="1735"/>
      <c r="I44" s="3313"/>
      <c r="J44" s="3313"/>
      <c r="K44" s="654"/>
      <c r="L44" s="1695"/>
      <c r="M44" s="1695"/>
    </row>
    <row r="45" spans="1:13" s="640" customFormat="1" ht="18" customHeight="1">
      <c r="A45" s="1730"/>
      <c r="B45" s="1731" t="s">
        <v>5781</v>
      </c>
      <c r="C45" s="1732">
        <v>0</v>
      </c>
      <c r="D45" s="1722" t="s">
        <v>4730</v>
      </c>
      <c r="E45" s="1732">
        <v>0</v>
      </c>
      <c r="F45" s="1733">
        <f t="shared" si="1"/>
        <v>0</v>
      </c>
      <c r="G45" s="1734">
        <f>ROUND(C45*0.0005,2)+H45</f>
        <v>0</v>
      </c>
      <c r="H45" s="1735"/>
      <c r="I45" s="654"/>
      <c r="J45" s="654"/>
      <c r="K45" s="654"/>
      <c r="L45" s="1695"/>
      <c r="M45" s="1695"/>
    </row>
    <row r="46" spans="1:13" s="640" customFormat="1" ht="18" customHeight="1">
      <c r="A46" s="1730"/>
      <c r="B46" s="1731" t="s">
        <v>5782</v>
      </c>
      <c r="C46" s="1732">
        <v>0</v>
      </c>
      <c r="D46" s="1722" t="s">
        <v>4730</v>
      </c>
      <c r="E46" s="1732">
        <v>0</v>
      </c>
      <c r="F46" s="1733">
        <f t="shared" si="1"/>
        <v>0</v>
      </c>
      <c r="G46" s="1734">
        <f>ROUND(C46*0.0005,2)+H46</f>
        <v>0</v>
      </c>
      <c r="H46" s="1735"/>
      <c r="I46" s="3309"/>
      <c r="J46" s="3309"/>
      <c r="K46" s="654"/>
      <c r="L46" s="1695"/>
      <c r="M46" s="1695"/>
    </row>
    <row r="47" spans="1:13" s="640" customFormat="1" ht="12.75">
      <c r="A47" s="1730"/>
      <c r="B47" s="1731" t="s">
        <v>5783</v>
      </c>
      <c r="C47" s="1732">
        <v>0</v>
      </c>
      <c r="D47" s="1722" t="s">
        <v>4730</v>
      </c>
      <c r="E47" s="1732">
        <v>0</v>
      </c>
      <c r="F47" s="1733">
        <f t="shared" si="1"/>
        <v>0</v>
      </c>
      <c r="G47" s="1734">
        <f>ROUND(C47*0.0005,2)+H47</f>
        <v>0</v>
      </c>
      <c r="H47" s="1735"/>
      <c r="I47" s="654"/>
      <c r="J47" s="654"/>
      <c r="K47" s="654"/>
      <c r="L47" s="654"/>
      <c r="M47" s="654"/>
    </row>
    <row r="48" spans="1:13" s="640" customFormat="1" ht="14.25">
      <c r="A48" s="1730"/>
      <c r="B48" s="1731" t="s">
        <v>5784</v>
      </c>
      <c r="C48" s="1732">
        <v>0</v>
      </c>
      <c r="D48" s="1722" t="s">
        <v>5785</v>
      </c>
      <c r="E48" s="1732">
        <v>0</v>
      </c>
      <c r="F48" s="1733">
        <f t="shared" si="1"/>
        <v>0</v>
      </c>
      <c r="G48" s="1734">
        <f>ROUND(C48*0.00005,2)+H48</f>
        <v>0</v>
      </c>
      <c r="H48" s="1735"/>
      <c r="I48" s="3309"/>
      <c r="J48" s="3309"/>
      <c r="K48" s="654"/>
      <c r="L48" s="654"/>
      <c r="M48" s="654"/>
    </row>
    <row r="49" spans="1:13" s="640" customFormat="1" ht="24">
      <c r="A49" s="1730"/>
      <c r="B49" s="1736" t="s">
        <v>5786</v>
      </c>
      <c r="C49" s="1732">
        <v>0</v>
      </c>
      <c r="D49" s="1722">
        <v>5</v>
      </c>
      <c r="E49" s="1732">
        <v>0</v>
      </c>
      <c r="F49" s="1733">
        <f t="shared" si="1"/>
        <v>0</v>
      </c>
      <c r="G49" s="1734">
        <f>ROUND(D49*C49,2)+H49</f>
        <v>0</v>
      </c>
      <c r="H49" s="1735"/>
      <c r="I49" s="654"/>
      <c r="J49" s="654"/>
      <c r="K49" s="654"/>
      <c r="L49" s="654"/>
      <c r="M49" s="654"/>
    </row>
    <row r="50" spans="1:13" s="640" customFormat="1" ht="14.25">
      <c r="A50" s="1730"/>
      <c r="B50" s="1736" t="s">
        <v>5787</v>
      </c>
      <c r="C50" s="1732">
        <v>0</v>
      </c>
      <c r="D50" s="1722" t="s">
        <v>5785</v>
      </c>
      <c r="E50" s="1732">
        <v>0</v>
      </c>
      <c r="F50" s="1733">
        <f t="shared" si="1"/>
        <v>0</v>
      </c>
      <c r="G50" s="1734">
        <f>ROUND(C50*0.0005,2)+H50</f>
        <v>0</v>
      </c>
      <c r="H50" s="1735"/>
      <c r="I50" s="3309"/>
      <c r="J50" s="3309"/>
      <c r="K50" s="654"/>
      <c r="L50" s="654"/>
      <c r="M50" s="654"/>
    </row>
    <row r="51" spans="1:13" s="640" customFormat="1" ht="12.75">
      <c r="A51" s="1730">
        <v>2</v>
      </c>
      <c r="B51" s="1736" t="s">
        <v>5788</v>
      </c>
      <c r="C51" s="1733">
        <f>SUM(C52:C53)</f>
        <v>0</v>
      </c>
      <c r="D51" s="1737"/>
      <c r="E51" s="1734">
        <f>SUM(E52:E53)</f>
        <v>0</v>
      </c>
      <c r="F51" s="1733">
        <f>SUM(F52:F53)</f>
        <v>0</v>
      </c>
      <c r="G51" s="1734">
        <f>SUM(G52:G53)</f>
        <v>0</v>
      </c>
      <c r="H51" s="1735"/>
      <c r="I51" s="654"/>
      <c r="J51" s="654"/>
      <c r="K51" s="654"/>
      <c r="L51" s="654"/>
      <c r="M51" s="654"/>
    </row>
    <row r="52" spans="1:13" s="640" customFormat="1" ht="14.25">
      <c r="A52" s="1730"/>
      <c r="B52" s="1731" t="s">
        <v>5789</v>
      </c>
      <c r="C52" s="1732"/>
      <c r="D52" s="1738"/>
      <c r="E52" s="1732"/>
      <c r="F52" s="1733">
        <f t="shared" si="1"/>
        <v>0</v>
      </c>
      <c r="G52" s="1734">
        <f>ROUND(D52*C52,2)+H52</f>
        <v>0</v>
      </c>
      <c r="H52" s="1735"/>
      <c r="I52" s="704"/>
      <c r="J52" s="654"/>
      <c r="K52" s="654"/>
      <c r="L52" s="654"/>
      <c r="M52" s="654"/>
    </row>
    <row r="53" spans="1:13" s="640" customFormat="1" ht="12.75">
      <c r="A53" s="1730"/>
      <c r="B53" s="1731" t="s">
        <v>5790</v>
      </c>
      <c r="C53" s="1732"/>
      <c r="D53" s="1739">
        <v>1.2E-2</v>
      </c>
      <c r="E53" s="1732"/>
      <c r="F53" s="1733">
        <f t="shared" si="1"/>
        <v>0</v>
      </c>
      <c r="G53" s="1734">
        <f>ROUND(D53*C53,2)+H53</f>
        <v>0</v>
      </c>
      <c r="H53" s="1735"/>
      <c r="I53" s="654"/>
      <c r="J53" s="654"/>
      <c r="K53" s="654"/>
      <c r="L53" s="654"/>
      <c r="M53" s="654"/>
    </row>
    <row r="54" spans="1:13" s="640" customFormat="1" ht="20.25" customHeight="1">
      <c r="A54" s="1449">
        <v>3</v>
      </c>
      <c r="B54" s="1731" t="s">
        <v>5764</v>
      </c>
      <c r="C54" s="1732"/>
      <c r="D54" s="1740"/>
      <c r="E54" s="1732"/>
      <c r="F54" s="1733">
        <f t="shared" si="1"/>
        <v>0</v>
      </c>
      <c r="G54" s="1734">
        <f>ROUND(D54*C54,2)+H54</f>
        <v>0</v>
      </c>
      <c r="H54" s="1735"/>
      <c r="I54" s="704"/>
      <c r="J54" s="654"/>
      <c r="K54" s="654"/>
      <c r="L54" s="654"/>
      <c r="M54" s="654"/>
    </row>
    <row r="55" spans="1:13" s="621" customFormat="1" ht="20.25" hidden="1" customHeight="1">
      <c r="A55" s="1741"/>
      <c r="B55" s="1742"/>
      <c r="C55" s="1743"/>
      <c r="D55" s="1744"/>
      <c r="E55" s="1732"/>
      <c r="F55" s="1733">
        <f t="shared" si="1"/>
        <v>0</v>
      </c>
      <c r="G55" s="1734">
        <f>D55*C55+H55</f>
        <v>0</v>
      </c>
      <c r="H55" s="1735"/>
      <c r="I55" s="654"/>
      <c r="J55" s="654"/>
      <c r="K55" s="654"/>
      <c r="L55" s="691"/>
      <c r="M55" s="691"/>
    </row>
    <row r="56" spans="1:13" s="621" customFormat="1" ht="20.25" hidden="1" customHeight="1">
      <c r="A56" s="1745"/>
      <c r="B56" s="1746"/>
      <c r="C56" s="1747"/>
      <c r="D56" s="1746"/>
      <c r="E56" s="1748"/>
      <c r="F56" s="1733">
        <f t="shared" si="1"/>
        <v>0</v>
      </c>
      <c r="G56" s="1749">
        <f>D56*C56+H56</f>
        <v>0</v>
      </c>
      <c r="H56" s="1750"/>
      <c r="I56" s="704"/>
      <c r="J56" s="654"/>
      <c r="K56" s="654"/>
      <c r="L56" s="691"/>
      <c r="M56" s="691"/>
    </row>
    <row r="57" spans="1:13" s="621" customFormat="1" ht="20.25" customHeight="1">
      <c r="A57" s="3301" t="s">
        <v>5282</v>
      </c>
      <c r="B57" s="3301"/>
      <c r="C57" s="3301"/>
      <c r="D57" s="1751"/>
      <c r="E57" s="1752">
        <f>E37+E51+E54+E55+E56</f>
        <v>0</v>
      </c>
      <c r="F57" s="1752">
        <f>F37+F51+F54+F55+F56</f>
        <v>0</v>
      </c>
      <c r="G57" s="1752">
        <f>G37+G51+G54+G55+G56</f>
        <v>0</v>
      </c>
      <c r="H57" s="1753"/>
      <c r="I57" s="704"/>
      <c r="J57" s="654"/>
      <c r="K57" s="654"/>
    </row>
    <row r="58" spans="1:13" s="622" customFormat="1" ht="15" customHeight="1">
      <c r="A58" s="3302" t="s">
        <v>5791</v>
      </c>
      <c r="B58" s="3302"/>
      <c r="C58" s="3303" t="s">
        <v>5746</v>
      </c>
      <c r="D58" s="3303"/>
      <c r="E58" s="3303"/>
      <c r="F58" s="3304" t="str">
        <f>IF(F57&lt;&gt;0,"、E","")</f>
        <v/>
      </c>
      <c r="G58" s="3304"/>
      <c r="H58" s="3304"/>
      <c r="I58" s="704"/>
      <c r="J58" s="654"/>
      <c r="K58" s="654"/>
      <c r="L58" s="653"/>
      <c r="M58" s="653"/>
    </row>
    <row r="59" spans="1:13" s="622" customFormat="1" ht="15.75" customHeight="1">
      <c r="A59" s="3305" t="s">
        <v>5792</v>
      </c>
      <c r="B59" s="3305"/>
      <c r="C59" s="3306" t="str">
        <f>IF(F57=0,"税金计算正确，认可！","税金计算有误，处理后认可！")</f>
        <v>税金计算正确，认可！</v>
      </c>
      <c r="D59" s="3307"/>
      <c r="E59" s="3307"/>
      <c r="F59" s="3307"/>
      <c r="G59" s="3307"/>
      <c r="H59" s="3308"/>
      <c r="I59" s="654"/>
      <c r="J59" s="654"/>
      <c r="K59" s="654"/>
      <c r="L59" s="653"/>
      <c r="M59" s="653"/>
    </row>
    <row r="60" spans="1:13" s="621" customFormat="1" ht="20.25" customHeight="1">
      <c r="A60" s="1698"/>
      <c r="B60" s="1698"/>
      <c r="C60" s="1698"/>
      <c r="D60" s="1698"/>
      <c r="E60" s="1698"/>
      <c r="F60" s="1698"/>
      <c r="G60" s="1698"/>
      <c r="H60" s="1698"/>
      <c r="I60" s="691"/>
      <c r="J60" s="691"/>
      <c r="K60" s="691"/>
    </row>
    <row r="61" spans="1:13" s="621" customFormat="1" ht="20.25" customHeight="1">
      <c r="A61" s="1698"/>
      <c r="B61" s="1698"/>
      <c r="C61" s="1698"/>
      <c r="D61" s="1698"/>
      <c r="E61" s="1698"/>
      <c r="F61" s="1698"/>
      <c r="G61" s="1698"/>
      <c r="H61" s="1698"/>
      <c r="I61" s="691"/>
      <c r="J61" s="691"/>
      <c r="K61" s="691"/>
    </row>
    <row r="62" spans="1:13" s="621" customFormat="1" ht="20.25" customHeight="1">
      <c r="A62" s="1698"/>
      <c r="B62" s="1698"/>
      <c r="C62" s="1698"/>
      <c r="D62" s="1698"/>
      <c r="E62" s="1698"/>
      <c r="F62" s="1698"/>
      <c r="G62" s="1698"/>
      <c r="H62" s="1698"/>
      <c r="I62" s="691"/>
      <c r="J62" s="691"/>
      <c r="K62" s="691"/>
    </row>
    <row r="63" spans="1:13" s="621" customFormat="1" ht="20.25" customHeight="1">
      <c r="A63" s="1698"/>
      <c r="B63" s="1698"/>
      <c r="C63" s="1698"/>
      <c r="D63" s="1698"/>
      <c r="E63" s="1698"/>
      <c r="F63" s="1698"/>
      <c r="G63" s="1698"/>
      <c r="H63" s="1698"/>
      <c r="I63" s="691"/>
      <c r="J63" s="691"/>
      <c r="K63" s="691"/>
    </row>
    <row r="64" spans="1:13" s="621" customFormat="1" ht="20.25" customHeight="1">
      <c r="A64" s="1698"/>
      <c r="B64" s="1698"/>
      <c r="C64" s="1698"/>
      <c r="D64" s="1698"/>
      <c r="E64" s="1698"/>
      <c r="F64" s="1698"/>
      <c r="G64" s="1698"/>
      <c r="H64" s="1698"/>
      <c r="I64" s="691"/>
      <c r="J64" s="691"/>
      <c r="K64" s="691"/>
    </row>
    <row r="65" spans="1:13" s="621" customFormat="1" ht="20.25" customHeight="1">
      <c r="A65" s="1698"/>
      <c r="B65" s="1698"/>
      <c r="C65" s="1698"/>
      <c r="D65" s="1698"/>
      <c r="E65" s="1698"/>
      <c r="F65" s="1698"/>
      <c r="G65" s="1698"/>
      <c r="H65" s="1698"/>
      <c r="I65" s="691"/>
      <c r="J65" s="691"/>
      <c r="K65" s="691"/>
    </row>
    <row r="66" spans="1:13" s="621" customFormat="1" ht="20.25" customHeight="1">
      <c r="A66" s="1698"/>
      <c r="B66" s="1698"/>
      <c r="C66" s="1698"/>
      <c r="D66" s="1698"/>
      <c r="E66" s="1698"/>
      <c r="F66" s="1698"/>
      <c r="G66" s="1698"/>
      <c r="H66" s="1698"/>
      <c r="I66" s="691"/>
      <c r="J66" s="691"/>
      <c r="K66" s="691"/>
    </row>
    <row r="67" spans="1:13" s="621" customFormat="1" ht="20.25" customHeight="1">
      <c r="A67" s="1698"/>
      <c r="B67" s="1698"/>
      <c r="C67" s="1698"/>
      <c r="D67" s="1698"/>
      <c r="E67" s="1698"/>
      <c r="F67" s="1698"/>
      <c r="G67" s="1698"/>
      <c r="H67" s="1698"/>
      <c r="I67" s="691"/>
      <c r="J67" s="691"/>
      <c r="K67" s="691"/>
    </row>
    <row r="68" spans="1:13" s="621" customFormat="1" ht="28.5" customHeight="1">
      <c r="A68" s="1698"/>
      <c r="B68" s="1698"/>
      <c r="C68" s="1698"/>
      <c r="D68" s="1698"/>
      <c r="E68" s="1698"/>
      <c r="F68" s="1698"/>
      <c r="G68" s="1698"/>
      <c r="H68" s="1698"/>
      <c r="I68" s="691"/>
      <c r="J68" s="691"/>
      <c r="K68" s="691"/>
    </row>
    <row r="69" spans="1:13" s="621" customFormat="1" ht="20.25" customHeight="1">
      <c r="A69" s="1698"/>
      <c r="B69" s="1698"/>
      <c r="C69" s="1698"/>
      <c r="D69" s="1698"/>
      <c r="E69" s="1698"/>
      <c r="F69" s="1698"/>
      <c r="G69" s="1698"/>
      <c r="H69" s="1698"/>
      <c r="I69" s="691"/>
      <c r="J69" s="691"/>
      <c r="K69" s="691"/>
      <c r="L69" s="691"/>
      <c r="M69" s="691"/>
    </row>
    <row r="70" spans="1:13" s="621" customFormat="1" ht="20.25" customHeight="1">
      <c r="A70" s="1698"/>
      <c r="B70" s="1698"/>
      <c r="C70" s="1698"/>
      <c r="D70" s="1698"/>
      <c r="E70" s="1698"/>
      <c r="F70" s="1698"/>
      <c r="G70" s="1698"/>
      <c r="H70" s="1698"/>
      <c r="I70" s="691"/>
      <c r="J70" s="691"/>
      <c r="K70" s="691"/>
      <c r="L70" s="691"/>
      <c r="M70" s="691"/>
    </row>
    <row r="71" spans="1:13" s="621" customFormat="1" ht="30" customHeight="1">
      <c r="A71" s="1698"/>
      <c r="B71" s="1698"/>
      <c r="C71" s="1698"/>
      <c r="D71" s="1698"/>
      <c r="E71" s="1698"/>
      <c r="F71" s="1698"/>
      <c r="G71" s="1698"/>
      <c r="H71" s="1698"/>
      <c r="I71" s="691"/>
      <c r="J71" s="691"/>
      <c r="K71" s="691"/>
      <c r="L71" s="691"/>
      <c r="M71" s="691"/>
    </row>
    <row r="72" spans="1:13" s="621" customFormat="1" ht="20.25" customHeight="1">
      <c r="A72" s="1698"/>
      <c r="B72" s="1698"/>
      <c r="C72" s="1698"/>
      <c r="D72" s="1698"/>
      <c r="E72" s="1698"/>
      <c r="F72" s="1698"/>
      <c r="G72" s="1698"/>
      <c r="H72" s="1698"/>
      <c r="I72" s="691"/>
      <c r="J72" s="691"/>
      <c r="K72" s="691"/>
      <c r="L72" s="691"/>
      <c r="M72" s="691"/>
    </row>
    <row r="73" spans="1:13" s="621" customFormat="1" ht="20.25" customHeight="1">
      <c r="A73" s="1698"/>
      <c r="B73" s="1698"/>
      <c r="C73" s="1698"/>
      <c r="D73" s="1698"/>
      <c r="E73" s="1698"/>
      <c r="F73" s="1698"/>
      <c r="G73" s="1698"/>
      <c r="H73" s="1698"/>
      <c r="I73" s="691"/>
      <c r="J73" s="691"/>
      <c r="K73" s="691"/>
      <c r="L73" s="691"/>
      <c r="M73" s="691"/>
    </row>
    <row r="74" spans="1:13" s="621" customFormat="1" ht="20.25" customHeight="1">
      <c r="A74" s="753"/>
      <c r="B74" s="753"/>
      <c r="C74" s="753"/>
      <c r="D74" s="753"/>
      <c r="E74" s="753"/>
      <c r="F74" s="753"/>
      <c r="G74" s="753"/>
      <c r="H74" s="753"/>
      <c r="I74" s="691"/>
      <c r="J74" s="691"/>
      <c r="K74" s="691"/>
      <c r="L74" s="691"/>
      <c r="M74" s="691"/>
    </row>
    <row r="75" spans="1:13" s="621" customFormat="1" ht="27" customHeight="1">
      <c r="A75" s="753"/>
      <c r="B75" s="753"/>
      <c r="C75" s="753"/>
      <c r="D75" s="753"/>
      <c r="E75" s="753"/>
      <c r="F75" s="753"/>
      <c r="G75" s="753"/>
      <c r="H75" s="753"/>
      <c r="I75" s="1754"/>
      <c r="J75" s="1121"/>
      <c r="K75" s="1121"/>
      <c r="L75" s="691"/>
      <c r="M75" s="691"/>
    </row>
    <row r="76" spans="1:13" s="621" customFormat="1" ht="25.5" customHeight="1">
      <c r="A76" s="753"/>
      <c r="B76" s="753"/>
      <c r="C76" s="753"/>
      <c r="D76" s="753"/>
      <c r="E76" s="753"/>
      <c r="F76" s="753"/>
      <c r="G76" s="753"/>
      <c r="H76" s="753"/>
      <c r="I76" s="1755"/>
      <c r="J76" s="1755"/>
      <c r="K76" s="1755"/>
      <c r="L76" s="691"/>
      <c r="M76" s="691"/>
    </row>
    <row r="77" spans="1:13" s="621" customFormat="1" ht="25.5" customHeight="1">
      <c r="A77" s="753"/>
      <c r="B77" s="753"/>
      <c r="C77" s="753"/>
      <c r="D77" s="753"/>
      <c r="E77" s="753"/>
      <c r="F77" s="753"/>
      <c r="G77" s="753"/>
      <c r="H77" s="753"/>
      <c r="I77" s="1755"/>
      <c r="J77" s="1755"/>
      <c r="K77" s="1756"/>
      <c r="L77" s="691"/>
      <c r="M77" s="691"/>
    </row>
    <row r="78" spans="1:13" s="621" customFormat="1" ht="25.5" customHeight="1">
      <c r="A78" s="753"/>
      <c r="B78" s="753"/>
      <c r="C78" s="753"/>
      <c r="D78" s="753"/>
      <c r="E78" s="753"/>
      <c r="F78" s="753"/>
      <c r="G78" s="753"/>
      <c r="H78" s="753"/>
      <c r="I78" s="1755"/>
      <c r="J78" s="1755"/>
      <c r="K78" s="1756"/>
      <c r="L78" s="691"/>
      <c r="M78" s="691"/>
    </row>
    <row r="79" spans="1:13" s="621" customFormat="1" ht="25.5" customHeight="1">
      <c r="A79" s="753"/>
      <c r="B79" s="753"/>
      <c r="C79" s="753"/>
      <c r="D79" s="753"/>
      <c r="E79" s="753"/>
      <c r="F79" s="753"/>
      <c r="G79" s="753"/>
      <c r="H79" s="753"/>
      <c r="I79" s="1755"/>
      <c r="J79" s="1755"/>
      <c r="K79" s="1756"/>
      <c r="L79" s="691"/>
      <c r="M79" s="691"/>
    </row>
    <row r="80" spans="1:13" s="621" customFormat="1" ht="25.5" customHeight="1">
      <c r="A80" s="753"/>
      <c r="B80" s="753"/>
      <c r="C80" s="753"/>
      <c r="D80" s="753"/>
      <c r="E80" s="753"/>
      <c r="F80" s="753"/>
      <c r="G80" s="753"/>
      <c r="H80" s="753"/>
      <c r="I80" s="1755"/>
      <c r="J80" s="1755"/>
      <c r="K80" s="1756"/>
      <c r="L80" s="691"/>
      <c r="M80" s="691"/>
    </row>
    <row r="81" spans="1:13" s="621" customFormat="1" ht="25.5" customHeight="1">
      <c r="A81" s="753"/>
      <c r="B81" s="753"/>
      <c r="C81" s="753"/>
      <c r="D81" s="753"/>
      <c r="E81" s="753"/>
      <c r="F81" s="753"/>
      <c r="G81" s="753"/>
      <c r="H81" s="753"/>
      <c r="I81" s="1755"/>
      <c r="J81" s="1755"/>
      <c r="K81" s="1756"/>
      <c r="L81" s="691"/>
      <c r="M81" s="691"/>
    </row>
    <row r="82" spans="1:13" s="621" customFormat="1" ht="25.5" customHeight="1">
      <c r="A82" s="753"/>
      <c r="B82" s="753"/>
      <c r="C82" s="753"/>
      <c r="D82" s="753"/>
      <c r="E82" s="753"/>
      <c r="F82" s="753"/>
      <c r="G82" s="753"/>
      <c r="H82" s="753"/>
      <c r="I82" s="1755"/>
      <c r="J82" s="1755"/>
      <c r="K82" s="1755"/>
      <c r="L82" s="691"/>
      <c r="M82" s="691"/>
    </row>
    <row r="83" spans="1:13" s="621" customFormat="1" ht="25.5" customHeight="1">
      <c r="A83" s="753"/>
      <c r="B83" s="753"/>
      <c r="C83" s="753"/>
      <c r="D83" s="753"/>
      <c r="E83" s="753"/>
      <c r="F83" s="753"/>
      <c r="G83" s="753"/>
      <c r="H83" s="753"/>
      <c r="I83" s="1755"/>
      <c r="J83" s="1755"/>
      <c r="K83" s="1755"/>
      <c r="L83" s="691"/>
      <c r="M83" s="691"/>
    </row>
    <row r="84" spans="1:13" s="621" customFormat="1" ht="41.25" customHeight="1">
      <c r="A84" s="753"/>
      <c r="B84" s="753"/>
      <c r="C84" s="753"/>
      <c r="D84" s="753"/>
      <c r="E84" s="753"/>
      <c r="F84" s="753"/>
      <c r="G84" s="753"/>
      <c r="H84" s="753"/>
      <c r="I84" s="1755"/>
      <c r="J84" s="1755"/>
      <c r="K84" s="1755"/>
      <c r="L84" s="691"/>
      <c r="M84" s="691"/>
    </row>
    <row r="85" spans="1:13" s="621" customFormat="1" ht="25.5" customHeight="1">
      <c r="A85" s="753"/>
      <c r="B85" s="753"/>
      <c r="C85" s="753"/>
      <c r="D85" s="753"/>
      <c r="E85" s="753"/>
      <c r="F85" s="753"/>
      <c r="G85" s="753"/>
      <c r="H85" s="753"/>
      <c r="I85" s="1755"/>
      <c r="J85" s="1755"/>
      <c r="K85" s="1756"/>
      <c r="L85" s="691"/>
      <c r="M85" s="691"/>
    </row>
    <row r="86" spans="1:13" s="621" customFormat="1" ht="25.5" customHeight="1">
      <c r="A86" s="753"/>
      <c r="B86" s="753"/>
      <c r="C86" s="753"/>
      <c r="D86" s="753"/>
      <c r="E86" s="753"/>
      <c r="F86" s="753"/>
      <c r="G86" s="753"/>
      <c r="H86" s="753"/>
      <c r="I86" s="1755"/>
      <c r="J86" s="1755"/>
      <c r="K86" s="1756"/>
      <c r="L86" s="691"/>
      <c r="M86" s="691"/>
    </row>
    <row r="87" spans="1:13" s="621" customFormat="1" ht="25.5" customHeight="1">
      <c r="A87" s="753"/>
      <c r="B87" s="753"/>
      <c r="C87" s="753"/>
      <c r="D87" s="753"/>
      <c r="E87" s="753"/>
      <c r="F87" s="753"/>
      <c r="G87" s="753"/>
      <c r="H87" s="753"/>
      <c r="I87" s="1755"/>
      <c r="J87" s="1755"/>
      <c r="K87" s="1756"/>
      <c r="L87" s="691"/>
      <c r="M87" s="691"/>
    </row>
    <row r="88" spans="1:13" s="621" customFormat="1" ht="20.25" customHeight="1">
      <c r="A88" s="753"/>
      <c r="B88" s="753"/>
      <c r="C88" s="753"/>
      <c r="D88" s="753"/>
      <c r="E88" s="753"/>
      <c r="F88" s="753"/>
      <c r="G88" s="753"/>
      <c r="H88" s="753"/>
      <c r="I88" s="1757"/>
      <c r="J88" s="1121"/>
      <c r="K88" s="1121"/>
      <c r="L88" s="691"/>
      <c r="M88" s="691"/>
    </row>
    <row r="89" spans="1:13" s="621" customFormat="1" ht="20.25" customHeight="1">
      <c r="A89" s="753"/>
      <c r="B89" s="753"/>
      <c r="C89" s="753"/>
      <c r="D89" s="753"/>
      <c r="E89" s="753"/>
      <c r="F89" s="753"/>
      <c r="G89" s="753"/>
      <c r="H89" s="753"/>
      <c r="I89" s="691"/>
      <c r="J89" s="691"/>
      <c r="K89" s="691"/>
      <c r="L89" s="691"/>
      <c r="M89" s="691"/>
    </row>
    <row r="90" spans="1:13" s="1046" customFormat="1" ht="20.25" customHeight="1">
      <c r="A90" s="753"/>
      <c r="B90" s="753"/>
      <c r="C90" s="753"/>
      <c r="D90" s="753"/>
      <c r="E90" s="753"/>
      <c r="F90" s="753"/>
      <c r="G90" s="753"/>
      <c r="H90" s="753"/>
      <c r="I90" s="1047"/>
      <c r="J90" s="1047"/>
      <c r="K90" s="1047"/>
      <c r="L90" s="1047"/>
      <c r="M90" s="1047"/>
    </row>
    <row r="91" spans="1:13" s="1046" customFormat="1" ht="20.25" customHeight="1">
      <c r="A91" s="753"/>
      <c r="B91" s="753"/>
      <c r="C91" s="753"/>
      <c r="D91" s="753"/>
      <c r="E91" s="753"/>
      <c r="F91" s="753"/>
      <c r="G91" s="753"/>
      <c r="H91" s="753"/>
      <c r="I91" s="1047"/>
      <c r="J91" s="1047"/>
      <c r="K91" s="1047"/>
      <c r="L91" s="1047"/>
      <c r="M91" s="1047"/>
    </row>
    <row r="92" spans="1:13" s="1046" customFormat="1" ht="20.25" customHeight="1">
      <c r="A92" s="753"/>
      <c r="B92" s="753"/>
      <c r="C92" s="753"/>
      <c r="D92" s="753"/>
      <c r="E92" s="753"/>
      <c r="F92" s="753"/>
      <c r="G92" s="753"/>
      <c r="H92" s="753"/>
      <c r="I92" s="1047"/>
      <c r="J92" s="1047"/>
      <c r="K92" s="1047"/>
      <c r="L92" s="1047"/>
      <c r="M92" s="1047"/>
    </row>
    <row r="93" spans="1:13" s="1046" customFormat="1" ht="20.25" customHeight="1">
      <c r="A93" s="753"/>
      <c r="B93" s="753"/>
      <c r="C93" s="753"/>
      <c r="D93" s="753"/>
      <c r="E93" s="753"/>
      <c r="F93" s="753"/>
      <c r="G93" s="753"/>
      <c r="H93" s="753"/>
      <c r="I93" s="1047"/>
      <c r="J93" s="1047"/>
      <c r="K93" s="1047"/>
      <c r="L93" s="1047"/>
      <c r="M93" s="1047"/>
    </row>
    <row r="94" spans="1:13" s="1046" customFormat="1" ht="20.25" customHeight="1">
      <c r="A94" s="753"/>
      <c r="B94" s="753"/>
      <c r="C94" s="753"/>
      <c r="D94" s="753"/>
      <c r="E94" s="753"/>
      <c r="F94" s="753"/>
      <c r="G94" s="753"/>
      <c r="H94" s="753"/>
      <c r="I94" s="1047"/>
      <c r="J94" s="1047"/>
      <c r="K94" s="1047"/>
      <c r="L94" s="1047"/>
      <c r="M94" s="1047"/>
    </row>
    <row r="95" spans="1:13" s="1046" customFormat="1" ht="20.25" customHeight="1">
      <c r="A95" s="753"/>
      <c r="B95" s="753"/>
      <c r="C95" s="753"/>
      <c r="D95" s="753"/>
      <c r="E95" s="753"/>
      <c r="F95" s="753"/>
      <c r="G95" s="753"/>
      <c r="H95" s="753"/>
      <c r="I95" s="1047"/>
      <c r="J95" s="1047"/>
      <c r="K95" s="1047"/>
      <c r="L95" s="1047"/>
      <c r="M95" s="1047"/>
    </row>
    <row r="96" spans="1:13" s="1046" customFormat="1" ht="20.25" customHeight="1">
      <c r="A96" s="753"/>
      <c r="B96" s="753"/>
      <c r="C96" s="753"/>
      <c r="D96" s="753"/>
      <c r="E96" s="753"/>
      <c r="F96" s="753"/>
      <c r="G96" s="753"/>
      <c r="H96" s="753"/>
      <c r="I96" s="1047"/>
      <c r="J96" s="1047"/>
      <c r="K96" s="1047"/>
      <c r="L96" s="1047"/>
      <c r="M96" s="1047"/>
    </row>
    <row r="97" spans="1:13" s="1046" customFormat="1" ht="20.25" customHeight="1">
      <c r="A97" s="753"/>
      <c r="B97" s="753"/>
      <c r="C97" s="753"/>
      <c r="D97" s="753"/>
      <c r="E97" s="753"/>
      <c r="F97" s="753"/>
      <c r="G97" s="753"/>
      <c r="H97" s="753"/>
      <c r="I97" s="1047"/>
      <c r="J97" s="1047"/>
      <c r="K97" s="1047"/>
      <c r="L97" s="1047"/>
      <c r="M97" s="1047"/>
    </row>
    <row r="98" spans="1:13" s="1046" customFormat="1" ht="20.25" customHeight="1">
      <c r="A98" s="753"/>
      <c r="B98" s="753"/>
      <c r="C98" s="753"/>
      <c r="D98" s="753"/>
      <c r="E98" s="753"/>
      <c r="F98" s="753"/>
      <c r="G98" s="753"/>
      <c r="H98" s="753"/>
    </row>
    <row r="99" spans="1:13" s="1046" customFormat="1" ht="20.25" customHeight="1">
      <c r="A99" s="753"/>
      <c r="B99" s="753"/>
      <c r="C99" s="753"/>
      <c r="D99" s="753"/>
      <c r="E99" s="753"/>
      <c r="F99" s="753"/>
      <c r="G99" s="753"/>
      <c r="H99" s="753"/>
    </row>
    <row r="100" spans="1:13" s="1046" customFormat="1" ht="20.25" customHeight="1">
      <c r="A100" s="753"/>
      <c r="B100" s="753"/>
      <c r="C100" s="753"/>
      <c r="D100" s="753"/>
      <c r="E100" s="753"/>
      <c r="F100" s="753"/>
      <c r="G100" s="753"/>
      <c r="H100" s="753"/>
    </row>
    <row r="101" spans="1:13" s="1046" customFormat="1" ht="20.25" customHeight="1">
      <c r="A101" s="753"/>
      <c r="B101" s="753"/>
      <c r="C101" s="753"/>
      <c r="D101" s="753"/>
      <c r="E101" s="753"/>
      <c r="F101" s="753"/>
      <c r="G101" s="753"/>
      <c r="H101" s="753"/>
    </row>
    <row r="102" spans="1:13" s="1046" customFormat="1" ht="20.25" customHeight="1">
      <c r="A102" s="753"/>
      <c r="B102" s="753"/>
      <c r="C102" s="753"/>
      <c r="D102" s="753"/>
      <c r="E102" s="753"/>
      <c r="F102" s="753"/>
      <c r="G102" s="753"/>
      <c r="H102" s="753"/>
    </row>
    <row r="103" spans="1:13" s="1046" customFormat="1" ht="20.25" customHeight="1">
      <c r="A103" s="753"/>
      <c r="B103" s="753"/>
      <c r="C103" s="753"/>
      <c r="D103" s="753"/>
      <c r="E103" s="753"/>
      <c r="F103" s="753"/>
      <c r="G103" s="753"/>
      <c r="H103" s="753"/>
    </row>
    <row r="104" spans="1:13" s="1046" customFormat="1" ht="20.25" customHeight="1">
      <c r="A104" s="753"/>
      <c r="B104" s="753"/>
      <c r="C104" s="753"/>
      <c r="D104" s="753"/>
      <c r="E104" s="753"/>
      <c r="F104" s="753"/>
      <c r="G104" s="753"/>
      <c r="H104" s="753"/>
    </row>
    <row r="105" spans="1:13" s="1046" customFormat="1" ht="20.25" customHeight="1">
      <c r="A105" s="753"/>
      <c r="B105" s="753"/>
      <c r="C105" s="753"/>
      <c r="D105" s="753"/>
      <c r="E105" s="753"/>
      <c r="F105" s="753"/>
      <c r="G105" s="753"/>
      <c r="H105" s="753"/>
    </row>
    <row r="106" spans="1:13" s="1046" customFormat="1" ht="20.25" customHeight="1">
      <c r="A106" s="753"/>
      <c r="B106" s="753"/>
      <c r="C106" s="753"/>
      <c r="D106" s="753"/>
      <c r="E106" s="753"/>
      <c r="F106" s="753"/>
      <c r="G106" s="753"/>
      <c r="H106" s="753"/>
    </row>
    <row r="107" spans="1:13" s="1046" customFormat="1" ht="20.25" customHeight="1">
      <c r="A107" s="753"/>
      <c r="B107" s="753"/>
      <c r="C107" s="753"/>
      <c r="D107" s="753"/>
      <c r="E107" s="753"/>
      <c r="F107" s="753"/>
      <c r="G107" s="753"/>
      <c r="H107" s="753"/>
    </row>
    <row r="108" spans="1:13" s="1046" customFormat="1" ht="20.25" customHeight="1">
      <c r="A108" s="753"/>
      <c r="B108" s="753"/>
      <c r="C108" s="753"/>
      <c r="D108" s="753"/>
      <c r="E108" s="753"/>
      <c r="F108" s="753"/>
      <c r="G108" s="753"/>
      <c r="H108" s="753"/>
    </row>
    <row r="109" spans="1:13" s="1046" customFormat="1" ht="20.25" customHeight="1">
      <c r="A109" s="753"/>
      <c r="B109" s="753"/>
      <c r="C109" s="753"/>
      <c r="D109" s="753"/>
      <c r="E109" s="753"/>
      <c r="F109" s="753"/>
      <c r="G109" s="753"/>
      <c r="H109" s="753"/>
    </row>
    <row r="110" spans="1:13" s="1046" customFormat="1" ht="20.25" customHeight="1">
      <c r="A110" s="753"/>
      <c r="B110" s="753"/>
      <c r="C110" s="753"/>
      <c r="D110" s="753"/>
      <c r="E110" s="753"/>
      <c r="F110" s="753"/>
      <c r="G110" s="753"/>
      <c r="H110" s="753"/>
    </row>
    <row r="111" spans="1:13" s="1046" customFormat="1" ht="20.25" customHeight="1">
      <c r="A111" s="753"/>
      <c r="B111" s="753"/>
      <c r="C111" s="753"/>
      <c r="D111" s="753"/>
      <c r="E111" s="753"/>
      <c r="F111" s="753"/>
      <c r="G111" s="753"/>
      <c r="H111" s="753"/>
    </row>
    <row r="112" spans="1:13" s="1046" customFormat="1" ht="20.25" customHeight="1">
      <c r="A112" s="753"/>
      <c r="B112" s="753"/>
      <c r="C112" s="753"/>
      <c r="D112" s="753"/>
      <c r="E112" s="753"/>
      <c r="F112" s="753"/>
      <c r="G112" s="753"/>
      <c r="H112" s="753"/>
    </row>
    <row r="113" spans="1:8" s="1046" customFormat="1" ht="20.25" customHeight="1">
      <c r="A113" s="753"/>
      <c r="B113" s="753"/>
      <c r="C113" s="753"/>
      <c r="D113" s="753"/>
      <c r="E113" s="753"/>
      <c r="F113" s="753"/>
      <c r="G113" s="753"/>
      <c r="H113" s="753"/>
    </row>
    <row r="114" spans="1:8" s="1046" customFormat="1">
      <c r="A114" s="753"/>
      <c r="B114" s="753"/>
      <c r="C114" s="753"/>
      <c r="D114" s="753"/>
      <c r="E114" s="753"/>
      <c r="F114" s="753"/>
      <c r="G114" s="753"/>
      <c r="H114" s="753"/>
    </row>
    <row r="115" spans="1:8" s="1046" customFormat="1">
      <c r="A115" s="753"/>
      <c r="B115" s="753"/>
      <c r="C115" s="753"/>
      <c r="D115" s="753"/>
      <c r="E115" s="753"/>
      <c r="F115" s="753"/>
      <c r="G115" s="753"/>
      <c r="H115" s="753"/>
    </row>
    <row r="116" spans="1:8" s="1046" customFormat="1">
      <c r="A116" s="753"/>
      <c r="B116" s="753"/>
      <c r="C116" s="753"/>
      <c r="D116" s="753"/>
      <c r="E116" s="753"/>
      <c r="F116" s="753"/>
      <c r="G116" s="753"/>
      <c r="H116" s="753"/>
    </row>
    <row r="117" spans="1:8" s="1046" customFormat="1">
      <c r="A117" s="753"/>
      <c r="B117" s="753"/>
      <c r="C117" s="753"/>
      <c r="D117" s="753"/>
      <c r="E117" s="753"/>
      <c r="F117" s="753"/>
      <c r="G117" s="753"/>
      <c r="H117" s="753"/>
    </row>
    <row r="118" spans="1:8" s="1046" customFormat="1">
      <c r="A118" s="753"/>
      <c r="B118" s="753"/>
      <c r="C118" s="753"/>
      <c r="D118" s="753"/>
      <c r="E118" s="753"/>
      <c r="F118" s="753"/>
      <c r="G118" s="753"/>
      <c r="H118" s="753"/>
    </row>
    <row r="119" spans="1:8" s="1046" customFormat="1">
      <c r="A119" s="753"/>
      <c r="B119" s="753"/>
      <c r="C119" s="753"/>
      <c r="D119" s="753"/>
      <c r="E119" s="753"/>
      <c r="F119" s="753"/>
      <c r="G119" s="753"/>
      <c r="H119" s="753"/>
    </row>
    <row r="120" spans="1:8" s="1046" customFormat="1">
      <c r="A120" s="753"/>
      <c r="B120" s="753"/>
      <c r="C120" s="753"/>
      <c r="D120" s="753"/>
      <c r="E120" s="753"/>
      <c r="F120" s="753"/>
      <c r="G120" s="753"/>
      <c r="H120" s="753"/>
    </row>
    <row r="121" spans="1:8" s="1046" customFormat="1">
      <c r="A121" s="753"/>
      <c r="B121" s="753"/>
      <c r="C121" s="753"/>
      <c r="D121" s="753"/>
      <c r="E121" s="753"/>
      <c r="F121" s="753"/>
      <c r="G121" s="753"/>
      <c r="H121" s="753"/>
    </row>
    <row r="122" spans="1:8" s="1046" customFormat="1">
      <c r="A122" s="753"/>
      <c r="B122" s="753"/>
      <c r="C122" s="753"/>
      <c r="D122" s="753"/>
      <c r="E122" s="753"/>
      <c r="F122" s="753"/>
      <c r="G122" s="753"/>
      <c r="H122" s="753"/>
    </row>
    <row r="123" spans="1:8" s="1046" customFormat="1">
      <c r="A123" s="753"/>
      <c r="B123" s="753"/>
      <c r="C123" s="753"/>
      <c r="D123" s="753"/>
      <c r="E123" s="753"/>
      <c r="F123" s="753"/>
      <c r="G123" s="753"/>
      <c r="H123" s="753"/>
    </row>
    <row r="124" spans="1:8" s="1046" customFormat="1">
      <c r="A124" s="753"/>
      <c r="B124" s="753"/>
      <c r="C124" s="753"/>
      <c r="D124" s="753"/>
      <c r="E124" s="753"/>
      <c r="F124" s="753"/>
      <c r="G124" s="753"/>
      <c r="H124" s="753"/>
    </row>
    <row r="125" spans="1:8" s="1046" customFormat="1">
      <c r="A125" s="753"/>
      <c r="B125" s="753"/>
      <c r="C125" s="753"/>
      <c r="D125" s="753"/>
      <c r="E125" s="753"/>
      <c r="F125" s="753"/>
      <c r="G125" s="753"/>
      <c r="H125" s="753"/>
    </row>
    <row r="126" spans="1:8" s="1046" customFormat="1">
      <c r="A126" s="753"/>
      <c r="B126" s="753"/>
      <c r="C126" s="753"/>
      <c r="D126" s="753"/>
      <c r="E126" s="753"/>
      <c r="F126" s="753"/>
      <c r="G126" s="753"/>
      <c r="H126" s="753"/>
    </row>
  </sheetData>
  <sheetProtection selectLockedCells="1" selectUnlockedCells="1"/>
  <mergeCells count="36">
    <mergeCell ref="I1:I5"/>
    <mergeCell ref="A3:E4"/>
    <mergeCell ref="A5:E5"/>
    <mergeCell ref="F1:H1"/>
    <mergeCell ref="F2:H2"/>
    <mergeCell ref="A1:E2"/>
    <mergeCell ref="A6:H6"/>
    <mergeCell ref="A26:B26"/>
    <mergeCell ref="C26:F26"/>
    <mergeCell ref="G26:H26"/>
    <mergeCell ref="A27:B27"/>
    <mergeCell ref="C27:H27"/>
    <mergeCell ref="A28:H28"/>
    <mergeCell ref="A31:E32"/>
    <mergeCell ref="A33:E33"/>
    <mergeCell ref="F29:H29"/>
    <mergeCell ref="F30:H30"/>
    <mergeCell ref="A29:E30"/>
    <mergeCell ref="I50:J50"/>
    <mergeCell ref="A34:H34"/>
    <mergeCell ref="A35:A36"/>
    <mergeCell ref="B35:B36"/>
    <mergeCell ref="C35:C36"/>
    <mergeCell ref="D35:D36"/>
    <mergeCell ref="E35:G35"/>
    <mergeCell ref="I40:K40"/>
    <mergeCell ref="I42:K42"/>
    <mergeCell ref="I44:J44"/>
    <mergeCell ref="I46:J46"/>
    <mergeCell ref="I48:J48"/>
    <mergeCell ref="A57:C57"/>
    <mergeCell ref="A58:B58"/>
    <mergeCell ref="C58:E58"/>
    <mergeCell ref="F58:H58"/>
    <mergeCell ref="A59:B59"/>
    <mergeCell ref="C59:H59"/>
  </mergeCells>
  <phoneticPr fontId="135" type="noConversion"/>
  <dataValidations count="1">
    <dataValidation allowBlank="1" showErrorMessage="1" sqref="G4 G32">
      <formula1>0</formula1>
      <formula2>0</formula2>
    </dataValidation>
  </dataValidations>
  <hyperlinks>
    <hyperlink ref="I10" location="纳税申报数据!A1" display="纳税申报数据"/>
    <hyperlink ref="I11" location="纳税调整明细表!A1" display="纳税调整明细表"/>
    <hyperlink ref="I12" location="资产负债!A1" display="资产负债表"/>
    <hyperlink ref="I15" location="申报主表!A1" display="申报主表"/>
    <hyperlink ref="I16" location="企业各税审核汇总表!A1" display="企业各税审核汇总表"/>
    <hyperlink ref="I17" location="主营收支!A1" display="主营业务收支审核表"/>
    <hyperlink ref="I18" location="其他业务!A1" display="其他业务利润审核表"/>
    <hyperlink ref="I19" location="利润!A1" display="利润及利润分配表"/>
    <hyperlink ref="I21" location="事项说明!A1" display="审核报告事项说明"/>
    <hyperlink ref="I23" location="收入与申报核对表!A1" display="收入与申报核对表!A1"/>
    <hyperlink ref="C10" location="主营税金!E14" display="主营税金!E14"/>
    <hyperlink ref="C16" location="税费缴纳测算!E45" display="税费缴纳测算!E45"/>
    <hyperlink ref="C17" location="税费缴纳测算!E31" display="税费缴纳测算!E31"/>
    <hyperlink ref="C19" location="税费缴纳测算!E48" display="税费缴纳测算!E48"/>
    <hyperlink ref="C11:C12" location="主营税金!E14" display="主营税金!E14"/>
  </hyperlinks>
  <printOptions horizontalCentered="1"/>
  <pageMargins left="0.39370078740157477" right="0.39370078740157477" top="0.59055118110236215" bottom="0.59055118110236215" header="0.511811023622047" footer="0.511811023622047"/>
  <pageSetup paperSize="9" scale="76" firstPageNumber="0" orientation="portrait" blackAndWhite="1" r:id="rId1"/>
  <headerFooter alignWithMargins="0"/>
  <drawing r:id="rId2"/>
  <legacyDrawing r:id="rId3"/>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5">
    <pageSetUpPr fitToPage="1"/>
  </sheetPr>
  <dimension ref="A1:N48"/>
  <sheetViews>
    <sheetView workbookViewId="0">
      <selection activeCell="F3" sqref="F3"/>
    </sheetView>
  </sheetViews>
  <sheetFormatPr defaultColWidth="9" defaultRowHeight="16.5"/>
  <cols>
    <col min="1" max="1" width="6" style="1769" customWidth="1"/>
    <col min="2" max="2" width="4.25" style="1769" customWidth="1"/>
    <col min="3" max="3" width="26.375" style="753" customWidth="1"/>
    <col min="4" max="4" width="8" style="753" customWidth="1"/>
    <col min="5" max="5" width="9.625" style="753" customWidth="1"/>
    <col min="6" max="8" width="14.125" style="753" customWidth="1"/>
    <col min="9" max="9" width="30.25" style="565" customWidth="1"/>
    <col min="10" max="10" width="18" style="565" customWidth="1"/>
    <col min="11" max="16384" width="9" style="565"/>
  </cols>
  <sheetData>
    <row r="1" spans="1:14" ht="25.9" customHeight="1">
      <c r="A1" s="3254" t="s">
        <v>6128</v>
      </c>
      <c r="B1" s="3254"/>
      <c r="C1" s="3254"/>
      <c r="D1" s="3254"/>
      <c r="E1" s="3254"/>
      <c r="F1" s="2754" t="str">
        <f>基本情况!$F$10</f>
        <v>厦中汇税审（2018）第DS0001号</v>
      </c>
      <c r="G1" s="2754"/>
      <c r="H1" s="2754"/>
      <c r="I1" s="3331"/>
      <c r="J1" s="564"/>
      <c r="K1" s="564"/>
      <c r="L1" s="564"/>
    </row>
    <row r="2" spans="1:14" s="1850" customFormat="1" ht="37.15" customHeight="1">
      <c r="A2" s="3254"/>
      <c r="B2" s="3254"/>
      <c r="C2" s="3254"/>
      <c r="D2" s="3254"/>
      <c r="E2" s="3254"/>
      <c r="F2" s="2949" t="str">
        <f>"底稿编号："&amp;开始!J13</f>
        <v>底稿编号：GL-11</v>
      </c>
      <c r="G2" s="2949"/>
      <c r="H2" s="2949"/>
      <c r="I2" s="3331"/>
      <c r="J2" s="1968"/>
      <c r="K2" s="1968"/>
      <c r="L2" s="1968"/>
    </row>
    <row r="3" spans="1:14" ht="21.75" customHeight="1">
      <c r="A3" s="3343" t="s">
        <v>4510</v>
      </c>
      <c r="B3" s="3344"/>
      <c r="C3" s="3347" t="str">
        <f>基本情况!$C$3</f>
        <v/>
      </c>
      <c r="D3" s="3348"/>
      <c r="E3" s="3349"/>
      <c r="F3" s="2056" t="s">
        <v>4407</v>
      </c>
      <c r="G3" s="2057" t="str">
        <f>基本情况!$F$19&amp;""</f>
        <v/>
      </c>
      <c r="H3" s="2058" t="str">
        <f>TEXT(基本情况!$F$27,"yyyy-mm-dd")</f>
        <v>2018-03-16</v>
      </c>
      <c r="I3" s="3331"/>
      <c r="J3" s="564"/>
      <c r="K3" s="564"/>
      <c r="L3" s="564"/>
    </row>
    <row r="4" spans="1:14" ht="21.75" customHeight="1">
      <c r="A4" s="3345" t="s">
        <v>4512</v>
      </c>
      <c r="B4" s="3346"/>
      <c r="C4" s="3163" t="str">
        <f>基本情况!$F$9</f>
        <v>2017年01月01日至2017年12月31日</v>
      </c>
      <c r="D4" s="3164"/>
      <c r="E4" s="3165"/>
      <c r="F4" s="2059" t="s">
        <v>4410</v>
      </c>
      <c r="G4" s="2060" t="str">
        <f>基本情况!$F$18&amp;""</f>
        <v/>
      </c>
      <c r="H4" s="2061" t="str">
        <f>TEXT(基本情况!$F$28,"yyyy-mm-dd")</f>
        <v>2018-05-04</v>
      </c>
      <c r="I4" s="3331"/>
      <c r="J4" s="564"/>
      <c r="K4" s="564"/>
      <c r="L4" s="564"/>
    </row>
    <row r="5" spans="1:14" ht="21.75" customHeight="1">
      <c r="A5" s="2917" t="s">
        <v>147</v>
      </c>
      <c r="B5" s="2917"/>
      <c r="C5" s="569" t="s">
        <v>750</v>
      </c>
      <c r="D5" s="2927" t="s">
        <v>4412</v>
      </c>
      <c r="E5" s="2927"/>
      <c r="F5" s="569" t="s">
        <v>5805</v>
      </c>
      <c r="G5" s="1481" t="s">
        <v>5806</v>
      </c>
      <c r="H5" s="717" t="s">
        <v>4415</v>
      </c>
      <c r="I5" s="1760" t="s">
        <v>1724</v>
      </c>
      <c r="J5" s="723"/>
      <c r="K5" s="564"/>
      <c r="L5" s="564"/>
    </row>
    <row r="6" spans="1:14" ht="16.5" customHeight="1">
      <c r="A6" s="3236">
        <v>1</v>
      </c>
      <c r="B6" s="3236"/>
      <c r="C6" s="1761" t="s">
        <v>5807</v>
      </c>
      <c r="D6" s="3342">
        <f>SUMIF(余额表!J:J,"销售费用-"&amp;C6,余额表!E:E)</f>
        <v>0</v>
      </c>
      <c r="E6" s="3342"/>
      <c r="F6" s="652">
        <f>-SUMIFS(凭证检查!$G$7:$G$206,凭证检查!$E$7:$E$206,"销售费用",凭证检查!$F$7:$F$206,C6,凭证检查!$N$7:$N$206,"调入*费")</f>
        <v>0</v>
      </c>
      <c r="G6" s="1762"/>
      <c r="H6" s="1763">
        <f>D6+F6</f>
        <v>0</v>
      </c>
      <c r="I6" s="1233" t="s">
        <v>5808</v>
      </c>
      <c r="J6" s="564"/>
      <c r="K6" s="564"/>
      <c r="L6" s="564"/>
    </row>
    <row r="7" spans="1:14" ht="16.5" customHeight="1">
      <c r="A7" s="2653">
        <v>2</v>
      </c>
      <c r="B7" s="2653"/>
      <c r="C7" s="1764" t="s">
        <v>5809</v>
      </c>
      <c r="D7" s="3334">
        <f>SUMIF(余额表!J:J,"销售费用-"&amp;C7,余额表!E:E)</f>
        <v>0</v>
      </c>
      <c r="E7" s="3335"/>
      <c r="F7" s="638">
        <f>SUMIFS(凭证检查!$G$7:$G$206,凭证检查!$E$7:$E$206,"销售费用",凭证检查!$N$7:$N$206,"调入福利费")-SUMIFS(凭证检查!$G$7:$G$206,凭证检查!$E$7:$E$206,"销售费用",凭证检查!$F$7:$F$206,C7)</f>
        <v>0</v>
      </c>
      <c r="G7" s="637"/>
      <c r="H7" s="1401">
        <f>D7+F7</f>
        <v>0</v>
      </c>
      <c r="I7" s="704" t="s">
        <v>4534</v>
      </c>
      <c r="J7" s="564"/>
      <c r="K7" s="564"/>
      <c r="L7" s="564"/>
    </row>
    <row r="8" spans="1:14" ht="16.5" customHeight="1">
      <c r="A8" s="2653">
        <v>3</v>
      </c>
      <c r="B8" s="2653"/>
      <c r="C8" s="1764" t="s">
        <v>5810</v>
      </c>
      <c r="D8" s="3334">
        <f>SUMIF(余额表!J:J,"销售费用-"&amp;C8,余额表!E:E)</f>
        <v>0</v>
      </c>
      <c r="E8" s="3335"/>
      <c r="F8" s="2423">
        <f>SUMIFS(凭证检查!$G$7:$G$206,凭证检查!$E$7:$E$206,"销售费用",凭证检查!$N$7:$N$206,"调入教育经费")-SUMIFS(凭证检查!$G$7:$G$206,凭证检查!$E$7:$E$206,"销售费用",凭证检查!$F$7:$F$206,C8)</f>
        <v>0</v>
      </c>
      <c r="G8" s="637"/>
      <c r="H8" s="1401">
        <f t="shared" ref="H8:H43" si="0">D8+F8</f>
        <v>0</v>
      </c>
      <c r="I8" s="1233" t="s">
        <v>5040</v>
      </c>
      <c r="J8" s="564"/>
      <c r="K8" s="564"/>
      <c r="L8" s="564"/>
    </row>
    <row r="9" spans="1:14" ht="16.5" customHeight="1">
      <c r="A9" s="2653">
        <v>4</v>
      </c>
      <c r="B9" s="2653"/>
      <c r="C9" s="1764" t="s">
        <v>5811</v>
      </c>
      <c r="D9" s="3334">
        <f>SUMIF(余额表!J:J,"销售费用-"&amp;C9,余额表!E:E)</f>
        <v>0</v>
      </c>
      <c r="E9" s="3335"/>
      <c r="F9" s="652">
        <f>-SUMIFS(凭证检查!$G$7:$G$206,凭证检查!$E$7:$E$206,"销售费用",凭证检查!$F$7:$F$206,C9,凭证检查!$N$7:$N$206,"调入*费")</f>
        <v>0</v>
      </c>
      <c r="G9" s="637"/>
      <c r="H9" s="1401">
        <f t="shared" si="0"/>
        <v>0</v>
      </c>
      <c r="I9" s="1233" t="s">
        <v>5109</v>
      </c>
      <c r="J9" s="564"/>
      <c r="K9" s="564"/>
      <c r="L9" s="564"/>
    </row>
    <row r="10" spans="1:14" ht="16.5" customHeight="1">
      <c r="A10" s="2653">
        <v>5</v>
      </c>
      <c r="B10" s="2653"/>
      <c r="C10" s="1764" t="s">
        <v>5812</v>
      </c>
      <c r="D10" s="3334">
        <f>SUMIF(余额表!J:J,"销售费用-"&amp;C10,余额表!E:E)</f>
        <v>0</v>
      </c>
      <c r="E10" s="3335"/>
      <c r="F10" s="2423">
        <f>SUMIFS(凭证检查!$G$7:$G$206,凭证检查!$E$7:$E$206,"销售费用",凭证检查!$N$7:$N$206,"调入招待费")-SUMIFS(凭证检查!$G$7:$G$206,凭证检查!$E$7:$E$206,"销售费用",凭证检查!$F$7:$F$206,C10)</f>
        <v>0</v>
      </c>
      <c r="G10" s="637"/>
      <c r="H10" s="1401">
        <f t="shared" si="0"/>
        <v>0</v>
      </c>
      <c r="I10" s="704" t="s">
        <v>5111</v>
      </c>
      <c r="J10" s="564"/>
      <c r="K10" s="564"/>
      <c r="L10" s="564"/>
    </row>
    <row r="11" spans="1:14" ht="16.5" customHeight="1">
      <c r="A11" s="2653">
        <v>6</v>
      </c>
      <c r="B11" s="2653"/>
      <c r="C11" s="1764" t="s">
        <v>5813</v>
      </c>
      <c r="D11" s="3334">
        <f>SUMIF(余额表!J:J,"销售费用-"&amp;C11,余额表!E:E)</f>
        <v>0</v>
      </c>
      <c r="E11" s="3335"/>
      <c r="F11" s="652">
        <f>-SUMIFS(凭证检查!$G$7:$G$206,凭证检查!$E$7:$E$206,"销售费用",凭证检查!$F$7:$F$206,C11,凭证检查!$N$7:$N$206,"调入*费")</f>
        <v>0</v>
      </c>
      <c r="G11" s="637"/>
      <c r="H11" s="1401">
        <f t="shared" si="0"/>
        <v>0</v>
      </c>
      <c r="I11" s="704" t="s">
        <v>5160</v>
      </c>
      <c r="J11" s="564"/>
      <c r="K11" s="564"/>
      <c r="L11" s="564"/>
    </row>
    <row r="12" spans="1:14" ht="16.5" customHeight="1">
      <c r="A12" s="2653">
        <v>7</v>
      </c>
      <c r="B12" s="2653"/>
      <c r="C12" s="1764" t="s">
        <v>5814</v>
      </c>
      <c r="D12" s="3334">
        <f>SUMIF(余额表!J:J,"销售费用-"&amp;C12,余额表!E:E)</f>
        <v>0</v>
      </c>
      <c r="E12" s="3335"/>
      <c r="F12" s="652">
        <f>-SUMIFS(凭证检查!$G$7:$G$206,凭证检查!$E$7:$E$206,"销售费用",凭证检查!$F$7:$F$206,C12,凭证检查!$N$7:$N$206,"调入*费")</f>
        <v>0</v>
      </c>
      <c r="G12" s="637"/>
      <c r="H12" s="1401">
        <f t="shared" si="0"/>
        <v>0</v>
      </c>
      <c r="I12" s="1233" t="s">
        <v>5815</v>
      </c>
      <c r="J12" s="564"/>
      <c r="K12" s="564"/>
      <c r="L12" s="564"/>
    </row>
    <row r="13" spans="1:14" ht="16.5" customHeight="1">
      <c r="A13" s="2653">
        <v>8</v>
      </c>
      <c r="B13" s="2653"/>
      <c r="C13" s="1764" t="s">
        <v>5219</v>
      </c>
      <c r="D13" s="3334">
        <f>SUMIF(余额表!J:J,"销售费用-"&amp;C13,余额表!E:E)</f>
        <v>0</v>
      </c>
      <c r="E13" s="3335"/>
      <c r="F13" s="652">
        <f>-SUMIFS(凭证检查!$G$7:$G$206,凭证检查!$E$7:$E$206,"销售费用",凭证检查!$F$7:$F$206,C13,凭证检查!$N$7:$N$206,"调入*费")</f>
        <v>0</v>
      </c>
      <c r="G13" s="637"/>
      <c r="H13" s="1401">
        <f t="shared" si="0"/>
        <v>0</v>
      </c>
      <c r="I13" s="704" t="s">
        <v>5648</v>
      </c>
      <c r="J13" s="564"/>
      <c r="K13" s="564"/>
      <c r="L13" s="564"/>
    </row>
    <row r="14" spans="1:14" ht="16.5" customHeight="1">
      <c r="A14" s="2653">
        <v>9</v>
      </c>
      <c r="B14" s="2653"/>
      <c r="C14" s="1765" t="s">
        <v>5816</v>
      </c>
      <c r="D14" s="3334">
        <f>SUMIF(余额表!J:J,"销售费用-"&amp;C14,余额表!E:E)</f>
        <v>0</v>
      </c>
      <c r="E14" s="3335"/>
      <c r="F14" s="652">
        <f>-SUMIFS(凭证检查!$G$7:$G$206,凭证检查!$E$7:$E$206,"销售费用",凭证检查!$F$7:$F$206,C14,凭证检查!$N$7:$N$206,"调入*费")</f>
        <v>0</v>
      </c>
      <c r="G14" s="637"/>
      <c r="H14" s="1401">
        <f t="shared" si="0"/>
        <v>0</v>
      </c>
      <c r="I14" s="704" t="s">
        <v>5817</v>
      </c>
      <c r="J14" s="564"/>
      <c r="K14" s="564"/>
      <c r="L14" s="564"/>
    </row>
    <row r="15" spans="1:14" ht="16.5" customHeight="1">
      <c r="A15" s="2653">
        <v>10</v>
      </c>
      <c r="B15" s="2653"/>
      <c r="C15" s="1764" t="s">
        <v>5003</v>
      </c>
      <c r="D15" s="3334">
        <f>SUMIF(余额表!J:J,"销售费用-"&amp;C15,余额表!E:E)</f>
        <v>0</v>
      </c>
      <c r="E15" s="3335"/>
      <c r="F15" s="652">
        <f>-SUMIFS(凭证检查!$G$7:$G$206,凭证检查!$E$7:$E$206,"销售费用",凭证检查!$F$7:$F$206,C15,凭证检查!$N$7:$N$206,"调入*费")</f>
        <v>0</v>
      </c>
      <c r="G15" s="637"/>
      <c r="H15" s="1401">
        <f t="shared" si="0"/>
        <v>0</v>
      </c>
      <c r="I15" s="704" t="s">
        <v>5818</v>
      </c>
      <c r="J15" s="564"/>
      <c r="K15" s="564"/>
      <c r="L15" s="564"/>
      <c r="M15" s="680"/>
      <c r="N15" s="680"/>
    </row>
    <row r="16" spans="1:14" ht="16.5" customHeight="1">
      <c r="A16" s="2653">
        <v>11</v>
      </c>
      <c r="B16" s="2653"/>
      <c r="C16" s="1764" t="s">
        <v>5819</v>
      </c>
      <c r="D16" s="3334">
        <f>SUMIF(余额表!J:J,"销售费用-"&amp;C16,余额表!E:E)</f>
        <v>0</v>
      </c>
      <c r="E16" s="3335"/>
      <c r="F16" s="652">
        <f>-SUMIFS(凭证检查!$G$7:$G$206,凭证检查!$E$7:$E$206,"销售费用",凭证检查!$F$7:$F$206,C16,凭证检查!$N$7:$N$206,"调入*费")</f>
        <v>0</v>
      </c>
      <c r="G16" s="637"/>
      <c r="H16" s="1401">
        <f t="shared" si="0"/>
        <v>0</v>
      </c>
      <c r="I16" s="704" t="s">
        <v>5820</v>
      </c>
      <c r="J16" s="564"/>
      <c r="K16" s="564"/>
      <c r="L16" s="564"/>
      <c r="M16" s="680"/>
      <c r="N16" s="680"/>
    </row>
    <row r="17" spans="1:14" ht="16.5" customHeight="1">
      <c r="A17" s="2653">
        <v>12</v>
      </c>
      <c r="B17" s="2653"/>
      <c r="C17" s="1764" t="s">
        <v>5821</v>
      </c>
      <c r="D17" s="3334">
        <f>SUMIF(余额表!J:J,"销售费用-"&amp;C17,余额表!E:E)</f>
        <v>0</v>
      </c>
      <c r="E17" s="3335"/>
      <c r="F17" s="652">
        <f>-SUMIFS(凭证检查!$G$7:$G$206,凭证检查!$E$7:$E$206,"销售费用",凭证检查!$F$7:$F$206,C17,凭证检查!$N$7:$N$206,"调入*费")</f>
        <v>0</v>
      </c>
      <c r="G17" s="637"/>
      <c r="H17" s="1401">
        <f t="shared" si="0"/>
        <v>0</v>
      </c>
      <c r="I17" s="1494" t="s">
        <v>5822</v>
      </c>
      <c r="J17" s="564"/>
      <c r="K17" s="564"/>
      <c r="L17" s="564"/>
      <c r="M17" s="680"/>
      <c r="N17" s="680"/>
    </row>
    <row r="18" spans="1:14" ht="16.5" customHeight="1">
      <c r="A18" s="2653">
        <v>13</v>
      </c>
      <c r="B18" s="2653"/>
      <c r="C18" s="1764" t="s">
        <v>5823</v>
      </c>
      <c r="D18" s="3334">
        <f>SUMIF(余额表!J:J,"销售费用-"&amp;C18,余额表!E:E)</f>
        <v>0</v>
      </c>
      <c r="E18" s="3335"/>
      <c r="F18" s="652">
        <f>-SUMIFS(凭证检查!$G$7:$G$206,凭证检查!$E$7:$E$206,"销售费用",凭证检查!$F$7:$F$206,C18,凭证检查!$N$7:$N$206,"调入*费")</f>
        <v>0</v>
      </c>
      <c r="G18" s="637"/>
      <c r="H18" s="1401">
        <f t="shared" si="0"/>
        <v>0</v>
      </c>
      <c r="I18" s="3336" t="s">
        <v>5824</v>
      </c>
      <c r="J18" s="3336"/>
      <c r="K18" s="3336"/>
      <c r="L18" s="3336"/>
      <c r="M18" s="680"/>
      <c r="N18" s="680"/>
    </row>
    <row r="19" spans="1:14" ht="16.5" customHeight="1">
      <c r="A19" s="2653">
        <v>14</v>
      </c>
      <c r="B19" s="2653"/>
      <c r="C19" s="1764" t="s">
        <v>5825</v>
      </c>
      <c r="D19" s="3334">
        <f>SUMIF(余额表!J:J,"销售费用-"&amp;C19,余额表!E:E)</f>
        <v>0</v>
      </c>
      <c r="E19" s="3335"/>
      <c r="F19" s="652">
        <f>-SUMIFS(凭证检查!$G$7:$G$206,凭证检查!$E$7:$E$206,"销售费用",凭证检查!$F$7:$F$206,C19,凭证检查!$N$7:$N$206,"调入*费")</f>
        <v>0</v>
      </c>
      <c r="G19" s="637"/>
      <c r="H19" s="1401">
        <f t="shared" si="0"/>
        <v>0</v>
      </c>
      <c r="I19" s="3336"/>
      <c r="J19" s="3336"/>
      <c r="K19" s="3336"/>
      <c r="L19" s="3336"/>
      <c r="M19" s="680"/>
      <c r="N19" s="680"/>
    </row>
    <row r="20" spans="1:14" ht="16.5" customHeight="1">
      <c r="A20" s="2653">
        <v>15</v>
      </c>
      <c r="B20" s="2653"/>
      <c r="C20" s="1764" t="s">
        <v>5826</v>
      </c>
      <c r="D20" s="3334">
        <f>SUMIF(余额表!J:J,"销售费用-"&amp;C20,余额表!E:E)</f>
        <v>0</v>
      </c>
      <c r="E20" s="3335"/>
      <c r="F20" s="652">
        <f>-SUMIFS(凭证检查!$G$7:$G$206,凭证检查!$E$7:$E$206,"销售费用",凭证检查!$F$7:$F$206,C20,凭证检查!$N$7:$N$206,"调入*费")</f>
        <v>0</v>
      </c>
      <c r="G20" s="637"/>
      <c r="H20" s="1401">
        <f t="shared" si="0"/>
        <v>0</v>
      </c>
      <c r="I20" s="3336"/>
      <c r="J20" s="3336"/>
      <c r="K20" s="3336"/>
      <c r="L20" s="3336"/>
      <c r="M20" s="680"/>
      <c r="N20" s="680"/>
    </row>
    <row r="21" spans="1:14" ht="16.5" customHeight="1">
      <c r="A21" s="2653">
        <v>16</v>
      </c>
      <c r="B21" s="2653"/>
      <c r="C21" s="1764" t="s">
        <v>5827</v>
      </c>
      <c r="D21" s="3334">
        <f>SUMIF(余额表!J:J,"销售费用-"&amp;C21,余额表!E:E)</f>
        <v>0</v>
      </c>
      <c r="E21" s="3335"/>
      <c r="F21" s="652">
        <f>-SUMIFS(凭证检查!$G$7:$G$206,凭证检查!$E$7:$E$206,"销售费用",凭证检查!$F$7:$F$206,C21,凭证检查!$N$7:$N$206,"调入*费")</f>
        <v>0</v>
      </c>
      <c r="G21" s="637"/>
      <c r="H21" s="1401">
        <f t="shared" si="0"/>
        <v>0</v>
      </c>
      <c r="I21" s="3336"/>
      <c r="J21" s="3336"/>
      <c r="K21" s="3336"/>
      <c r="L21" s="3336"/>
      <c r="M21" s="680"/>
      <c r="N21" s="680"/>
    </row>
    <row r="22" spans="1:14" ht="16.5" customHeight="1">
      <c r="A22" s="2653">
        <v>17</v>
      </c>
      <c r="B22" s="2653"/>
      <c r="C22" s="1766" t="s">
        <v>5828</v>
      </c>
      <c r="D22" s="3334">
        <f>SUMIF(余额表!J:J,"销售费用-"&amp;C22,余额表!E:E)</f>
        <v>0</v>
      </c>
      <c r="E22" s="3335"/>
      <c r="F22" s="652">
        <f>-SUMIFS(凭证检查!$G$7:$G$206,凭证检查!$E$7:$E$206,"销售费用",凭证检查!$F$7:$F$206,C22,凭证检查!$N$7:$N$206,"调入*费")</f>
        <v>0</v>
      </c>
      <c r="G22" s="637"/>
      <c r="H22" s="1401">
        <f t="shared" si="0"/>
        <v>0</v>
      </c>
      <c r="I22" s="3336"/>
      <c r="J22" s="3336"/>
      <c r="K22" s="3336"/>
      <c r="L22" s="3336"/>
      <c r="M22" s="680"/>
      <c r="N22" s="680"/>
    </row>
    <row r="23" spans="1:14" ht="16.5" customHeight="1">
      <c r="A23" s="2653">
        <v>18</v>
      </c>
      <c r="B23" s="2653"/>
      <c r="C23" s="1766" t="s">
        <v>5829</v>
      </c>
      <c r="D23" s="3334">
        <f>SUMIF(余额表!J:J,"销售费用-"&amp;C23,余额表!E:E)</f>
        <v>0</v>
      </c>
      <c r="E23" s="3335"/>
      <c r="F23" s="652">
        <f>-SUMIFS(凭证检查!$G$7:$G$206,凭证检查!$E$7:$E$206,"销售费用",凭证检查!$F$7:$F$206,C23,凭证检查!$N$7:$N$206,"调入*费")</f>
        <v>0</v>
      </c>
      <c r="G23" s="637"/>
      <c r="H23" s="1401">
        <f t="shared" si="0"/>
        <v>0</v>
      </c>
      <c r="I23" s="3336"/>
      <c r="J23" s="3336"/>
      <c r="K23" s="3336"/>
      <c r="L23" s="3336"/>
      <c r="M23" s="680"/>
      <c r="N23" s="680"/>
    </row>
    <row r="24" spans="1:14" ht="16.5" customHeight="1">
      <c r="A24" s="2653">
        <v>19</v>
      </c>
      <c r="B24" s="2653"/>
      <c r="C24" s="1766" t="s">
        <v>5830</v>
      </c>
      <c r="D24" s="3334">
        <f>SUMIF(余额表!J:J,"销售费用-"&amp;C24,余额表!E:E)</f>
        <v>0</v>
      </c>
      <c r="E24" s="3335"/>
      <c r="F24" s="652">
        <f>-SUMIFS(凭证检查!$G$7:$G$206,凭证检查!$E$7:$E$206,"销售费用",凭证检查!$F$7:$F$206,C24,凭证检查!$N$7:$N$206,"调入*费")</f>
        <v>0</v>
      </c>
      <c r="G24" s="637"/>
      <c r="H24" s="1401">
        <f t="shared" si="0"/>
        <v>0</v>
      </c>
      <c r="I24" s="3336"/>
      <c r="J24" s="3336"/>
      <c r="K24" s="3336"/>
      <c r="L24" s="3336"/>
      <c r="M24" s="680"/>
      <c r="N24" s="680"/>
    </row>
    <row r="25" spans="1:14" ht="16.5" customHeight="1">
      <c r="A25" s="2653">
        <v>20</v>
      </c>
      <c r="B25" s="2653"/>
      <c r="C25" s="1766" t="s">
        <v>5762</v>
      </c>
      <c r="D25" s="3334">
        <f>SUMIF(余额表!J:J,"销售费用-"&amp;C25,余额表!E:E)</f>
        <v>0</v>
      </c>
      <c r="E25" s="3335"/>
      <c r="F25" s="652">
        <f>-SUMIFS(凭证检查!$G$7:$G$206,凭证检查!$E$7:$E$206,"销售费用",凭证检查!$F$7:$F$206,C25,凭证检查!$N$7:$N$206,"调入*费")</f>
        <v>0</v>
      </c>
      <c r="G25" s="637"/>
      <c r="H25" s="1401">
        <f t="shared" si="0"/>
        <v>0</v>
      </c>
      <c r="I25" s="3336"/>
      <c r="J25" s="3336"/>
      <c r="K25" s="3336"/>
      <c r="L25" s="3336"/>
    </row>
    <row r="26" spans="1:14" ht="16.5" customHeight="1">
      <c r="A26" s="2653">
        <v>21</v>
      </c>
      <c r="B26" s="2653"/>
      <c r="C26" s="1766" t="s">
        <v>5761</v>
      </c>
      <c r="D26" s="3334">
        <f>SUMIF(余额表!J:J,"销售费用-"&amp;C26,余额表!E:E)</f>
        <v>0</v>
      </c>
      <c r="E26" s="3335"/>
      <c r="F26" s="652">
        <f>-SUMIFS(凭证检查!$G$7:$G$206,凭证检查!$E$7:$E$206,"销售费用",凭证检查!$F$7:$F$206,C26,凭证检查!$N$7:$N$206,"调入*费")</f>
        <v>0</v>
      </c>
      <c r="G26" s="637"/>
      <c r="H26" s="1401">
        <f t="shared" si="0"/>
        <v>0</v>
      </c>
      <c r="I26" s="3336" t="s">
        <v>5831</v>
      </c>
      <c r="J26" s="3336"/>
      <c r="K26" s="3336"/>
      <c r="L26" s="3336"/>
      <c r="M26" s="621"/>
    </row>
    <row r="27" spans="1:14" ht="16.5" customHeight="1">
      <c r="A27" s="2653">
        <v>22</v>
      </c>
      <c r="B27" s="2653"/>
      <c r="C27" s="1766" t="s">
        <v>5764</v>
      </c>
      <c r="D27" s="3334">
        <f>SUMIF(余额表!J:J,"销售费用-"&amp;C27,余额表!E:E)</f>
        <v>0</v>
      </c>
      <c r="E27" s="3335"/>
      <c r="F27" s="652">
        <f>-SUMIFS(凭证检查!$G$7:$G$206,凭证检查!$E$7:$E$206,"销售费用",凭证检查!$F$7:$F$206,C27,凭证检查!$N$7:$N$206,"调入*费")</f>
        <v>0</v>
      </c>
      <c r="G27" s="637"/>
      <c r="H27" s="1401">
        <f t="shared" si="0"/>
        <v>0</v>
      </c>
      <c r="I27" s="3336"/>
      <c r="J27" s="3336"/>
      <c r="K27" s="3336"/>
      <c r="L27" s="3336"/>
      <c r="M27" s="621"/>
    </row>
    <row r="28" spans="1:14" ht="16.5" customHeight="1">
      <c r="A28" s="2653">
        <v>23</v>
      </c>
      <c r="B28" s="2653"/>
      <c r="C28" s="1766" t="s">
        <v>5832</v>
      </c>
      <c r="D28" s="3334">
        <f>SUMIF(余额表!J:J,"销售费用-"&amp;C28,余额表!E:E)</f>
        <v>0</v>
      </c>
      <c r="E28" s="3335"/>
      <c r="F28" s="652">
        <f>-SUMIFS(凭证检查!$G$7:$G$206,凭证检查!$E$7:$E$206,"销售费用",凭证检查!$F$7:$F$206,C28,凭证检查!$N$7:$N$206,"调入*费")</f>
        <v>0</v>
      </c>
      <c r="G28" s="637"/>
      <c r="H28" s="1401">
        <f t="shared" si="0"/>
        <v>0</v>
      </c>
      <c r="I28" s="3336"/>
      <c r="J28" s="3336"/>
      <c r="K28" s="3336"/>
      <c r="L28" s="3336"/>
      <c r="M28" s="621"/>
    </row>
    <row r="29" spans="1:14" ht="16.5" customHeight="1">
      <c r="A29" s="2653">
        <v>24</v>
      </c>
      <c r="B29" s="2653"/>
      <c r="C29" s="1766" t="s">
        <v>5833</v>
      </c>
      <c r="D29" s="3334">
        <f>SUMIF(余额表!J:J,"销售费用-"&amp;C29,余额表!E:E)</f>
        <v>0</v>
      </c>
      <c r="E29" s="3335"/>
      <c r="F29" s="652">
        <f>-SUMIFS(凭证检查!$G$7:$G$206,凭证检查!$E$7:$E$206,"销售费用",凭证检查!$F$7:$F$206,C29,凭证检查!$N$7:$N$206,"调入*费")</f>
        <v>0</v>
      </c>
      <c r="G29" s="637"/>
      <c r="H29" s="1401">
        <f t="shared" si="0"/>
        <v>0</v>
      </c>
      <c r="I29" s="3336"/>
      <c r="J29" s="3336"/>
      <c r="K29" s="3336"/>
      <c r="L29" s="3336"/>
      <c r="M29" s="621"/>
    </row>
    <row r="30" spans="1:14" ht="16.5" customHeight="1">
      <c r="A30" s="2653">
        <v>25</v>
      </c>
      <c r="B30" s="2653"/>
      <c r="C30" s="1766" t="s">
        <v>5834</v>
      </c>
      <c r="D30" s="3334">
        <f>SUMIF(余额表!J:J,"销售费用-"&amp;C30,余额表!E:E)</f>
        <v>0</v>
      </c>
      <c r="E30" s="3335"/>
      <c r="F30" s="652">
        <f>-SUMIFS(凭证检查!$G$7:$G$206,凭证检查!$E$7:$E$206,"销售费用",凭证检查!$F$7:$F$206,C30,凭证检查!$N$7:$N$206,"调入*费")</f>
        <v>0</v>
      </c>
      <c r="G30" s="637"/>
      <c r="H30" s="1401">
        <f t="shared" si="0"/>
        <v>0</v>
      </c>
      <c r="I30" s="3336"/>
      <c r="J30" s="3336"/>
      <c r="K30" s="3336"/>
      <c r="L30" s="3336"/>
      <c r="M30" s="621"/>
    </row>
    <row r="31" spans="1:14" ht="16.5" customHeight="1">
      <c r="A31" s="2653">
        <v>26</v>
      </c>
      <c r="B31" s="2653"/>
      <c r="C31" s="1766" t="s">
        <v>5835</v>
      </c>
      <c r="D31" s="3334">
        <f>SUMIF(余额表!J:J,"销售费用-"&amp;C31,余额表!E:E)</f>
        <v>0</v>
      </c>
      <c r="E31" s="3335"/>
      <c r="F31" s="652">
        <f>-SUMIFS(凭证检查!$G$7:$G$206,凭证检查!$E$7:$E$206,"销售费用",凭证检查!$F$7:$F$206,C31,凭证检查!$N$7:$N$206,"调入*费")</f>
        <v>0</v>
      </c>
      <c r="G31" s="637"/>
      <c r="H31" s="1401">
        <f t="shared" si="0"/>
        <v>0</v>
      </c>
      <c r="I31" s="3336"/>
      <c r="J31" s="3336"/>
      <c r="K31" s="3336"/>
      <c r="L31" s="3336"/>
      <c r="M31" s="621"/>
    </row>
    <row r="32" spans="1:14" ht="16.5" customHeight="1">
      <c r="A32" s="2653">
        <v>27</v>
      </c>
      <c r="B32" s="2653"/>
      <c r="C32" s="1766" t="s">
        <v>5836</v>
      </c>
      <c r="D32" s="3334">
        <f>SUMIF(余额表!J:J,"销售费用-"&amp;C32,余额表!E:E)</f>
        <v>0</v>
      </c>
      <c r="E32" s="3335"/>
      <c r="F32" s="652">
        <f>-SUMIFS(凭证检查!$G$7:$G$206,凭证检查!$E$7:$E$206,"销售费用",凭证检查!$F$7:$F$206,C32,凭证检查!$N$7:$N$206,"调入*费")</f>
        <v>0</v>
      </c>
      <c r="G32" s="637"/>
      <c r="H32" s="1401">
        <f t="shared" si="0"/>
        <v>0</v>
      </c>
      <c r="I32" s="3336"/>
      <c r="J32" s="3336"/>
      <c r="K32" s="3336"/>
      <c r="L32" s="3336"/>
      <c r="M32" s="621"/>
    </row>
    <row r="33" spans="1:13" ht="16.5" customHeight="1">
      <c r="A33" s="2653">
        <v>28</v>
      </c>
      <c r="B33" s="2653"/>
      <c r="C33" s="1766" t="s">
        <v>5837</v>
      </c>
      <c r="D33" s="3334">
        <f>SUMIF(余额表!J:J,"销售费用-"&amp;C33,余额表!E:E)</f>
        <v>0</v>
      </c>
      <c r="E33" s="3335"/>
      <c r="F33" s="652">
        <f>-SUMIFS(凭证检查!$G$7:$G$206,凭证检查!$E$7:$E$206,"销售费用",凭证检查!$F$7:$F$206,C33,凭证检查!$N$7:$N$206,"调入*费")</f>
        <v>0</v>
      </c>
      <c r="G33" s="637"/>
      <c r="H33" s="1401">
        <f t="shared" si="0"/>
        <v>0</v>
      </c>
      <c r="I33" s="3336"/>
      <c r="J33" s="3336"/>
      <c r="K33" s="3336"/>
      <c r="L33" s="3336"/>
      <c r="M33" s="683"/>
    </row>
    <row r="34" spans="1:13" ht="16.5" customHeight="1">
      <c r="A34" s="2653">
        <v>29</v>
      </c>
      <c r="B34" s="2653"/>
      <c r="C34" s="1766" t="s">
        <v>5838</v>
      </c>
      <c r="D34" s="3334">
        <f>SUMIF(余额表!J:J,"销售费用-"&amp;C34,余额表!E:E)</f>
        <v>0</v>
      </c>
      <c r="E34" s="3335"/>
      <c r="F34" s="652">
        <f>-SUMIFS(凭证检查!$G$7:$G$206,凭证检查!$E$7:$E$206,"销售费用",凭证检查!$F$7:$F$206,C34,凭证检查!$N$7:$N$206,"调入*费")</f>
        <v>0</v>
      </c>
      <c r="G34" s="637"/>
      <c r="H34" s="1401">
        <f t="shared" si="0"/>
        <v>0</v>
      </c>
      <c r="I34" s="564"/>
      <c r="J34" s="564"/>
      <c r="K34" s="564"/>
      <c r="L34" s="564"/>
      <c r="M34" s="683"/>
    </row>
    <row r="35" spans="1:13" ht="16.5" customHeight="1">
      <c r="A35" s="2653">
        <v>30</v>
      </c>
      <c r="B35" s="2653"/>
      <c r="C35" s="1766" t="s">
        <v>5839</v>
      </c>
      <c r="D35" s="3334">
        <f>SUMIF(余额表!J:J,"销售费用-"&amp;C35,余额表!E:E)</f>
        <v>0</v>
      </c>
      <c r="E35" s="3335"/>
      <c r="F35" s="652">
        <f>-SUMIFS(凭证检查!$G$7:$G$206,凭证检查!$E$7:$E$206,"销售费用",凭证检查!$F$7:$F$206,C35,凭证检查!$N$7:$N$206,"调入*费")</f>
        <v>0</v>
      </c>
      <c r="G35" s="637"/>
      <c r="H35" s="1401">
        <f t="shared" si="0"/>
        <v>0</v>
      </c>
      <c r="I35" s="564"/>
      <c r="J35" s="564"/>
      <c r="K35" s="564"/>
      <c r="L35" s="564"/>
      <c r="M35" s="683"/>
    </row>
    <row r="36" spans="1:13" ht="16.5" customHeight="1">
      <c r="A36" s="2653">
        <v>31</v>
      </c>
      <c r="B36" s="2653"/>
      <c r="C36" s="1766" t="s">
        <v>5840</v>
      </c>
      <c r="D36" s="3334">
        <f>SUMIF(余额表!J:J,"销售费用-"&amp;C36,余额表!E:E)</f>
        <v>0</v>
      </c>
      <c r="E36" s="3335"/>
      <c r="F36" s="652">
        <f>-SUMIFS(凭证检查!$G$7:$G$206,凭证检查!$E$7:$E$206,"销售费用",凭证检查!$F$7:$F$206,C36,凭证检查!$N$7:$N$206,"调入*费")</f>
        <v>0</v>
      </c>
      <c r="G36" s="637"/>
      <c r="H36" s="1401">
        <f t="shared" si="0"/>
        <v>0</v>
      </c>
      <c r="I36" s="564"/>
      <c r="J36" s="564"/>
      <c r="K36" s="564"/>
      <c r="L36" s="564"/>
      <c r="M36" s="683"/>
    </row>
    <row r="37" spans="1:13" ht="16.5" customHeight="1">
      <c r="A37" s="2653">
        <v>32</v>
      </c>
      <c r="B37" s="2653"/>
      <c r="C37" s="1766" t="s">
        <v>5841</v>
      </c>
      <c r="D37" s="3334">
        <f>SUMIF(余额表!J:J,"销售费用-"&amp;C37,余额表!E:E)</f>
        <v>0</v>
      </c>
      <c r="E37" s="3335"/>
      <c r="F37" s="652">
        <f>-SUMIFS(凭证检查!$G$7:$G$206,凭证检查!$E$7:$E$206,"销售费用",凭证检查!$F$7:$F$206,C37,凭证检查!$N$7:$N$206,"调入*费")</f>
        <v>0</v>
      </c>
      <c r="G37" s="637"/>
      <c r="H37" s="1401">
        <f t="shared" si="0"/>
        <v>0</v>
      </c>
      <c r="I37" s="564"/>
      <c r="J37" s="564"/>
      <c r="K37" s="564"/>
      <c r="L37" s="564"/>
      <c r="M37" s="683"/>
    </row>
    <row r="38" spans="1:13" ht="16.5" customHeight="1">
      <c r="A38" s="2653">
        <v>33</v>
      </c>
      <c r="B38" s="2653"/>
      <c r="C38" s="1766" t="s">
        <v>5842</v>
      </c>
      <c r="D38" s="3334">
        <f>SUMIF(余额表!J:J,"销售费用-"&amp;C38,余额表!E:E)</f>
        <v>0</v>
      </c>
      <c r="E38" s="3335"/>
      <c r="F38" s="652">
        <f>-SUMIFS(凭证检查!$G$7:$G$206,凭证检查!$E$7:$E$206,"销售费用",凭证检查!$F$7:$F$206,C38,凭证检查!$N$7:$N$206,"调入*费")</f>
        <v>0</v>
      </c>
      <c r="G38" s="637"/>
      <c r="H38" s="1401">
        <f t="shared" si="0"/>
        <v>0</v>
      </c>
      <c r="I38" s="3336" t="s">
        <v>5843</v>
      </c>
      <c r="J38" s="3336"/>
      <c r="K38" s="3336"/>
      <c r="L38" s="3336"/>
      <c r="M38" s="683"/>
    </row>
    <row r="39" spans="1:13" ht="16.5" customHeight="1">
      <c r="A39" s="2653">
        <v>34</v>
      </c>
      <c r="B39" s="2653"/>
      <c r="C39" s="1766" t="s">
        <v>5844</v>
      </c>
      <c r="D39" s="3334">
        <f>SUMIF(余额表!J:J,"销售费用-"&amp;C39,余额表!E:E)</f>
        <v>0</v>
      </c>
      <c r="E39" s="3335"/>
      <c r="F39" s="652">
        <f>-SUMIFS(凭证检查!$G$7:$G$206,凭证检查!$E$7:$E$206,"销售费用",凭证检查!$F$7:$F$206,C39,凭证检查!$N$7:$N$206,"调入*费")</f>
        <v>0</v>
      </c>
      <c r="G39" s="637"/>
      <c r="H39" s="1401">
        <f t="shared" si="0"/>
        <v>0</v>
      </c>
      <c r="I39" s="3336"/>
      <c r="J39" s="3336"/>
      <c r="K39" s="3336"/>
      <c r="L39" s="3336"/>
      <c r="M39" s="683"/>
    </row>
    <row r="40" spans="1:13" ht="16.5" customHeight="1">
      <c r="A40" s="2653">
        <v>35</v>
      </c>
      <c r="B40" s="2653"/>
      <c r="C40" s="1766" t="s">
        <v>5845</v>
      </c>
      <c r="D40" s="3334">
        <f>SUMIF(余额表!J:J,"销售费用-"&amp;C40,余额表!E:E)</f>
        <v>0</v>
      </c>
      <c r="E40" s="3335"/>
      <c r="F40" s="652">
        <f>-SUMIFS(凭证检查!$G$7:$G$206,凭证检查!$E$7:$E$206,"销售费用",凭证检查!$F$7:$F$206,C40,凭证检查!$N$7:$N$206,"调入*费")</f>
        <v>0</v>
      </c>
      <c r="G40" s="637"/>
      <c r="H40" s="1401">
        <f t="shared" si="0"/>
        <v>0</v>
      </c>
      <c r="I40" s="3336" t="s">
        <v>5846</v>
      </c>
      <c r="J40" s="3336"/>
      <c r="K40" s="3336"/>
      <c r="L40" s="3336"/>
    </row>
    <row r="41" spans="1:13" ht="16.5" customHeight="1">
      <c r="A41" s="2653">
        <v>36</v>
      </c>
      <c r="B41" s="2653"/>
      <c r="C41" s="1766" t="s">
        <v>5847</v>
      </c>
      <c r="D41" s="3334">
        <f>SUMIF(余额表!J:J,"销售费用-"&amp;C41,余额表!E:E)</f>
        <v>0</v>
      </c>
      <c r="E41" s="3335"/>
      <c r="F41" s="652">
        <f>-SUMIFS(凭证检查!$G$7:$G$206,凭证检查!$E$7:$E$206,"销售费用",凭证检查!$F$7:$F$206,C41,凭证检查!$N$7:$N$206,"调入*费")</f>
        <v>0</v>
      </c>
      <c r="G41" s="637"/>
      <c r="H41" s="1401">
        <f t="shared" si="0"/>
        <v>0</v>
      </c>
      <c r="I41" s="3336"/>
      <c r="J41" s="3336"/>
      <c r="K41" s="3336"/>
      <c r="L41" s="3336"/>
    </row>
    <row r="42" spans="1:13" ht="16.5" customHeight="1">
      <c r="A42" s="2653">
        <v>37</v>
      </c>
      <c r="B42" s="2653"/>
      <c r="C42" s="1766" t="s">
        <v>5042</v>
      </c>
      <c r="D42" s="3334">
        <f>SUMIF(余额表!J:J,"销售费用-"&amp;C42,余额表!E:E)</f>
        <v>0</v>
      </c>
      <c r="E42" s="3335"/>
      <c r="F42" s="638">
        <f>-SUMIFS(凭证检查!$G$7:$G$206,凭证检查!$E$7:$E$206,"销售费用",凭证检查!$F$7:$F$206,C42,凭证检查!$N$7:$N$206,"调入*费")+SUMIFS(凭证检查!$G$7:$G$206,凭证检查!$E$7:$E$206,"销售费用",凭证检查!$F$7:$F$206,C8,凭证检查!$N$7:$N$206,"&lt;&gt;调入*费")+SUMIFS(凭证检查!$G$7:$G$206,凭证检查!$E$7:$E$206,"销售费用",凭证检查!$F$7:$F$206,C10,凭证检查!$N$7:$N$206,"&lt;&gt;调入*费")+SUMIFS(凭证检查!$G$7:$G$206,凭证检查!$E$7:$E$206,"销售费用",凭证检查!$F$7:$F$206,C7,凭证检查!$N$7:$N$206,"&lt;&gt;调入*费")</f>
        <v>0</v>
      </c>
      <c r="G42" s="637"/>
      <c r="H42" s="1401">
        <f t="shared" si="0"/>
        <v>0</v>
      </c>
      <c r="I42" s="3336" t="s">
        <v>5848</v>
      </c>
      <c r="J42" s="3336"/>
      <c r="K42" s="3336"/>
      <c r="L42" s="3336"/>
    </row>
    <row r="43" spans="1:13" ht="16.5" customHeight="1">
      <c r="A43" s="3337" t="s">
        <v>6366</v>
      </c>
      <c r="B43" s="3338"/>
      <c r="C43" s="1767" t="s">
        <v>5849</v>
      </c>
      <c r="D43" s="3339"/>
      <c r="E43" s="3339"/>
      <c r="F43" s="638"/>
      <c r="G43" s="637"/>
      <c r="H43" s="1401">
        <f t="shared" si="0"/>
        <v>0</v>
      </c>
      <c r="I43" s="3336"/>
      <c r="J43" s="3336"/>
      <c r="K43" s="3336"/>
      <c r="L43" s="3336"/>
    </row>
    <row r="44" spans="1:13" ht="21.75" customHeight="1">
      <c r="A44" s="2658" t="s">
        <v>757</v>
      </c>
      <c r="B44" s="2658"/>
      <c r="C44" s="2658"/>
      <c r="D44" s="3340">
        <f>SUM(D6:D42)</f>
        <v>0</v>
      </c>
      <c r="E44" s="3340"/>
      <c r="F44" s="1423">
        <f>SUM(F6:F42)</f>
        <v>0</v>
      </c>
      <c r="G44" s="1423">
        <f>SUM(G6:G42)</f>
        <v>0</v>
      </c>
      <c r="H44" s="1404">
        <f>SUM(H6:H42)</f>
        <v>0</v>
      </c>
      <c r="I44" s="3336" t="s">
        <v>5850</v>
      </c>
      <c r="J44" s="3336"/>
      <c r="K44" s="3336"/>
      <c r="L44" s="3336"/>
    </row>
    <row r="45" spans="1:13" ht="21.75" customHeight="1">
      <c r="A45" s="2929" t="s">
        <v>4430</v>
      </c>
      <c r="B45" s="2929"/>
      <c r="C45" s="3286" t="str">
        <f>IF(D44&lt;&gt;利润表!$C$12,"账载数与报表数相差"&amp;DOLLAR(D44-利润表!$C$12,2)&amp;"元！","账载数与报表数相符！")</f>
        <v>账载数与报表数相符！</v>
      </c>
      <c r="D45" s="3286"/>
      <c r="E45" s="3286"/>
      <c r="F45" s="3286"/>
      <c r="G45" s="3286"/>
      <c r="H45" s="3286"/>
      <c r="I45" s="3336"/>
      <c r="J45" s="3336"/>
      <c r="K45" s="3336"/>
      <c r="L45" s="3336"/>
    </row>
    <row r="46" spans="1:13" ht="15" customHeight="1">
      <c r="A46" s="3241" t="s">
        <v>4431</v>
      </c>
      <c r="B46" s="3241"/>
      <c r="C46" s="1768" t="s">
        <v>5746</v>
      </c>
      <c r="D46" s="3341" t="str">
        <f>IF(F44&lt;&gt;0,"、E","")</f>
        <v/>
      </c>
      <c r="E46" s="3341"/>
      <c r="F46" s="3341"/>
      <c r="G46" s="3341"/>
      <c r="H46" s="3341"/>
      <c r="I46" s="3336"/>
      <c r="J46" s="3336"/>
      <c r="K46" s="3336"/>
      <c r="L46" s="3336"/>
    </row>
    <row r="47" spans="1:13" ht="49.5" customHeight="1">
      <c r="A47" s="3241"/>
      <c r="B47" s="3241"/>
      <c r="C47" s="3252"/>
      <c r="D47" s="3252"/>
      <c r="E47" s="3252"/>
      <c r="F47" s="3252"/>
      <c r="G47" s="3252"/>
      <c r="H47" s="3252"/>
      <c r="I47" s="564"/>
      <c r="J47" s="564"/>
      <c r="K47" s="564"/>
      <c r="L47" s="564"/>
    </row>
    <row r="48" spans="1:13" ht="18.75" customHeight="1">
      <c r="A48" s="3242" t="s">
        <v>4433</v>
      </c>
      <c r="B48" s="3242"/>
      <c r="C48" s="3067" t="str">
        <f>IF(F44=0,"不存在调整事项，认可！","调整后认可！")</f>
        <v>不存在调整事项，认可！</v>
      </c>
      <c r="D48" s="3067"/>
      <c r="E48" s="3067"/>
      <c r="F48" s="3067"/>
      <c r="G48" s="3067"/>
      <c r="H48" s="3067"/>
      <c r="I48" s="564"/>
      <c r="J48" s="564"/>
      <c r="K48" s="564"/>
      <c r="L48" s="564"/>
    </row>
  </sheetData>
  <sheetProtection selectLockedCells="1" selectUnlockedCells="1"/>
  <mergeCells count="101">
    <mergeCell ref="I1:I4"/>
    <mergeCell ref="A3:B3"/>
    <mergeCell ref="A4:B4"/>
    <mergeCell ref="F1:H1"/>
    <mergeCell ref="F2:H2"/>
    <mergeCell ref="A1:E2"/>
    <mergeCell ref="C3:E3"/>
    <mergeCell ref="C4:E4"/>
    <mergeCell ref="A8:B8"/>
    <mergeCell ref="D8:E8"/>
    <mergeCell ref="A9:B9"/>
    <mergeCell ref="D9:E9"/>
    <mergeCell ref="A10:B10"/>
    <mergeCell ref="D10:E10"/>
    <mergeCell ref="A5:B5"/>
    <mergeCell ref="D5:E5"/>
    <mergeCell ref="A6:B6"/>
    <mergeCell ref="D6:E6"/>
    <mergeCell ref="A7:B7"/>
    <mergeCell ref="D7:E7"/>
    <mergeCell ref="A14:B14"/>
    <mergeCell ref="D14:E14"/>
    <mergeCell ref="A15:B15"/>
    <mergeCell ref="D15:E15"/>
    <mergeCell ref="A16:B16"/>
    <mergeCell ref="D16:E16"/>
    <mergeCell ref="A11:B11"/>
    <mergeCell ref="D11:E11"/>
    <mergeCell ref="A12:B12"/>
    <mergeCell ref="D12:E12"/>
    <mergeCell ref="A13:B13"/>
    <mergeCell ref="D13:E13"/>
    <mergeCell ref="A17:B17"/>
    <mergeCell ref="D17:E17"/>
    <mergeCell ref="A18:B18"/>
    <mergeCell ref="D18:E18"/>
    <mergeCell ref="D21:E21"/>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D33:E33"/>
    <mergeCell ref="A34:B34"/>
    <mergeCell ref="D34:E34"/>
    <mergeCell ref="A35:B35"/>
    <mergeCell ref="D35:E35"/>
    <mergeCell ref="I26:L33"/>
    <mergeCell ref="A27:B27"/>
    <mergeCell ref="D27:E27"/>
    <mergeCell ref="A28:B28"/>
    <mergeCell ref="D28:E28"/>
    <mergeCell ref="A29:B29"/>
    <mergeCell ref="A32:B32"/>
    <mergeCell ref="D32:E32"/>
    <mergeCell ref="A26:B26"/>
    <mergeCell ref="D26:E26"/>
    <mergeCell ref="D29:E29"/>
    <mergeCell ref="A30:B30"/>
    <mergeCell ref="D30:E30"/>
    <mergeCell ref="A31:B31"/>
    <mergeCell ref="D31:E31"/>
    <mergeCell ref="A33:B33"/>
    <mergeCell ref="I38:L39"/>
    <mergeCell ref="A39:B39"/>
    <mergeCell ref="D39:E39"/>
    <mergeCell ref="A40:B40"/>
    <mergeCell ref="D40:E40"/>
    <mergeCell ref="I40:L41"/>
    <mergeCell ref="A41:B41"/>
    <mergeCell ref="D41:E41"/>
    <mergeCell ref="A36:B36"/>
    <mergeCell ref="D36:E36"/>
    <mergeCell ref="A37:B37"/>
    <mergeCell ref="D37:E37"/>
    <mergeCell ref="A38:B38"/>
    <mergeCell ref="D38:E38"/>
    <mergeCell ref="A48:B48"/>
    <mergeCell ref="C48:H48"/>
    <mergeCell ref="A42:B42"/>
    <mergeCell ref="D42:E42"/>
    <mergeCell ref="I42:L43"/>
    <mergeCell ref="A43:B43"/>
    <mergeCell ref="D43:E43"/>
    <mergeCell ref="A44:C44"/>
    <mergeCell ref="D44:E44"/>
    <mergeCell ref="I44:L46"/>
    <mergeCell ref="A45:B45"/>
    <mergeCell ref="C45:H45"/>
    <mergeCell ref="A46:B47"/>
    <mergeCell ref="D46:H46"/>
    <mergeCell ref="C47:H47"/>
  </mergeCells>
  <phoneticPr fontId="135" type="noConversion"/>
  <dataValidations count="2">
    <dataValidation type="list" allowBlank="1" sqref="C21">
      <formula1>"办公费,邮电费,交通差旅费,房租,物业水电费,车辆使用费,各种税金,开办费,低值易耗品,运杂费,残保金,其他"</formula1>
      <formula2>0</formula2>
    </dataValidation>
    <dataValidation allowBlank="1" sqref="C22:C43">
      <formula1>0</formula1>
      <formula2>0</formula2>
    </dataValidation>
  </dataValidations>
  <hyperlinks>
    <hyperlink ref="I6" location="成本费用明细表!A1" display="成本费用明细表"/>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捐赠!A1" display="捐赠支出审核表"/>
    <hyperlink ref="I17"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4" firstPageNumber="0" fitToHeight="0" orientation="portrait" blackAndWhite="1" r:id="rId1"/>
  <headerFooter alignWithMargins="0"/>
  <drawing r:id="rId2"/>
  <legacyDrawing r:id="rId3"/>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6">
    <pageSetUpPr fitToPage="1"/>
  </sheetPr>
  <dimension ref="A1:M111"/>
  <sheetViews>
    <sheetView workbookViewId="0">
      <selection activeCell="F3" sqref="F3"/>
    </sheetView>
  </sheetViews>
  <sheetFormatPr defaultColWidth="9" defaultRowHeight="16.5"/>
  <cols>
    <col min="1" max="1" width="6" style="1769" customWidth="1"/>
    <col min="2" max="2" width="4.25" style="1769" customWidth="1"/>
    <col min="3" max="3" width="26.375" style="753" customWidth="1"/>
    <col min="4" max="4" width="6.125" style="753" customWidth="1"/>
    <col min="5" max="5" width="9.625" style="753" customWidth="1"/>
    <col min="6" max="8" width="14.125" style="753" customWidth="1"/>
    <col min="9" max="9" width="31.5" style="565" customWidth="1"/>
    <col min="10" max="10" width="19.625" style="755" customWidth="1"/>
    <col min="11" max="16384" width="9" style="565"/>
  </cols>
  <sheetData>
    <row r="1" spans="1:12" ht="25.9" customHeight="1">
      <c r="A1" s="3254" t="s">
        <v>4552</v>
      </c>
      <c r="B1" s="3254"/>
      <c r="C1" s="3254"/>
      <c r="D1" s="3254"/>
      <c r="E1" s="3254"/>
      <c r="F1" s="2754" t="str">
        <f>基本情况!$F$10</f>
        <v>厦中汇税审（2018）第DS0001号</v>
      </c>
      <c r="G1" s="2754"/>
      <c r="H1" s="2754"/>
      <c r="I1" s="3331"/>
      <c r="J1" s="723"/>
      <c r="K1" s="564"/>
      <c r="L1" s="564"/>
    </row>
    <row r="2" spans="1:12" s="1850" customFormat="1" ht="37.15" customHeight="1">
      <c r="A2" s="3254"/>
      <c r="B2" s="3254"/>
      <c r="C2" s="3254"/>
      <c r="D2" s="3254"/>
      <c r="E2" s="3254"/>
      <c r="F2" s="2949" t="str">
        <f>"底稿编号："&amp;开始!J14</f>
        <v>底稿编号：GL-12</v>
      </c>
      <c r="G2" s="2949"/>
      <c r="H2" s="2949"/>
      <c r="I2" s="3331"/>
      <c r="J2" s="723"/>
      <c r="K2" s="2055"/>
      <c r="L2" s="2055"/>
    </row>
    <row r="3" spans="1:12" ht="21.75" customHeight="1">
      <c r="A3" s="3343" t="s">
        <v>4510</v>
      </c>
      <c r="B3" s="3344"/>
      <c r="C3" s="3347" t="str">
        <f>基本情况!$C$3</f>
        <v/>
      </c>
      <c r="D3" s="3348"/>
      <c r="E3" s="3349"/>
      <c r="F3" s="2056" t="s">
        <v>4407</v>
      </c>
      <c r="G3" s="2057" t="str">
        <f>基本情况!$F$19&amp;""</f>
        <v/>
      </c>
      <c r="H3" s="2058" t="str">
        <f>TEXT(基本情况!$F$27,"yyyy-mm-dd")</f>
        <v>2018-03-16</v>
      </c>
      <c r="I3" s="3331"/>
      <c r="J3" s="723"/>
      <c r="K3" s="564"/>
      <c r="L3" s="564"/>
    </row>
    <row r="4" spans="1:12" ht="21.75" customHeight="1">
      <c r="A4" s="3345" t="s">
        <v>4512</v>
      </c>
      <c r="B4" s="3346"/>
      <c r="C4" s="3163" t="str">
        <f>基本情况!$F$9</f>
        <v>2017年01月01日至2017年12月31日</v>
      </c>
      <c r="D4" s="3164"/>
      <c r="E4" s="3165"/>
      <c r="F4" s="2059" t="s">
        <v>4410</v>
      </c>
      <c r="G4" s="2060" t="str">
        <f>基本情况!$F$18&amp;""</f>
        <v/>
      </c>
      <c r="H4" s="2061" t="str">
        <f>TEXT(基本情况!$F$28,"yyyy-mm-dd")</f>
        <v>2018-05-04</v>
      </c>
      <c r="I4" s="3331"/>
      <c r="J4" s="723"/>
      <c r="K4" s="564"/>
      <c r="L4" s="564"/>
    </row>
    <row r="5" spans="1:12" ht="21.75" customHeight="1">
      <c r="A5" s="2917" t="s">
        <v>147</v>
      </c>
      <c r="B5" s="2917"/>
      <c r="C5" s="569" t="s">
        <v>750</v>
      </c>
      <c r="D5" s="2927" t="s">
        <v>4412</v>
      </c>
      <c r="E5" s="2927"/>
      <c r="F5" s="569" t="s">
        <v>5805</v>
      </c>
      <c r="G5" s="1481" t="s">
        <v>5806</v>
      </c>
      <c r="H5" s="717" t="s">
        <v>4415</v>
      </c>
      <c r="I5" s="1760" t="s">
        <v>1724</v>
      </c>
      <c r="J5" s="1770"/>
      <c r="K5" s="564"/>
      <c r="L5" s="564"/>
    </row>
    <row r="6" spans="1:12" ht="16.5" customHeight="1">
      <c r="A6" s="3236">
        <v>1</v>
      </c>
      <c r="B6" s="3236"/>
      <c r="C6" s="1761" t="s">
        <v>5807</v>
      </c>
      <c r="D6" s="3342">
        <f>SUMIF(余额表!J:J,"管理费用-"&amp;C6,余额表!E:E)</f>
        <v>0</v>
      </c>
      <c r="E6" s="3342"/>
      <c r="F6" s="652">
        <f>-SUMIFS(凭证检查!$G$7:$G$206,凭证检查!$E$7:$E$206,"管理费用",凭证检查!$F$7:$F$206,C6,凭证检查!$N$7:$N$206,"调入*费")</f>
        <v>0</v>
      </c>
      <c r="G6" s="1762"/>
      <c r="H6" s="1763">
        <f>D6+F6</f>
        <v>0</v>
      </c>
      <c r="I6" s="1245" t="s">
        <v>5822</v>
      </c>
      <c r="J6" s="723"/>
      <c r="K6" s="564"/>
      <c r="L6" s="564"/>
    </row>
    <row r="7" spans="1:12" ht="16.5" customHeight="1">
      <c r="A7" s="2653">
        <v>2</v>
      </c>
      <c r="B7" s="2653"/>
      <c r="C7" s="1764" t="s">
        <v>5809</v>
      </c>
      <c r="D7" s="3334">
        <f>SUMIF(余额表!J:J,"管理费用-"&amp;C7,余额表!E:E)</f>
        <v>0</v>
      </c>
      <c r="E7" s="3335"/>
      <c r="F7" s="2423">
        <f>SUMIFS(凭证检查!$G$7:$G$206,凭证检查!$E$7:$E$206,"管理费用",凭证检查!$N$7:$N$206,"调入福利费")-SUMIFS(凭证检查!$G$7:$G$206,凭证检查!$E$7:$E$206,"管理费用",凭证检查!$F$7:$F$206,C7)</f>
        <v>0</v>
      </c>
      <c r="G7" s="637"/>
      <c r="H7" s="1401">
        <f>D7+F7</f>
        <v>0</v>
      </c>
      <c r="I7" s="704" t="s">
        <v>4534</v>
      </c>
      <c r="J7" s="723"/>
      <c r="K7" s="564"/>
      <c r="L7" s="564"/>
    </row>
    <row r="8" spans="1:12" ht="16.5" customHeight="1">
      <c r="A8" s="2653">
        <v>3</v>
      </c>
      <c r="B8" s="2653"/>
      <c r="C8" s="1764" t="s">
        <v>5810</v>
      </c>
      <c r="D8" s="3334">
        <f>SUMIF(余额表!J:J,"管理费用-"&amp;C8,余额表!E:E)</f>
        <v>0</v>
      </c>
      <c r="E8" s="3335"/>
      <c r="F8" s="2423">
        <f>SUMIFS(凭证检查!$G$7:$G$206,凭证检查!$E$7:$E$206,"管理费用",凭证检查!$N$7:$N$206,"调入教育经费")-SUMIFS(凭证检查!$G$7:$G$206,凭证检查!$E$7:$E$206,"管理费用",凭证检查!$F$7:$F$206,C8)</f>
        <v>0</v>
      </c>
      <c r="G8" s="637"/>
      <c r="H8" s="1401">
        <f t="shared" ref="H8:H44" si="0">D8+F8</f>
        <v>0</v>
      </c>
      <c r="I8" s="1233" t="s">
        <v>5040</v>
      </c>
      <c r="J8" s="723"/>
      <c r="K8" s="564"/>
      <c r="L8" s="564"/>
    </row>
    <row r="9" spans="1:12" ht="16.5" customHeight="1">
      <c r="A9" s="2653">
        <v>4</v>
      </c>
      <c r="B9" s="2653"/>
      <c r="C9" s="1764" t="s">
        <v>5811</v>
      </c>
      <c r="D9" s="3334">
        <f>SUMIF(余额表!J:J,"管理费用-"&amp;C9,余额表!E:E)</f>
        <v>0</v>
      </c>
      <c r="E9" s="3335"/>
      <c r="F9" s="652">
        <f>-SUMIFS(凭证检查!$G$7:$G$206,凭证检查!$E$7:$E$206,"管理费用",凭证检查!$F$7:$F$206,C9,凭证检查!$N$7:$N$206,"调入*费")</f>
        <v>0</v>
      </c>
      <c r="G9" s="637"/>
      <c r="H9" s="1401">
        <f t="shared" si="0"/>
        <v>0</v>
      </c>
      <c r="I9" s="1233" t="s">
        <v>5109</v>
      </c>
      <c r="J9" s="723"/>
      <c r="K9" s="564"/>
      <c r="L9" s="564"/>
    </row>
    <row r="10" spans="1:12" ht="16.5" customHeight="1">
      <c r="A10" s="2653">
        <v>5</v>
      </c>
      <c r="B10" s="2653"/>
      <c r="C10" s="1764" t="s">
        <v>5812</v>
      </c>
      <c r="D10" s="3334">
        <f>SUMIF(余额表!J:J,"管理费用-"&amp;C10,余额表!E:E)</f>
        <v>0</v>
      </c>
      <c r="E10" s="3335"/>
      <c r="F10" s="2423">
        <f>SUMIFS(凭证检查!$G$7:$G$206,凭证检查!$E$7:$E$206,"管理费用",凭证检查!$N$7:$N$206,"调入招待费")-SUMIFS(凭证检查!$G$7:$G$206,凭证检查!$E$7:$E$206,"管理费用",凭证检查!$F$7:$F$206,C10)</f>
        <v>0</v>
      </c>
      <c r="G10" s="637"/>
      <c r="H10" s="1401">
        <f t="shared" si="0"/>
        <v>0</v>
      </c>
      <c r="I10" s="704" t="s">
        <v>5111</v>
      </c>
      <c r="J10" s="723"/>
      <c r="K10" s="564"/>
      <c r="L10" s="564"/>
    </row>
    <row r="11" spans="1:12" ht="16.5" customHeight="1">
      <c r="A11" s="2653">
        <v>6</v>
      </c>
      <c r="B11" s="2653"/>
      <c r="C11" s="1764" t="s">
        <v>5813</v>
      </c>
      <c r="D11" s="3334">
        <f>SUMIF(余额表!J:J,"管理费用-"&amp;C11,余额表!E:E)</f>
        <v>0</v>
      </c>
      <c r="E11" s="3335"/>
      <c r="F11" s="652">
        <f>-SUMIFS(凭证检查!$G$7:$G$206,凭证检查!$E$7:$E$206,"管理费用",凭证检查!$F$7:$F$206,C11,凭证检查!$N$7:$N$206,"调入*费")</f>
        <v>0</v>
      </c>
      <c r="G11" s="637"/>
      <c r="H11" s="1401">
        <f t="shared" si="0"/>
        <v>0</v>
      </c>
      <c r="I11" s="704" t="s">
        <v>5160</v>
      </c>
      <c r="J11" s="723"/>
      <c r="K11" s="564"/>
      <c r="L11" s="564"/>
    </row>
    <row r="12" spans="1:12" ht="16.5" customHeight="1">
      <c r="A12" s="2653">
        <v>7</v>
      </c>
      <c r="B12" s="2653"/>
      <c r="C12" s="1764" t="s">
        <v>5814</v>
      </c>
      <c r="D12" s="3334">
        <f>SUMIF(余额表!J:J,"管理费用-"&amp;C12,余额表!E:E)</f>
        <v>0</v>
      </c>
      <c r="E12" s="3335"/>
      <c r="F12" s="652">
        <f>-SUMIFS(凭证检查!$G$7:$G$206,凭证检查!$E$7:$E$206,"管理费用",凭证检查!$F$7:$F$206,C12,凭证检查!$N$7:$N$206,"调入*费")</f>
        <v>0</v>
      </c>
      <c r="G12" s="637"/>
      <c r="H12" s="1401">
        <f t="shared" si="0"/>
        <v>0</v>
      </c>
      <c r="I12" s="1233" t="s">
        <v>5815</v>
      </c>
      <c r="J12" s="723"/>
      <c r="K12" s="564"/>
      <c r="L12" s="564"/>
    </row>
    <row r="13" spans="1:12" ht="16.5" customHeight="1">
      <c r="A13" s="2653">
        <v>8</v>
      </c>
      <c r="B13" s="2653"/>
      <c r="C13" s="1764" t="s">
        <v>5219</v>
      </c>
      <c r="D13" s="3334">
        <f>SUMIF(余额表!J:J,"管理费用-"&amp;C13,余额表!E:E)</f>
        <v>0</v>
      </c>
      <c r="E13" s="3335"/>
      <c r="F13" s="652">
        <f>-SUMIFS(凭证检查!$G$7:$G$206,凭证检查!$E$7:$E$206,"管理费用",凭证检查!$F$7:$F$206,C13,凭证检查!$N$7:$N$206,"调入*费")</f>
        <v>0</v>
      </c>
      <c r="G13" s="637"/>
      <c r="H13" s="1401">
        <f t="shared" si="0"/>
        <v>0</v>
      </c>
      <c r="I13" s="704" t="s">
        <v>5648</v>
      </c>
      <c r="J13" s="723"/>
      <c r="K13" s="564"/>
      <c r="L13" s="564"/>
    </row>
    <row r="14" spans="1:12" ht="16.5" customHeight="1">
      <c r="A14" s="2653">
        <v>9</v>
      </c>
      <c r="B14" s="2653"/>
      <c r="C14" s="1765" t="s">
        <v>5816</v>
      </c>
      <c r="D14" s="3334">
        <f>SUMIF(余额表!J:J,"管理费用-"&amp;C14,余额表!E:E)</f>
        <v>0</v>
      </c>
      <c r="E14" s="3335"/>
      <c r="F14" s="652">
        <f>-SUMIFS(凭证检查!$G$7:$G$206,凭证检查!$E$7:$E$206,"管理费用",凭证检查!$F$7:$F$206,C14,凭证检查!$N$7:$N$206,"调入*费")</f>
        <v>0</v>
      </c>
      <c r="G14" s="637"/>
      <c r="H14" s="1401">
        <f t="shared" si="0"/>
        <v>0</v>
      </c>
      <c r="I14" s="704" t="s">
        <v>5817</v>
      </c>
      <c r="J14" s="723"/>
      <c r="K14" s="564"/>
      <c r="L14" s="564"/>
    </row>
    <row r="15" spans="1:12" ht="16.5" customHeight="1">
      <c r="A15" s="2653">
        <v>10</v>
      </c>
      <c r="B15" s="2653"/>
      <c r="C15" s="1771" t="s">
        <v>5003</v>
      </c>
      <c r="D15" s="3334">
        <f>SUMIF(余额表!J:J,"管理费用-"&amp;C15,余额表!E:E)</f>
        <v>0</v>
      </c>
      <c r="E15" s="3335"/>
      <c r="F15" s="652">
        <f>-SUMIFS(凭证检查!$G$7:$G$206,凭证检查!$E$7:$E$206,"管理费用",凭证检查!$F$7:$F$206,C15,凭证检查!$N$7:$N$206,"调入*费")</f>
        <v>0</v>
      </c>
      <c r="G15" s="637"/>
      <c r="H15" s="1401">
        <f t="shared" si="0"/>
        <v>0</v>
      </c>
      <c r="I15" s="704" t="s">
        <v>5818</v>
      </c>
      <c r="J15" s="723"/>
      <c r="K15" s="564"/>
      <c r="L15" s="564"/>
    </row>
    <row r="16" spans="1:12" ht="16.5" customHeight="1">
      <c r="A16" s="2653">
        <v>11</v>
      </c>
      <c r="B16" s="2653"/>
      <c r="C16" s="1764" t="s">
        <v>5819</v>
      </c>
      <c r="D16" s="3334">
        <f>SUMIF(余额表!J:J,"管理费用-"&amp;C16,余额表!E:E)</f>
        <v>0</v>
      </c>
      <c r="E16" s="3335"/>
      <c r="F16" s="652">
        <f>-SUMIFS(凭证检查!$G$7:$G$206,凭证检查!$E$7:$E$206,"管理费用",凭证检查!$F$7:$F$206,C16,凭证检查!$N$7:$N$206,"调入*费")</f>
        <v>0</v>
      </c>
      <c r="G16" s="637"/>
      <c r="H16" s="1401">
        <f t="shared" si="0"/>
        <v>0</v>
      </c>
      <c r="I16" s="704" t="s">
        <v>5280</v>
      </c>
      <c r="J16" s="723"/>
      <c r="K16" s="564"/>
      <c r="L16" s="564"/>
    </row>
    <row r="17" spans="1:13" ht="16.5" customHeight="1">
      <c r="A17" s="2653">
        <v>12</v>
      </c>
      <c r="B17" s="2653"/>
      <c r="C17" s="1764" t="s">
        <v>5821</v>
      </c>
      <c r="D17" s="3334">
        <f>SUMIF(余额表!J:J,"管理费用-"&amp;C17,余额表!E:E)</f>
        <v>0</v>
      </c>
      <c r="E17" s="3335"/>
      <c r="F17" s="652">
        <f>-SUMIFS(凭证检查!$G$7:$G$206,凭证检查!$E$7:$E$206,"管理费用",凭证检查!$F$7:$F$206,C17,凭证检查!$N$7:$N$206,"调入*费")</f>
        <v>0</v>
      </c>
      <c r="G17" s="637"/>
      <c r="H17" s="1401">
        <f t="shared" si="0"/>
        <v>0</v>
      </c>
      <c r="I17" s="704" t="s">
        <v>5820</v>
      </c>
      <c r="J17" s="723"/>
      <c r="K17" s="564"/>
      <c r="L17" s="564"/>
    </row>
    <row r="18" spans="1:13" ht="16.5" customHeight="1">
      <c r="A18" s="2653">
        <v>13</v>
      </c>
      <c r="B18" s="2653"/>
      <c r="C18" s="1764" t="s">
        <v>5823</v>
      </c>
      <c r="D18" s="3334">
        <f>SUMIF(余额表!J:J,"管理费用-"&amp;C18,余额表!E:E)</f>
        <v>0</v>
      </c>
      <c r="E18" s="3335"/>
      <c r="F18" s="652">
        <f>-SUMIFS(凭证检查!$G$7:$G$206,凭证检查!$E$7:$E$206,"管理费用",凭证检查!$F$7:$F$206,C18,凭证检查!$N$7:$N$206,"调入*费")</f>
        <v>0</v>
      </c>
      <c r="G18" s="637"/>
      <c r="H18" s="1401">
        <f t="shared" si="0"/>
        <v>0</v>
      </c>
      <c r="I18" s="3336" t="s">
        <v>5851</v>
      </c>
      <c r="J18" s="3336"/>
      <c r="K18" s="3336"/>
      <c r="L18" s="3336"/>
    </row>
    <row r="19" spans="1:13" ht="16.5" customHeight="1">
      <c r="A19" s="2653">
        <v>14</v>
      </c>
      <c r="B19" s="2653"/>
      <c r="C19" s="1764" t="s">
        <v>5825</v>
      </c>
      <c r="D19" s="3334">
        <f>SUMIF(余额表!J:J,"管理费用-"&amp;C19,余额表!E:E)</f>
        <v>0</v>
      </c>
      <c r="E19" s="3335"/>
      <c r="F19" s="652">
        <f>-SUMIFS(凭证检查!$G$7:$G$206,凭证检查!$E$7:$E$206,"管理费用",凭证检查!$F$7:$F$206,C19,凭证检查!$N$7:$N$206,"调入*费")</f>
        <v>0</v>
      </c>
      <c r="G19" s="637"/>
      <c r="H19" s="1401">
        <f t="shared" si="0"/>
        <v>0</v>
      </c>
      <c r="I19" s="3336"/>
      <c r="J19" s="3336"/>
      <c r="K19" s="3336"/>
      <c r="L19" s="3336"/>
      <c r="M19" s="680"/>
    </row>
    <row r="20" spans="1:13" ht="16.5" customHeight="1">
      <c r="A20" s="2653">
        <v>15</v>
      </c>
      <c r="B20" s="2653"/>
      <c r="C20" s="1764" t="s">
        <v>5826</v>
      </c>
      <c r="D20" s="3334">
        <f>SUMIF(余额表!J:J,"管理费用-"&amp;C20,余额表!E:E)</f>
        <v>0</v>
      </c>
      <c r="E20" s="3335"/>
      <c r="F20" s="652">
        <f>-SUMIFS(凭证检查!$G$7:$G$206,凭证检查!$E$7:$E$206,"管理费用",凭证检查!$F$7:$F$206,C20,凭证检查!$N$7:$N$206,"调入*费")</f>
        <v>0</v>
      </c>
      <c r="G20" s="637"/>
      <c r="H20" s="1401">
        <f t="shared" si="0"/>
        <v>0</v>
      </c>
      <c r="I20" s="3336"/>
      <c r="J20" s="3336"/>
      <c r="K20" s="3336"/>
      <c r="L20" s="3336"/>
      <c r="M20" s="680"/>
    </row>
    <row r="21" spans="1:13" ht="16.5" customHeight="1">
      <c r="A21" s="2653">
        <v>16</v>
      </c>
      <c r="B21" s="2653"/>
      <c r="C21" s="1764" t="s">
        <v>5827</v>
      </c>
      <c r="D21" s="3334">
        <f>SUMIF(余额表!J:J,"管理费用-"&amp;C21,余额表!E:E)</f>
        <v>0</v>
      </c>
      <c r="E21" s="3335"/>
      <c r="F21" s="652">
        <f>-SUMIFS(凭证检查!$G$7:$G$206,凭证检查!$E$7:$E$206,"管理费用",凭证检查!$F$7:$F$206,C21,凭证检查!$N$7:$N$206,"调入*费")</f>
        <v>0</v>
      </c>
      <c r="G21" s="637"/>
      <c r="H21" s="1401">
        <f t="shared" si="0"/>
        <v>0</v>
      </c>
      <c r="I21" s="3336"/>
      <c r="J21" s="3336"/>
      <c r="K21" s="3336"/>
      <c r="L21" s="3336"/>
      <c r="M21" s="680"/>
    </row>
    <row r="22" spans="1:13" ht="16.5" customHeight="1">
      <c r="A22" s="2653">
        <v>17</v>
      </c>
      <c r="B22" s="2653"/>
      <c r="C22" s="1766" t="s">
        <v>5828</v>
      </c>
      <c r="D22" s="3334">
        <f>SUMIF(余额表!J:J,"管理费用-"&amp;C22,余额表!E:E)</f>
        <v>0</v>
      </c>
      <c r="E22" s="3335"/>
      <c r="F22" s="652">
        <f>-SUMIFS(凭证检查!$G$7:$G$206,凭证检查!$E$7:$E$206,"管理费用",凭证检查!$F$7:$F$206,C22,凭证检查!$N$7:$N$206,"调入*费")</f>
        <v>0</v>
      </c>
      <c r="G22" s="637"/>
      <c r="H22" s="1401">
        <f t="shared" si="0"/>
        <v>0</v>
      </c>
      <c r="I22" s="3336"/>
      <c r="J22" s="3336"/>
      <c r="K22" s="3336"/>
      <c r="L22" s="3336"/>
      <c r="M22" s="680"/>
    </row>
    <row r="23" spans="1:13" ht="16.5" customHeight="1">
      <c r="A23" s="2653">
        <v>18</v>
      </c>
      <c r="B23" s="2653"/>
      <c r="C23" s="1766" t="s">
        <v>5829</v>
      </c>
      <c r="D23" s="3334">
        <f>SUMIF(余额表!J:J,"管理费用-"&amp;C23,余额表!E:E)</f>
        <v>0</v>
      </c>
      <c r="E23" s="3335"/>
      <c r="F23" s="652">
        <f>-SUMIFS(凭证检查!$G$7:$G$206,凭证检查!$E$7:$E$206,"管理费用",凭证检查!$F$7:$F$206,C23,凭证检查!$N$7:$N$206,"调入*费")</f>
        <v>0</v>
      </c>
      <c r="G23" s="637"/>
      <c r="H23" s="1401">
        <f t="shared" si="0"/>
        <v>0</v>
      </c>
      <c r="I23" s="3336"/>
      <c r="J23" s="3336"/>
      <c r="K23" s="3336"/>
      <c r="L23" s="3336"/>
      <c r="M23" s="680"/>
    </row>
    <row r="24" spans="1:13" ht="16.5" customHeight="1">
      <c r="A24" s="2653">
        <v>19</v>
      </c>
      <c r="B24" s="2653"/>
      <c r="C24" s="1766" t="s">
        <v>5830</v>
      </c>
      <c r="D24" s="3334">
        <f>SUMIF(余额表!J:J,"管理费用-"&amp;C24,余额表!E:E)</f>
        <v>0</v>
      </c>
      <c r="E24" s="3335"/>
      <c r="F24" s="652">
        <f>-SUMIFS(凭证检查!$G$7:$G$206,凭证检查!$E$7:$E$206,"管理费用",凭证检查!$F$7:$F$206,C24,凭证检查!$N$7:$N$206,"调入*费")</f>
        <v>0</v>
      </c>
      <c r="G24" s="637"/>
      <c r="H24" s="1401">
        <f t="shared" si="0"/>
        <v>0</v>
      </c>
      <c r="I24" s="3336"/>
      <c r="J24" s="3336"/>
      <c r="K24" s="3336"/>
      <c r="L24" s="3336"/>
      <c r="M24" s="680"/>
    </row>
    <row r="25" spans="1:13" ht="16.5" customHeight="1">
      <c r="A25" s="2653">
        <v>20</v>
      </c>
      <c r="B25" s="2653"/>
      <c r="C25" s="1766" t="s">
        <v>5762</v>
      </c>
      <c r="D25" s="3334">
        <f>SUMIF(余额表!J:J,"管理费用-"&amp;C25,余额表!E:E)</f>
        <v>0</v>
      </c>
      <c r="E25" s="3335"/>
      <c r="F25" s="652">
        <f>-SUMIFS(凭证检查!$G$7:$G$206,凭证检查!$E$7:$E$206,"管理费用",凭证检查!$F$7:$F$206,C25,凭证检查!$N$7:$N$206,"调入*费")</f>
        <v>0</v>
      </c>
      <c r="G25" s="637"/>
      <c r="H25" s="1401">
        <f t="shared" si="0"/>
        <v>0</v>
      </c>
      <c r="I25" s="3336"/>
      <c r="J25" s="3336"/>
      <c r="K25" s="3336"/>
      <c r="L25" s="3336"/>
      <c r="M25" s="680"/>
    </row>
    <row r="26" spans="1:13" ht="16.5" customHeight="1">
      <c r="A26" s="2653">
        <v>21</v>
      </c>
      <c r="B26" s="2653"/>
      <c r="C26" s="1766" t="s">
        <v>5761</v>
      </c>
      <c r="D26" s="3334">
        <f>SUMIF(余额表!J:J,"管理费用-"&amp;C26,余额表!E:E)</f>
        <v>0</v>
      </c>
      <c r="E26" s="3335"/>
      <c r="F26" s="652">
        <f>-SUMIFS(凭证检查!$G$7:$G$206,凭证检查!$E$7:$E$206,"管理费用",凭证检查!$F$7:$F$206,C26,凭证检查!$N$7:$N$206,"调入*费")</f>
        <v>0</v>
      </c>
      <c r="G26" s="637"/>
      <c r="H26" s="1401">
        <f t="shared" si="0"/>
        <v>0</v>
      </c>
      <c r="I26" s="572"/>
      <c r="J26" s="752"/>
      <c r="K26" s="752"/>
      <c r="L26" s="752"/>
      <c r="M26" s="680"/>
    </row>
    <row r="27" spans="1:13" ht="16.5" customHeight="1">
      <c r="A27" s="2653">
        <v>22</v>
      </c>
      <c r="B27" s="2653"/>
      <c r="C27" s="1766" t="s">
        <v>5764</v>
      </c>
      <c r="D27" s="3334">
        <f>SUMIF(余额表!J:J,"管理费用-"&amp;C27,余额表!E:E)</f>
        <v>0</v>
      </c>
      <c r="E27" s="3335"/>
      <c r="F27" s="652">
        <f>-SUMIFS(凭证检查!$G$7:$G$206,凭证检查!$E$7:$E$206,"管理费用",凭证检查!$F$7:$F$206,C27,凭证检查!$N$7:$N$206,"调入*费")</f>
        <v>0</v>
      </c>
      <c r="G27" s="637"/>
      <c r="H27" s="1401">
        <f t="shared" si="0"/>
        <v>0</v>
      </c>
      <c r="I27" s="564"/>
      <c r="J27" s="723"/>
      <c r="K27" s="564"/>
      <c r="L27" s="564"/>
      <c r="M27" s="680"/>
    </row>
    <row r="28" spans="1:13" ht="16.5" customHeight="1">
      <c r="A28" s="2653">
        <v>23</v>
      </c>
      <c r="B28" s="2653"/>
      <c r="C28" s="1766" t="s">
        <v>5832</v>
      </c>
      <c r="D28" s="3334">
        <f>SUMIF(余额表!J:J,"管理费用-"&amp;C28,余额表!E:E)</f>
        <v>0</v>
      </c>
      <c r="E28" s="3335"/>
      <c r="F28" s="652">
        <f>-SUMIFS(凭证检查!$G$7:$G$206,凭证检查!$E$7:$E$206,"管理费用",凭证检查!$F$7:$F$206,C28,凭证检查!$N$7:$N$206,"调入*费")</f>
        <v>0</v>
      </c>
      <c r="G28" s="637"/>
      <c r="H28" s="1401">
        <f t="shared" si="0"/>
        <v>0</v>
      </c>
      <c r="I28" s="564"/>
      <c r="J28" s="723"/>
      <c r="K28" s="564"/>
      <c r="L28" s="564"/>
      <c r="M28" s="680"/>
    </row>
    <row r="29" spans="1:13" ht="16.5" customHeight="1">
      <c r="A29" s="2653">
        <v>24</v>
      </c>
      <c r="B29" s="2653"/>
      <c r="C29" s="1766" t="s">
        <v>5833</v>
      </c>
      <c r="D29" s="3334">
        <f>SUMIF(余额表!J:J,"管理费用-"&amp;C29,余额表!E:E)</f>
        <v>0</v>
      </c>
      <c r="E29" s="3335"/>
      <c r="F29" s="652">
        <f>-SUMIFS(凭证检查!$G$7:$G$206,凭证检查!$E$7:$E$206,"管理费用",凭证检查!$F$7:$F$206,C29,凭证检查!$N$7:$N$206,"调入*费")</f>
        <v>0</v>
      </c>
      <c r="G29" s="637"/>
      <c r="H29" s="1401">
        <f t="shared" si="0"/>
        <v>0</v>
      </c>
      <c r="I29" s="3336" t="s">
        <v>5852</v>
      </c>
      <c r="J29" s="3336"/>
      <c r="K29" s="3336"/>
      <c r="L29" s="3336"/>
    </row>
    <row r="30" spans="1:13" ht="16.5" customHeight="1">
      <c r="A30" s="2653">
        <v>25</v>
      </c>
      <c r="B30" s="2653"/>
      <c r="C30" s="1766" t="s">
        <v>5834</v>
      </c>
      <c r="D30" s="3334">
        <f>SUMIF(余额表!J:J,"管理费用-"&amp;C30,余额表!E:E)</f>
        <v>0</v>
      </c>
      <c r="E30" s="3335"/>
      <c r="F30" s="652">
        <f>-SUMIFS(凭证检查!$G$7:$G$206,凭证检查!$E$7:$E$206,"管理费用",凭证检查!$F$7:$F$206,C30,凭证检查!$N$7:$N$206,"调入*费")</f>
        <v>0</v>
      </c>
      <c r="G30" s="637"/>
      <c r="H30" s="1401">
        <f t="shared" si="0"/>
        <v>0</v>
      </c>
      <c r="I30" s="3336"/>
      <c r="J30" s="3336"/>
      <c r="K30" s="3336"/>
      <c r="L30" s="3336"/>
    </row>
    <row r="31" spans="1:13" ht="16.5" customHeight="1">
      <c r="A31" s="2653">
        <v>26</v>
      </c>
      <c r="B31" s="2653"/>
      <c r="C31" s="1766" t="s">
        <v>5835</v>
      </c>
      <c r="D31" s="3334">
        <f>SUMIF(余额表!J:J,"管理费用-"&amp;C31,余额表!E:E)</f>
        <v>0</v>
      </c>
      <c r="E31" s="3335"/>
      <c r="F31" s="652">
        <f>-SUMIFS(凭证检查!$G$7:$G$206,凭证检查!$E$7:$E$206,"管理费用",凭证检查!$F$7:$F$206,C31,凭证检查!$N$7:$N$206,"调入*费")</f>
        <v>0</v>
      </c>
      <c r="G31" s="637"/>
      <c r="H31" s="1401">
        <f t="shared" si="0"/>
        <v>0</v>
      </c>
      <c r="I31" s="3336" t="s">
        <v>5853</v>
      </c>
      <c r="J31" s="3336"/>
      <c r="K31" s="3336"/>
      <c r="L31" s="3336"/>
    </row>
    <row r="32" spans="1:13" ht="16.5" customHeight="1">
      <c r="A32" s="2653">
        <v>27</v>
      </c>
      <c r="B32" s="2653"/>
      <c r="C32" s="1766" t="s">
        <v>5836</v>
      </c>
      <c r="D32" s="3334">
        <f>SUMIF(余额表!J:J,"管理费用-"&amp;C32,余额表!E:E)</f>
        <v>0</v>
      </c>
      <c r="E32" s="3335"/>
      <c r="F32" s="652">
        <f>-SUMIFS(凭证检查!$G$7:$G$206,凭证检查!$E$7:$E$206,"管理费用",凭证检查!$F$7:$F$206,C32,凭证检查!$N$7:$N$206,"调入*费")</f>
        <v>0</v>
      </c>
      <c r="G32" s="637"/>
      <c r="H32" s="1401">
        <f t="shared" si="0"/>
        <v>0</v>
      </c>
      <c r="I32" s="3336"/>
      <c r="J32" s="3336"/>
      <c r="K32" s="3336"/>
      <c r="L32" s="3336"/>
    </row>
    <row r="33" spans="1:12" ht="16.5" customHeight="1">
      <c r="A33" s="2653">
        <v>28</v>
      </c>
      <c r="B33" s="2653"/>
      <c r="C33" s="1766" t="s">
        <v>5837</v>
      </c>
      <c r="D33" s="3334">
        <f>SUMIF(余额表!J:J,"管理费用-"&amp;C33,余额表!E:E)</f>
        <v>0</v>
      </c>
      <c r="E33" s="3335"/>
      <c r="F33" s="652">
        <f>-SUMIFS(凭证检查!$G$7:$G$206,凭证检查!$E$7:$E$206,"管理费用",凭证检查!$F$7:$F$206,C33,凭证检查!$N$7:$N$206,"调入*费")</f>
        <v>0</v>
      </c>
      <c r="G33" s="637"/>
      <c r="H33" s="1401">
        <f t="shared" si="0"/>
        <v>0</v>
      </c>
      <c r="I33" s="3336" t="s">
        <v>5848</v>
      </c>
      <c r="J33" s="3336"/>
      <c r="K33" s="3336"/>
      <c r="L33" s="3336"/>
    </row>
    <row r="34" spans="1:12" ht="16.5" customHeight="1">
      <c r="A34" s="2653">
        <v>29</v>
      </c>
      <c r="B34" s="2653"/>
      <c r="C34" s="1766" t="s">
        <v>5838</v>
      </c>
      <c r="D34" s="3334">
        <f>SUMIF(余额表!J:J,"管理费用-"&amp;C34,余额表!E:E)</f>
        <v>0</v>
      </c>
      <c r="E34" s="3335"/>
      <c r="F34" s="652">
        <f>-SUMIFS(凭证检查!$G$7:$G$206,凭证检查!$E$7:$E$206,"管理费用",凭证检查!$F$7:$F$206,C34,凭证检查!$N$7:$N$206,"调入*费")</f>
        <v>0</v>
      </c>
      <c r="G34" s="637"/>
      <c r="H34" s="1401">
        <f t="shared" si="0"/>
        <v>0</v>
      </c>
      <c r="I34" s="3336"/>
      <c r="J34" s="3336"/>
      <c r="K34" s="3336"/>
      <c r="L34" s="3336"/>
    </row>
    <row r="35" spans="1:12" ht="16.5" customHeight="1">
      <c r="A35" s="2653">
        <v>30</v>
      </c>
      <c r="B35" s="2653"/>
      <c r="C35" s="1766" t="s">
        <v>5839</v>
      </c>
      <c r="D35" s="3334">
        <f>SUMIF(余额表!J:J,"管理费用-"&amp;C35,余额表!E:E)</f>
        <v>0</v>
      </c>
      <c r="E35" s="3335"/>
      <c r="F35" s="652">
        <f>-SUMIFS(凭证检查!$G$7:$G$206,凭证检查!$E$7:$E$206,"管理费用",凭证检查!$F$7:$F$206,C35,凭证检查!$N$7:$N$206,"调入*费")</f>
        <v>0</v>
      </c>
      <c r="G35" s="637"/>
      <c r="H35" s="1401">
        <f t="shared" si="0"/>
        <v>0</v>
      </c>
      <c r="I35" s="3336"/>
      <c r="J35" s="3336"/>
      <c r="K35" s="3336"/>
      <c r="L35" s="3336"/>
    </row>
    <row r="36" spans="1:12" ht="16.5" customHeight="1">
      <c r="A36" s="2653">
        <v>31</v>
      </c>
      <c r="B36" s="2653"/>
      <c r="C36" s="1766" t="s">
        <v>5840</v>
      </c>
      <c r="D36" s="3334">
        <f>SUMIF(余额表!J:J,"管理费用-"&amp;C36,余额表!E:E)</f>
        <v>0</v>
      </c>
      <c r="E36" s="3335"/>
      <c r="F36" s="652">
        <f>-SUMIFS(凭证检查!$G$7:$G$206,凭证检查!$E$7:$E$206,"管理费用",凭证检查!$F$7:$F$206,C36,凭证检查!$N$7:$N$206,"调入*费")</f>
        <v>0</v>
      </c>
      <c r="G36" s="637"/>
      <c r="H36" s="1401">
        <f t="shared" si="0"/>
        <v>0</v>
      </c>
      <c r="I36" s="3336"/>
      <c r="J36" s="3336"/>
      <c r="K36" s="3336"/>
      <c r="L36" s="3336"/>
    </row>
    <row r="37" spans="1:12" ht="16.5" customHeight="1">
      <c r="A37" s="2653">
        <v>32</v>
      </c>
      <c r="B37" s="2653"/>
      <c r="C37" s="1766" t="s">
        <v>5841</v>
      </c>
      <c r="D37" s="3334">
        <f>SUMIF(余额表!J:J,"管理费用-"&amp;C37,余额表!E:E)</f>
        <v>0</v>
      </c>
      <c r="E37" s="3335"/>
      <c r="F37" s="652">
        <f>-SUMIFS(凭证检查!$G$7:$G$206,凭证检查!$E$7:$E$206,"管理费用",凭证检查!$F$7:$F$206,C37,凭证检查!$N$7:$N$206,"调入*费")</f>
        <v>0</v>
      </c>
      <c r="G37" s="637"/>
      <c r="H37" s="1401">
        <f t="shared" si="0"/>
        <v>0</v>
      </c>
      <c r="I37" s="3336"/>
      <c r="J37" s="3336"/>
      <c r="K37" s="3336"/>
      <c r="L37" s="3336"/>
    </row>
    <row r="38" spans="1:12" ht="16.5" customHeight="1">
      <c r="A38" s="2653">
        <v>33</v>
      </c>
      <c r="B38" s="2653"/>
      <c r="C38" s="1766" t="s">
        <v>5842</v>
      </c>
      <c r="D38" s="3334">
        <f>SUMIF(余额表!J:J,"管理费用-"&amp;C38,余额表!E:E)</f>
        <v>0</v>
      </c>
      <c r="E38" s="3335"/>
      <c r="F38" s="652">
        <f>-SUMIFS(凭证检查!$G$7:$G$206,凭证检查!$E$7:$E$206,"管理费用",凭证检查!$F$7:$F$206,C38,凭证检查!$N$7:$N$206,"调入*费")</f>
        <v>0</v>
      </c>
      <c r="G38" s="637"/>
      <c r="H38" s="1401">
        <f t="shared" si="0"/>
        <v>0</v>
      </c>
      <c r="I38" s="3336"/>
      <c r="J38" s="3336"/>
      <c r="K38" s="3336"/>
      <c r="L38" s="3336"/>
    </row>
    <row r="39" spans="1:12" ht="16.5" customHeight="1">
      <c r="A39" s="2653">
        <v>34</v>
      </c>
      <c r="B39" s="2653"/>
      <c r="C39" s="1766" t="s">
        <v>5844</v>
      </c>
      <c r="D39" s="3334">
        <f>SUMIF(余额表!J:J,"管理费用-"&amp;C39,余额表!E:E)</f>
        <v>0</v>
      </c>
      <c r="E39" s="3335"/>
      <c r="F39" s="652">
        <f>-SUMIFS(凭证检查!$G$7:$G$206,凭证检查!$E$7:$E$206,"管理费用",凭证检查!$F$7:$F$206,C39,凭证检查!$N$7:$N$206,"调入*费")</f>
        <v>0</v>
      </c>
      <c r="G39" s="637"/>
      <c r="H39" s="1401">
        <f t="shared" si="0"/>
        <v>0</v>
      </c>
      <c r="I39" s="3336" t="s">
        <v>5854</v>
      </c>
      <c r="J39" s="3336"/>
      <c r="K39" s="3336"/>
      <c r="L39" s="3336"/>
    </row>
    <row r="40" spans="1:12" ht="16.5" customHeight="1">
      <c r="A40" s="2653">
        <v>35</v>
      </c>
      <c r="B40" s="2653"/>
      <c r="C40" s="1766" t="s">
        <v>5845</v>
      </c>
      <c r="D40" s="3334">
        <f>SUMIF(余额表!J:J,"管理费用-"&amp;C40,余额表!E:E)</f>
        <v>0</v>
      </c>
      <c r="E40" s="3335"/>
      <c r="F40" s="652">
        <f>-SUMIFS(凭证检查!$G$7:$G$206,凭证检查!$E$7:$E$206,"管理费用",凭证检查!$F$7:$F$206,C40,凭证检查!$N$7:$N$206,"调入*费")</f>
        <v>0</v>
      </c>
      <c r="G40" s="637"/>
      <c r="H40" s="1401">
        <f t="shared" si="0"/>
        <v>0</v>
      </c>
      <c r="I40" s="3336"/>
      <c r="J40" s="3336"/>
      <c r="K40" s="3336"/>
      <c r="L40" s="3336"/>
    </row>
    <row r="41" spans="1:12" ht="16.5" customHeight="1">
      <c r="A41" s="2653">
        <v>36</v>
      </c>
      <c r="B41" s="2653"/>
      <c r="C41" s="1766" t="s">
        <v>5847</v>
      </c>
      <c r="D41" s="3334">
        <f>SUMIF(余额表!J:J,"管理费用-"&amp;C41,余额表!E:E)</f>
        <v>0</v>
      </c>
      <c r="E41" s="3335"/>
      <c r="F41" s="652">
        <f>-SUMIFS(凭证检查!$G$7:$G$206,凭证检查!$E$7:$E$206,"管理费用",凭证检查!$F$7:$F$206,C41,凭证检查!$N$7:$N$206,"调入*费")</f>
        <v>0</v>
      </c>
      <c r="G41" s="637"/>
      <c r="H41" s="1401">
        <f t="shared" si="0"/>
        <v>0</v>
      </c>
      <c r="I41" s="3336"/>
      <c r="J41" s="3336"/>
      <c r="K41" s="3336"/>
      <c r="L41" s="3336"/>
    </row>
    <row r="42" spans="1:12" s="1850" customFormat="1" ht="16.5" customHeight="1">
      <c r="A42" s="2653">
        <v>37</v>
      </c>
      <c r="B42" s="2653"/>
      <c r="C42" s="1766" t="s">
        <v>6364</v>
      </c>
      <c r="D42" s="3334">
        <f>SUMIF(余额表!J:J,"管理费用-"&amp;C42,余额表!E:E)</f>
        <v>0</v>
      </c>
      <c r="E42" s="3335"/>
      <c r="F42" s="652">
        <f>-SUMIFS(凭证检查!$G$7:$G$206,凭证检查!$E$7:$E$206,"管理费用",凭证检查!$F$7:$F$206,C42,凭证检查!$N$7:$N$206,"调入*费")</f>
        <v>0</v>
      </c>
      <c r="G42" s="637"/>
      <c r="H42" s="1401">
        <f t="shared" si="0"/>
        <v>0</v>
      </c>
      <c r="I42" s="3336"/>
      <c r="J42" s="3336"/>
      <c r="K42" s="3336"/>
      <c r="L42" s="3336"/>
    </row>
    <row r="43" spans="1:12" ht="16.5" customHeight="1">
      <c r="A43" s="2653">
        <v>38</v>
      </c>
      <c r="B43" s="2653"/>
      <c r="C43" s="1766" t="s">
        <v>5042</v>
      </c>
      <c r="D43" s="3334">
        <f>SUMIF(余额表!J:J,"管理费用-"&amp;C43,余额表!E:E)</f>
        <v>0</v>
      </c>
      <c r="E43" s="3335"/>
      <c r="F43" s="2423">
        <f>-SUMIFS(凭证检查!$G$7:$G$206,凭证检查!$E$7:$E$206,"管理费用",凭证检查!$F$7:$F$206,C43,凭证检查!$N$7:$N$206,"调入*费")+SUMIFS(凭证检查!$G$7:$G$206,凭证检查!$E$7:$E$206,"管理费用",凭证检查!$F$7:$F$206,C8,凭证检查!$N$7:$N$206,"&lt;&gt;调入*费")+SUMIFS(凭证检查!$G$7:$G$206,凭证检查!$E$7:$E$206,"管理费用",凭证检查!$F$7:$F$206,C10,凭证检查!$N$7:$N$206,"&lt;&gt;调入*费")+SUMIFS(凭证检查!$G$7:$G$206,凭证检查!$E$7:$E$206,"管理费用",凭证检查!$F$7:$F$206,C7,凭证检查!$N$7:$N$206,"&lt;&gt;调入*费")</f>
        <v>0</v>
      </c>
      <c r="G43" s="637"/>
      <c r="H43" s="1401">
        <f t="shared" si="0"/>
        <v>0</v>
      </c>
      <c r="I43" s="3336"/>
      <c r="J43" s="3336"/>
      <c r="K43" s="3336"/>
      <c r="L43" s="3336"/>
    </row>
    <row r="44" spans="1:12" ht="16.5" customHeight="1">
      <c r="A44" s="3337" t="s">
        <v>6365</v>
      </c>
      <c r="B44" s="3338"/>
      <c r="C44" s="1767" t="s">
        <v>5849</v>
      </c>
      <c r="D44" s="3339"/>
      <c r="E44" s="3339"/>
      <c r="F44" s="638"/>
      <c r="G44" s="637"/>
      <c r="H44" s="1401">
        <f t="shared" si="0"/>
        <v>0</v>
      </c>
      <c r="I44" s="3336"/>
      <c r="J44" s="3336"/>
      <c r="K44" s="3336"/>
      <c r="L44" s="3336"/>
    </row>
    <row r="45" spans="1:12" ht="21.75" customHeight="1">
      <c r="A45" s="2658" t="s">
        <v>757</v>
      </c>
      <c r="B45" s="2658"/>
      <c r="C45" s="2658"/>
      <c r="D45" s="3340">
        <f>SUM(D6:D43)</f>
        <v>0</v>
      </c>
      <c r="E45" s="3340"/>
      <c r="F45" s="1423">
        <f>SUM(F6:F43)</f>
        <v>0</v>
      </c>
      <c r="G45" s="1423">
        <f>SUM(G6:G43)</f>
        <v>0</v>
      </c>
      <c r="H45" s="626">
        <f>SUM(H6:H43)</f>
        <v>0</v>
      </c>
      <c r="I45" s="564"/>
      <c r="J45" s="723"/>
      <c r="K45" s="564"/>
      <c r="L45" s="564"/>
    </row>
    <row r="46" spans="1:12" ht="21.75" customHeight="1">
      <c r="A46" s="2929" t="s">
        <v>4430</v>
      </c>
      <c r="B46" s="2929"/>
      <c r="C46" s="3286" t="str">
        <f>IF(D45&lt;&gt;利润表!$C$13,"账载数与报表数相差"&amp;DOLLAR(D45-利润表!$C$13,2)&amp;"元！","账载数与报表数相符！")</f>
        <v>账载数与报表数相符！</v>
      </c>
      <c r="D46" s="3286"/>
      <c r="E46" s="3286"/>
      <c r="F46" s="3286"/>
      <c r="G46" s="3286"/>
      <c r="H46" s="3286"/>
      <c r="I46" s="564"/>
      <c r="J46" s="723"/>
      <c r="K46" s="564"/>
      <c r="L46" s="564"/>
    </row>
    <row r="47" spans="1:12" ht="15" customHeight="1">
      <c r="A47" s="3241" t="s">
        <v>4431</v>
      </c>
      <c r="B47" s="3241"/>
      <c r="C47" s="1768" t="s">
        <v>5746</v>
      </c>
      <c r="D47" s="3341" t="str">
        <f>IF(F45&lt;&gt;0,"、E","")</f>
        <v/>
      </c>
      <c r="E47" s="3341"/>
      <c r="F47" s="3341"/>
      <c r="G47" s="3341"/>
      <c r="H47" s="3341"/>
      <c r="I47" s="564"/>
      <c r="J47" s="723"/>
      <c r="K47" s="564"/>
      <c r="L47" s="564"/>
    </row>
    <row r="48" spans="1:12" ht="33.75" customHeight="1">
      <c r="A48" s="3241"/>
      <c r="B48" s="3241"/>
      <c r="C48" s="3252"/>
      <c r="D48" s="3252"/>
      <c r="E48" s="3252"/>
      <c r="F48" s="3252"/>
      <c r="G48" s="3252"/>
      <c r="H48" s="3252"/>
      <c r="I48" s="564"/>
      <c r="J48" s="723"/>
      <c r="K48" s="564"/>
      <c r="L48" s="564"/>
    </row>
    <row r="49" spans="1:12" ht="18.75" customHeight="1">
      <c r="A49" s="3242" t="s">
        <v>4433</v>
      </c>
      <c r="B49" s="3242"/>
      <c r="C49" s="3067" t="str">
        <f>IF(F45=0,"不存在调整事项，认可！","调整后认可！")</f>
        <v>不存在调整事项，认可！</v>
      </c>
      <c r="D49" s="3067"/>
      <c r="E49" s="3067"/>
      <c r="F49" s="3067"/>
      <c r="G49" s="3067"/>
      <c r="H49" s="3067"/>
      <c r="I49" s="564"/>
      <c r="J49" s="723"/>
      <c r="K49" s="564"/>
      <c r="L49" s="564"/>
    </row>
    <row r="50" spans="1:12">
      <c r="A50" s="1772"/>
      <c r="B50" s="1772"/>
      <c r="C50" s="640"/>
      <c r="D50" s="640"/>
      <c r="E50" s="640"/>
      <c r="F50" s="640"/>
      <c r="G50" s="640"/>
      <c r="H50" s="640"/>
    </row>
    <row r="51" spans="1:12">
      <c r="A51" s="1772"/>
      <c r="B51" s="1772"/>
      <c r="C51" s="640"/>
      <c r="D51" s="640"/>
      <c r="E51" s="640"/>
      <c r="F51" s="640"/>
      <c r="G51" s="640"/>
      <c r="H51" s="640"/>
    </row>
    <row r="52" spans="1:12">
      <c r="A52" s="1772"/>
      <c r="B52" s="1772"/>
      <c r="C52" s="640"/>
      <c r="D52" s="640"/>
      <c r="E52" s="640"/>
      <c r="F52" s="640"/>
      <c r="G52" s="640"/>
      <c r="H52" s="640"/>
    </row>
    <row r="53" spans="1:12">
      <c r="A53" s="1772"/>
      <c r="B53" s="1772"/>
      <c r="C53" s="640"/>
      <c r="D53" s="640"/>
      <c r="E53" s="640"/>
      <c r="F53" s="640"/>
      <c r="G53" s="640"/>
      <c r="H53" s="640"/>
    </row>
    <row r="54" spans="1:12">
      <c r="A54" s="1772"/>
      <c r="B54" s="1772"/>
      <c r="C54" s="640"/>
      <c r="D54" s="640"/>
      <c r="E54" s="640"/>
      <c r="F54" s="640"/>
      <c r="G54" s="640"/>
      <c r="H54" s="640"/>
    </row>
    <row r="55" spans="1:12">
      <c r="A55" s="1772"/>
      <c r="B55" s="1772"/>
      <c r="C55" s="640"/>
      <c r="D55" s="640"/>
      <c r="E55" s="640"/>
      <c r="F55" s="640"/>
      <c r="G55" s="640"/>
      <c r="H55" s="640"/>
    </row>
    <row r="56" spans="1:12">
      <c r="A56" s="1772"/>
      <c r="B56" s="1772"/>
      <c r="C56" s="640"/>
      <c r="D56" s="640"/>
      <c r="E56" s="640"/>
      <c r="F56" s="640"/>
      <c r="G56" s="640"/>
      <c r="H56" s="640"/>
    </row>
    <row r="57" spans="1:12">
      <c r="A57" s="1772"/>
      <c r="B57" s="1772"/>
      <c r="C57" s="640"/>
      <c r="D57" s="640"/>
      <c r="E57" s="640"/>
      <c r="F57" s="640"/>
      <c r="G57" s="640"/>
      <c r="H57" s="640"/>
    </row>
    <row r="58" spans="1:12">
      <c r="A58" s="1772"/>
      <c r="B58" s="1772"/>
      <c r="C58" s="640"/>
      <c r="D58" s="640"/>
      <c r="E58" s="640"/>
      <c r="F58" s="640"/>
      <c r="G58" s="640"/>
      <c r="H58" s="640"/>
    </row>
    <row r="59" spans="1:12">
      <c r="A59" s="1772"/>
      <c r="B59" s="1772"/>
      <c r="C59" s="640"/>
      <c r="D59" s="640"/>
      <c r="E59" s="640"/>
      <c r="F59" s="640"/>
      <c r="G59" s="640"/>
      <c r="H59" s="640"/>
    </row>
    <row r="60" spans="1:12">
      <c r="A60" s="1772"/>
      <c r="B60" s="1772"/>
      <c r="C60" s="640"/>
      <c r="D60" s="640"/>
      <c r="E60" s="640"/>
      <c r="F60" s="640"/>
      <c r="G60" s="640"/>
      <c r="H60" s="640"/>
    </row>
    <row r="61" spans="1:12">
      <c r="A61" s="1772"/>
      <c r="B61" s="1772"/>
      <c r="C61" s="640"/>
      <c r="D61" s="640"/>
      <c r="E61" s="640"/>
      <c r="F61" s="640"/>
      <c r="G61" s="640"/>
      <c r="H61" s="640"/>
    </row>
    <row r="62" spans="1:12">
      <c r="A62" s="1772"/>
      <c r="B62" s="1772"/>
      <c r="C62" s="640"/>
      <c r="D62" s="640"/>
      <c r="E62" s="640"/>
      <c r="F62" s="640"/>
      <c r="G62" s="640"/>
      <c r="H62" s="640"/>
    </row>
    <row r="63" spans="1:12">
      <c r="A63" s="1772"/>
      <c r="B63" s="1772"/>
      <c r="C63" s="640"/>
      <c r="D63" s="640"/>
      <c r="E63" s="640"/>
      <c r="F63" s="640"/>
      <c r="G63" s="640"/>
      <c r="H63" s="640"/>
    </row>
    <row r="64" spans="1:12">
      <c r="A64" s="1772"/>
      <c r="B64" s="1772"/>
      <c r="C64" s="640"/>
      <c r="D64" s="640"/>
      <c r="E64" s="640"/>
      <c r="F64" s="640"/>
      <c r="G64" s="640"/>
      <c r="H64" s="640"/>
    </row>
    <row r="65" spans="1:8">
      <c r="A65" s="1772"/>
      <c r="B65" s="1772"/>
      <c r="C65" s="640"/>
      <c r="D65" s="640"/>
      <c r="E65" s="640"/>
      <c r="F65" s="640"/>
      <c r="G65" s="640"/>
      <c r="H65" s="640"/>
    </row>
    <row r="66" spans="1:8">
      <c r="A66" s="1772"/>
      <c r="B66" s="1772"/>
      <c r="C66" s="640"/>
      <c r="D66" s="640"/>
      <c r="E66" s="640"/>
      <c r="F66" s="640"/>
      <c r="G66" s="640"/>
      <c r="H66" s="640"/>
    </row>
    <row r="67" spans="1:8">
      <c r="A67" s="1772"/>
      <c r="B67" s="1772"/>
      <c r="C67" s="640"/>
      <c r="D67" s="640"/>
      <c r="E67" s="640"/>
      <c r="F67" s="640"/>
      <c r="G67" s="640"/>
      <c r="H67" s="640"/>
    </row>
    <row r="68" spans="1:8">
      <c r="A68" s="1772"/>
      <c r="B68" s="1772"/>
      <c r="C68" s="640"/>
      <c r="D68" s="640"/>
      <c r="E68" s="640"/>
      <c r="F68" s="640"/>
      <c r="G68" s="640"/>
      <c r="H68" s="640"/>
    </row>
    <row r="69" spans="1:8">
      <c r="A69" s="1772"/>
      <c r="B69" s="1772"/>
      <c r="C69" s="640"/>
      <c r="D69" s="640"/>
      <c r="E69" s="640"/>
      <c r="F69" s="640"/>
      <c r="G69" s="640"/>
      <c r="H69" s="640"/>
    </row>
    <row r="70" spans="1:8">
      <c r="A70" s="1772"/>
      <c r="B70" s="1772"/>
      <c r="C70" s="640"/>
      <c r="D70" s="640"/>
      <c r="E70" s="640"/>
      <c r="F70" s="640"/>
      <c r="G70" s="640"/>
      <c r="H70" s="640"/>
    </row>
    <row r="71" spans="1:8">
      <c r="A71" s="1772"/>
      <c r="B71" s="1772"/>
      <c r="C71" s="640"/>
      <c r="D71" s="640"/>
      <c r="E71" s="640"/>
      <c r="F71" s="640"/>
      <c r="G71" s="640"/>
      <c r="H71" s="640"/>
    </row>
    <row r="72" spans="1:8">
      <c r="A72" s="1772"/>
      <c r="B72" s="1772"/>
      <c r="C72" s="640"/>
      <c r="D72" s="640"/>
      <c r="E72" s="640"/>
      <c r="F72" s="640"/>
      <c r="G72" s="640"/>
      <c r="H72" s="640"/>
    </row>
    <row r="73" spans="1:8">
      <c r="A73" s="1772"/>
      <c r="B73" s="1772"/>
      <c r="C73" s="640"/>
      <c r="D73" s="640"/>
      <c r="E73" s="640"/>
      <c r="F73" s="640"/>
      <c r="G73" s="640"/>
      <c r="H73" s="640"/>
    </row>
    <row r="74" spans="1:8">
      <c r="A74" s="1772"/>
      <c r="B74" s="1772"/>
      <c r="C74" s="640"/>
      <c r="D74" s="640"/>
      <c r="E74" s="640"/>
      <c r="F74" s="640"/>
      <c r="G74" s="640"/>
      <c r="H74" s="640"/>
    </row>
    <row r="75" spans="1:8">
      <c r="A75" s="1772"/>
      <c r="B75" s="1772"/>
      <c r="C75" s="640"/>
      <c r="D75" s="640"/>
      <c r="E75" s="640"/>
      <c r="F75" s="640"/>
      <c r="G75" s="640"/>
      <c r="H75" s="640"/>
    </row>
    <row r="76" spans="1:8">
      <c r="A76" s="1772"/>
      <c r="B76" s="1772"/>
      <c r="C76" s="640"/>
      <c r="D76" s="640"/>
      <c r="E76" s="640"/>
      <c r="F76" s="640"/>
      <c r="G76" s="640"/>
      <c r="H76" s="640"/>
    </row>
    <row r="77" spans="1:8">
      <c r="A77" s="1772"/>
      <c r="B77" s="1772"/>
      <c r="C77" s="640"/>
      <c r="D77" s="640"/>
      <c r="E77" s="640"/>
      <c r="F77" s="640"/>
      <c r="G77" s="640"/>
      <c r="H77" s="640"/>
    </row>
    <row r="78" spans="1:8">
      <c r="A78" s="1772"/>
      <c r="B78" s="1772"/>
      <c r="C78" s="640"/>
      <c r="D78" s="640"/>
      <c r="E78" s="640"/>
      <c r="F78" s="640"/>
      <c r="G78" s="640"/>
      <c r="H78" s="640"/>
    </row>
    <row r="79" spans="1:8">
      <c r="A79" s="1772"/>
      <c r="B79" s="1772"/>
      <c r="C79" s="640"/>
      <c r="D79" s="640"/>
      <c r="E79" s="640"/>
      <c r="F79" s="640"/>
      <c r="G79" s="640"/>
      <c r="H79" s="640"/>
    </row>
    <row r="80" spans="1:8">
      <c r="A80" s="1772"/>
      <c r="B80" s="1772"/>
      <c r="C80" s="640"/>
      <c r="D80" s="640"/>
      <c r="E80" s="640"/>
      <c r="F80" s="640"/>
      <c r="G80" s="640"/>
      <c r="H80" s="640"/>
    </row>
    <row r="81" spans="1:8">
      <c r="A81" s="1772"/>
      <c r="B81" s="1772"/>
      <c r="C81" s="640"/>
      <c r="D81" s="640"/>
      <c r="E81" s="640"/>
      <c r="F81" s="640"/>
      <c r="G81" s="640"/>
      <c r="H81" s="640"/>
    </row>
    <row r="82" spans="1:8">
      <c r="A82" s="1772"/>
      <c r="B82" s="1772"/>
      <c r="C82" s="640"/>
      <c r="D82" s="640"/>
      <c r="E82" s="640"/>
      <c r="F82" s="640"/>
      <c r="G82" s="640"/>
      <c r="H82" s="640"/>
    </row>
    <row r="83" spans="1:8">
      <c r="A83" s="1772"/>
      <c r="B83" s="1772"/>
      <c r="C83" s="640"/>
      <c r="D83" s="640"/>
      <c r="E83" s="640"/>
      <c r="F83" s="640"/>
      <c r="G83" s="640"/>
      <c r="H83" s="640"/>
    </row>
    <row r="84" spans="1:8">
      <c r="A84" s="1772"/>
      <c r="B84" s="1772"/>
      <c r="C84" s="640"/>
      <c r="D84" s="640"/>
      <c r="E84" s="640"/>
      <c r="F84" s="640"/>
      <c r="G84" s="640"/>
      <c r="H84" s="640"/>
    </row>
    <row r="85" spans="1:8">
      <c r="A85" s="1772"/>
      <c r="B85" s="1772"/>
      <c r="C85" s="640"/>
      <c r="D85" s="640"/>
      <c r="E85" s="640"/>
      <c r="F85" s="640"/>
      <c r="G85" s="640"/>
      <c r="H85" s="640"/>
    </row>
    <row r="86" spans="1:8">
      <c r="A86" s="1772"/>
      <c r="B86" s="1772"/>
      <c r="C86" s="640"/>
      <c r="D86" s="640"/>
      <c r="E86" s="640"/>
      <c r="F86" s="640"/>
      <c r="G86" s="640"/>
      <c r="H86" s="640"/>
    </row>
    <row r="87" spans="1:8">
      <c r="A87" s="1772"/>
      <c r="B87" s="1772"/>
      <c r="C87" s="640"/>
      <c r="D87" s="640"/>
      <c r="E87" s="640"/>
      <c r="F87" s="640"/>
      <c r="G87" s="640"/>
      <c r="H87" s="640"/>
    </row>
    <row r="88" spans="1:8">
      <c r="A88" s="1772"/>
      <c r="B88" s="1772"/>
      <c r="C88" s="640"/>
      <c r="D88" s="640"/>
      <c r="E88" s="640"/>
      <c r="F88" s="640"/>
      <c r="G88" s="640"/>
      <c r="H88" s="640"/>
    </row>
    <row r="89" spans="1:8">
      <c r="A89" s="1772"/>
      <c r="B89" s="1772"/>
      <c r="C89" s="640"/>
      <c r="D89" s="640"/>
      <c r="E89" s="640"/>
      <c r="F89" s="640"/>
      <c r="G89" s="640"/>
      <c r="H89" s="640"/>
    </row>
    <row r="90" spans="1:8">
      <c r="A90" s="1772"/>
      <c r="B90" s="1772"/>
      <c r="C90" s="640"/>
      <c r="D90" s="640"/>
      <c r="E90" s="640"/>
      <c r="F90" s="640"/>
      <c r="G90" s="640"/>
      <c r="H90" s="640"/>
    </row>
    <row r="91" spans="1:8">
      <c r="A91" s="1772"/>
      <c r="B91" s="1772"/>
      <c r="C91" s="640"/>
      <c r="D91" s="640"/>
      <c r="E91" s="640"/>
      <c r="F91" s="640"/>
      <c r="G91" s="640"/>
      <c r="H91" s="640"/>
    </row>
    <row r="92" spans="1:8">
      <c r="A92" s="1772"/>
      <c r="B92" s="1772"/>
      <c r="C92" s="640"/>
      <c r="D92" s="640"/>
      <c r="E92" s="640"/>
      <c r="F92" s="640"/>
      <c r="G92" s="640"/>
      <c r="H92" s="640"/>
    </row>
    <row r="93" spans="1:8">
      <c r="A93" s="1772"/>
      <c r="B93" s="1772"/>
      <c r="C93" s="640"/>
      <c r="D93" s="640"/>
      <c r="E93" s="640"/>
      <c r="F93" s="640"/>
      <c r="G93" s="640"/>
      <c r="H93" s="640"/>
    </row>
    <row r="94" spans="1:8">
      <c r="A94" s="1772"/>
      <c r="B94" s="1772"/>
      <c r="C94" s="640"/>
      <c r="D94" s="640"/>
      <c r="E94" s="640"/>
      <c r="F94" s="640"/>
      <c r="G94" s="640"/>
      <c r="H94" s="640"/>
    </row>
    <row r="95" spans="1:8">
      <c r="A95" s="1772"/>
      <c r="B95" s="1772"/>
      <c r="C95" s="640"/>
      <c r="D95" s="640"/>
      <c r="E95" s="640"/>
      <c r="F95" s="640"/>
      <c r="G95" s="640"/>
      <c r="H95" s="640"/>
    </row>
    <row r="96" spans="1:8">
      <c r="A96" s="1772"/>
      <c r="B96" s="1772"/>
      <c r="C96" s="640"/>
      <c r="D96" s="640"/>
      <c r="E96" s="640"/>
      <c r="F96" s="640"/>
      <c r="G96" s="640"/>
      <c r="H96" s="640"/>
    </row>
    <row r="97" spans="1:8">
      <c r="A97" s="1772"/>
      <c r="B97" s="1772"/>
      <c r="C97" s="640"/>
      <c r="D97" s="640"/>
      <c r="E97" s="640"/>
      <c r="F97" s="640"/>
      <c r="G97" s="640"/>
      <c r="H97" s="640"/>
    </row>
    <row r="98" spans="1:8">
      <c r="A98" s="1772"/>
      <c r="B98" s="1772"/>
      <c r="C98" s="640"/>
      <c r="D98" s="640"/>
      <c r="E98" s="640"/>
      <c r="F98" s="640"/>
      <c r="G98" s="640"/>
      <c r="H98" s="640"/>
    </row>
    <row r="99" spans="1:8">
      <c r="A99" s="1772"/>
      <c r="B99" s="1772"/>
      <c r="C99" s="640"/>
      <c r="D99" s="640"/>
      <c r="E99" s="640"/>
      <c r="F99" s="640"/>
      <c r="G99" s="640"/>
      <c r="H99" s="640"/>
    </row>
    <row r="100" spans="1:8">
      <c r="A100" s="1772"/>
      <c r="B100" s="1772"/>
      <c r="C100" s="640"/>
      <c r="D100" s="640"/>
      <c r="E100" s="640"/>
      <c r="F100" s="640"/>
      <c r="G100" s="640"/>
      <c r="H100" s="640"/>
    </row>
    <row r="101" spans="1:8">
      <c r="A101" s="1772"/>
      <c r="B101" s="1772"/>
      <c r="C101" s="640"/>
      <c r="D101" s="640"/>
      <c r="E101" s="640"/>
      <c r="F101" s="640"/>
      <c r="G101" s="640"/>
      <c r="H101" s="640"/>
    </row>
    <row r="102" spans="1:8">
      <c r="A102" s="1772"/>
      <c r="B102" s="1772"/>
      <c r="C102" s="640"/>
      <c r="D102" s="640"/>
      <c r="E102" s="640"/>
      <c r="F102" s="640"/>
      <c r="G102" s="640"/>
      <c r="H102" s="640"/>
    </row>
    <row r="103" spans="1:8">
      <c r="A103" s="1772"/>
      <c r="B103" s="1772"/>
      <c r="C103" s="640"/>
      <c r="D103" s="640"/>
      <c r="E103" s="640"/>
      <c r="F103" s="640"/>
      <c r="G103" s="640"/>
      <c r="H103" s="640"/>
    </row>
    <row r="104" spans="1:8">
      <c r="A104" s="1772"/>
      <c r="B104" s="1772"/>
      <c r="C104" s="640"/>
      <c r="D104" s="640"/>
      <c r="E104" s="640"/>
      <c r="F104" s="640"/>
      <c r="G104" s="640"/>
      <c r="H104" s="640"/>
    </row>
    <row r="105" spans="1:8">
      <c r="A105" s="1772"/>
      <c r="B105" s="1772"/>
      <c r="C105" s="640"/>
      <c r="D105" s="640"/>
      <c r="E105" s="640"/>
      <c r="F105" s="640"/>
      <c r="G105" s="640"/>
      <c r="H105" s="640"/>
    </row>
    <row r="106" spans="1:8">
      <c r="A106" s="1772"/>
      <c r="B106" s="1772"/>
      <c r="C106" s="640"/>
      <c r="D106" s="640"/>
      <c r="E106" s="640"/>
      <c r="F106" s="640"/>
      <c r="G106" s="640"/>
      <c r="H106" s="640"/>
    </row>
    <row r="107" spans="1:8">
      <c r="A107" s="1772"/>
      <c r="B107" s="1772"/>
      <c r="C107" s="640"/>
      <c r="D107" s="640"/>
      <c r="E107" s="640"/>
      <c r="F107" s="640"/>
      <c r="G107" s="640"/>
      <c r="H107" s="640"/>
    </row>
    <row r="108" spans="1:8">
      <c r="A108" s="1772"/>
      <c r="B108" s="1772"/>
      <c r="C108" s="640"/>
      <c r="D108" s="640"/>
      <c r="E108" s="640"/>
      <c r="F108" s="640"/>
      <c r="G108" s="640"/>
      <c r="H108" s="640"/>
    </row>
    <row r="109" spans="1:8">
      <c r="A109" s="1772"/>
      <c r="B109" s="1772"/>
      <c r="C109" s="640"/>
      <c r="D109" s="640"/>
      <c r="E109" s="640"/>
      <c r="F109" s="640"/>
      <c r="G109" s="640"/>
      <c r="H109" s="640"/>
    </row>
    <row r="110" spans="1:8">
      <c r="A110" s="1772"/>
      <c r="B110" s="1772"/>
      <c r="C110" s="640"/>
      <c r="D110" s="640"/>
      <c r="E110" s="640"/>
      <c r="F110" s="640"/>
      <c r="G110" s="640"/>
      <c r="H110" s="640"/>
    </row>
    <row r="111" spans="1:8">
      <c r="A111" s="1772"/>
      <c r="B111" s="1772"/>
      <c r="C111" s="640"/>
      <c r="D111" s="640"/>
      <c r="E111" s="640"/>
      <c r="F111" s="640"/>
      <c r="G111" s="640"/>
      <c r="H111" s="640"/>
    </row>
  </sheetData>
  <sheetProtection selectLockedCells="1" selectUnlockedCells="1"/>
  <mergeCells count="102">
    <mergeCell ref="I1:I4"/>
    <mergeCell ref="A3:B3"/>
    <mergeCell ref="A4:B4"/>
    <mergeCell ref="F1:H1"/>
    <mergeCell ref="F2:H2"/>
    <mergeCell ref="A1:E2"/>
    <mergeCell ref="C3:E3"/>
    <mergeCell ref="C4:E4"/>
    <mergeCell ref="A5:B5"/>
    <mergeCell ref="D5:E5"/>
    <mergeCell ref="A6:B6"/>
    <mergeCell ref="D6:E6"/>
    <mergeCell ref="A7:B7"/>
    <mergeCell ref="D7:E7"/>
    <mergeCell ref="A8:B8"/>
    <mergeCell ref="D8:E8"/>
    <mergeCell ref="A9:B9"/>
    <mergeCell ref="D9:E9"/>
    <mergeCell ref="A10:B10"/>
    <mergeCell ref="D10:E10"/>
    <mergeCell ref="A11:B11"/>
    <mergeCell ref="D11:E11"/>
    <mergeCell ref="A12:B12"/>
    <mergeCell ref="D12:E12"/>
    <mergeCell ref="A13:B13"/>
    <mergeCell ref="D13:E13"/>
    <mergeCell ref="A14:B14"/>
    <mergeCell ref="D14:E14"/>
    <mergeCell ref="A15:B15"/>
    <mergeCell ref="D15:E15"/>
    <mergeCell ref="A16:B16"/>
    <mergeCell ref="D16:E16"/>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A17:B17"/>
    <mergeCell ref="D17:E17"/>
    <mergeCell ref="A18:B18"/>
    <mergeCell ref="D18:E18"/>
    <mergeCell ref="D21:E21"/>
    <mergeCell ref="A26:B26"/>
    <mergeCell ref="D26:E26"/>
    <mergeCell ref="A27:B27"/>
    <mergeCell ref="D27:E27"/>
    <mergeCell ref="A28:B28"/>
    <mergeCell ref="D28:E28"/>
    <mergeCell ref="A29:B29"/>
    <mergeCell ref="D29:E29"/>
    <mergeCell ref="I29:L30"/>
    <mergeCell ref="A30:B30"/>
    <mergeCell ref="D30:E30"/>
    <mergeCell ref="A31:B31"/>
    <mergeCell ref="D31:E31"/>
    <mergeCell ref="I31:L32"/>
    <mergeCell ref="A32:B32"/>
    <mergeCell ref="D32:E32"/>
    <mergeCell ref="I39:L44"/>
    <mergeCell ref="A40:B40"/>
    <mergeCell ref="D40:E40"/>
    <mergeCell ref="A41:B41"/>
    <mergeCell ref="D41:E41"/>
    <mergeCell ref="A43:B43"/>
    <mergeCell ref="A33:B33"/>
    <mergeCell ref="D33:E33"/>
    <mergeCell ref="I33:L38"/>
    <mergeCell ref="A34:B34"/>
    <mergeCell ref="D34:E34"/>
    <mergeCell ref="A35:B35"/>
    <mergeCell ref="D35:E35"/>
    <mergeCell ref="A36:B36"/>
    <mergeCell ref="D36:E36"/>
    <mergeCell ref="A37:B37"/>
    <mergeCell ref="D37:E37"/>
    <mergeCell ref="A42:B42"/>
    <mergeCell ref="D42:E42"/>
    <mergeCell ref="A47:B48"/>
    <mergeCell ref="D47:H47"/>
    <mergeCell ref="C48:H48"/>
    <mergeCell ref="A49:B49"/>
    <mergeCell ref="C49:H49"/>
    <mergeCell ref="A46:B46"/>
    <mergeCell ref="C46:H46"/>
    <mergeCell ref="A38:B38"/>
    <mergeCell ref="D38:E38"/>
    <mergeCell ref="A39:B39"/>
    <mergeCell ref="D39:E39"/>
    <mergeCell ref="D43:E43"/>
    <mergeCell ref="A44:B44"/>
    <mergeCell ref="D44:E44"/>
    <mergeCell ref="A45:C45"/>
    <mergeCell ref="D45:E45"/>
  </mergeCells>
  <phoneticPr fontId="135" type="noConversion"/>
  <dataValidations count="2">
    <dataValidation type="list" allowBlank="1" sqref="C21">
      <formula1>"办公费,邮电费,交通差旅费,房租,物业水电费,车辆使用费,各种税金,开办费,低值易耗品,运杂费,残保金,其他"</formula1>
      <formula2>0</formula2>
    </dataValidation>
    <dataValidation allowBlank="1" sqref="C20 C22:C44">
      <formula1>0</formula1>
      <formula2>0</formula2>
    </dataValidation>
  </dataValidations>
  <hyperlinks>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实收公积!A1" display="实收公积审核表"/>
    <hyperlink ref="I17" location="捐赠!A1" display="捐赠支出审核表"/>
    <hyperlink ref="I6"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6" firstPageNumber="0" fitToHeight="0" orientation="portrait" blackAndWhite="1" r:id="rId1"/>
  <headerFooter alignWithMargins="0"/>
  <drawing r:id="rId2"/>
  <legacyDrawing r:id="rId3"/>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7">
    <pageSetUpPr fitToPage="1"/>
  </sheetPr>
  <dimension ref="A1:P90"/>
  <sheetViews>
    <sheetView workbookViewId="0">
      <selection activeCell="G9" sqref="G9"/>
    </sheetView>
  </sheetViews>
  <sheetFormatPr defaultColWidth="9" defaultRowHeight="16.5"/>
  <cols>
    <col min="1" max="1" width="6" style="1769" customWidth="1"/>
    <col min="2" max="2" width="1.5" style="1769" customWidth="1"/>
    <col min="3" max="3" width="31" style="753" customWidth="1"/>
    <col min="4" max="4" width="6.375" style="753" customWidth="1"/>
    <col min="5" max="5" width="8.5" style="753" customWidth="1"/>
    <col min="6" max="8" width="14.125" style="753" customWidth="1"/>
    <col min="9" max="9" width="28.125" style="565" customWidth="1"/>
    <col min="10" max="10" width="19.625" style="565" customWidth="1"/>
    <col min="11" max="16384" width="9" style="565"/>
  </cols>
  <sheetData>
    <row r="1" spans="1:13" ht="25.9" customHeight="1">
      <c r="A1" s="3254" t="s">
        <v>4551</v>
      </c>
      <c r="B1" s="3254"/>
      <c r="C1" s="3254"/>
      <c r="D1" s="3254"/>
      <c r="E1" s="3254"/>
      <c r="F1" s="2754" t="str">
        <f>基本情况!$F$10</f>
        <v>厦中汇税审（2018）第DS0001号</v>
      </c>
      <c r="G1" s="2754"/>
      <c r="H1" s="2754"/>
      <c r="I1" s="3331"/>
      <c r="J1" s="564"/>
      <c r="K1" s="564"/>
      <c r="L1" s="564"/>
    </row>
    <row r="2" spans="1:13" s="1850" customFormat="1" ht="37.15" customHeight="1">
      <c r="A2" s="3254"/>
      <c r="B2" s="3254"/>
      <c r="C2" s="3254"/>
      <c r="D2" s="3254"/>
      <c r="E2" s="3254"/>
      <c r="F2" s="2949" t="str">
        <f>"底稿编号："&amp;开始!J15</f>
        <v>底稿编号：GL-13</v>
      </c>
      <c r="G2" s="2949"/>
      <c r="H2" s="2949"/>
      <c r="I2" s="3331"/>
      <c r="J2" s="2055"/>
      <c r="K2" s="2055"/>
      <c r="L2" s="2055"/>
    </row>
    <row r="3" spans="1:13" ht="21.75" customHeight="1">
      <c r="A3" s="3343" t="s">
        <v>4510</v>
      </c>
      <c r="B3" s="3344"/>
      <c r="C3" s="3347" t="str">
        <f>基本情况!$C$3</f>
        <v/>
      </c>
      <c r="D3" s="3348"/>
      <c r="E3" s="3349"/>
      <c r="F3" s="2056" t="s">
        <v>4407</v>
      </c>
      <c r="G3" s="2057" t="str">
        <f>基本情况!$F$19&amp;""</f>
        <v/>
      </c>
      <c r="H3" s="2058" t="str">
        <f>TEXT(基本情况!$F$27,"yyyy-mm-dd")</f>
        <v>2018-03-16</v>
      </c>
      <c r="I3" s="3331"/>
      <c r="J3" s="564"/>
      <c r="K3" s="564"/>
      <c r="L3" s="564"/>
    </row>
    <row r="4" spans="1:13" ht="21.75" customHeight="1">
      <c r="A4" s="3345" t="s">
        <v>4512</v>
      </c>
      <c r="B4" s="3346"/>
      <c r="C4" s="3271" t="str">
        <f>基本情况!$F$9</f>
        <v>2017年01月01日至2017年12月31日</v>
      </c>
      <c r="D4" s="3272"/>
      <c r="E4" s="3273"/>
      <c r="F4" s="2059" t="s">
        <v>4410</v>
      </c>
      <c r="G4" s="2060" t="str">
        <f>基本情况!$F$18&amp;""</f>
        <v/>
      </c>
      <c r="H4" s="2061" t="str">
        <f>TEXT(基本情况!$F$28,"yyyy-mm-dd")</f>
        <v>2018-05-04</v>
      </c>
      <c r="I4" s="3331"/>
      <c r="J4" s="564"/>
      <c r="K4" s="564"/>
      <c r="L4" s="564"/>
    </row>
    <row r="5" spans="1:13" ht="21.75" customHeight="1">
      <c r="A5" s="2917" t="s">
        <v>147</v>
      </c>
      <c r="B5" s="2917"/>
      <c r="C5" s="569" t="s">
        <v>750</v>
      </c>
      <c r="D5" s="2927" t="s">
        <v>4412</v>
      </c>
      <c r="E5" s="2927"/>
      <c r="F5" s="569" t="s">
        <v>5805</v>
      </c>
      <c r="G5" s="1481" t="s">
        <v>5806</v>
      </c>
      <c r="H5" s="717" t="s">
        <v>4415</v>
      </c>
      <c r="I5" s="1760" t="s">
        <v>1724</v>
      </c>
      <c r="J5" s="1770"/>
      <c r="K5" s="564"/>
      <c r="L5" s="564"/>
    </row>
    <row r="6" spans="1:13" ht="23.25" customHeight="1">
      <c r="A6" s="3236">
        <v>1</v>
      </c>
      <c r="B6" s="3236"/>
      <c r="C6" s="1761" t="s">
        <v>5855</v>
      </c>
      <c r="D6" s="3342">
        <f>SUMIF(余额表!J:J,"财务费用-"&amp;C6,余额表!E:E)</f>
        <v>0</v>
      </c>
      <c r="E6" s="3342"/>
      <c r="F6" s="652"/>
      <c r="G6" s="1762"/>
      <c r="H6" s="1763">
        <f>D6+F6</f>
        <v>0</v>
      </c>
      <c r="I6" s="1245" t="s">
        <v>5822</v>
      </c>
      <c r="J6" s="564"/>
      <c r="K6" s="564"/>
      <c r="L6" s="564"/>
    </row>
    <row r="7" spans="1:13" ht="23.25" customHeight="1">
      <c r="A7" s="2653">
        <v>2</v>
      </c>
      <c r="B7" s="2653"/>
      <c r="C7" s="1764" t="s">
        <v>5856</v>
      </c>
      <c r="D7" s="3334">
        <f>SUMIF(余额表!J:J,"财务费用-"&amp;C7,余额表!E:E)</f>
        <v>0</v>
      </c>
      <c r="E7" s="3335"/>
      <c r="F7" s="638"/>
      <c r="G7" s="637"/>
      <c r="H7" s="1401">
        <f>D7+F7</f>
        <v>0</v>
      </c>
      <c r="I7" s="704" t="s">
        <v>4534</v>
      </c>
      <c r="J7" s="564"/>
      <c r="K7" s="564"/>
      <c r="L7" s="564"/>
    </row>
    <row r="8" spans="1:13" ht="23.25" customHeight="1">
      <c r="A8" s="2653">
        <v>3</v>
      </c>
      <c r="B8" s="2653"/>
      <c r="C8" s="1773" t="s">
        <v>5857</v>
      </c>
      <c r="D8" s="3339"/>
      <c r="E8" s="3339"/>
      <c r="F8" s="638"/>
      <c r="G8" s="637"/>
      <c r="H8" s="1401">
        <f t="shared" ref="H8:H26" si="0">D8+F8</f>
        <v>0</v>
      </c>
      <c r="I8" s="1233" t="s">
        <v>5040</v>
      </c>
      <c r="J8" s="564"/>
      <c r="K8" s="564"/>
      <c r="L8" s="564"/>
    </row>
    <row r="9" spans="1:13" ht="23.25" customHeight="1">
      <c r="A9" s="2653">
        <v>4</v>
      </c>
      <c r="B9" s="2653"/>
      <c r="C9" s="1764" t="s">
        <v>5858</v>
      </c>
      <c r="D9" s="3334">
        <f>SUMIF(余额表!J:J,"财务费用-"&amp;C9,余额表!E:E)</f>
        <v>0</v>
      </c>
      <c r="E9" s="3335"/>
      <c r="F9" s="638"/>
      <c r="G9" s="637"/>
      <c r="H9" s="1401">
        <f t="shared" si="0"/>
        <v>0</v>
      </c>
      <c r="I9" s="1233" t="s">
        <v>4585</v>
      </c>
      <c r="J9" s="564"/>
      <c r="K9" s="564"/>
      <c r="L9" s="564"/>
    </row>
    <row r="10" spans="1:13" ht="23.25" customHeight="1">
      <c r="A10" s="2653">
        <v>5</v>
      </c>
      <c r="B10" s="2653"/>
      <c r="C10" s="1764" t="s">
        <v>5859</v>
      </c>
      <c r="D10" s="3334">
        <f>SUMIF(余额表!J:J,"财务费用-"&amp;C10,余额表!E:E)</f>
        <v>0</v>
      </c>
      <c r="E10" s="3335"/>
      <c r="F10" s="638"/>
      <c r="G10" s="637"/>
      <c r="H10" s="1401">
        <f t="shared" si="0"/>
        <v>0</v>
      </c>
      <c r="I10" s="1233" t="s">
        <v>5223</v>
      </c>
      <c r="J10" s="564"/>
      <c r="K10" s="564"/>
      <c r="L10" s="564"/>
    </row>
    <row r="11" spans="1:13" ht="23.25" customHeight="1">
      <c r="A11" s="2653">
        <v>6</v>
      </c>
      <c r="B11" s="2653"/>
      <c r="C11" s="1764" t="s">
        <v>5860</v>
      </c>
      <c r="D11" s="3334">
        <f>-SUMIF(余额表!J:J,"财务费用-利息收入",余额表!E:E)</f>
        <v>0</v>
      </c>
      <c r="E11" s="3335"/>
      <c r="F11" s="638"/>
      <c r="G11" s="637"/>
      <c r="H11" s="1401">
        <f t="shared" si="0"/>
        <v>0</v>
      </c>
      <c r="I11" s="704" t="s">
        <v>5861</v>
      </c>
      <c r="J11" s="564"/>
      <c r="K11" s="564"/>
      <c r="L11" s="564"/>
    </row>
    <row r="12" spans="1:13" ht="23.25" customHeight="1">
      <c r="A12" s="2653">
        <v>7</v>
      </c>
      <c r="B12" s="2653"/>
      <c r="C12" s="1764" t="s">
        <v>5862</v>
      </c>
      <c r="D12" s="3339"/>
      <c r="E12" s="3339"/>
      <c r="F12" s="638"/>
      <c r="G12" s="637"/>
      <c r="H12" s="1401">
        <f t="shared" si="0"/>
        <v>0</v>
      </c>
      <c r="I12" s="704" t="s">
        <v>5280</v>
      </c>
      <c r="J12" s="564"/>
      <c r="K12" s="564"/>
      <c r="L12" s="564"/>
    </row>
    <row r="13" spans="1:13" ht="23.25" customHeight="1">
      <c r="A13" s="2653">
        <v>8</v>
      </c>
      <c r="B13" s="2653"/>
      <c r="C13" s="1764" t="s">
        <v>5863</v>
      </c>
      <c r="D13" s="3334">
        <f>-SUMIF(余额表!J:J,"财务费用-汇兑收益",余额表!E:E)</f>
        <v>0</v>
      </c>
      <c r="E13" s="3335"/>
      <c r="F13" s="638"/>
      <c r="G13" s="637"/>
      <c r="H13" s="1401">
        <f t="shared" si="0"/>
        <v>0</v>
      </c>
      <c r="I13" s="704" t="s">
        <v>5820</v>
      </c>
      <c r="J13" s="564"/>
      <c r="K13" s="564"/>
      <c r="L13" s="564"/>
    </row>
    <row r="14" spans="1:13" ht="23.25" customHeight="1">
      <c r="A14" s="2653">
        <v>9</v>
      </c>
      <c r="B14" s="2653"/>
      <c r="C14" s="1764" t="s">
        <v>5864</v>
      </c>
      <c r="D14" s="3334">
        <f>SUMIF(余额表!J:J,"财务费用-其他",余额表!E:E)</f>
        <v>0</v>
      </c>
      <c r="E14" s="3335"/>
      <c r="F14" s="638"/>
      <c r="G14" s="637"/>
      <c r="H14" s="1401">
        <f t="shared" si="0"/>
        <v>0</v>
      </c>
      <c r="I14" s="1494" t="s">
        <v>4550</v>
      </c>
      <c r="J14" s="564"/>
      <c r="K14" s="564"/>
      <c r="L14" s="564"/>
    </row>
    <row r="15" spans="1:13" ht="23.25" customHeight="1">
      <c r="A15" s="2653">
        <v>10</v>
      </c>
      <c r="B15" s="2653"/>
      <c r="C15" s="1774" t="s">
        <v>5865</v>
      </c>
      <c r="D15" s="3339"/>
      <c r="E15" s="3339"/>
      <c r="F15" s="638"/>
      <c r="G15" s="637"/>
      <c r="H15" s="1401">
        <f t="shared" si="0"/>
        <v>0</v>
      </c>
      <c r="I15" s="3336" t="s">
        <v>5866</v>
      </c>
      <c r="J15" s="3336"/>
      <c r="K15" s="3336"/>
      <c r="L15" s="3336"/>
      <c r="M15" s="680"/>
    </row>
    <row r="16" spans="1:13" ht="23.25" customHeight="1">
      <c r="A16" s="2653">
        <v>11</v>
      </c>
      <c r="B16" s="2653"/>
      <c r="C16" s="1775"/>
      <c r="D16" s="3339"/>
      <c r="E16" s="3339"/>
      <c r="F16" s="638"/>
      <c r="G16" s="637"/>
      <c r="H16" s="1401">
        <f t="shared" si="0"/>
        <v>0</v>
      </c>
      <c r="I16" s="3336"/>
      <c r="J16" s="3336"/>
      <c r="K16" s="3336"/>
      <c r="L16" s="3336"/>
      <c r="M16" s="680"/>
    </row>
    <row r="17" spans="1:16" ht="23.25" customHeight="1">
      <c r="A17" s="2653">
        <v>12</v>
      </c>
      <c r="B17" s="2653"/>
      <c r="C17" s="1767"/>
      <c r="D17" s="3339"/>
      <c r="E17" s="3339"/>
      <c r="F17" s="638"/>
      <c r="G17" s="637"/>
      <c r="H17" s="1401">
        <f t="shared" si="0"/>
        <v>0</v>
      </c>
      <c r="I17" s="3336"/>
      <c r="J17" s="3336"/>
      <c r="K17" s="3336"/>
      <c r="L17" s="3336"/>
      <c r="M17" s="680"/>
    </row>
    <row r="18" spans="1:16" ht="23.25" customHeight="1">
      <c r="A18" s="2653">
        <v>13</v>
      </c>
      <c r="B18" s="2653"/>
      <c r="C18" s="1767"/>
      <c r="D18" s="3339"/>
      <c r="E18" s="3339"/>
      <c r="F18" s="638"/>
      <c r="G18" s="637"/>
      <c r="H18" s="1401">
        <f t="shared" si="0"/>
        <v>0</v>
      </c>
      <c r="I18" s="3336"/>
      <c r="J18" s="3336"/>
      <c r="K18" s="3336"/>
      <c r="L18" s="3336"/>
      <c r="M18" s="680"/>
    </row>
    <row r="19" spans="1:16" ht="23.25" customHeight="1">
      <c r="A19" s="2653">
        <v>14</v>
      </c>
      <c r="B19" s="2653"/>
      <c r="C19" s="1767"/>
      <c r="D19" s="3339"/>
      <c r="E19" s="3339"/>
      <c r="F19" s="638"/>
      <c r="G19" s="637"/>
      <c r="H19" s="1401">
        <f t="shared" si="0"/>
        <v>0</v>
      </c>
      <c r="I19" s="3336"/>
      <c r="J19" s="3336"/>
      <c r="K19" s="3336"/>
      <c r="L19" s="3336"/>
      <c r="M19" s="680"/>
    </row>
    <row r="20" spans="1:16" ht="23.25" customHeight="1">
      <c r="A20" s="2653">
        <v>15</v>
      </c>
      <c r="B20" s="2653"/>
      <c r="C20" s="1767"/>
      <c r="D20" s="3339"/>
      <c r="E20" s="3339"/>
      <c r="F20" s="638"/>
      <c r="G20" s="637"/>
      <c r="H20" s="1401">
        <f t="shared" si="0"/>
        <v>0</v>
      </c>
      <c r="I20" s="3336"/>
      <c r="J20" s="3336"/>
      <c r="K20" s="3336"/>
      <c r="L20" s="3336"/>
      <c r="M20" s="680"/>
    </row>
    <row r="21" spans="1:16" ht="23.25" customHeight="1">
      <c r="A21" s="2653">
        <v>16</v>
      </c>
      <c r="B21" s="2653"/>
      <c r="C21" s="700"/>
      <c r="D21" s="3339"/>
      <c r="E21" s="3339"/>
      <c r="F21" s="638"/>
      <c r="G21" s="637"/>
      <c r="H21" s="1401">
        <f t="shared" si="0"/>
        <v>0</v>
      </c>
      <c r="I21" s="3336" t="s">
        <v>5867</v>
      </c>
      <c r="J21" s="3336"/>
      <c r="K21" s="3336"/>
      <c r="L21" s="3336"/>
      <c r="M21" s="680"/>
    </row>
    <row r="22" spans="1:16" ht="23.25" customHeight="1">
      <c r="A22" s="2653">
        <v>17</v>
      </c>
      <c r="B22" s="2653"/>
      <c r="C22" s="700"/>
      <c r="D22" s="3339"/>
      <c r="E22" s="3339"/>
      <c r="F22" s="638"/>
      <c r="G22" s="637"/>
      <c r="H22" s="1401">
        <f t="shared" si="0"/>
        <v>0</v>
      </c>
      <c r="I22" s="3336"/>
      <c r="J22" s="3336"/>
      <c r="K22" s="3336"/>
      <c r="L22" s="3336"/>
    </row>
    <row r="23" spans="1:16" ht="23.25" customHeight="1">
      <c r="A23" s="2653">
        <v>18</v>
      </c>
      <c r="B23" s="2653"/>
      <c r="C23" s="700"/>
      <c r="D23" s="3339"/>
      <c r="E23" s="3339"/>
      <c r="F23" s="638"/>
      <c r="G23" s="637"/>
      <c r="H23" s="1401">
        <f t="shared" si="0"/>
        <v>0</v>
      </c>
      <c r="I23" s="3336"/>
      <c r="J23" s="3336"/>
      <c r="K23" s="3336"/>
      <c r="L23" s="3336"/>
    </row>
    <row r="24" spans="1:16" ht="23.25" customHeight="1">
      <c r="A24" s="2653">
        <v>19</v>
      </c>
      <c r="B24" s="2653"/>
      <c r="C24" s="700"/>
      <c r="D24" s="3339"/>
      <c r="E24" s="3339"/>
      <c r="F24" s="638"/>
      <c r="G24" s="637"/>
      <c r="H24" s="1401">
        <f t="shared" si="0"/>
        <v>0</v>
      </c>
      <c r="I24" s="3336"/>
      <c r="J24" s="3336"/>
      <c r="K24" s="3336"/>
      <c r="L24" s="3336"/>
    </row>
    <row r="25" spans="1:16" ht="23.25" customHeight="1">
      <c r="A25" s="2653">
        <v>20</v>
      </c>
      <c r="B25" s="2653"/>
      <c r="C25" s="700"/>
      <c r="D25" s="3339"/>
      <c r="E25" s="3339"/>
      <c r="F25" s="638"/>
      <c r="G25" s="637"/>
      <c r="H25" s="1401">
        <f t="shared" si="0"/>
        <v>0</v>
      </c>
      <c r="I25" s="3336"/>
      <c r="J25" s="3336"/>
      <c r="K25" s="3336"/>
      <c r="L25" s="3336"/>
    </row>
    <row r="26" spans="1:16" ht="23.25" customHeight="1">
      <c r="A26" s="2653">
        <v>21</v>
      </c>
      <c r="B26" s="2653"/>
      <c r="C26" s="700"/>
      <c r="D26" s="3339"/>
      <c r="E26" s="3339"/>
      <c r="F26" s="638"/>
      <c r="G26" s="637"/>
      <c r="H26" s="1401">
        <f t="shared" si="0"/>
        <v>0</v>
      </c>
      <c r="I26" s="3047" t="s">
        <v>5868</v>
      </c>
      <c r="J26" s="3047"/>
      <c r="K26" s="3047"/>
      <c r="L26" s="3047"/>
      <c r="M26" s="640"/>
      <c r="N26" s="640"/>
      <c r="O26" s="640"/>
      <c r="P26" s="640"/>
    </row>
    <row r="27" spans="1:16" ht="23.25" customHeight="1">
      <c r="A27" s="2658" t="s">
        <v>757</v>
      </c>
      <c r="B27" s="2658"/>
      <c r="C27" s="2658"/>
      <c r="D27" s="3340">
        <f>D6+D7+D9+D10-D11-D13+D14</f>
        <v>0</v>
      </c>
      <c r="E27" s="3340"/>
      <c r="F27" s="1423">
        <f>F6+F7+F9+F10-F11-F13+F14</f>
        <v>0</v>
      </c>
      <c r="G27" s="1423">
        <f>G6+G7+G9+G10-G11-G13+G14</f>
        <v>0</v>
      </c>
      <c r="H27" s="1404">
        <f>H6+H7+H9+H10-H11-H13+H14</f>
        <v>0</v>
      </c>
      <c r="I27" s="3047"/>
      <c r="J27" s="3047"/>
      <c r="K27" s="3047"/>
      <c r="L27" s="3047"/>
      <c r="M27" s="640"/>
      <c r="N27" s="640"/>
      <c r="O27" s="640"/>
      <c r="P27" s="640"/>
    </row>
    <row r="28" spans="1:16" ht="23.25" customHeight="1">
      <c r="A28" s="3240" t="s">
        <v>4430</v>
      </c>
      <c r="B28" s="3240"/>
      <c r="C28" s="3286" t="str">
        <f>IF(D27&lt;&gt;利润表!$C$14,"账载数与报表数相差"&amp;DOLLAR(D27-利润表!$C$14,2)&amp;"元！","账载数与报表数相符！")</f>
        <v>账载数与报表数相符！</v>
      </c>
      <c r="D28" s="3286"/>
      <c r="E28" s="3286"/>
      <c r="F28" s="3286"/>
      <c r="G28" s="3286"/>
      <c r="H28" s="3286"/>
      <c r="I28" s="3047"/>
      <c r="J28" s="3047"/>
      <c r="K28" s="3047"/>
      <c r="L28" s="3047"/>
      <c r="M28" s="640"/>
      <c r="N28" s="640"/>
      <c r="O28" s="640"/>
      <c r="P28" s="640"/>
    </row>
    <row r="29" spans="1:16" ht="15" customHeight="1">
      <c r="A29" s="3241" t="s">
        <v>4431</v>
      </c>
      <c r="B29" s="3241"/>
      <c r="C29" s="1768" t="s">
        <v>5746</v>
      </c>
      <c r="D29" s="3341" t="str">
        <f>IF(F27&lt;&gt;0,"、E","")</f>
        <v/>
      </c>
      <c r="E29" s="3341"/>
      <c r="F29" s="3341"/>
      <c r="G29" s="3341"/>
      <c r="H29" s="3341"/>
      <c r="I29" s="3047"/>
      <c r="J29" s="3047"/>
      <c r="K29" s="3047"/>
      <c r="L29" s="3047"/>
      <c r="M29" s="640"/>
      <c r="N29" s="640"/>
      <c r="O29" s="640"/>
      <c r="P29" s="640"/>
    </row>
    <row r="30" spans="1:16" ht="70.5" customHeight="1">
      <c r="A30" s="3241"/>
      <c r="B30" s="3241"/>
      <c r="C30" s="3252"/>
      <c r="D30" s="3252"/>
      <c r="E30" s="3252"/>
      <c r="F30" s="3252"/>
      <c r="G30" s="3252"/>
      <c r="H30" s="3252"/>
      <c r="I30" s="3047"/>
      <c r="J30" s="3047"/>
      <c r="K30" s="3047"/>
      <c r="L30" s="3047"/>
      <c r="M30" s="640"/>
      <c r="N30" s="640"/>
      <c r="O30" s="640"/>
      <c r="P30" s="640"/>
    </row>
    <row r="31" spans="1:16" ht="23.25" customHeight="1">
      <c r="A31" s="3242" t="s">
        <v>4433</v>
      </c>
      <c r="B31" s="3242"/>
      <c r="C31" s="3067" t="str">
        <f>IF(F27=0,"不存在调整事项，认可！","调整后认可！")</f>
        <v>不存在调整事项，认可！</v>
      </c>
      <c r="D31" s="3067"/>
      <c r="E31" s="3067"/>
      <c r="F31" s="3067"/>
      <c r="G31" s="3067"/>
      <c r="H31" s="3067"/>
      <c r="I31" s="3043" t="s">
        <v>5869</v>
      </c>
      <c r="J31" s="3043"/>
      <c r="K31" s="3043"/>
      <c r="L31" s="3043"/>
      <c r="M31" s="640"/>
      <c r="N31" s="640"/>
      <c r="O31" s="640"/>
      <c r="P31" s="640"/>
    </row>
    <row r="32" spans="1:16">
      <c r="A32" s="1772"/>
      <c r="B32" s="1772"/>
      <c r="C32" s="640"/>
      <c r="D32" s="640"/>
      <c r="E32" s="640"/>
      <c r="F32" s="640"/>
      <c r="G32" s="640"/>
      <c r="H32" s="640"/>
      <c r="I32" s="3043"/>
      <c r="J32" s="3043"/>
      <c r="K32" s="3043"/>
      <c r="L32" s="3043"/>
      <c r="M32" s="640"/>
      <c r="N32" s="640"/>
      <c r="O32" s="640"/>
      <c r="P32" s="640"/>
    </row>
    <row r="33" spans="1:16">
      <c r="A33" s="1772"/>
      <c r="B33" s="1772"/>
      <c r="C33" s="640"/>
      <c r="D33" s="640"/>
      <c r="E33" s="640"/>
      <c r="F33" s="640"/>
      <c r="G33" s="640"/>
      <c r="H33" s="640"/>
      <c r="I33" s="3043"/>
      <c r="J33" s="3043"/>
      <c r="K33" s="3043"/>
      <c r="L33" s="3043"/>
      <c r="M33" s="640"/>
      <c r="N33" s="640"/>
      <c r="O33" s="640"/>
      <c r="P33" s="640"/>
    </row>
    <row r="34" spans="1:16" ht="14.25" customHeight="1">
      <c r="A34" s="1772"/>
      <c r="B34" s="1772"/>
      <c r="C34" s="640"/>
      <c r="D34" s="640"/>
      <c r="E34" s="640"/>
      <c r="F34" s="640"/>
      <c r="G34" s="640"/>
      <c r="H34" s="640"/>
      <c r="I34" s="3350" t="s">
        <v>5870</v>
      </c>
      <c r="J34" s="3350"/>
      <c r="K34" s="3350"/>
      <c r="L34" s="3350"/>
      <c r="M34" s="640"/>
      <c r="N34" s="640"/>
      <c r="O34" s="640"/>
      <c r="P34" s="640"/>
    </row>
    <row r="35" spans="1:16">
      <c r="A35" s="1772"/>
      <c r="B35" s="1772"/>
      <c r="C35" s="640"/>
      <c r="D35" s="640"/>
      <c r="E35" s="640"/>
      <c r="F35" s="640"/>
      <c r="G35" s="640"/>
      <c r="H35" s="640"/>
      <c r="I35" s="3350"/>
      <c r="J35" s="3350"/>
      <c r="K35" s="3350"/>
      <c r="L35" s="3350"/>
      <c r="M35" s="640"/>
      <c r="N35" s="640"/>
      <c r="O35" s="640"/>
      <c r="P35" s="640"/>
    </row>
    <row r="36" spans="1:16" ht="15.2" customHeight="1">
      <c r="A36" s="1772"/>
      <c r="B36" s="1772"/>
      <c r="C36" s="640"/>
      <c r="D36" s="640"/>
      <c r="E36" s="640"/>
      <c r="F36" s="640"/>
      <c r="G36" s="640"/>
      <c r="H36" s="640"/>
      <c r="I36" s="3350" t="s">
        <v>5871</v>
      </c>
      <c r="J36" s="3350"/>
      <c r="K36" s="3350"/>
      <c r="L36" s="3350"/>
      <c r="M36" s="640"/>
      <c r="N36" s="640"/>
      <c r="O36" s="640"/>
      <c r="P36" s="640"/>
    </row>
    <row r="37" spans="1:16" ht="14.25" customHeight="1">
      <c r="A37" s="1772"/>
      <c r="B37" s="1772"/>
      <c r="C37" s="640"/>
      <c r="D37" s="640"/>
      <c r="E37" s="640"/>
      <c r="F37" s="640"/>
      <c r="G37" s="640"/>
      <c r="H37" s="640"/>
      <c r="I37" s="3350" t="s">
        <v>5848</v>
      </c>
      <c r="J37" s="3350"/>
      <c r="K37" s="3350"/>
      <c r="L37" s="3350"/>
      <c r="M37" s="640"/>
      <c r="N37" s="640"/>
      <c r="O37" s="640"/>
      <c r="P37" s="640"/>
    </row>
    <row r="38" spans="1:16">
      <c r="A38" s="1772"/>
      <c r="B38" s="1772"/>
      <c r="C38" s="640"/>
      <c r="D38" s="640"/>
      <c r="E38" s="640"/>
      <c r="F38" s="640"/>
      <c r="G38" s="640"/>
      <c r="H38" s="640"/>
      <c r="I38" s="3350"/>
      <c r="J38" s="3350"/>
      <c r="K38" s="3350"/>
      <c r="L38" s="3350"/>
      <c r="M38" s="640"/>
      <c r="N38" s="640"/>
      <c r="O38" s="640"/>
      <c r="P38" s="640"/>
    </row>
    <row r="39" spans="1:16" ht="14.25" customHeight="1">
      <c r="A39" s="1772"/>
      <c r="B39" s="1772"/>
      <c r="C39" s="640"/>
      <c r="D39" s="640"/>
      <c r="E39" s="640"/>
      <c r="F39" s="640"/>
      <c r="G39" s="640"/>
      <c r="H39" s="640"/>
      <c r="I39" s="3350" t="s">
        <v>5872</v>
      </c>
      <c r="J39" s="3350"/>
      <c r="K39" s="3350"/>
      <c r="L39" s="3350"/>
      <c r="M39" s="640"/>
      <c r="N39" s="640"/>
      <c r="O39" s="640"/>
      <c r="P39" s="640"/>
    </row>
    <row r="40" spans="1:16">
      <c r="A40" s="1772"/>
      <c r="B40" s="1772"/>
      <c r="C40" s="640"/>
      <c r="D40" s="640"/>
      <c r="E40" s="640"/>
      <c r="F40" s="640"/>
      <c r="G40" s="640"/>
      <c r="H40" s="640"/>
      <c r="I40" s="3350"/>
      <c r="J40" s="3350"/>
      <c r="K40" s="3350"/>
      <c r="L40" s="3350"/>
      <c r="M40" s="640"/>
      <c r="N40" s="640"/>
      <c r="O40" s="640"/>
      <c r="P40" s="640"/>
    </row>
    <row r="41" spans="1:16">
      <c r="A41" s="1772"/>
      <c r="B41" s="1772"/>
      <c r="C41" s="640"/>
      <c r="D41" s="640"/>
      <c r="E41" s="640"/>
      <c r="F41" s="640"/>
      <c r="G41" s="640"/>
      <c r="H41" s="640"/>
      <c r="I41" s="3350"/>
      <c r="J41" s="3350"/>
      <c r="K41" s="3350"/>
      <c r="L41" s="3350"/>
      <c r="M41" s="640"/>
      <c r="N41" s="640"/>
      <c r="O41" s="640"/>
      <c r="P41" s="640"/>
    </row>
    <row r="42" spans="1:16">
      <c r="A42" s="1772"/>
      <c r="B42" s="1772"/>
      <c r="C42" s="640"/>
      <c r="D42" s="640"/>
      <c r="E42" s="640"/>
      <c r="F42" s="640"/>
      <c r="G42" s="640"/>
      <c r="H42" s="640"/>
      <c r="I42" s="3350"/>
      <c r="J42" s="3350"/>
      <c r="K42" s="3350"/>
      <c r="L42" s="3350"/>
      <c r="M42" s="640"/>
      <c r="N42" s="640"/>
      <c r="O42" s="640"/>
      <c r="P42" s="640"/>
    </row>
    <row r="43" spans="1:16">
      <c r="A43" s="1772"/>
      <c r="B43" s="1772"/>
      <c r="C43" s="640"/>
      <c r="D43" s="640"/>
      <c r="E43" s="640"/>
      <c r="F43" s="640"/>
      <c r="G43" s="640"/>
      <c r="H43" s="640"/>
      <c r="I43" s="640"/>
      <c r="J43" s="640"/>
      <c r="K43" s="640"/>
      <c r="L43" s="640"/>
      <c r="M43" s="640"/>
      <c r="N43" s="640"/>
      <c r="O43" s="640"/>
      <c r="P43" s="640"/>
    </row>
    <row r="44" spans="1:16">
      <c r="A44" s="1772"/>
      <c r="B44" s="1772"/>
      <c r="C44" s="640"/>
      <c r="D44" s="640"/>
      <c r="E44" s="640"/>
      <c r="F44" s="640"/>
      <c r="G44" s="640"/>
      <c r="H44" s="640"/>
      <c r="I44" s="640"/>
      <c r="J44" s="640"/>
      <c r="K44" s="640"/>
      <c r="L44" s="640"/>
      <c r="M44" s="640"/>
      <c r="N44" s="640"/>
      <c r="O44" s="640"/>
      <c r="P44" s="640"/>
    </row>
    <row r="45" spans="1:16">
      <c r="A45" s="1772"/>
      <c r="B45" s="1772"/>
      <c r="C45" s="640"/>
      <c r="D45" s="640"/>
      <c r="E45" s="640"/>
      <c r="F45" s="640"/>
      <c r="G45" s="640"/>
      <c r="H45" s="640"/>
      <c r="I45" s="640"/>
      <c r="J45" s="640"/>
      <c r="K45" s="640"/>
      <c r="L45" s="640"/>
      <c r="M45" s="640"/>
      <c r="N45" s="640"/>
      <c r="O45" s="640"/>
      <c r="P45" s="640"/>
    </row>
    <row r="46" spans="1:16">
      <c r="A46" s="1772"/>
      <c r="B46" s="1772"/>
      <c r="C46" s="640"/>
      <c r="D46" s="640"/>
      <c r="E46" s="640"/>
      <c r="F46" s="640"/>
      <c r="G46" s="640"/>
      <c r="H46" s="640"/>
      <c r="M46" s="640"/>
      <c r="N46" s="640"/>
      <c r="O46" s="640"/>
      <c r="P46" s="640"/>
    </row>
    <row r="47" spans="1:16">
      <c r="A47" s="1772"/>
      <c r="B47" s="1772"/>
      <c r="C47" s="640"/>
      <c r="D47" s="640"/>
      <c r="E47" s="640"/>
      <c r="F47" s="640"/>
      <c r="G47" s="640"/>
      <c r="H47" s="640"/>
      <c r="M47" s="640"/>
      <c r="N47" s="640"/>
      <c r="O47" s="640"/>
      <c r="P47" s="640"/>
    </row>
    <row r="48" spans="1:16">
      <c r="A48" s="1772"/>
      <c r="B48" s="1772"/>
      <c r="C48" s="640"/>
      <c r="D48" s="640"/>
      <c r="E48" s="640"/>
      <c r="F48" s="640"/>
      <c r="G48" s="640"/>
      <c r="H48" s="640"/>
      <c r="M48" s="640"/>
      <c r="N48" s="640"/>
      <c r="O48" s="640"/>
      <c r="P48" s="640"/>
    </row>
    <row r="49" spans="1:16">
      <c r="A49" s="1772"/>
      <c r="B49" s="1772"/>
      <c r="C49" s="640"/>
      <c r="D49" s="640"/>
      <c r="E49" s="640"/>
      <c r="F49" s="640"/>
      <c r="G49" s="640"/>
      <c r="H49" s="640"/>
      <c r="M49" s="640"/>
      <c r="N49" s="640"/>
      <c r="O49" s="640"/>
      <c r="P49" s="640"/>
    </row>
    <row r="50" spans="1:16">
      <c r="A50" s="1772"/>
      <c r="B50" s="1772"/>
      <c r="C50" s="640"/>
      <c r="D50" s="640"/>
      <c r="E50" s="640"/>
      <c r="F50" s="640"/>
      <c r="G50" s="640"/>
      <c r="H50" s="640"/>
      <c r="M50" s="640"/>
      <c r="N50" s="640"/>
      <c r="O50" s="640"/>
      <c r="P50" s="640"/>
    </row>
    <row r="51" spans="1:16">
      <c r="A51" s="1772"/>
      <c r="B51" s="1772"/>
      <c r="C51" s="640"/>
      <c r="D51" s="640"/>
      <c r="E51" s="640"/>
      <c r="F51" s="640"/>
      <c r="G51" s="640"/>
      <c r="H51" s="640"/>
      <c r="I51" s="640"/>
      <c r="J51" s="640"/>
      <c r="K51" s="640"/>
      <c r="L51" s="640"/>
      <c r="M51" s="640"/>
      <c r="N51" s="640"/>
      <c r="O51" s="640"/>
      <c r="P51" s="640"/>
    </row>
    <row r="52" spans="1:16">
      <c r="A52" s="1772"/>
      <c r="B52" s="1772"/>
      <c r="C52" s="640"/>
      <c r="D52" s="640"/>
      <c r="E52" s="640"/>
      <c r="F52" s="640"/>
      <c r="G52" s="640"/>
      <c r="H52" s="640"/>
      <c r="I52" s="640"/>
      <c r="J52" s="640"/>
      <c r="K52" s="640"/>
      <c r="L52" s="640"/>
      <c r="M52" s="640"/>
      <c r="N52" s="640"/>
      <c r="O52" s="640"/>
      <c r="P52" s="640"/>
    </row>
    <row r="53" spans="1:16">
      <c r="A53" s="1772"/>
      <c r="B53" s="1772"/>
      <c r="C53" s="640"/>
      <c r="D53" s="640"/>
      <c r="E53" s="640"/>
      <c r="F53" s="640"/>
      <c r="G53" s="640"/>
      <c r="H53" s="640"/>
      <c r="I53" s="640"/>
      <c r="J53" s="640"/>
      <c r="K53" s="640"/>
      <c r="L53" s="640"/>
      <c r="M53" s="640"/>
      <c r="N53" s="640"/>
      <c r="O53" s="640"/>
      <c r="P53" s="640"/>
    </row>
    <row r="54" spans="1:16">
      <c r="A54" s="1772"/>
      <c r="B54" s="1772"/>
      <c r="C54" s="640"/>
      <c r="D54" s="640"/>
      <c r="E54" s="640"/>
      <c r="F54" s="640"/>
      <c r="G54" s="640"/>
      <c r="H54" s="640"/>
      <c r="I54" s="640"/>
      <c r="J54" s="640"/>
      <c r="K54" s="640"/>
      <c r="L54" s="640"/>
      <c r="M54" s="640"/>
      <c r="N54" s="640"/>
      <c r="O54" s="640"/>
      <c r="P54" s="640"/>
    </row>
    <row r="55" spans="1:16">
      <c r="A55" s="1772"/>
      <c r="B55" s="1772"/>
      <c r="C55" s="640"/>
      <c r="D55" s="640"/>
      <c r="E55" s="640"/>
      <c r="F55" s="640"/>
      <c r="G55" s="640"/>
      <c r="H55" s="640"/>
      <c r="I55" s="640"/>
      <c r="J55" s="640"/>
      <c r="K55" s="640"/>
      <c r="L55" s="640"/>
      <c r="M55" s="640"/>
      <c r="N55" s="640"/>
      <c r="O55" s="640"/>
      <c r="P55" s="640"/>
    </row>
    <row r="56" spans="1:16">
      <c r="A56" s="1772"/>
      <c r="B56" s="1772"/>
      <c r="C56" s="640"/>
      <c r="D56" s="640"/>
      <c r="E56" s="640"/>
      <c r="F56" s="640"/>
      <c r="G56" s="640"/>
      <c r="H56" s="640"/>
      <c r="I56" s="640"/>
      <c r="J56" s="640"/>
      <c r="K56" s="640"/>
      <c r="L56" s="640"/>
      <c r="M56" s="640"/>
      <c r="N56" s="640"/>
      <c r="O56" s="640"/>
      <c r="P56" s="640"/>
    </row>
    <row r="57" spans="1:16">
      <c r="A57" s="1772"/>
      <c r="B57" s="1772"/>
      <c r="C57" s="640"/>
      <c r="D57" s="640"/>
      <c r="E57" s="640"/>
      <c r="F57" s="640"/>
      <c r="G57" s="640"/>
      <c r="H57" s="640"/>
      <c r="I57" s="640"/>
      <c r="J57" s="640"/>
      <c r="K57" s="640"/>
      <c r="L57" s="640"/>
      <c r="M57" s="640"/>
      <c r="N57" s="640"/>
      <c r="O57" s="640"/>
      <c r="P57" s="640"/>
    </row>
    <row r="58" spans="1:16">
      <c r="A58" s="1772"/>
      <c r="B58" s="1772"/>
      <c r="C58" s="640"/>
      <c r="D58" s="640"/>
      <c r="E58" s="640"/>
      <c r="F58" s="640"/>
      <c r="G58" s="640"/>
      <c r="H58" s="640"/>
      <c r="I58" s="640"/>
      <c r="J58" s="640"/>
      <c r="K58" s="640"/>
      <c r="L58" s="640"/>
      <c r="M58" s="640"/>
      <c r="N58" s="640"/>
      <c r="O58" s="640"/>
      <c r="P58" s="640"/>
    </row>
    <row r="59" spans="1:16">
      <c r="A59" s="1772"/>
      <c r="B59" s="1772"/>
      <c r="C59" s="640"/>
      <c r="D59" s="640"/>
      <c r="E59" s="640"/>
      <c r="F59" s="640"/>
      <c r="G59" s="640"/>
      <c r="H59" s="640"/>
      <c r="I59" s="640"/>
      <c r="J59" s="640"/>
      <c r="K59" s="640"/>
      <c r="L59" s="640"/>
      <c r="M59" s="640"/>
      <c r="N59" s="640"/>
      <c r="O59" s="640"/>
      <c r="P59" s="640"/>
    </row>
    <row r="60" spans="1:16">
      <c r="A60" s="1772"/>
      <c r="B60" s="1772"/>
      <c r="C60" s="640"/>
      <c r="D60" s="640"/>
      <c r="E60" s="640"/>
      <c r="F60" s="640"/>
      <c r="G60" s="640"/>
      <c r="H60" s="640"/>
      <c r="I60" s="640"/>
      <c r="J60" s="640"/>
      <c r="K60" s="640"/>
      <c r="L60" s="640"/>
      <c r="M60" s="640"/>
      <c r="N60" s="640"/>
      <c r="O60" s="640"/>
      <c r="P60" s="640"/>
    </row>
    <row r="61" spans="1:16">
      <c r="A61" s="1772"/>
      <c r="B61" s="1772"/>
      <c r="C61" s="640"/>
      <c r="D61" s="640"/>
      <c r="E61" s="640"/>
      <c r="F61" s="640"/>
      <c r="G61" s="640"/>
      <c r="H61" s="640"/>
      <c r="I61" s="640"/>
      <c r="J61" s="640"/>
      <c r="K61" s="640"/>
      <c r="L61" s="640"/>
      <c r="M61" s="640"/>
      <c r="N61" s="640"/>
      <c r="O61" s="640"/>
      <c r="P61" s="640"/>
    </row>
    <row r="62" spans="1:16">
      <c r="A62" s="1772"/>
      <c r="B62" s="1772"/>
      <c r="C62" s="640"/>
      <c r="D62" s="640"/>
      <c r="E62" s="640"/>
      <c r="F62" s="640"/>
      <c r="G62" s="640"/>
      <c r="H62" s="640"/>
      <c r="I62" s="640"/>
      <c r="J62" s="640"/>
      <c r="K62" s="640"/>
      <c r="L62" s="640"/>
      <c r="M62" s="640"/>
      <c r="N62" s="640"/>
      <c r="O62" s="640"/>
      <c r="P62" s="640"/>
    </row>
    <row r="63" spans="1:16">
      <c r="A63" s="1772"/>
      <c r="B63" s="1772"/>
      <c r="C63" s="640"/>
      <c r="D63" s="640"/>
      <c r="E63" s="640"/>
      <c r="F63" s="640"/>
      <c r="G63" s="640"/>
      <c r="H63" s="640"/>
      <c r="I63" s="640"/>
      <c r="J63" s="640"/>
      <c r="K63" s="640"/>
      <c r="L63" s="640"/>
      <c r="M63" s="640"/>
      <c r="N63" s="640"/>
      <c r="O63" s="640"/>
      <c r="P63" s="640"/>
    </row>
    <row r="64" spans="1:16">
      <c r="A64" s="1772"/>
      <c r="B64" s="1772"/>
      <c r="C64" s="640"/>
      <c r="D64" s="640"/>
      <c r="E64" s="640"/>
      <c r="F64" s="640"/>
      <c r="G64" s="640"/>
      <c r="H64" s="640"/>
      <c r="I64" s="640"/>
      <c r="J64" s="640"/>
      <c r="K64" s="640"/>
      <c r="L64" s="640"/>
      <c r="M64" s="640"/>
      <c r="N64" s="640"/>
      <c r="O64" s="640"/>
      <c r="P64" s="640"/>
    </row>
    <row r="65" spans="1:16">
      <c r="A65" s="1772"/>
      <c r="B65" s="1772"/>
      <c r="C65" s="640"/>
      <c r="D65" s="640"/>
      <c r="E65" s="640"/>
      <c r="F65" s="640"/>
      <c r="G65" s="640"/>
      <c r="H65" s="640"/>
      <c r="I65" s="640"/>
      <c r="J65" s="640"/>
      <c r="K65" s="640"/>
      <c r="L65" s="640"/>
      <c r="M65" s="640"/>
      <c r="N65" s="640"/>
      <c r="O65" s="640"/>
      <c r="P65" s="640"/>
    </row>
    <row r="66" spans="1:16">
      <c r="A66" s="1772"/>
      <c r="B66" s="1772"/>
      <c r="C66" s="640"/>
      <c r="D66" s="640"/>
      <c r="E66" s="640"/>
      <c r="F66" s="640"/>
      <c r="G66" s="640"/>
      <c r="H66" s="640"/>
      <c r="I66" s="640"/>
      <c r="J66" s="640"/>
      <c r="K66" s="640"/>
      <c r="L66" s="640"/>
      <c r="M66" s="640"/>
      <c r="N66" s="640"/>
      <c r="O66" s="640"/>
      <c r="P66" s="640"/>
    </row>
    <row r="67" spans="1:16">
      <c r="A67" s="1772"/>
      <c r="B67" s="1772"/>
      <c r="C67" s="640"/>
      <c r="D67" s="640"/>
      <c r="E67" s="640"/>
      <c r="F67" s="640"/>
      <c r="G67" s="640"/>
      <c r="H67" s="640"/>
      <c r="I67" s="640"/>
      <c r="J67" s="640"/>
      <c r="K67" s="640"/>
      <c r="L67" s="640"/>
      <c r="M67" s="640"/>
      <c r="N67" s="640"/>
      <c r="O67" s="640"/>
      <c r="P67" s="640"/>
    </row>
    <row r="68" spans="1:16">
      <c r="A68" s="1772"/>
      <c r="B68" s="1772"/>
      <c r="C68" s="640"/>
      <c r="D68" s="640"/>
      <c r="E68" s="640"/>
      <c r="F68" s="640"/>
      <c r="G68" s="640"/>
      <c r="H68" s="640"/>
      <c r="I68" s="640"/>
      <c r="J68" s="640"/>
      <c r="K68" s="640"/>
      <c r="L68" s="640"/>
      <c r="M68" s="640"/>
      <c r="N68" s="640"/>
      <c r="O68" s="640"/>
      <c r="P68" s="640"/>
    </row>
    <row r="69" spans="1:16">
      <c r="A69" s="1772"/>
      <c r="B69" s="1772"/>
      <c r="C69" s="640"/>
      <c r="D69" s="640"/>
      <c r="E69" s="640"/>
      <c r="F69" s="640"/>
      <c r="G69" s="640"/>
      <c r="H69" s="640"/>
      <c r="I69" s="640"/>
      <c r="J69" s="640"/>
      <c r="K69" s="640"/>
      <c r="L69" s="640"/>
      <c r="M69" s="640"/>
      <c r="N69" s="640"/>
      <c r="O69" s="640"/>
      <c r="P69" s="640"/>
    </row>
    <row r="70" spans="1:16">
      <c r="A70" s="1772"/>
      <c r="B70" s="1772"/>
      <c r="C70" s="640"/>
      <c r="D70" s="640"/>
      <c r="E70" s="640"/>
      <c r="F70" s="640"/>
      <c r="G70" s="640"/>
      <c r="H70" s="640"/>
      <c r="I70" s="640"/>
      <c r="J70" s="640"/>
      <c r="K70" s="640"/>
      <c r="L70" s="640"/>
      <c r="M70" s="640"/>
      <c r="N70" s="640"/>
      <c r="O70" s="640"/>
      <c r="P70" s="640"/>
    </row>
    <row r="71" spans="1:16">
      <c r="A71" s="1772"/>
      <c r="B71" s="1772"/>
      <c r="C71" s="640"/>
      <c r="D71" s="640"/>
      <c r="E71" s="640"/>
      <c r="F71" s="640"/>
      <c r="G71" s="640"/>
      <c r="H71" s="640"/>
      <c r="I71" s="640"/>
      <c r="J71" s="640"/>
      <c r="K71" s="640"/>
      <c r="L71" s="640"/>
      <c r="M71" s="640"/>
      <c r="N71" s="640"/>
      <c r="O71" s="640"/>
      <c r="P71" s="640"/>
    </row>
    <row r="72" spans="1:16">
      <c r="A72" s="1772"/>
      <c r="B72" s="1772"/>
      <c r="C72" s="640"/>
      <c r="D72" s="640"/>
      <c r="E72" s="640"/>
      <c r="F72" s="640"/>
      <c r="G72" s="640"/>
      <c r="H72" s="640"/>
      <c r="I72" s="640"/>
      <c r="J72" s="640"/>
      <c r="K72" s="640"/>
      <c r="L72" s="640"/>
      <c r="M72" s="640"/>
      <c r="N72" s="640"/>
      <c r="O72" s="640"/>
      <c r="P72" s="640"/>
    </row>
    <row r="73" spans="1:16">
      <c r="A73" s="1772"/>
      <c r="B73" s="1772"/>
      <c r="C73" s="640"/>
      <c r="D73" s="640"/>
      <c r="E73" s="640"/>
      <c r="F73" s="640"/>
      <c r="G73" s="640"/>
      <c r="H73" s="640"/>
      <c r="I73" s="640"/>
      <c r="J73" s="640"/>
      <c r="K73" s="640"/>
      <c r="L73" s="640"/>
      <c r="M73" s="640"/>
      <c r="N73" s="640"/>
      <c r="O73" s="640"/>
      <c r="P73" s="640"/>
    </row>
    <row r="74" spans="1:16">
      <c r="I74" s="640"/>
      <c r="J74" s="640"/>
      <c r="K74" s="640"/>
      <c r="L74" s="640"/>
      <c r="M74" s="640"/>
      <c r="N74" s="640"/>
      <c r="O74" s="640"/>
      <c r="P74" s="640"/>
    </row>
    <row r="75" spans="1:16">
      <c r="I75" s="640"/>
      <c r="J75" s="640"/>
      <c r="K75" s="640"/>
      <c r="L75" s="640"/>
      <c r="M75" s="640"/>
      <c r="N75" s="640"/>
      <c r="O75" s="640"/>
      <c r="P75" s="640"/>
    </row>
    <row r="76" spans="1:16">
      <c r="I76" s="640"/>
      <c r="J76" s="640"/>
      <c r="K76" s="640"/>
      <c r="L76" s="640"/>
      <c r="M76" s="640"/>
      <c r="N76" s="640"/>
      <c r="O76" s="640"/>
      <c r="P76" s="640"/>
    </row>
    <row r="77" spans="1:16">
      <c r="I77" s="640"/>
      <c r="J77" s="640"/>
      <c r="K77" s="640"/>
      <c r="L77" s="640"/>
      <c r="M77" s="640"/>
      <c r="N77" s="640"/>
      <c r="O77" s="640"/>
      <c r="P77" s="640"/>
    </row>
    <row r="78" spans="1:16">
      <c r="I78" s="640"/>
      <c r="J78" s="640"/>
      <c r="K78" s="640"/>
      <c r="L78" s="640"/>
      <c r="M78" s="640"/>
      <c r="N78" s="640"/>
      <c r="O78" s="640"/>
      <c r="P78" s="640"/>
    </row>
    <row r="79" spans="1:16">
      <c r="I79" s="640"/>
      <c r="J79" s="640"/>
      <c r="K79" s="640"/>
      <c r="L79" s="640"/>
      <c r="M79" s="640"/>
      <c r="N79" s="640"/>
      <c r="O79" s="640"/>
      <c r="P79" s="640"/>
    </row>
    <row r="80" spans="1:16">
      <c r="I80" s="640"/>
      <c r="J80" s="640"/>
      <c r="K80" s="640"/>
      <c r="L80" s="640"/>
      <c r="M80" s="640"/>
      <c r="N80" s="640"/>
      <c r="O80" s="640"/>
      <c r="P80" s="640"/>
    </row>
    <row r="81" spans="9:16">
      <c r="I81" s="640"/>
      <c r="J81" s="640"/>
      <c r="K81" s="640"/>
      <c r="L81" s="640"/>
      <c r="M81" s="640"/>
      <c r="N81" s="640"/>
      <c r="O81" s="640"/>
      <c r="P81" s="640"/>
    </row>
    <row r="82" spans="9:16">
      <c r="I82" s="640"/>
      <c r="J82" s="640"/>
      <c r="K82" s="640"/>
      <c r="L82" s="640"/>
      <c r="M82" s="640"/>
      <c r="N82" s="640"/>
      <c r="O82" s="640"/>
      <c r="P82" s="640"/>
    </row>
    <row r="83" spans="9:16">
      <c r="I83" s="640"/>
      <c r="J83" s="640"/>
      <c r="K83" s="640"/>
      <c r="L83" s="640"/>
      <c r="M83" s="640"/>
      <c r="N83" s="640"/>
      <c r="O83" s="640"/>
      <c r="P83" s="640"/>
    </row>
    <row r="84" spans="9:16">
      <c r="I84" s="640"/>
      <c r="J84" s="640"/>
      <c r="K84" s="640"/>
      <c r="L84" s="640"/>
      <c r="M84" s="640"/>
      <c r="N84" s="640"/>
      <c r="O84" s="640"/>
      <c r="P84" s="640"/>
    </row>
    <row r="85" spans="9:16">
      <c r="I85" s="640"/>
      <c r="J85" s="640"/>
      <c r="K85" s="640"/>
      <c r="L85" s="640"/>
      <c r="M85" s="640"/>
      <c r="N85" s="640"/>
      <c r="O85" s="640"/>
      <c r="P85" s="640"/>
    </row>
    <row r="86" spans="9:16">
      <c r="I86" s="640"/>
      <c r="J86" s="640"/>
      <c r="K86" s="640"/>
      <c r="L86" s="640"/>
      <c r="M86" s="640"/>
      <c r="N86" s="640"/>
      <c r="O86" s="640"/>
      <c r="P86" s="640"/>
    </row>
    <row r="87" spans="9:16">
      <c r="I87" s="640"/>
      <c r="J87" s="640"/>
      <c r="K87" s="640"/>
      <c r="L87" s="640"/>
      <c r="M87" s="640"/>
      <c r="N87" s="640"/>
      <c r="O87" s="640"/>
      <c r="P87" s="640"/>
    </row>
    <row r="88" spans="9:16">
      <c r="I88" s="640"/>
      <c r="J88" s="640"/>
      <c r="K88" s="640"/>
      <c r="L88" s="640"/>
      <c r="M88" s="640"/>
      <c r="N88" s="640"/>
      <c r="O88" s="640"/>
      <c r="P88" s="640"/>
    </row>
    <row r="89" spans="9:16">
      <c r="I89" s="640"/>
      <c r="J89" s="640"/>
      <c r="K89" s="640"/>
      <c r="L89" s="640"/>
      <c r="M89" s="640"/>
      <c r="N89" s="640"/>
      <c r="O89" s="640"/>
      <c r="P89" s="640"/>
    </row>
    <row r="90" spans="9:16">
      <c r="I90" s="640"/>
      <c r="J90" s="640"/>
      <c r="K90" s="640"/>
      <c r="L90" s="640"/>
      <c r="M90" s="640"/>
      <c r="N90" s="640"/>
      <c r="O90" s="640"/>
      <c r="P90" s="640"/>
    </row>
  </sheetData>
  <sheetProtection selectLockedCells="1" selectUnlockedCells="1"/>
  <mergeCells count="69">
    <mergeCell ref="I1:I4"/>
    <mergeCell ref="A3:B3"/>
    <mergeCell ref="A4:B4"/>
    <mergeCell ref="C3:E3"/>
    <mergeCell ref="C4:E4"/>
    <mergeCell ref="F1:H1"/>
    <mergeCell ref="F2:H2"/>
    <mergeCell ref="A1:E2"/>
    <mergeCell ref="A5:B5"/>
    <mergeCell ref="D5:E5"/>
    <mergeCell ref="A6:B6"/>
    <mergeCell ref="D6:E6"/>
    <mergeCell ref="A7:B7"/>
    <mergeCell ref="D7:E7"/>
    <mergeCell ref="A8:B8"/>
    <mergeCell ref="D8:E8"/>
    <mergeCell ref="A9:B9"/>
    <mergeCell ref="D9:E9"/>
    <mergeCell ref="A10:B10"/>
    <mergeCell ref="D10:E10"/>
    <mergeCell ref="A11:B11"/>
    <mergeCell ref="D11:E11"/>
    <mergeCell ref="A12:B12"/>
    <mergeCell ref="D12:E12"/>
    <mergeCell ref="A13:B13"/>
    <mergeCell ref="D13:E13"/>
    <mergeCell ref="A14:B14"/>
    <mergeCell ref="D14:E14"/>
    <mergeCell ref="A15:B15"/>
    <mergeCell ref="D15:E15"/>
    <mergeCell ref="I15:L20"/>
    <mergeCell ref="A16:B16"/>
    <mergeCell ref="D16:E16"/>
    <mergeCell ref="A17:B17"/>
    <mergeCell ref="D17:E17"/>
    <mergeCell ref="A18:B18"/>
    <mergeCell ref="D18:E18"/>
    <mergeCell ref="A19:B19"/>
    <mergeCell ref="D19:E19"/>
    <mergeCell ref="A20:B20"/>
    <mergeCell ref="D20:E20"/>
    <mergeCell ref="I21:L25"/>
    <mergeCell ref="A22:B22"/>
    <mergeCell ref="D22:E22"/>
    <mergeCell ref="A23:B23"/>
    <mergeCell ref="D23:E23"/>
    <mergeCell ref="A24:B24"/>
    <mergeCell ref="D24:E24"/>
    <mergeCell ref="A25:B25"/>
    <mergeCell ref="D25:E25"/>
    <mergeCell ref="A21:B21"/>
    <mergeCell ref="D21:E21"/>
    <mergeCell ref="A26:B26"/>
    <mergeCell ref="D26:E26"/>
    <mergeCell ref="I26:L30"/>
    <mergeCell ref="A27:C27"/>
    <mergeCell ref="D27:E27"/>
    <mergeCell ref="A28:B28"/>
    <mergeCell ref="C28:H28"/>
    <mergeCell ref="A29:B30"/>
    <mergeCell ref="D29:H29"/>
    <mergeCell ref="C30:H30"/>
    <mergeCell ref="I39:L42"/>
    <mergeCell ref="A31:B31"/>
    <mergeCell ref="C31:H31"/>
    <mergeCell ref="I31:L33"/>
    <mergeCell ref="I34:L35"/>
    <mergeCell ref="I36:L36"/>
    <mergeCell ref="I37:L38"/>
  </mergeCells>
  <phoneticPr fontId="135" type="noConversion"/>
  <dataValidations count="1">
    <dataValidation allowBlank="1" sqref="C20:C26">
      <formula1>0</formula1>
      <formula2>0</formula2>
    </dataValidation>
  </dataValidations>
  <hyperlinks>
    <hyperlink ref="I7" location="利润!A1" display="利润及利润分配表"/>
    <hyperlink ref="I8" location="纳税调整明细表!A1" display="纳税调整明细表"/>
    <hyperlink ref="I9" location="收入明细表!A1" display="收入明细表"/>
    <hyperlink ref="I10" location="税收优惠明细表!A1" display="税收优惠明细表"/>
    <hyperlink ref="I11" location="其他事项!A1" display="其他事项!A1"/>
    <hyperlink ref="I12" location="实收公积!A1" display="实收公积审核表"/>
    <hyperlink ref="I13" location="捐赠!A1" display="捐赠支出审核表"/>
    <hyperlink ref="I14" location="利息!A1" display="利息支出审核表"/>
    <hyperlink ref="I6"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drawing r:id="rId2"/>
  <legacyDrawing r:id="rId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8"/>
  <dimension ref="A1:M193"/>
  <sheetViews>
    <sheetView workbookViewId="0">
      <selection activeCell="E3" sqref="E3"/>
    </sheetView>
  </sheetViews>
  <sheetFormatPr defaultColWidth="9" defaultRowHeight="16.5"/>
  <cols>
    <col min="1" max="1" width="5.75" style="1769" customWidth="1"/>
    <col min="2" max="2" width="24.5" style="1769" customWidth="1"/>
    <col min="3" max="3" width="12.5" style="1769" customWidth="1"/>
    <col min="4" max="4" width="11.75" style="1769" customWidth="1"/>
    <col min="5" max="5" width="9.125" style="1769" customWidth="1"/>
    <col min="6" max="6" width="11.25" style="1769" customWidth="1"/>
    <col min="7" max="7" width="9.375" style="1769" customWidth="1"/>
    <col min="8" max="8" width="54" style="565" customWidth="1"/>
    <col min="9" max="10" width="9" style="565"/>
    <col min="11" max="11" width="9" style="755"/>
    <col min="12" max="13" width="9" style="1520"/>
    <col min="14" max="16384" width="9" style="565"/>
  </cols>
  <sheetData>
    <row r="1" spans="1:13" ht="25.9" customHeight="1">
      <c r="A1" s="3254" t="s">
        <v>4639</v>
      </c>
      <c r="B1" s="3254"/>
      <c r="C1" s="3254"/>
      <c r="D1" s="3254"/>
      <c r="E1" s="2754" t="str">
        <f>基本情况!$F$10</f>
        <v>厦中汇税审（2018）第DS0001号</v>
      </c>
      <c r="F1" s="2754"/>
      <c r="G1" s="2754"/>
      <c r="H1" s="3331"/>
      <c r="I1" s="564"/>
      <c r="J1" s="564"/>
      <c r="K1" s="723"/>
    </row>
    <row r="2" spans="1:13" s="1850" customFormat="1" ht="37.15" customHeight="1">
      <c r="A2" s="3254"/>
      <c r="B2" s="3254"/>
      <c r="C2" s="3254"/>
      <c r="D2" s="3254"/>
      <c r="E2" s="2949" t="str">
        <f>"底稿编号："&amp;开始!J16</f>
        <v>底稿编号：GL-14</v>
      </c>
      <c r="F2" s="2949"/>
      <c r="G2" s="2949"/>
      <c r="H2" s="3331"/>
      <c r="I2" s="2055"/>
      <c r="J2" s="2055"/>
      <c r="K2" s="723"/>
      <c r="L2" s="1520"/>
      <c r="M2" s="1520"/>
    </row>
    <row r="3" spans="1:13" ht="21" customHeight="1">
      <c r="A3" s="3060" t="str">
        <f>"委托单位："&amp;基本情况!$C$3</f>
        <v>委托单位：</v>
      </c>
      <c r="B3" s="3061"/>
      <c r="C3" s="3061"/>
      <c r="D3" s="3062"/>
      <c r="E3" s="2074" t="s">
        <v>4407</v>
      </c>
      <c r="F3" s="2075" t="str">
        <f>基本情况!$F$19&amp;""</f>
        <v/>
      </c>
      <c r="G3" s="2058" t="str">
        <f>TEXT(基本情况!$F$27,"yyyy-mm-dd")</f>
        <v>2018-03-16</v>
      </c>
      <c r="H3" s="3331"/>
      <c r="I3" s="564"/>
      <c r="J3" s="564"/>
      <c r="K3" s="723"/>
    </row>
    <row r="4" spans="1:13" ht="21" customHeight="1">
      <c r="A4" s="3057" t="str">
        <f>"会计期间："&amp;基本情况!$F$9</f>
        <v>会计期间：2017年01月01日至2017年12月31日</v>
      </c>
      <c r="B4" s="3058"/>
      <c r="C4" s="3058"/>
      <c r="D4" s="3059"/>
      <c r="E4" s="2076" t="s">
        <v>4410</v>
      </c>
      <c r="F4" s="2077" t="str">
        <f>基本情况!$F$18&amp;""</f>
        <v/>
      </c>
      <c r="G4" s="2061" t="str">
        <f>TEXT(基本情况!$F$28,"yyyy-mm-dd")</f>
        <v>2018-05-04</v>
      </c>
      <c r="H4" s="3331"/>
      <c r="I4" s="564"/>
      <c r="J4" s="564"/>
      <c r="K4" s="723"/>
    </row>
    <row r="5" spans="1:13" ht="7.5" customHeight="1">
      <c r="A5" s="3357"/>
      <c r="B5" s="3357"/>
      <c r="C5" s="3357"/>
      <c r="D5" s="3357"/>
      <c r="E5" s="3357"/>
      <c r="F5" s="3357"/>
      <c r="G5" s="3357"/>
      <c r="H5" s="3331"/>
      <c r="I5" s="564"/>
      <c r="J5" s="564"/>
      <c r="K5" s="723"/>
    </row>
    <row r="6" spans="1:13" ht="30.75" customHeight="1">
      <c r="A6" s="620" t="s">
        <v>4513</v>
      </c>
      <c r="B6" s="569" t="s">
        <v>750</v>
      </c>
      <c r="C6" s="569" t="s">
        <v>4412</v>
      </c>
      <c r="D6" s="569" t="s">
        <v>4414</v>
      </c>
      <c r="E6" s="2927" t="s">
        <v>4415</v>
      </c>
      <c r="F6" s="2927"/>
      <c r="G6" s="717" t="s">
        <v>4388</v>
      </c>
      <c r="H6" s="1760" t="s">
        <v>1724</v>
      </c>
      <c r="I6" s="564"/>
      <c r="J6" s="564"/>
      <c r="K6" s="723"/>
    </row>
    <row r="7" spans="1:13" ht="14.25" customHeight="1">
      <c r="A7" s="627">
        <v>1</v>
      </c>
      <c r="B7" s="1776" t="s">
        <v>5873</v>
      </c>
      <c r="C7" s="633"/>
      <c r="D7" s="633"/>
      <c r="E7" s="3356">
        <f t="shared" ref="E7:E21" si="0">C7+D7</f>
        <v>0</v>
      </c>
      <c r="F7" s="3356"/>
      <c r="G7" s="1177"/>
      <c r="H7" s="704" t="s">
        <v>4369</v>
      </c>
      <c r="I7" s="564"/>
      <c r="J7" s="564"/>
      <c r="K7" s="723"/>
      <c r="L7" s="1777"/>
    </row>
    <row r="8" spans="1:13" ht="14.25" customHeight="1">
      <c r="A8" s="1030">
        <v>2</v>
      </c>
      <c r="B8" s="1778" t="s">
        <v>5874</v>
      </c>
      <c r="C8" s="638"/>
      <c r="D8" s="638"/>
      <c r="E8" s="3352">
        <f t="shared" si="0"/>
        <v>0</v>
      </c>
      <c r="F8" s="3352"/>
      <c r="G8" s="1024"/>
      <c r="H8" s="704" t="s">
        <v>5633</v>
      </c>
      <c r="I8" s="564"/>
      <c r="J8" s="564"/>
      <c r="K8" s="723"/>
      <c r="L8" s="1779"/>
    </row>
    <row r="9" spans="1:13" ht="14.25" customHeight="1">
      <c r="A9" s="1030">
        <v>3</v>
      </c>
      <c r="B9" s="1778" t="s">
        <v>5875</v>
      </c>
      <c r="C9" s="638"/>
      <c r="D9" s="638"/>
      <c r="E9" s="3352">
        <f t="shared" si="0"/>
        <v>0</v>
      </c>
      <c r="F9" s="3352"/>
      <c r="G9" s="1024"/>
      <c r="H9" s="570" t="s">
        <v>4583</v>
      </c>
      <c r="I9" s="564"/>
      <c r="J9" s="564"/>
      <c r="K9" s="723"/>
      <c r="L9" s="1779"/>
    </row>
    <row r="10" spans="1:13" ht="14.25" customHeight="1">
      <c r="A10" s="1030">
        <v>4</v>
      </c>
      <c r="B10" s="1778" t="s">
        <v>5876</v>
      </c>
      <c r="C10" s="638"/>
      <c r="D10" s="638"/>
      <c r="E10" s="3352">
        <f t="shared" si="0"/>
        <v>0</v>
      </c>
      <c r="F10" s="3352"/>
      <c r="G10" s="1024"/>
      <c r="H10" s="570" t="s">
        <v>4584</v>
      </c>
      <c r="I10" s="564"/>
      <c r="J10" s="564"/>
      <c r="K10" s="723"/>
      <c r="L10" s="1779"/>
    </row>
    <row r="11" spans="1:13" ht="14.25" customHeight="1">
      <c r="A11" s="1030">
        <v>5</v>
      </c>
      <c r="B11" s="1778" t="s">
        <v>5877</v>
      </c>
      <c r="C11" s="638"/>
      <c r="D11" s="638"/>
      <c r="E11" s="3352">
        <f t="shared" si="0"/>
        <v>0</v>
      </c>
      <c r="F11" s="3352"/>
      <c r="G11" s="1024"/>
      <c r="H11" s="570" t="s">
        <v>4534</v>
      </c>
      <c r="I11" s="564"/>
      <c r="J11" s="564"/>
      <c r="K11" s="723"/>
      <c r="L11" s="1779"/>
    </row>
    <row r="12" spans="1:13" ht="14.25" customHeight="1">
      <c r="A12" s="1030">
        <v>6</v>
      </c>
      <c r="B12" s="1778" t="s">
        <v>5878</v>
      </c>
      <c r="C12" s="638"/>
      <c r="D12" s="638"/>
      <c r="E12" s="3352">
        <f t="shared" si="0"/>
        <v>0</v>
      </c>
      <c r="F12" s="3352"/>
      <c r="G12" s="1024"/>
      <c r="H12" s="570" t="s">
        <v>4586</v>
      </c>
      <c r="I12" s="564"/>
      <c r="J12" s="564"/>
      <c r="K12" s="723"/>
      <c r="L12" s="1779"/>
    </row>
    <row r="13" spans="1:13" ht="14.25" customHeight="1">
      <c r="A13" s="1030">
        <v>7</v>
      </c>
      <c r="B13" s="1778" t="s">
        <v>5879</v>
      </c>
      <c r="C13" s="638"/>
      <c r="D13" s="638"/>
      <c r="E13" s="3352">
        <f t="shared" si="0"/>
        <v>0</v>
      </c>
      <c r="F13" s="3352"/>
      <c r="G13" s="1024"/>
      <c r="H13" s="570" t="s">
        <v>4585</v>
      </c>
      <c r="I13" s="564"/>
      <c r="J13" s="564"/>
      <c r="K13" s="723"/>
      <c r="L13" s="1777"/>
    </row>
    <row r="14" spans="1:13" ht="14.25" customHeight="1">
      <c r="A14" s="1030">
        <v>8</v>
      </c>
      <c r="B14" s="1778" t="s">
        <v>5880</v>
      </c>
      <c r="C14" s="638"/>
      <c r="D14" s="638"/>
      <c r="E14" s="3352">
        <f t="shared" si="0"/>
        <v>0</v>
      </c>
      <c r="F14" s="3352"/>
      <c r="G14" s="1024"/>
      <c r="H14" s="570" t="s">
        <v>5808</v>
      </c>
      <c r="I14" s="564"/>
      <c r="J14" s="564"/>
      <c r="K14" s="723"/>
    </row>
    <row r="15" spans="1:13" ht="14.25" customHeight="1">
      <c r="A15" s="1030">
        <v>9</v>
      </c>
      <c r="B15" s="1778" t="s">
        <v>5881</v>
      </c>
      <c r="C15" s="638"/>
      <c r="D15" s="638"/>
      <c r="E15" s="3352">
        <f t="shared" si="0"/>
        <v>0</v>
      </c>
      <c r="F15" s="3352"/>
      <c r="G15" s="1024"/>
      <c r="H15" s="704" t="s">
        <v>5224</v>
      </c>
      <c r="I15" s="564"/>
      <c r="J15" s="564"/>
      <c r="K15" s="723"/>
    </row>
    <row r="16" spans="1:13" ht="14.25" customHeight="1">
      <c r="A16" s="1030"/>
      <c r="B16" s="1778" t="s">
        <v>5882</v>
      </c>
      <c r="C16" s="721">
        <f>SUM(C17:C21)</f>
        <v>0</v>
      </c>
      <c r="D16" s="721">
        <f>SUM(D17:D21)</f>
        <v>0</v>
      </c>
      <c r="E16" s="3352">
        <f t="shared" si="0"/>
        <v>0</v>
      </c>
      <c r="F16" s="3352"/>
      <c r="G16" s="1024"/>
      <c r="H16" s="704" t="s">
        <v>5861</v>
      </c>
      <c r="I16" s="564"/>
      <c r="J16" s="564"/>
      <c r="K16" s="723"/>
    </row>
    <row r="17" spans="1:11" ht="14.25" customHeight="1">
      <c r="A17" s="1030"/>
      <c r="B17" s="1780" t="s">
        <v>5883</v>
      </c>
      <c r="C17" s="638"/>
      <c r="D17" s="638"/>
      <c r="E17" s="3352">
        <f t="shared" si="0"/>
        <v>0</v>
      </c>
      <c r="F17" s="3352"/>
      <c r="G17" s="1024"/>
      <c r="H17" s="704" t="s">
        <v>5884</v>
      </c>
      <c r="I17" s="564"/>
      <c r="J17" s="564"/>
      <c r="K17" s="723"/>
    </row>
    <row r="18" spans="1:11" ht="14.25" customHeight="1">
      <c r="A18" s="1030"/>
      <c r="B18" s="1780" t="s">
        <v>5885</v>
      </c>
      <c r="C18" s="638"/>
      <c r="D18" s="638"/>
      <c r="E18" s="3352">
        <f t="shared" si="0"/>
        <v>0</v>
      </c>
      <c r="F18" s="3352"/>
      <c r="G18" s="1024"/>
      <c r="H18" s="1657"/>
      <c r="I18" s="564"/>
      <c r="J18" s="564"/>
      <c r="K18" s="723"/>
    </row>
    <row r="19" spans="1:11" ht="14.25" customHeight="1">
      <c r="A19" s="1030"/>
      <c r="B19" s="1780" t="s">
        <v>5886</v>
      </c>
      <c r="C19" s="638"/>
      <c r="D19" s="638"/>
      <c r="E19" s="3352">
        <f t="shared" si="0"/>
        <v>0</v>
      </c>
      <c r="F19" s="3352"/>
      <c r="G19" s="1024"/>
      <c r="H19" s="3351"/>
      <c r="I19" s="3351"/>
      <c r="J19" s="564"/>
      <c r="K19" s="723"/>
    </row>
    <row r="20" spans="1:11" ht="14.25" customHeight="1">
      <c r="A20" s="1030"/>
      <c r="B20" s="1780"/>
      <c r="C20" s="638"/>
      <c r="D20" s="638"/>
      <c r="E20" s="3352">
        <f t="shared" si="0"/>
        <v>0</v>
      </c>
      <c r="F20" s="3352"/>
      <c r="G20" s="1024"/>
      <c r="H20" s="3351"/>
      <c r="I20" s="3351"/>
      <c r="J20" s="564"/>
      <c r="K20" s="723"/>
    </row>
    <row r="21" spans="1:11" ht="14.25" customHeight="1">
      <c r="A21" s="715"/>
      <c r="B21" s="1781"/>
      <c r="C21" s="642"/>
      <c r="D21" s="642"/>
      <c r="E21" s="3352">
        <f t="shared" si="0"/>
        <v>0</v>
      </c>
      <c r="F21" s="3352"/>
      <c r="G21" s="1021"/>
      <c r="H21" s="3351"/>
      <c r="I21" s="3351"/>
      <c r="J21" s="564"/>
      <c r="K21" s="723"/>
    </row>
    <row r="22" spans="1:11" ht="14.25" customHeight="1">
      <c r="A22" s="2917" t="s">
        <v>5887</v>
      </c>
      <c r="B22" s="2917"/>
      <c r="C22" s="1265">
        <f>SUM(C7:C16)</f>
        <v>0</v>
      </c>
      <c r="D22" s="1265">
        <f>SUM(D7:D16)</f>
        <v>0</v>
      </c>
      <c r="E22" s="3355">
        <f>SUM(E7:F16)</f>
        <v>0</v>
      </c>
      <c r="F22" s="3355"/>
      <c r="G22" s="1782"/>
      <c r="H22" s="1783"/>
      <c r="I22" s="564"/>
      <c r="J22" s="564"/>
      <c r="K22" s="723"/>
    </row>
    <row r="23" spans="1:11" ht="14.25" customHeight="1">
      <c r="A23" s="627">
        <v>1</v>
      </c>
      <c r="B23" s="1776" t="s">
        <v>5888</v>
      </c>
      <c r="C23" s="633"/>
      <c r="D23" s="633"/>
      <c r="E23" s="3352">
        <f>C23+D23</f>
        <v>0</v>
      </c>
      <c r="F23" s="3352"/>
      <c r="G23" s="1177"/>
      <c r="H23" s="3350" t="s">
        <v>5889</v>
      </c>
      <c r="I23" s="3350"/>
      <c r="J23" s="3350"/>
      <c r="K23" s="3350"/>
    </row>
    <row r="24" spans="1:11" ht="14.25" customHeight="1">
      <c r="A24" s="1030">
        <v>2</v>
      </c>
      <c r="B24" s="1778" t="s">
        <v>5890</v>
      </c>
      <c r="C24" s="638"/>
      <c r="D24" s="638"/>
      <c r="E24" s="3352">
        <f>C24+D24</f>
        <v>0</v>
      </c>
      <c r="F24" s="3352"/>
      <c r="G24" s="1024"/>
      <c r="H24" s="3350"/>
      <c r="I24" s="3350"/>
      <c r="J24" s="3350"/>
      <c r="K24" s="3350"/>
    </row>
    <row r="25" spans="1:11" ht="14.25" customHeight="1">
      <c r="A25" s="1030">
        <v>3</v>
      </c>
      <c r="B25" s="1778" t="s">
        <v>5891</v>
      </c>
      <c r="C25" s="638"/>
      <c r="D25" s="638"/>
      <c r="E25" s="3352">
        <f t="shared" ref="E25:E36" si="1">C25+D25</f>
        <v>0</v>
      </c>
      <c r="F25" s="3352"/>
      <c r="G25" s="1024"/>
      <c r="H25" s="3350"/>
      <c r="I25" s="3350"/>
      <c r="J25" s="3350"/>
      <c r="K25" s="3350"/>
    </row>
    <row r="26" spans="1:11" ht="14.25" customHeight="1">
      <c r="A26" s="1030">
        <v>4</v>
      </c>
      <c r="B26" s="1778" t="s">
        <v>5892</v>
      </c>
      <c r="C26" s="638"/>
      <c r="D26" s="638"/>
      <c r="E26" s="3352">
        <f t="shared" si="1"/>
        <v>0</v>
      </c>
      <c r="F26" s="3352"/>
      <c r="G26" s="1024"/>
      <c r="H26" s="3350"/>
      <c r="I26" s="3350"/>
      <c r="J26" s="3350"/>
      <c r="K26" s="3350"/>
    </row>
    <row r="27" spans="1:11" ht="14.25" customHeight="1">
      <c r="A27" s="1030">
        <v>5</v>
      </c>
      <c r="B27" s="1778" t="s">
        <v>5893</v>
      </c>
      <c r="C27" s="638"/>
      <c r="D27" s="638"/>
      <c r="E27" s="3352">
        <f t="shared" si="1"/>
        <v>0</v>
      </c>
      <c r="F27" s="3352"/>
      <c r="G27" s="1024"/>
      <c r="H27" s="3350"/>
      <c r="I27" s="3350"/>
      <c r="J27" s="3350"/>
      <c r="K27" s="3350"/>
    </row>
    <row r="28" spans="1:11" ht="14.25" customHeight="1">
      <c r="A28" s="1030">
        <v>6</v>
      </c>
      <c r="B28" s="1778" t="s">
        <v>5894</v>
      </c>
      <c r="C28" s="638"/>
      <c r="D28" s="638"/>
      <c r="E28" s="3352">
        <f t="shared" si="1"/>
        <v>0</v>
      </c>
      <c r="F28" s="3352"/>
      <c r="G28" s="1024"/>
      <c r="H28" s="3350"/>
      <c r="I28" s="3350"/>
      <c r="J28" s="3350"/>
      <c r="K28" s="3350"/>
    </row>
    <row r="29" spans="1:11" ht="14.25" customHeight="1">
      <c r="A29" s="1030">
        <v>7</v>
      </c>
      <c r="B29" s="1778" t="s">
        <v>5895</v>
      </c>
      <c r="C29" s="638"/>
      <c r="D29" s="638"/>
      <c r="E29" s="3352">
        <f t="shared" si="1"/>
        <v>0</v>
      </c>
      <c r="F29" s="3352"/>
      <c r="G29" s="1024"/>
      <c r="H29" s="3350"/>
      <c r="I29" s="3350"/>
      <c r="J29" s="3350"/>
      <c r="K29" s="3350"/>
    </row>
    <row r="30" spans="1:11" ht="14.25" customHeight="1">
      <c r="A30" s="1030">
        <v>8</v>
      </c>
      <c r="B30" s="1778" t="s">
        <v>5896</v>
      </c>
      <c r="E30" s="3352">
        <f t="shared" si="1"/>
        <v>0</v>
      </c>
      <c r="F30" s="3352"/>
      <c r="G30" s="1024"/>
      <c r="H30" s="3350"/>
      <c r="I30" s="3350"/>
      <c r="J30" s="3350"/>
      <c r="K30" s="3350"/>
    </row>
    <row r="31" spans="1:11" ht="14.25" customHeight="1">
      <c r="A31" s="1030">
        <v>9</v>
      </c>
      <c r="B31" s="1778" t="s">
        <v>5897</v>
      </c>
      <c r="C31" s="638"/>
      <c r="D31" s="638"/>
      <c r="E31" s="3352">
        <f t="shared" si="1"/>
        <v>0</v>
      </c>
      <c r="F31" s="3352"/>
      <c r="G31" s="1024"/>
      <c r="H31" s="3350"/>
      <c r="I31" s="3350"/>
      <c r="J31" s="3350"/>
      <c r="K31" s="3350"/>
    </row>
    <row r="32" spans="1:11" ht="14.25" customHeight="1">
      <c r="A32" s="1030">
        <v>10</v>
      </c>
      <c r="B32" s="1778" t="s">
        <v>5882</v>
      </c>
      <c r="C32" s="721">
        <f>SUM(C33:C36)</f>
        <v>0</v>
      </c>
      <c r="D32" s="721">
        <f>SUM(D33:D36)</f>
        <v>0</v>
      </c>
      <c r="E32" s="3352">
        <f t="shared" si="1"/>
        <v>0</v>
      </c>
      <c r="F32" s="3352"/>
      <c r="G32" s="1024"/>
      <c r="H32" s="3350"/>
      <c r="I32" s="3350"/>
      <c r="J32" s="3350"/>
      <c r="K32" s="3350"/>
    </row>
    <row r="33" spans="1:11" ht="14.25" customHeight="1">
      <c r="A33" s="1030">
        <v>11</v>
      </c>
      <c r="B33" s="1784" t="s">
        <v>5898</v>
      </c>
      <c r="C33" s="638"/>
      <c r="D33" s="638"/>
      <c r="E33" s="3352">
        <f t="shared" si="1"/>
        <v>0</v>
      </c>
      <c r="F33" s="3352"/>
      <c r="G33" s="1024"/>
      <c r="H33" s="3350"/>
      <c r="I33" s="3350"/>
      <c r="J33" s="3350"/>
      <c r="K33" s="3350"/>
    </row>
    <row r="34" spans="1:11" ht="14.25" customHeight="1">
      <c r="A34" s="1030">
        <v>12</v>
      </c>
      <c r="B34" s="1780"/>
      <c r="C34" s="638"/>
      <c r="D34" s="638"/>
      <c r="E34" s="3352">
        <f t="shared" si="1"/>
        <v>0</v>
      </c>
      <c r="F34" s="3352"/>
      <c r="G34" s="1024"/>
      <c r="H34" s="3350"/>
      <c r="I34" s="3350"/>
      <c r="J34" s="3350"/>
      <c r="K34" s="3350"/>
    </row>
    <row r="35" spans="1:11" ht="14.25" customHeight="1">
      <c r="A35" s="1030"/>
      <c r="B35" s="1780"/>
      <c r="C35" s="638"/>
      <c r="D35" s="638"/>
      <c r="E35" s="3352">
        <f t="shared" si="1"/>
        <v>0</v>
      </c>
      <c r="F35" s="3352"/>
      <c r="G35" s="1024"/>
      <c r="H35" s="3350"/>
      <c r="I35" s="3350"/>
      <c r="J35" s="3350"/>
      <c r="K35" s="3350"/>
    </row>
    <row r="36" spans="1:11" ht="14.25" customHeight="1">
      <c r="A36" s="715"/>
      <c r="B36" s="1781"/>
      <c r="C36" s="642"/>
      <c r="D36" s="642"/>
      <c r="E36" s="3352">
        <f t="shared" si="1"/>
        <v>0</v>
      </c>
      <c r="F36" s="3352"/>
      <c r="G36" s="1021"/>
      <c r="H36" s="3350"/>
      <c r="I36" s="3350"/>
      <c r="J36" s="3350"/>
      <c r="K36" s="3350"/>
    </row>
    <row r="37" spans="1:11" ht="14.25" customHeight="1">
      <c r="A37" s="2917" t="s">
        <v>5899</v>
      </c>
      <c r="B37" s="2917"/>
      <c r="C37" s="1265">
        <f>SUM(C23:C32)</f>
        <v>0</v>
      </c>
      <c r="D37" s="1265">
        <f>SUM(D23:D32)</f>
        <v>0</v>
      </c>
      <c r="E37" s="3355">
        <f>SUM(E23:E30)</f>
        <v>0</v>
      </c>
      <c r="F37" s="3355"/>
      <c r="G37" s="1782"/>
      <c r="H37" s="1783"/>
      <c r="I37" s="564"/>
      <c r="J37" s="564"/>
      <c r="K37" s="723"/>
    </row>
    <row r="38" spans="1:11" ht="30" customHeight="1">
      <c r="A38" s="745" t="s">
        <v>4430</v>
      </c>
      <c r="B38" s="3353" t="str">
        <f>IF(C22&lt;&gt;利润表!C30,"营业外收入账载数与报表数相差"&amp;DOLLAR(C22-利润表!C30,2)&amp;"元！","营业外收入账载数与报表数一致！")</f>
        <v>营业外收入账载数与报表数一致！</v>
      </c>
      <c r="C38" s="3353"/>
      <c r="D38" s="3354" t="str">
        <f>IF(C37&lt;&gt;利润表!C32,"营业外支出账载数与报表数相差"&amp;DOLLAR(C37-利润表!C32,2)&amp;"元！","营业外支出账载数与报表数一致！")</f>
        <v>营业外支出账载数与报表数一致！</v>
      </c>
      <c r="E38" s="3354"/>
      <c r="F38" s="3354"/>
      <c r="G38" s="3354"/>
      <c r="H38" s="1657" t="s">
        <v>4606</v>
      </c>
      <c r="I38" s="564"/>
      <c r="J38" s="564"/>
      <c r="K38" s="723"/>
    </row>
    <row r="39" spans="1:11" ht="15" customHeight="1">
      <c r="A39" s="3240" t="s">
        <v>5900</v>
      </c>
      <c r="B39" s="623" t="s">
        <v>5901</v>
      </c>
      <c r="C39" s="3072" t="str">
        <f>IF(OR(D22&lt;&gt;0,D37&lt;&gt;0),"、E","")</f>
        <v/>
      </c>
      <c r="D39" s="3072"/>
      <c r="E39" s="3072"/>
      <c r="F39" s="3072"/>
      <c r="G39" s="3072"/>
      <c r="H39" s="3351" t="s">
        <v>5902</v>
      </c>
      <c r="I39" s="3351"/>
      <c r="J39" s="564"/>
      <c r="K39" s="723"/>
    </row>
    <row r="40" spans="1:11" ht="18" customHeight="1">
      <c r="A40" s="3240"/>
      <c r="B40" s="3290"/>
      <c r="C40" s="3252"/>
      <c r="D40" s="3252"/>
      <c r="E40" s="3252"/>
      <c r="F40" s="3252"/>
      <c r="G40" s="3252"/>
      <c r="H40" s="3351"/>
      <c r="I40" s="3351"/>
      <c r="J40" s="564"/>
      <c r="K40" s="723"/>
    </row>
    <row r="41" spans="1:11" ht="18" customHeight="1">
      <c r="A41" s="3240"/>
      <c r="B41" s="3252"/>
      <c r="C41" s="3252"/>
      <c r="D41" s="3252"/>
      <c r="E41" s="3252"/>
      <c r="F41" s="3252"/>
      <c r="G41" s="3252"/>
      <c r="H41" s="3351"/>
      <c r="I41" s="3351"/>
      <c r="J41" s="564"/>
      <c r="K41" s="723"/>
    </row>
    <row r="42" spans="1:11" ht="15.75" customHeight="1">
      <c r="A42" s="3240"/>
      <c r="B42" s="3252"/>
      <c r="C42" s="3252"/>
      <c r="D42" s="3252"/>
      <c r="E42" s="3252"/>
      <c r="F42" s="3252"/>
      <c r="G42" s="3252"/>
      <c r="H42" s="3350" t="s">
        <v>5903</v>
      </c>
      <c r="I42" s="3350"/>
      <c r="J42" s="564"/>
      <c r="K42" s="723"/>
    </row>
    <row r="43" spans="1:11" ht="18" customHeight="1">
      <c r="A43" s="3240"/>
      <c r="B43" s="3252"/>
      <c r="C43" s="3252"/>
      <c r="D43" s="3252"/>
      <c r="E43" s="3252"/>
      <c r="F43" s="3252"/>
      <c r="G43" s="3252"/>
      <c r="H43" s="3350"/>
      <c r="I43" s="3350"/>
      <c r="J43" s="564"/>
      <c r="K43" s="723"/>
    </row>
    <row r="44" spans="1:11" ht="24" customHeight="1">
      <c r="A44" s="3240"/>
      <c r="B44" s="3252"/>
      <c r="C44" s="3252"/>
      <c r="D44" s="3252"/>
      <c r="E44" s="3252"/>
      <c r="F44" s="3252"/>
      <c r="G44" s="3252"/>
      <c r="H44" s="3350"/>
      <c r="I44" s="3350"/>
      <c r="J44" s="564"/>
      <c r="K44" s="723"/>
    </row>
    <row r="45" spans="1:11" ht="30" customHeight="1">
      <c r="A45" s="625" t="s">
        <v>5904</v>
      </c>
      <c r="B45" s="3067" t="str">
        <f>IF(AND(D22=0,D37=0),"没有调整事项，且勾稽关系正确，认可！","调整后，认可！")</f>
        <v>没有调整事项，且勾稽关系正确，认可！</v>
      </c>
      <c r="C45" s="3067"/>
      <c r="D45" s="3067"/>
      <c r="E45" s="3067"/>
      <c r="F45" s="3067"/>
      <c r="G45" s="3067"/>
      <c r="H45" s="3350"/>
      <c r="I45" s="3350"/>
      <c r="J45" s="564"/>
      <c r="K45" s="723"/>
    </row>
    <row r="46" spans="1:11" ht="25.5" customHeight="1">
      <c r="H46" s="3350"/>
      <c r="I46" s="3350"/>
      <c r="J46" s="564"/>
      <c r="K46" s="723"/>
    </row>
    <row r="47" spans="1:11" ht="25.5" customHeight="1">
      <c r="H47" s="564"/>
      <c r="I47" s="564"/>
      <c r="J47" s="564"/>
      <c r="K47" s="723"/>
    </row>
    <row r="48" spans="1:11" ht="25.5" customHeight="1">
      <c r="H48" s="564"/>
      <c r="I48" s="564"/>
      <c r="J48" s="564"/>
      <c r="K48" s="723"/>
    </row>
    <row r="49" spans="8:11" ht="25.5" customHeight="1">
      <c r="H49" s="564"/>
      <c r="I49" s="564"/>
      <c r="J49" s="564"/>
      <c r="K49" s="723"/>
    </row>
    <row r="50" spans="8:11" ht="46.5" customHeight="1">
      <c r="H50" s="564"/>
      <c r="I50" s="564"/>
      <c r="J50" s="564"/>
      <c r="K50" s="723"/>
    </row>
    <row r="51" spans="8:11" ht="25.5" customHeight="1">
      <c r="H51" s="564"/>
      <c r="I51" s="564"/>
      <c r="J51" s="564"/>
      <c r="K51" s="723"/>
    </row>
    <row r="52" spans="8:11" ht="25.5" customHeight="1">
      <c r="H52" s="564"/>
      <c r="I52" s="564"/>
      <c r="J52" s="564"/>
      <c r="K52" s="723"/>
    </row>
    <row r="53" spans="8:11" ht="25.5" customHeight="1">
      <c r="H53" s="564"/>
      <c r="I53" s="564"/>
      <c r="J53" s="564"/>
      <c r="K53" s="723"/>
    </row>
    <row r="54" spans="8:11" ht="25.5" customHeight="1">
      <c r="H54" s="564"/>
      <c r="I54" s="564"/>
      <c r="J54" s="564"/>
      <c r="K54" s="723"/>
    </row>
    <row r="55" spans="8:11" ht="25.5" customHeight="1">
      <c r="H55" s="564"/>
      <c r="I55" s="564"/>
      <c r="J55" s="564"/>
      <c r="K55" s="723"/>
    </row>
    <row r="56" spans="8:11" ht="25.5" customHeight="1">
      <c r="H56" s="564"/>
      <c r="I56" s="564"/>
      <c r="J56" s="564"/>
      <c r="K56" s="723"/>
    </row>
    <row r="57" spans="8:11" ht="25.5" customHeight="1">
      <c r="H57" s="564"/>
      <c r="I57" s="564"/>
      <c r="J57" s="564"/>
      <c r="K57" s="723"/>
    </row>
    <row r="58" spans="8:11" ht="25.5" customHeight="1">
      <c r="H58" s="564"/>
      <c r="I58" s="564"/>
      <c r="J58" s="564"/>
      <c r="K58" s="723"/>
    </row>
    <row r="59" spans="8:11" ht="25.5" customHeight="1">
      <c r="H59" s="564"/>
      <c r="I59" s="564"/>
      <c r="J59" s="564"/>
      <c r="K59" s="723"/>
    </row>
    <row r="60" spans="8:11" ht="25.5" customHeight="1">
      <c r="H60" s="564"/>
      <c r="I60" s="564"/>
      <c r="J60" s="564"/>
      <c r="K60" s="723"/>
    </row>
    <row r="61" spans="8:11" ht="25.5" customHeight="1">
      <c r="H61" s="564"/>
      <c r="I61" s="564"/>
      <c r="J61" s="564"/>
      <c r="K61" s="723"/>
    </row>
    <row r="62" spans="8:11" ht="25.5" customHeight="1">
      <c r="H62" s="564"/>
      <c r="I62" s="564"/>
      <c r="J62" s="564"/>
      <c r="K62" s="723"/>
    </row>
    <row r="63" spans="8:11" ht="25.5" customHeight="1">
      <c r="H63" s="564"/>
      <c r="I63" s="564"/>
      <c r="J63" s="564"/>
      <c r="K63" s="723"/>
    </row>
    <row r="64" spans="8:11" ht="25.5" customHeight="1">
      <c r="H64" s="564"/>
      <c r="I64" s="564"/>
      <c r="J64" s="564"/>
      <c r="K64" s="723"/>
    </row>
    <row r="65" spans="8:11" ht="25.5" customHeight="1">
      <c r="H65" s="564"/>
      <c r="I65" s="564"/>
      <c r="J65" s="564"/>
      <c r="K65" s="723"/>
    </row>
    <row r="66" spans="8:11" ht="25.5" customHeight="1"/>
    <row r="67" spans="8:11" ht="25.5" customHeight="1"/>
    <row r="68" spans="8:11" ht="25.5" customHeight="1"/>
    <row r="69" spans="8:11" ht="25.5" customHeight="1"/>
    <row r="70" spans="8:11" ht="25.5" customHeight="1"/>
    <row r="71" spans="8:11" ht="25.5" customHeight="1"/>
    <row r="72" spans="8:11" ht="25.5" customHeight="1"/>
    <row r="73" spans="8:11" ht="25.5" customHeight="1"/>
    <row r="74" spans="8:11" ht="25.5" customHeight="1"/>
    <row r="75" spans="8:11" ht="25.5" customHeight="1"/>
    <row r="76" spans="8:11" ht="25.5" customHeight="1"/>
    <row r="77" spans="8:11" ht="25.5" customHeight="1"/>
    <row r="78" spans="8:11" ht="25.5" customHeight="1"/>
    <row r="79" spans="8:11" ht="25.5" customHeight="1"/>
    <row r="80" spans="8:11"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row r="193" ht="25.5" customHeight="1"/>
  </sheetData>
  <sheetProtection selectLockedCells="1" selectUnlockedCells="1"/>
  <mergeCells count="51">
    <mergeCell ref="E6:F6"/>
    <mergeCell ref="H1:H5"/>
    <mergeCell ref="A5:G5"/>
    <mergeCell ref="E1:G1"/>
    <mergeCell ref="E2:G2"/>
    <mergeCell ref="A3:D3"/>
    <mergeCell ref="A4:D4"/>
    <mergeCell ref="A1:D2"/>
    <mergeCell ref="E18:F18"/>
    <mergeCell ref="E7:F7"/>
    <mergeCell ref="E8:F8"/>
    <mergeCell ref="E9:F9"/>
    <mergeCell ref="E10:F10"/>
    <mergeCell ref="E11:F11"/>
    <mergeCell ref="E12:F12"/>
    <mergeCell ref="E13:F13"/>
    <mergeCell ref="E14:F14"/>
    <mergeCell ref="E15:F15"/>
    <mergeCell ref="E16:F16"/>
    <mergeCell ref="E17:F17"/>
    <mergeCell ref="E19:F19"/>
    <mergeCell ref="H19:I21"/>
    <mergeCell ref="E20:F20"/>
    <mergeCell ref="E21:F21"/>
    <mergeCell ref="A22:B22"/>
    <mergeCell ref="E22:F22"/>
    <mergeCell ref="A39:A44"/>
    <mergeCell ref="C39:G39"/>
    <mergeCell ref="A37:B37"/>
    <mergeCell ref="E37:F37"/>
    <mergeCell ref="E23:F23"/>
    <mergeCell ref="E24:F24"/>
    <mergeCell ref="E25:F25"/>
    <mergeCell ref="E26:F26"/>
    <mergeCell ref="E27:F27"/>
    <mergeCell ref="E28:F28"/>
    <mergeCell ref="E29:F29"/>
    <mergeCell ref="E30:F30"/>
    <mergeCell ref="E31:F31"/>
    <mergeCell ref="E32:F32"/>
    <mergeCell ref="E33:F33"/>
    <mergeCell ref="E34:F34"/>
    <mergeCell ref="H39:I41"/>
    <mergeCell ref="B40:G44"/>
    <mergeCell ref="H42:I46"/>
    <mergeCell ref="B45:G45"/>
    <mergeCell ref="E36:F36"/>
    <mergeCell ref="B38:C38"/>
    <mergeCell ref="D38:G38"/>
    <mergeCell ref="H23:K36"/>
    <mergeCell ref="E35:F35"/>
  </mergeCells>
  <phoneticPr fontId="135" type="noConversion"/>
  <dataValidations count="1">
    <dataValidation allowBlank="1" showErrorMessage="1" promptTitle="存在调整事项时" prompt="_x000a_选择 “E”" sqref="C39:G39">
      <formula1>0</formula1>
      <formula2>0</formula2>
    </dataValidation>
  </dataValidations>
  <hyperlinks>
    <hyperlink ref="H7" location="纳税申报数据!A1" display="纳税申报数据"/>
    <hyperlink ref="H8" location="税费缴纳测算!A1" display="税费缴纳测算"/>
    <hyperlink ref="H9" location="主营税金!A1" display="主营税金审核表"/>
    <hyperlink ref="H10" location="收入与申报核对表!A1" display="收入与申报核对表"/>
    <hyperlink ref="H11" location="利润!A1" display="利润及利润分配表"/>
    <hyperlink ref="H12" location="企业各税审核汇总表!A1" display="企业各税审核汇总表"/>
    <hyperlink ref="H13" location="收入明细表!A1" display="收入明细表"/>
    <hyperlink ref="H14" location="成本费用明细表!A1" display="成本费用明细表"/>
    <hyperlink ref="H15" location="纳税调整明细表!A1" display="纳税调整明细表!A1"/>
    <hyperlink ref="H16" location="其他事项!A1" display="其他事项!A1"/>
    <hyperlink ref="H17" location="捐赠!A1" display="捐赠"/>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0"/>
  <dimension ref="A1:W40"/>
  <sheetViews>
    <sheetView topLeftCell="F1" workbookViewId="0">
      <selection activeCell="J19" sqref="J19:K19"/>
    </sheetView>
  </sheetViews>
  <sheetFormatPr defaultColWidth="9" defaultRowHeight="16.5"/>
  <cols>
    <col min="1" max="1" width="7.625" style="565" customWidth="1"/>
    <col min="2" max="2" width="5.125" style="565" customWidth="1"/>
    <col min="3" max="6" width="7.125" style="565" customWidth="1"/>
    <col min="7" max="7" width="5.625" style="565" customWidth="1"/>
    <col min="8" max="8" width="9.875" style="565" customWidth="1"/>
    <col min="9" max="9" width="4.875" style="565" customWidth="1"/>
    <col min="10" max="10" width="4.375" style="565" customWidth="1"/>
    <col min="11" max="11" width="10.875" style="565" customWidth="1"/>
    <col min="12" max="12" width="2.375" style="565" customWidth="1"/>
    <col min="13" max="13" width="7.875" style="565" customWidth="1"/>
    <col min="14" max="16384" width="9" style="565"/>
  </cols>
  <sheetData>
    <row r="1" spans="1:21" ht="25.9" customHeight="1">
      <c r="A1" s="3254" t="s">
        <v>5079</v>
      </c>
      <c r="B1" s="3254"/>
      <c r="C1" s="3254"/>
      <c r="D1" s="3254"/>
      <c r="E1" s="3254"/>
      <c r="F1" s="3254"/>
      <c r="G1" s="3254"/>
      <c r="H1" s="3254"/>
      <c r="I1" s="2754" t="str">
        <f>基本情况!$F$10</f>
        <v>厦中汇税审（2018）第DS0001号</v>
      </c>
      <c r="J1" s="2754"/>
      <c r="K1" s="2754"/>
      <c r="L1" s="2754"/>
      <c r="M1" s="2754"/>
      <c r="N1" s="574"/>
      <c r="O1" s="564"/>
      <c r="P1" s="564"/>
      <c r="Q1" s="564"/>
      <c r="R1" s="564"/>
      <c r="S1" s="564"/>
      <c r="T1" s="564"/>
      <c r="U1" s="564"/>
    </row>
    <row r="2" spans="1:21" ht="37.15" customHeight="1">
      <c r="A2" s="3402"/>
      <c r="B2" s="3402"/>
      <c r="C2" s="3402"/>
      <c r="D2" s="3402"/>
      <c r="E2" s="3402"/>
      <c r="F2" s="3402"/>
      <c r="G2" s="3402"/>
      <c r="H2" s="3402"/>
      <c r="I2" s="2949" t="str">
        <f>"底稿编号："&amp;开始!J17</f>
        <v>底稿编号：GL-15</v>
      </c>
      <c r="J2" s="2949"/>
      <c r="K2" s="2949"/>
      <c r="L2" s="2949"/>
      <c r="M2" s="2949"/>
      <c r="N2" s="574"/>
      <c r="O2" s="564"/>
      <c r="P2" s="564"/>
      <c r="Q2" s="564"/>
      <c r="R2" s="564"/>
      <c r="S2" s="564"/>
      <c r="T2" s="564"/>
      <c r="U2" s="564"/>
    </row>
    <row r="3" spans="1:21" ht="21.75" customHeight="1">
      <c r="A3" s="3343" t="s">
        <v>4510</v>
      </c>
      <c r="B3" s="3344"/>
      <c r="C3" s="3396" t="str">
        <f>基本情况!$C$3</f>
        <v/>
      </c>
      <c r="D3" s="3397"/>
      <c r="E3" s="3397"/>
      <c r="F3" s="3397"/>
      <c r="G3" s="3397"/>
      <c r="H3" s="3398"/>
      <c r="I3" s="3390"/>
      <c r="J3" s="3391"/>
      <c r="K3" s="2074" t="s">
        <v>5080</v>
      </c>
      <c r="L3" s="3384" t="s">
        <v>4575</v>
      </c>
      <c r="M3" s="3385"/>
      <c r="N3" s="574"/>
      <c r="O3" s="564"/>
      <c r="P3" s="564"/>
      <c r="Q3" s="564"/>
      <c r="R3" s="564"/>
      <c r="S3" s="564"/>
      <c r="T3" s="564"/>
      <c r="U3" s="564"/>
    </row>
    <row r="4" spans="1:21" ht="19.5" customHeight="1">
      <c r="A4" s="3383"/>
      <c r="B4" s="2929"/>
      <c r="C4" s="3399"/>
      <c r="D4" s="3400"/>
      <c r="E4" s="3400"/>
      <c r="F4" s="3400"/>
      <c r="G4" s="3400"/>
      <c r="H4" s="3401"/>
      <c r="I4" s="3392" t="s">
        <v>4407</v>
      </c>
      <c r="J4" s="3393"/>
      <c r="K4" s="2072" t="str">
        <f>基本情况!$F$19&amp;""</f>
        <v/>
      </c>
      <c r="L4" s="3386" t="str">
        <f>TEXT(基本情况!$F$27,"yyyy-mm-dd")</f>
        <v>2018-03-16</v>
      </c>
      <c r="M4" s="3387"/>
      <c r="N4" s="574"/>
      <c r="O4" s="564"/>
      <c r="P4" s="564"/>
      <c r="Q4" s="564"/>
      <c r="R4" s="564"/>
      <c r="S4" s="564"/>
      <c r="T4" s="564"/>
      <c r="U4" s="564"/>
    </row>
    <row r="5" spans="1:21" ht="19.5" customHeight="1">
      <c r="A5" s="3345" t="s">
        <v>4512</v>
      </c>
      <c r="B5" s="3346"/>
      <c r="C5" s="3163" t="str">
        <f>基本情况!$F$9</f>
        <v>2017年01月01日至2017年12月31日</v>
      </c>
      <c r="D5" s="3164"/>
      <c r="E5" s="3164"/>
      <c r="F5" s="3164"/>
      <c r="G5" s="3164"/>
      <c r="H5" s="3165"/>
      <c r="I5" s="3394" t="s">
        <v>4410</v>
      </c>
      <c r="J5" s="3395"/>
      <c r="K5" s="1909" t="str">
        <f>基本情况!$F$18&amp;""</f>
        <v/>
      </c>
      <c r="L5" s="3388" t="str">
        <f>TEXT(基本情况!$F$28,"yyyy-mm-dd")</f>
        <v>2018-05-04</v>
      </c>
      <c r="M5" s="3389"/>
      <c r="N5" s="651"/>
      <c r="O5" s="564"/>
      <c r="P5" s="564"/>
      <c r="Q5" s="564"/>
      <c r="R5" s="564"/>
      <c r="S5" s="564"/>
      <c r="T5" s="564"/>
      <c r="U5" s="564"/>
    </row>
    <row r="6" spans="1:21" ht="7.5" customHeight="1">
      <c r="A6" s="3357"/>
      <c r="B6" s="3357"/>
      <c r="C6" s="3357"/>
      <c r="D6" s="3357"/>
      <c r="E6" s="3357"/>
      <c r="F6" s="3357"/>
      <c r="G6" s="3357"/>
      <c r="H6" s="3357"/>
      <c r="I6" s="3357"/>
      <c r="J6" s="3357"/>
      <c r="K6" s="3357"/>
      <c r="L6" s="3357"/>
      <c r="M6" s="3357"/>
      <c r="N6" s="564"/>
      <c r="O6" s="564"/>
      <c r="P6" s="564"/>
      <c r="Q6" s="564"/>
      <c r="R6" s="564"/>
      <c r="S6" s="564"/>
      <c r="T6" s="564"/>
      <c r="U6" s="564"/>
    </row>
    <row r="7" spans="1:21" ht="36" customHeight="1">
      <c r="A7" s="3239" t="s">
        <v>750</v>
      </c>
      <c r="B7" s="3239"/>
      <c r="C7" s="3239"/>
      <c r="D7" s="3239"/>
      <c r="E7" s="2928" t="s">
        <v>5081</v>
      </c>
      <c r="F7" s="2928"/>
      <c r="G7" s="2928" t="s">
        <v>5082</v>
      </c>
      <c r="H7" s="2928"/>
      <c r="I7" s="2928"/>
      <c r="J7" s="2928" t="s">
        <v>5083</v>
      </c>
      <c r="K7" s="2928"/>
      <c r="L7" s="3275" t="s">
        <v>4388</v>
      </c>
      <c r="M7" s="3275"/>
      <c r="N7" s="564" t="s">
        <v>1724</v>
      </c>
      <c r="O7" s="564"/>
      <c r="P7" s="564"/>
      <c r="Q7" s="564"/>
      <c r="R7" s="564"/>
      <c r="S7" s="564"/>
      <c r="T7" s="564"/>
      <c r="U7" s="564"/>
    </row>
    <row r="8" spans="1:21" ht="24" customHeight="1">
      <c r="A8" s="2929" t="s">
        <v>6130</v>
      </c>
      <c r="B8" s="2929"/>
      <c r="C8" s="2929"/>
      <c r="D8" s="2929"/>
      <c r="E8" s="3379">
        <f>销售费用!$D$10</f>
        <v>0</v>
      </c>
      <c r="F8" s="3379"/>
      <c r="G8" s="3380">
        <f>销售费用!$F$10</f>
        <v>0</v>
      </c>
      <c r="H8" s="3380"/>
      <c r="I8" s="3380"/>
      <c r="J8" s="3381">
        <f t="shared" ref="J8:J15" si="0">E8+G8</f>
        <v>0</v>
      </c>
      <c r="K8" s="3381"/>
      <c r="L8" s="3382"/>
      <c r="M8" s="3382"/>
      <c r="N8" s="3378" t="s">
        <v>5084</v>
      </c>
      <c r="O8" s="3378"/>
      <c r="P8" s="3378"/>
      <c r="Q8" s="564"/>
      <c r="R8" s="564"/>
      <c r="S8" s="564"/>
      <c r="T8" s="564"/>
      <c r="U8" s="564"/>
    </row>
    <row r="9" spans="1:21" ht="24" customHeight="1">
      <c r="A9" s="2653" t="s">
        <v>5085</v>
      </c>
      <c r="B9" s="2653"/>
      <c r="C9" s="2653"/>
      <c r="D9" s="2653"/>
      <c r="E9" s="3377">
        <f>管理费用!$D$10</f>
        <v>0</v>
      </c>
      <c r="F9" s="3377"/>
      <c r="G9" s="3339">
        <f>管理费用!$F$10</f>
        <v>0</v>
      </c>
      <c r="H9" s="3339"/>
      <c r="I9" s="3339"/>
      <c r="J9" s="3352">
        <f t="shared" si="0"/>
        <v>0</v>
      </c>
      <c r="K9" s="3352"/>
      <c r="L9" s="3374"/>
      <c r="M9" s="3374"/>
      <c r="N9" s="1214" t="s">
        <v>5086</v>
      </c>
      <c r="O9" s="564"/>
      <c r="P9" s="564"/>
      <c r="Q9" s="564"/>
      <c r="R9" s="564"/>
      <c r="S9" s="564"/>
      <c r="T9" s="564"/>
      <c r="U9" s="564"/>
    </row>
    <row r="10" spans="1:21" ht="24" customHeight="1">
      <c r="A10" s="2653" t="s">
        <v>5087</v>
      </c>
      <c r="B10" s="2653"/>
      <c r="C10" s="2653"/>
      <c r="D10" s="2653"/>
      <c r="E10" s="3377">
        <f>制造费用、生产成本!$C$25</f>
        <v>0</v>
      </c>
      <c r="F10" s="3377"/>
      <c r="G10" s="3339">
        <f>制造费用、生产成本!$F$25</f>
        <v>0</v>
      </c>
      <c r="H10" s="3339"/>
      <c r="I10" s="3339"/>
      <c r="J10" s="3352">
        <f t="shared" si="0"/>
        <v>0</v>
      </c>
      <c r="K10" s="3352"/>
      <c r="L10" s="3374"/>
      <c r="M10" s="3374"/>
      <c r="N10" s="704" t="s">
        <v>5043</v>
      </c>
      <c r="O10" s="564"/>
      <c r="P10" s="564"/>
      <c r="Q10" s="564"/>
      <c r="R10" s="564"/>
      <c r="S10" s="564"/>
      <c r="T10" s="564"/>
      <c r="U10" s="564"/>
    </row>
    <row r="11" spans="1:21" ht="24" customHeight="1">
      <c r="A11" s="2653" t="s">
        <v>5088</v>
      </c>
      <c r="B11" s="2653"/>
      <c r="C11" s="2653"/>
      <c r="D11" s="2653"/>
      <c r="E11" s="3339"/>
      <c r="F11" s="3339"/>
      <c r="G11" s="3339"/>
      <c r="H11" s="3339"/>
      <c r="I11" s="3339"/>
      <c r="J11" s="3352">
        <f t="shared" si="0"/>
        <v>0</v>
      </c>
      <c r="K11" s="3352"/>
      <c r="L11" s="3374"/>
      <c r="M11" s="3374"/>
      <c r="N11" s="1214"/>
      <c r="O11" s="564"/>
      <c r="P11" s="564"/>
      <c r="Q11" s="564"/>
      <c r="R11" s="564"/>
      <c r="S11" s="564"/>
      <c r="T11" s="564"/>
      <c r="U11" s="564"/>
    </row>
    <row r="12" spans="1:21" ht="24" customHeight="1">
      <c r="A12" s="2653" t="s">
        <v>5089</v>
      </c>
      <c r="B12" s="2653"/>
      <c r="C12" s="2653"/>
      <c r="D12" s="2653"/>
      <c r="E12" s="3339"/>
      <c r="F12" s="3339"/>
      <c r="G12" s="3339"/>
      <c r="H12" s="3339"/>
      <c r="I12" s="3339"/>
      <c r="J12" s="3352">
        <f t="shared" si="0"/>
        <v>0</v>
      </c>
      <c r="K12" s="3352"/>
      <c r="L12" s="3374"/>
      <c r="M12" s="3374"/>
      <c r="N12" s="1214"/>
      <c r="O12" s="564"/>
      <c r="P12" s="564"/>
      <c r="Q12" s="564"/>
      <c r="R12" s="564"/>
      <c r="S12" s="564"/>
      <c r="T12" s="564"/>
      <c r="U12" s="564"/>
    </row>
    <row r="13" spans="1:21" ht="24" customHeight="1">
      <c r="A13" s="2653" t="s">
        <v>5090</v>
      </c>
      <c r="B13" s="2653"/>
      <c r="C13" s="2653"/>
      <c r="D13" s="2653"/>
      <c r="E13" s="3339"/>
      <c r="F13" s="3339"/>
      <c r="G13" s="3339"/>
      <c r="H13" s="3339"/>
      <c r="I13" s="3339"/>
      <c r="J13" s="3352">
        <f t="shared" si="0"/>
        <v>0</v>
      </c>
      <c r="K13" s="3352"/>
      <c r="L13" s="3374"/>
      <c r="M13" s="3374"/>
      <c r="N13" s="1214"/>
      <c r="O13" s="564"/>
      <c r="P13" s="564"/>
      <c r="Q13" s="564"/>
      <c r="R13" s="564"/>
      <c r="S13" s="564"/>
      <c r="T13" s="564"/>
      <c r="U13" s="564"/>
    </row>
    <row r="14" spans="1:21" ht="24" customHeight="1">
      <c r="A14" s="2653" t="s">
        <v>5091</v>
      </c>
      <c r="B14" s="2653"/>
      <c r="C14" s="2653"/>
      <c r="D14" s="2653"/>
      <c r="E14" s="3339"/>
      <c r="F14" s="3339"/>
      <c r="G14" s="3352"/>
      <c r="H14" s="3352"/>
      <c r="I14" s="3352"/>
      <c r="J14" s="3352">
        <f t="shared" si="0"/>
        <v>0</v>
      </c>
      <c r="K14" s="3352"/>
      <c r="L14" s="3374"/>
      <c r="M14" s="3374"/>
      <c r="N14" s="3378" t="s">
        <v>4552</v>
      </c>
      <c r="O14" s="3378"/>
      <c r="P14" s="3378"/>
      <c r="Q14" s="564"/>
      <c r="R14" s="564"/>
      <c r="S14" s="564"/>
      <c r="T14" s="564"/>
      <c r="U14" s="564"/>
    </row>
    <row r="15" spans="1:21" ht="24" customHeight="1">
      <c r="A15" s="2653" t="s">
        <v>5092</v>
      </c>
      <c r="B15" s="2653"/>
      <c r="C15" s="2653"/>
      <c r="D15" s="2653"/>
      <c r="E15" s="3352">
        <f>SUM(E8:F14)</f>
        <v>0</v>
      </c>
      <c r="F15" s="3352"/>
      <c r="G15" s="3352">
        <f>SUM(G8:I14)</f>
        <v>0</v>
      </c>
      <c r="H15" s="3352"/>
      <c r="I15" s="3352"/>
      <c r="J15" s="3352">
        <f t="shared" si="0"/>
        <v>0</v>
      </c>
      <c r="K15" s="3352"/>
      <c r="L15" s="3374"/>
      <c r="M15" s="3374"/>
      <c r="N15" s="704" t="s">
        <v>5093</v>
      </c>
      <c r="O15" s="564"/>
      <c r="P15" s="564"/>
      <c r="Q15" s="564"/>
      <c r="R15" s="564"/>
      <c r="S15" s="564"/>
      <c r="T15" s="564"/>
      <c r="U15" s="564"/>
    </row>
    <row r="16" spans="1:21" ht="24" customHeight="1">
      <c r="A16" s="3375" t="s">
        <v>5094</v>
      </c>
      <c r="B16" s="3375"/>
      <c r="C16" s="3375"/>
      <c r="D16" s="3375"/>
      <c r="E16" s="3376" t="s">
        <v>133</v>
      </c>
      <c r="F16" s="3376"/>
      <c r="G16" s="3376" t="s">
        <v>133</v>
      </c>
      <c r="H16" s="3376"/>
      <c r="I16" s="3376"/>
      <c r="J16" s="3352">
        <f>ROUND(J15*0.6,2)</f>
        <v>0</v>
      </c>
      <c r="K16" s="3352"/>
      <c r="L16" s="3374"/>
      <c r="M16" s="3374"/>
      <c r="N16" s="704" t="s">
        <v>5095</v>
      </c>
      <c r="O16" s="564"/>
      <c r="P16" s="564"/>
      <c r="Q16" s="564"/>
      <c r="R16" s="564"/>
      <c r="S16" s="564"/>
      <c r="T16" s="564"/>
      <c r="U16" s="564"/>
    </row>
    <row r="17" spans="1:23" ht="24" customHeight="1">
      <c r="A17" s="3375" t="s">
        <v>6543</v>
      </c>
      <c r="B17" s="3375"/>
      <c r="C17" s="3375"/>
      <c r="D17" s="3375"/>
      <c r="E17" s="3376" t="s">
        <v>133</v>
      </c>
      <c r="F17" s="3376"/>
      <c r="G17" s="3376" t="s">
        <v>133</v>
      </c>
      <c r="H17" s="3376"/>
      <c r="I17" s="3376"/>
      <c r="J17" s="3377">
        <f>主营收支!$H$23+其他业务!$E$19</f>
        <v>0</v>
      </c>
      <c r="K17" s="3377"/>
      <c r="L17" s="3374"/>
      <c r="M17" s="3374"/>
      <c r="N17" s="704" t="s">
        <v>5096</v>
      </c>
      <c r="O17" s="564"/>
      <c r="P17" s="564"/>
      <c r="Q17" s="564"/>
      <c r="R17" s="564"/>
      <c r="S17" s="564"/>
      <c r="T17" s="564"/>
      <c r="U17" s="564"/>
    </row>
    <row r="18" spans="1:23" ht="24" customHeight="1">
      <c r="A18" s="3375" t="s">
        <v>6544</v>
      </c>
      <c r="B18" s="3375"/>
      <c r="C18" s="3375"/>
      <c r="D18" s="3375"/>
      <c r="E18" s="3376" t="s">
        <v>133</v>
      </c>
      <c r="F18" s="3376"/>
      <c r="G18" s="3376" t="s">
        <v>133</v>
      </c>
      <c r="H18" s="3376"/>
      <c r="I18" s="3376"/>
      <c r="J18" s="3377">
        <f>IF(基本情况!$C$10="是",投资收益审核表!$D$15+投资收益审核表!$K$15,0)</f>
        <v>0</v>
      </c>
      <c r="K18" s="3377"/>
      <c r="L18" s="3374"/>
      <c r="M18" s="3374"/>
      <c r="N18" s="564"/>
      <c r="O18" s="564"/>
      <c r="P18" s="564"/>
      <c r="Q18" s="564"/>
      <c r="R18" s="564"/>
      <c r="S18" s="564"/>
      <c r="T18" s="564"/>
      <c r="U18" s="564"/>
      <c r="V18" s="1215"/>
      <c r="W18" s="1215"/>
    </row>
    <row r="19" spans="1:23" ht="24" customHeight="1">
      <c r="A19" s="3375" t="s">
        <v>5097</v>
      </c>
      <c r="B19" s="3375"/>
      <c r="C19" s="3375"/>
      <c r="D19" s="3375"/>
      <c r="E19" s="3376" t="s">
        <v>133</v>
      </c>
      <c r="F19" s="3376"/>
      <c r="G19" s="3376" t="s">
        <v>133</v>
      </c>
      <c r="H19" s="3376"/>
      <c r="I19" s="3376"/>
      <c r="J19" s="3377">
        <f>A105010视同销售和房地产开发企业特定业务纳税调整明细表!C5</f>
        <v>0</v>
      </c>
      <c r="K19" s="3377"/>
      <c r="L19" s="3374"/>
      <c r="M19" s="3374"/>
      <c r="V19" s="1215"/>
      <c r="W19" s="1215"/>
    </row>
    <row r="20" spans="1:23" ht="24" customHeight="1">
      <c r="A20" s="3375" t="s">
        <v>5098</v>
      </c>
      <c r="B20" s="3375"/>
      <c r="C20" s="3375"/>
      <c r="D20" s="3375"/>
      <c r="E20" s="3376" t="s">
        <v>133</v>
      </c>
      <c r="F20" s="3376"/>
      <c r="G20" s="3376" t="s">
        <v>133</v>
      </c>
      <c r="H20" s="3376"/>
      <c r="I20" s="3376"/>
      <c r="J20" s="3352">
        <f>SUM(J17:K19)+J24</f>
        <v>0</v>
      </c>
      <c r="K20" s="3352"/>
      <c r="L20" s="3374"/>
      <c r="M20" s="3374"/>
      <c r="N20" s="3336" t="s">
        <v>6132</v>
      </c>
      <c r="O20" s="3350"/>
      <c r="P20" s="3350"/>
      <c r="Q20" s="3350"/>
      <c r="R20" s="3350"/>
      <c r="S20" s="3350"/>
      <c r="T20" s="3350"/>
      <c r="U20" s="3350"/>
      <c r="V20" s="1215"/>
      <c r="W20" s="1215"/>
    </row>
    <row r="21" spans="1:23" ht="24" customHeight="1">
      <c r="A21" s="3375" t="s">
        <v>5099</v>
      </c>
      <c r="B21" s="3375"/>
      <c r="C21" s="3375"/>
      <c r="D21" s="3375"/>
      <c r="E21" s="3376" t="s">
        <v>133</v>
      </c>
      <c r="F21" s="3376"/>
      <c r="G21" s="3376" t="s">
        <v>133</v>
      </c>
      <c r="H21" s="3376"/>
      <c r="I21" s="3376"/>
      <c r="J21" s="3352">
        <f>ROUND(J20*0.005,2)</f>
        <v>0</v>
      </c>
      <c r="K21" s="3352"/>
      <c r="L21" s="3374"/>
      <c r="M21" s="3374"/>
      <c r="N21" s="3336"/>
      <c r="O21" s="3350"/>
      <c r="P21" s="3350"/>
      <c r="Q21" s="3350"/>
      <c r="R21" s="3350"/>
      <c r="S21" s="3350"/>
      <c r="T21" s="3350"/>
      <c r="U21" s="3350"/>
      <c r="V21" s="1215"/>
      <c r="W21" s="1215"/>
    </row>
    <row r="22" spans="1:23" ht="24" customHeight="1">
      <c r="A22" s="3375" t="s">
        <v>5100</v>
      </c>
      <c r="B22" s="3375"/>
      <c r="C22" s="3375"/>
      <c r="D22" s="3375"/>
      <c r="E22" s="3376" t="s">
        <v>133</v>
      </c>
      <c r="F22" s="3376"/>
      <c r="G22" s="3376" t="s">
        <v>133</v>
      </c>
      <c r="H22" s="3376"/>
      <c r="I22" s="3376"/>
      <c r="J22" s="3352">
        <f>MIN(J16,J21)</f>
        <v>0</v>
      </c>
      <c r="K22" s="3352"/>
      <c r="L22" s="3374"/>
      <c r="M22" s="3374"/>
      <c r="N22" s="3336"/>
      <c r="O22" s="3350"/>
      <c r="P22" s="3350"/>
      <c r="Q22" s="3350"/>
      <c r="R22" s="3350"/>
      <c r="S22" s="3350"/>
      <c r="T22" s="3350"/>
      <c r="U22" s="3350"/>
      <c r="V22" s="1215"/>
      <c r="W22" s="1215"/>
    </row>
    <row r="23" spans="1:23" ht="24" customHeight="1">
      <c r="A23" s="3367" t="s">
        <v>546</v>
      </c>
      <c r="B23" s="3367"/>
      <c r="C23" s="3367"/>
      <c r="D23" s="3367"/>
      <c r="E23" s="3368" t="s">
        <v>133</v>
      </c>
      <c r="F23" s="3368"/>
      <c r="G23" s="3368" t="s">
        <v>133</v>
      </c>
      <c r="H23" s="3368"/>
      <c r="I23" s="3368"/>
      <c r="J23" s="3369">
        <f>J15-J22</f>
        <v>0</v>
      </c>
      <c r="K23" s="3369"/>
      <c r="L23" s="3370"/>
      <c r="M23" s="3370"/>
      <c r="N23" s="3336"/>
      <c r="O23" s="3350"/>
      <c r="P23" s="3350"/>
      <c r="Q23" s="3350"/>
      <c r="R23" s="3350"/>
      <c r="S23" s="3350"/>
      <c r="T23" s="3350"/>
      <c r="U23" s="3350"/>
      <c r="V23" s="1215"/>
      <c r="W23" s="1215"/>
    </row>
    <row r="24" spans="1:23" ht="24" customHeight="1">
      <c r="A24" s="3371" t="s">
        <v>5101</v>
      </c>
      <c r="B24" s="3371"/>
      <c r="C24" s="3371"/>
      <c r="D24" s="3371"/>
      <c r="E24" s="3368" t="s">
        <v>133</v>
      </c>
      <c r="F24" s="3368"/>
      <c r="G24" s="3358" t="s">
        <v>133</v>
      </c>
      <c r="H24" s="3359"/>
      <c r="I24" s="3360"/>
      <c r="J24" s="3372">
        <f>视同销售和房地产开发企业特定业务审核表!C30-视同销售和房地产开发企业特定业务审核表!C34</f>
        <v>0</v>
      </c>
      <c r="K24" s="3372"/>
      <c r="L24" s="3373"/>
      <c r="M24" s="3373"/>
      <c r="N24" s="3336"/>
      <c r="O24" s="3350"/>
      <c r="P24" s="3350"/>
      <c r="Q24" s="3350"/>
      <c r="R24" s="3350"/>
      <c r="S24" s="3350"/>
      <c r="T24" s="3350"/>
      <c r="U24" s="3350"/>
      <c r="V24" s="1215"/>
      <c r="W24" s="1215"/>
    </row>
    <row r="25" spans="1:23" ht="24" hidden="1" customHeight="1">
      <c r="A25" s="3133" t="s">
        <v>5102</v>
      </c>
      <c r="B25" s="3133"/>
      <c r="C25" s="3133"/>
      <c r="D25" s="3133"/>
      <c r="E25" s="3362" t="s">
        <v>133</v>
      </c>
      <c r="F25" s="3362"/>
      <c r="G25" s="3362" t="s">
        <v>133</v>
      </c>
      <c r="H25" s="3362"/>
      <c r="I25" s="1216"/>
      <c r="J25" s="3363"/>
      <c r="K25" s="3363"/>
      <c r="L25" s="3364"/>
      <c r="M25" s="3364"/>
      <c r="N25" s="3336"/>
      <c r="O25" s="3350"/>
      <c r="P25" s="3350"/>
      <c r="Q25" s="3350"/>
      <c r="R25" s="3350"/>
      <c r="S25" s="3350"/>
      <c r="T25" s="3350"/>
      <c r="U25" s="3350"/>
      <c r="V25" s="1215"/>
      <c r="W25" s="1215"/>
    </row>
    <row r="26" spans="1:23" ht="15" customHeight="1">
      <c r="A26" s="3240" t="s">
        <v>4431</v>
      </c>
      <c r="B26" s="3240"/>
      <c r="C26" s="3365" t="s">
        <v>5103</v>
      </c>
      <c r="D26" s="3365"/>
      <c r="E26" s="3072" t="str">
        <f>IF(J23&lt;&gt;0,"、E","")</f>
        <v/>
      </c>
      <c r="F26" s="3072"/>
      <c r="G26" s="3072"/>
      <c r="H26" s="3072"/>
      <c r="I26" s="3072"/>
      <c r="J26" s="3072"/>
      <c r="K26" s="3072"/>
      <c r="L26" s="3072"/>
      <c r="M26" s="3072"/>
      <c r="N26" s="3336"/>
      <c r="O26" s="3350"/>
      <c r="P26" s="3350"/>
      <c r="Q26" s="3350"/>
      <c r="R26" s="3350"/>
      <c r="S26" s="3350"/>
      <c r="T26" s="3350"/>
      <c r="U26" s="3350"/>
    </row>
    <row r="27" spans="1:23" ht="24" customHeight="1">
      <c r="A27" s="3240"/>
      <c r="B27" s="3240"/>
      <c r="C27" s="3366"/>
      <c r="D27" s="3366"/>
      <c r="E27" s="3366"/>
      <c r="F27" s="3366"/>
      <c r="G27" s="3366"/>
      <c r="H27" s="3366"/>
      <c r="I27" s="3366"/>
      <c r="J27" s="3366"/>
      <c r="K27" s="3366"/>
      <c r="L27" s="3366"/>
      <c r="M27" s="3366"/>
      <c r="N27" s="3336"/>
      <c r="O27" s="3350"/>
      <c r="P27" s="3350"/>
      <c r="Q27" s="3350"/>
      <c r="R27" s="3350"/>
      <c r="S27" s="3350"/>
      <c r="T27" s="3350"/>
      <c r="U27" s="3350"/>
    </row>
    <row r="28" spans="1:23" ht="84.75" customHeight="1">
      <c r="A28" s="3240"/>
      <c r="B28" s="3240"/>
      <c r="C28" s="3366"/>
      <c r="D28" s="3366"/>
      <c r="E28" s="3366"/>
      <c r="F28" s="3366"/>
      <c r="G28" s="3366"/>
      <c r="H28" s="3366"/>
      <c r="I28" s="3366"/>
      <c r="J28" s="3366"/>
      <c r="K28" s="3366"/>
      <c r="L28" s="3366"/>
      <c r="M28" s="3366"/>
      <c r="N28" s="3336"/>
      <c r="O28" s="3350"/>
      <c r="P28" s="3350"/>
      <c r="Q28" s="3350"/>
      <c r="R28" s="3350"/>
      <c r="S28" s="3350"/>
      <c r="T28" s="3350"/>
      <c r="U28" s="3350"/>
    </row>
    <row r="29" spans="1:23" ht="18.75" customHeight="1">
      <c r="A29" s="3361" t="s">
        <v>4433</v>
      </c>
      <c r="B29" s="3361"/>
      <c r="C29" s="3067" t="str">
        <f>IF(J23=0,"不存在调整事项，认可！","实际列支招待费大于税法允许列支的限额,应予纳税调整增加"&amp;DOLLAR(J23,2)&amp;"元！")</f>
        <v>不存在调整事项，认可！</v>
      </c>
      <c r="D29" s="3067"/>
      <c r="E29" s="3067"/>
      <c r="F29" s="3067"/>
      <c r="G29" s="3067"/>
      <c r="H29" s="3067"/>
      <c r="I29" s="3067"/>
      <c r="J29" s="3067"/>
      <c r="K29" s="3067"/>
      <c r="L29" s="3067"/>
      <c r="M29" s="3067"/>
      <c r="N29" s="572"/>
      <c r="O29" s="752"/>
      <c r="P29" s="752"/>
      <c r="Q29" s="752"/>
      <c r="R29" s="752"/>
      <c r="S29" s="752"/>
      <c r="T29" s="752"/>
      <c r="U29" s="752"/>
    </row>
    <row r="30" spans="1:23" ht="18.75" customHeight="1">
      <c r="A30" s="3361"/>
      <c r="B30" s="3361"/>
      <c r="C30" s="3067"/>
      <c r="D30" s="3067"/>
      <c r="E30" s="3067"/>
      <c r="F30" s="3067"/>
      <c r="G30" s="3067"/>
      <c r="H30" s="3067"/>
      <c r="I30" s="3067"/>
      <c r="J30" s="3067"/>
      <c r="K30" s="3067"/>
      <c r="L30" s="3067"/>
      <c r="M30" s="3067"/>
      <c r="N30" s="3350" t="s">
        <v>6131</v>
      </c>
      <c r="O30" s="3350"/>
      <c r="P30" s="3350"/>
      <c r="Q30" s="3350"/>
      <c r="R30" s="3350"/>
      <c r="S30" s="3350"/>
      <c r="T30" s="3350"/>
      <c r="U30" s="3350"/>
    </row>
    <row r="31" spans="1:23" ht="18.75" customHeight="1">
      <c r="A31" s="3361"/>
      <c r="B31" s="3361"/>
      <c r="C31" s="3067"/>
      <c r="D31" s="3067"/>
      <c r="E31" s="3067"/>
      <c r="F31" s="3067"/>
      <c r="G31" s="3067"/>
      <c r="H31" s="3067"/>
      <c r="I31" s="3067"/>
      <c r="J31" s="3067"/>
      <c r="K31" s="3067"/>
      <c r="L31" s="3067"/>
      <c r="M31" s="3067"/>
      <c r="N31" s="3350"/>
      <c r="O31" s="3350"/>
      <c r="P31" s="3350"/>
      <c r="Q31" s="3350"/>
      <c r="R31" s="3350"/>
      <c r="S31" s="3350"/>
      <c r="T31" s="3350"/>
      <c r="U31" s="3350"/>
    </row>
    <row r="32" spans="1:23">
      <c r="A32" s="564"/>
      <c r="B32" s="564"/>
      <c r="C32" s="564"/>
      <c r="D32" s="564"/>
      <c r="E32" s="564"/>
      <c r="F32" s="564"/>
      <c r="G32" s="564"/>
      <c r="H32" s="564"/>
      <c r="I32" s="564"/>
      <c r="J32" s="564"/>
      <c r="K32" s="1217"/>
      <c r="L32" s="1217"/>
      <c r="M32" s="1217"/>
      <c r="N32" s="3350"/>
      <c r="O32" s="3350"/>
      <c r="P32" s="3350"/>
      <c r="Q32" s="3350"/>
      <c r="R32" s="3350"/>
      <c r="S32" s="3350"/>
      <c r="T32" s="3350"/>
      <c r="U32" s="3350"/>
    </row>
    <row r="33" spans="1:21">
      <c r="A33" s="564"/>
      <c r="B33" s="564"/>
      <c r="C33" s="564"/>
      <c r="D33" s="564"/>
      <c r="E33" s="564"/>
      <c r="F33" s="564"/>
      <c r="G33" s="564"/>
      <c r="H33" s="564"/>
      <c r="I33" s="564"/>
      <c r="J33" s="564"/>
      <c r="K33" s="723"/>
      <c r="L33" s="723"/>
      <c r="M33" s="723"/>
      <c r="N33" s="3350"/>
      <c r="O33" s="3350"/>
      <c r="P33" s="3350"/>
      <c r="Q33" s="3350"/>
      <c r="R33" s="3350"/>
      <c r="S33" s="3350"/>
      <c r="T33" s="3350"/>
      <c r="U33" s="3350"/>
    </row>
    <row r="34" spans="1:21">
      <c r="A34" s="564"/>
      <c r="B34" s="564"/>
      <c r="C34" s="564"/>
      <c r="D34" s="564"/>
      <c r="E34" s="564"/>
      <c r="F34" s="564"/>
      <c r="G34" s="564"/>
      <c r="H34" s="564"/>
      <c r="I34" s="564"/>
      <c r="J34" s="564"/>
      <c r="K34" s="723"/>
      <c r="L34" s="723"/>
      <c r="M34" s="723"/>
      <c r="N34" s="3350"/>
      <c r="O34" s="3350"/>
      <c r="P34" s="3350"/>
      <c r="Q34" s="3350"/>
      <c r="R34" s="3350"/>
      <c r="S34" s="3350"/>
      <c r="T34" s="3350"/>
      <c r="U34" s="3350"/>
    </row>
    <row r="35" spans="1:21">
      <c r="A35" s="564"/>
      <c r="B35" s="564"/>
      <c r="C35" s="564"/>
      <c r="D35" s="564"/>
      <c r="E35" s="564"/>
      <c r="F35" s="564"/>
      <c r="G35" s="564"/>
      <c r="H35" s="564"/>
      <c r="I35" s="564"/>
      <c r="J35" s="564"/>
      <c r="K35" s="723"/>
      <c r="L35" s="723"/>
      <c r="M35" s="723"/>
    </row>
    <row r="36" spans="1:21" ht="14.25" customHeight="1">
      <c r="A36" s="564"/>
      <c r="B36" s="564"/>
      <c r="C36" s="564"/>
      <c r="D36" s="564"/>
      <c r="E36" s="564"/>
      <c r="F36" s="564"/>
      <c r="G36" s="564"/>
      <c r="H36" s="564"/>
      <c r="I36" s="564"/>
      <c r="J36" s="564"/>
      <c r="K36" s="564"/>
      <c r="L36" s="564"/>
      <c r="M36" s="564"/>
    </row>
    <row r="37" spans="1:21">
      <c r="A37" s="564"/>
      <c r="B37" s="564"/>
      <c r="C37" s="564"/>
      <c r="D37" s="564"/>
      <c r="E37" s="564"/>
      <c r="F37" s="564"/>
      <c r="G37" s="564"/>
      <c r="H37" s="564"/>
      <c r="I37" s="564"/>
      <c r="J37" s="564"/>
      <c r="K37" s="564"/>
      <c r="L37" s="564"/>
      <c r="M37" s="564"/>
    </row>
    <row r="38" spans="1:21">
      <c r="A38" s="564"/>
      <c r="B38" s="564"/>
      <c r="C38" s="564"/>
      <c r="D38" s="564"/>
      <c r="E38" s="564"/>
      <c r="F38" s="564"/>
      <c r="G38" s="564"/>
      <c r="H38" s="564"/>
      <c r="I38" s="564"/>
      <c r="J38" s="564"/>
      <c r="K38" s="564"/>
      <c r="L38" s="564"/>
      <c r="M38" s="564"/>
    </row>
    <row r="39" spans="1:21">
      <c r="A39" s="564"/>
      <c r="B39" s="564"/>
      <c r="C39" s="564"/>
      <c r="D39" s="564"/>
      <c r="E39" s="564"/>
      <c r="F39" s="564"/>
      <c r="G39" s="564"/>
      <c r="H39" s="564"/>
      <c r="I39" s="564"/>
      <c r="J39" s="564"/>
      <c r="K39" s="564"/>
      <c r="L39" s="564"/>
      <c r="M39" s="564"/>
    </row>
    <row r="40" spans="1:21">
      <c r="A40" s="564"/>
      <c r="B40" s="564"/>
      <c r="C40" s="564"/>
      <c r="D40" s="564"/>
      <c r="E40" s="564"/>
      <c r="F40" s="564"/>
      <c r="G40" s="564"/>
      <c r="H40" s="564"/>
      <c r="I40" s="564"/>
      <c r="J40" s="564"/>
      <c r="K40" s="564"/>
      <c r="L40" s="564"/>
      <c r="M40" s="564"/>
    </row>
  </sheetData>
  <sheetProtection selectLockedCells="1" selectUnlockedCells="1"/>
  <mergeCells count="119">
    <mergeCell ref="A3:B4"/>
    <mergeCell ref="L3:M3"/>
    <mergeCell ref="L4:M4"/>
    <mergeCell ref="A5:B5"/>
    <mergeCell ref="L5:M5"/>
    <mergeCell ref="I3:J3"/>
    <mergeCell ref="I4:J4"/>
    <mergeCell ref="I5:J5"/>
    <mergeCell ref="I1:M1"/>
    <mergeCell ref="I2:M2"/>
    <mergeCell ref="C3:H4"/>
    <mergeCell ref="C5:H5"/>
    <mergeCell ref="A1:H2"/>
    <mergeCell ref="A8:D8"/>
    <mergeCell ref="E8:F8"/>
    <mergeCell ref="G8:I8"/>
    <mergeCell ref="J8:K8"/>
    <mergeCell ref="L8:M8"/>
    <mergeCell ref="N8:P8"/>
    <mergeCell ref="A6:M6"/>
    <mergeCell ref="A7:D7"/>
    <mergeCell ref="E7:F7"/>
    <mergeCell ref="G7:I7"/>
    <mergeCell ref="J7:K7"/>
    <mergeCell ref="L7:M7"/>
    <mergeCell ref="A9:D9"/>
    <mergeCell ref="E9:F9"/>
    <mergeCell ref="G9:I9"/>
    <mergeCell ref="J9:K9"/>
    <mergeCell ref="L9:M9"/>
    <mergeCell ref="A10:D10"/>
    <mergeCell ref="E10:F10"/>
    <mergeCell ref="G10:I10"/>
    <mergeCell ref="J10:K10"/>
    <mergeCell ref="L10:M10"/>
    <mergeCell ref="A11:D11"/>
    <mergeCell ref="E11:F11"/>
    <mergeCell ref="G11:I11"/>
    <mergeCell ref="J11:K11"/>
    <mergeCell ref="L11:M11"/>
    <mergeCell ref="A12:D12"/>
    <mergeCell ref="E12:F12"/>
    <mergeCell ref="G12:I12"/>
    <mergeCell ref="J12:K12"/>
    <mergeCell ref="L12:M12"/>
    <mergeCell ref="N14:P14"/>
    <mergeCell ref="A15:D15"/>
    <mergeCell ref="E15:F15"/>
    <mergeCell ref="G15:I15"/>
    <mergeCell ref="J15:K15"/>
    <mergeCell ref="L15:M15"/>
    <mergeCell ref="A13:D13"/>
    <mergeCell ref="E13:F13"/>
    <mergeCell ref="G13:I13"/>
    <mergeCell ref="J13:K13"/>
    <mergeCell ref="L13:M13"/>
    <mergeCell ref="A14:D14"/>
    <mergeCell ref="E14:F14"/>
    <mergeCell ref="G14:I14"/>
    <mergeCell ref="J14:K14"/>
    <mergeCell ref="L14:M14"/>
    <mergeCell ref="A16:D16"/>
    <mergeCell ref="E16:F16"/>
    <mergeCell ref="G16:I16"/>
    <mergeCell ref="J16:K16"/>
    <mergeCell ref="L16:M16"/>
    <mergeCell ref="A17:D17"/>
    <mergeCell ref="E17:F17"/>
    <mergeCell ref="G17:I17"/>
    <mergeCell ref="J17:K17"/>
    <mergeCell ref="L17:M17"/>
    <mergeCell ref="A18:D18"/>
    <mergeCell ref="E18:F18"/>
    <mergeCell ref="G18:I18"/>
    <mergeCell ref="J18:K18"/>
    <mergeCell ref="L18:M18"/>
    <mergeCell ref="A19:D19"/>
    <mergeCell ref="E19:F19"/>
    <mergeCell ref="G19:I19"/>
    <mergeCell ref="J19:K19"/>
    <mergeCell ref="L19:M19"/>
    <mergeCell ref="A22:D22"/>
    <mergeCell ref="E22:F22"/>
    <mergeCell ref="G22:I22"/>
    <mergeCell ref="J22:K22"/>
    <mergeCell ref="L22:M22"/>
    <mergeCell ref="A20:D20"/>
    <mergeCell ref="E20:F20"/>
    <mergeCell ref="G20:I20"/>
    <mergeCell ref="J20:K20"/>
    <mergeCell ref="L20:M20"/>
    <mergeCell ref="A21:D21"/>
    <mergeCell ref="E21:F21"/>
    <mergeCell ref="G21:I21"/>
    <mergeCell ref="J21:K21"/>
    <mergeCell ref="G24:I24"/>
    <mergeCell ref="N20:U28"/>
    <mergeCell ref="N30:U34"/>
    <mergeCell ref="A29:B31"/>
    <mergeCell ref="C29:M31"/>
    <mergeCell ref="A25:D25"/>
    <mergeCell ref="E25:F25"/>
    <mergeCell ref="G25:H25"/>
    <mergeCell ref="J25:K25"/>
    <mergeCell ref="L25:M25"/>
    <mergeCell ref="A26:B28"/>
    <mergeCell ref="C26:D26"/>
    <mergeCell ref="E26:M26"/>
    <mergeCell ref="C27:M28"/>
    <mergeCell ref="A23:D23"/>
    <mergeCell ref="E23:F23"/>
    <mergeCell ref="G23:I23"/>
    <mergeCell ref="J23:K23"/>
    <mergeCell ref="L23:M23"/>
    <mergeCell ref="A24:D24"/>
    <mergeCell ref="E24:F24"/>
    <mergeCell ref="J24:K24"/>
    <mergeCell ref="L24:M24"/>
    <mergeCell ref="L21:M21"/>
  </mergeCells>
  <phoneticPr fontId="135" type="noConversion"/>
  <dataValidations count="2">
    <dataValidation allowBlank="1" showErrorMessage="1" promptTitle="存在调整事项时" prompt="_x000a_选择 “E”" sqref="E26:M26">
      <formula1>0</formula1>
      <formula2>0</formula2>
    </dataValidation>
    <dataValidation allowBlank="1" showErrorMessage="1" sqref="K4 C29">
      <formula1>0</formula1>
      <formula2>0</formula2>
    </dataValidation>
  </dataValidations>
  <hyperlinks>
    <hyperlink ref="N8" location="纳税调整明细表!C31" display="纳税调整明细表!C31"/>
    <hyperlink ref="N9" location="凭证检查!A1" display="凭证检查"/>
    <hyperlink ref="N10" location="制造费用、生产成本!A1" display="制造费用、生产成本审核表"/>
    <hyperlink ref="N14" location="管理费用!A1" display="管理费用审核表"/>
    <hyperlink ref="N15" location="收入明细表!D17" display="收入明细表!D17"/>
    <hyperlink ref="N16" location="其他事项!E10" display="其他事项!E10"/>
    <hyperlink ref="N17" location="广宣!J32" display="广宣!J32"/>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pageSetUpPr fitToPage="1"/>
  </sheetPr>
  <dimension ref="A1:J87"/>
  <sheetViews>
    <sheetView workbookViewId="0">
      <selection activeCell="G5" sqref="G5"/>
    </sheetView>
  </sheetViews>
  <sheetFormatPr defaultColWidth="9" defaultRowHeight="14.25"/>
  <cols>
    <col min="1" max="1" width="7.125" style="640" customWidth="1"/>
    <col min="2" max="2" width="13.75" style="640" customWidth="1"/>
    <col min="3" max="7" width="12.875" style="640" customWidth="1"/>
    <col min="8" max="8" width="55.5" style="577" customWidth="1"/>
    <col min="9" max="16384" width="9" style="577"/>
  </cols>
  <sheetData>
    <row r="1" spans="1:9" ht="30" customHeight="1">
      <c r="A1" s="3406" t="s">
        <v>4632</v>
      </c>
      <c r="B1" s="3406"/>
      <c r="C1" s="3406"/>
      <c r="D1" s="3406"/>
      <c r="E1" s="3406"/>
      <c r="F1" s="3406"/>
      <c r="G1" s="3406"/>
      <c r="H1" s="3407"/>
      <c r="I1" s="576"/>
    </row>
    <row r="2" spans="1:9" s="615" customFormat="1" ht="20.100000000000001" customHeight="1">
      <c r="A2" s="3408" t="str">
        <f>"委托单位："&amp;基本情况!$C$3</f>
        <v>委托单位：</v>
      </c>
      <c r="B2" s="3408"/>
      <c r="C2" s="3408"/>
      <c r="D2" s="1218"/>
      <c r="E2" s="571" t="s">
        <v>4472</v>
      </c>
      <c r="F2" s="571" t="s">
        <v>4473</v>
      </c>
      <c r="G2" s="614" t="s">
        <v>4409</v>
      </c>
      <c r="H2" s="3407"/>
      <c r="I2" s="690"/>
    </row>
    <row r="3" spans="1:9" s="615" customFormat="1" ht="20.100000000000001" customHeight="1">
      <c r="A3" s="3408"/>
      <c r="B3" s="3408"/>
      <c r="C3" s="3408"/>
      <c r="D3" s="616" t="s">
        <v>4407</v>
      </c>
      <c r="E3" s="617" t="str">
        <f>基本情况!$F$19&amp;""</f>
        <v/>
      </c>
      <c r="F3" s="618" t="str">
        <f>TEXT(基本情况!$F$27,"yyyy-mm-dd")</f>
        <v>2018-03-16</v>
      </c>
      <c r="G3" s="3409" t="str">
        <f>开始!F13</f>
        <v>AS-11</v>
      </c>
      <c r="H3" s="3407"/>
      <c r="I3" s="690"/>
    </row>
    <row r="4" spans="1:9" s="615" customFormat="1" ht="20.100000000000001" customHeight="1">
      <c r="A4" s="3410" t="str">
        <f>"会计期间："&amp;基本情况!$F$9</f>
        <v>会计期间：2017年01月01日至2017年12月31日</v>
      </c>
      <c r="B4" s="3410"/>
      <c r="C4" s="3410"/>
      <c r="D4" s="566" t="s">
        <v>4410</v>
      </c>
      <c r="E4" s="567" t="str">
        <f>基本情况!$F$18&amp;""</f>
        <v/>
      </c>
      <c r="F4" s="567" t="str">
        <f>TEXT(基本情况!$F$28,"yyyy-mm-dd")</f>
        <v>2018-05-04</v>
      </c>
      <c r="G4" s="3409"/>
      <c r="H4" s="3407"/>
      <c r="I4" s="690"/>
    </row>
    <row r="5" spans="1:9" s="619" customFormat="1" ht="7.5" customHeight="1">
      <c r="A5" s="1219"/>
      <c r="B5" s="1220"/>
      <c r="C5" s="1221"/>
      <c r="D5" s="1222"/>
      <c r="E5" s="1220"/>
      <c r="F5" s="1220"/>
      <c r="G5" s="1223"/>
      <c r="H5" s="651"/>
      <c r="I5" s="651"/>
    </row>
    <row r="6" spans="1:9" s="615" customFormat="1" ht="28.5" customHeight="1">
      <c r="A6" s="745"/>
      <c r="B6" s="1224" t="s">
        <v>6133</v>
      </c>
      <c r="C6" s="1224" t="s">
        <v>4475</v>
      </c>
      <c r="D6" s="1224" t="s">
        <v>4476</v>
      </c>
      <c r="E6" s="1224" t="s">
        <v>4477</v>
      </c>
      <c r="F6" s="1224" t="s">
        <v>4478</v>
      </c>
      <c r="G6" s="1225" t="s">
        <v>5105</v>
      </c>
      <c r="H6" s="564" t="s">
        <v>1724</v>
      </c>
      <c r="I6" s="690"/>
    </row>
    <row r="7" spans="1:9" s="615" customFormat="1" ht="23.25" customHeight="1">
      <c r="A7" s="1226" t="s">
        <v>5106</v>
      </c>
      <c r="B7" s="1227" t="s">
        <v>5107</v>
      </c>
      <c r="C7" s="1227"/>
      <c r="D7" s="613"/>
      <c r="E7" s="613"/>
      <c r="F7" s="613"/>
      <c r="G7" s="1228"/>
      <c r="H7" s="570" t="s">
        <v>1711</v>
      </c>
      <c r="I7" s="654"/>
    </row>
    <row r="8" spans="1:9" s="615" customFormat="1" ht="23.25" customHeight="1">
      <c r="A8" s="2090">
        <f>C18+G18-E18</f>
        <v>0</v>
      </c>
      <c r="B8" s="1229" t="s">
        <v>5108</v>
      </c>
      <c r="C8" s="1230">
        <f>SUMIFS(折旧测算!$C$9:$C$1004,折旧测算!$A$9:$A$1004,固资折旧!$B8)</f>
        <v>0</v>
      </c>
      <c r="D8" s="1231">
        <f>SUMIFS(折旧测算!$E$9:$E$1004,折旧测算!$A$9:$A$1004,固资折旧!$B8,折旧测算!$P$9:$P$1004,基本情况!$F$6)</f>
        <v>0</v>
      </c>
      <c r="E8" s="1230">
        <f>SUMIFS(折旧测算!$H$9:$H$1004,折旧测算!$A$9:$A$1004,固资折旧!$B8,折旧测算!$Q$9:$Q$1004,基本情况!$F$6)</f>
        <v>0</v>
      </c>
      <c r="F8" s="1230">
        <f>C8+D8-E8</f>
        <v>0</v>
      </c>
      <c r="G8" s="1232">
        <f>F8</f>
        <v>0</v>
      </c>
      <c r="H8" s="1233" t="s">
        <v>5109</v>
      </c>
      <c r="I8" s="654"/>
    </row>
    <row r="9" spans="1:9" s="615" customFormat="1" ht="23.25" customHeight="1">
      <c r="A9" s="2090">
        <f>C19+G19-E19</f>
        <v>0</v>
      </c>
      <c r="B9" s="1234" t="s">
        <v>5110</v>
      </c>
      <c r="C9" s="1230">
        <f>SUMIFS(折旧测算!$C$9:$C$1004,折旧测算!$A$9:$A$1004,固资折旧!$B9)</f>
        <v>0</v>
      </c>
      <c r="D9" s="1231">
        <f>SUMIFS(折旧测算!$E$9:$E$1004,折旧测算!$A$9:$A$1004,固资折旧!$B9,折旧测算!$P$9:$P$1004,基本情况!$F$6)</f>
        <v>0</v>
      </c>
      <c r="E9" s="1230">
        <f>SUMIFS(折旧测算!$H$9:$H$1004,折旧测算!$A$9:$A$1004,固资折旧!$B9,折旧测算!$Q$9:$Q$1004,基本情况!$F$6)</f>
        <v>0</v>
      </c>
      <c r="F9" s="1230">
        <f>C9+D9-E9</f>
        <v>0</v>
      </c>
      <c r="G9" s="1232">
        <f>F9</f>
        <v>0</v>
      </c>
      <c r="H9" s="1233" t="s">
        <v>5111</v>
      </c>
      <c r="I9" s="654"/>
    </row>
    <row r="10" spans="1:9" s="615" customFormat="1" ht="23.25" customHeight="1">
      <c r="A10" s="2090">
        <f>C20+G20-E20</f>
        <v>0</v>
      </c>
      <c r="B10" s="1234" t="s">
        <v>5112</v>
      </c>
      <c r="C10" s="1230">
        <f>SUMIFS(折旧测算!$C$9:$C$1004,折旧测算!$A$9:$A$1004,固资折旧!$B10)</f>
        <v>0</v>
      </c>
      <c r="D10" s="1231">
        <f>SUMIFS(折旧测算!$E$9:$E$1004,折旧测算!$A$9:$A$1004,固资折旧!$B10,折旧测算!$P$9:$P$1004,基本情况!$F$6)</f>
        <v>0</v>
      </c>
      <c r="E10" s="1230">
        <f>SUMIFS(折旧测算!$H$9:$H$1004,折旧测算!$A$9:$A$1004,固资折旧!$B10,折旧测算!$Q$9:$Q$1004,基本情况!$F$6)</f>
        <v>0</v>
      </c>
      <c r="F10" s="1230">
        <f>C10+D10-E10</f>
        <v>0</v>
      </c>
      <c r="G10" s="1232">
        <f>F10</f>
        <v>0</v>
      </c>
      <c r="H10" s="1233" t="s">
        <v>5040</v>
      </c>
      <c r="I10" s="654"/>
    </row>
    <row r="11" spans="1:9" s="615" customFormat="1" ht="23.25" customHeight="1">
      <c r="A11" s="2090">
        <f>C21+G21-E21</f>
        <v>0</v>
      </c>
      <c r="B11" s="1234" t="s">
        <v>5113</v>
      </c>
      <c r="C11" s="1230">
        <f>SUMIFS(折旧测算!$C$9:$C$1004,折旧测算!$A$9:$A$1004,固资折旧!$B11)</f>
        <v>0</v>
      </c>
      <c r="D11" s="1231">
        <f>SUMIFS(折旧测算!$E$9:$E$1004,折旧测算!$A$9:$A$1004,固资折旧!$B11,折旧测算!$P$9:$P$1004,基本情况!$F$6)</f>
        <v>0</v>
      </c>
      <c r="E11" s="1230">
        <f>SUMIFS(折旧测算!$H$9:$H$1004,折旧测算!$A$9:$A$1004,固资折旧!$B11,折旧测算!$Q$9:$Q$1004,基本情况!$F$6)</f>
        <v>0</v>
      </c>
      <c r="F11" s="1230">
        <f>C11+D11-E11</f>
        <v>0</v>
      </c>
      <c r="G11" s="1232">
        <f>F11</f>
        <v>0</v>
      </c>
      <c r="H11" s="704" t="s">
        <v>4636</v>
      </c>
      <c r="I11" s="690"/>
    </row>
    <row r="12" spans="1:9" s="615" customFormat="1" ht="23.25" customHeight="1">
      <c r="A12" s="2090">
        <f>C22+G22-E22</f>
        <v>0</v>
      </c>
      <c r="B12" s="1235" t="s">
        <v>5114</v>
      </c>
      <c r="C12" s="1230">
        <f>SUMIFS(折旧测算!$C$9:$C$1004,折旧测算!$A$9:$A$1004,固资折旧!$B12)</f>
        <v>0</v>
      </c>
      <c r="D12" s="1231">
        <f>SUMIFS(折旧测算!$E$9:$E$1004,折旧测算!$A$9:$A$1004,固资折旧!$B12,折旧测算!$P$9:$P$1004,基本情况!$F$6)</f>
        <v>0</v>
      </c>
      <c r="E12" s="1230">
        <f>SUMIFS(折旧测算!$H$9:$H$1004,折旧测算!$A$9:$A$1004,固资折旧!$B12,折旧测算!$Q$9:$Q$1004,基本情况!$F$6)</f>
        <v>0</v>
      </c>
      <c r="F12" s="1237">
        <f>C12+D12-E12</f>
        <v>0</v>
      </c>
      <c r="G12" s="1232">
        <f>F12</f>
        <v>0</v>
      </c>
      <c r="H12" s="1233" t="s">
        <v>4552</v>
      </c>
      <c r="I12" s="690"/>
    </row>
    <row r="13" spans="1:9" s="615" customFormat="1" ht="23.25" customHeight="1">
      <c r="A13" s="1226" t="s">
        <v>5115</v>
      </c>
      <c r="B13" s="569" t="s">
        <v>757</v>
      </c>
      <c r="C13" s="1238">
        <f>SUM(C8:C12)</f>
        <v>0</v>
      </c>
      <c r="D13" s="1238">
        <f>SUM(D8:D12)</f>
        <v>0</v>
      </c>
      <c r="E13" s="1238">
        <f>SUM(E8:E12)</f>
        <v>0</v>
      </c>
      <c r="F13" s="1238">
        <f>SUM(F8:F12)</f>
        <v>0</v>
      </c>
      <c r="G13" s="1239">
        <f>SUM(G8:G12)</f>
        <v>0</v>
      </c>
      <c r="H13" s="1233" t="s">
        <v>1670</v>
      </c>
      <c r="I13" s="690"/>
    </row>
    <row r="14" spans="1:9" s="615" customFormat="1" ht="23.25" customHeight="1">
      <c r="A14" s="1240"/>
      <c r="B14" s="1241" t="s">
        <v>5116</v>
      </c>
      <c r="C14" s="1242"/>
      <c r="D14" s="1242"/>
      <c r="E14" s="1242"/>
      <c r="F14" s="1243">
        <f>C14+D14-E14</f>
        <v>0</v>
      </c>
      <c r="G14" s="1244">
        <f>F14</f>
        <v>0</v>
      </c>
      <c r="H14" s="1245" t="s">
        <v>5117</v>
      </c>
      <c r="I14" s="690"/>
    </row>
    <row r="15" spans="1:9" s="615" customFormat="1" ht="23.25" customHeight="1">
      <c r="A15" s="1246"/>
      <c r="B15" s="1247" t="s">
        <v>5118</v>
      </c>
      <c r="C15" s="1248"/>
      <c r="D15" s="1248"/>
      <c r="E15" s="1248"/>
      <c r="F15" s="693">
        <f>C15+D15-E15</f>
        <v>0</v>
      </c>
      <c r="G15" s="1249">
        <f>F15</f>
        <v>0</v>
      </c>
      <c r="H15" s="1245" t="s">
        <v>5119</v>
      </c>
      <c r="I15" s="690"/>
    </row>
    <row r="16" spans="1:9" s="615" customFormat="1" ht="23.25" customHeight="1">
      <c r="A16" s="1250"/>
      <c r="B16" s="1251" t="s">
        <v>5120</v>
      </c>
      <c r="C16" s="1238">
        <f>C14+C15</f>
        <v>0</v>
      </c>
      <c r="D16" s="1238">
        <f>D14+D15</f>
        <v>0</v>
      </c>
      <c r="E16" s="1238">
        <f>E14+E15</f>
        <v>0</v>
      </c>
      <c r="F16" s="1238">
        <f>F14+F15</f>
        <v>0</v>
      </c>
      <c r="G16" s="1252"/>
      <c r="H16" s="1245" t="s">
        <v>5121</v>
      </c>
      <c r="I16" s="690"/>
    </row>
    <row r="17" spans="1:10" s="615" customFormat="1" ht="36" customHeight="1">
      <c r="A17" s="1253" t="s">
        <v>5122</v>
      </c>
      <c r="B17" s="1227" t="s">
        <v>5123</v>
      </c>
      <c r="C17" s="571" t="s">
        <v>4475</v>
      </c>
      <c r="D17" s="571" t="s">
        <v>4476</v>
      </c>
      <c r="E17" s="571" t="s">
        <v>4477</v>
      </c>
      <c r="F17" s="571" t="s">
        <v>4478</v>
      </c>
      <c r="G17" s="1254" t="s">
        <v>5124</v>
      </c>
      <c r="H17" s="690"/>
      <c r="I17" s="690"/>
    </row>
    <row r="18" spans="1:10" s="615" customFormat="1" ht="23.25" customHeight="1">
      <c r="A18" s="1255"/>
      <c r="B18" s="1229" t="s">
        <v>5108</v>
      </c>
      <c r="C18" s="652"/>
      <c r="D18" s="1230">
        <f>SUMIF(折旧测算!$A$9:$A$1004,B18,折旧测算!$L$9:$L$1004)</f>
        <v>0</v>
      </c>
      <c r="E18" s="1256"/>
      <c r="F18" s="1257">
        <f>C18+D18-E18</f>
        <v>0</v>
      </c>
      <c r="G18" s="1258">
        <f>SUMIF(折旧测算!$A$9:$A$1004,B18,折旧测算!$N$9:$N$1004)</f>
        <v>0</v>
      </c>
      <c r="H18" s="3336" t="s">
        <v>5125</v>
      </c>
      <c r="I18" s="3336"/>
      <c r="J18" s="683"/>
    </row>
    <row r="19" spans="1:10" s="615" customFormat="1" ht="23.25" customHeight="1">
      <c r="A19" s="1259"/>
      <c r="B19" s="1234" t="s">
        <v>5110</v>
      </c>
      <c r="C19" s="638"/>
      <c r="D19" s="1231">
        <f>SUMIF(折旧测算!$A$9:$A$1004,B19,折旧测算!$L$9:$L$1004)</f>
        <v>0</v>
      </c>
      <c r="E19" s="649"/>
      <c r="F19" s="1260">
        <f>C19+D19-E19</f>
        <v>0</v>
      </c>
      <c r="G19" s="1258">
        <f>SUMIF(折旧测算!$A$9:$A$1004,B19,折旧测算!$N$9:$N$1004)</f>
        <v>0</v>
      </c>
      <c r="H19" s="3336"/>
      <c r="I19" s="3336"/>
      <c r="J19" s="683"/>
    </row>
    <row r="20" spans="1:10" s="615" customFormat="1" ht="23.25" customHeight="1">
      <c r="A20" s="1259"/>
      <c r="B20" s="1234" t="s">
        <v>5112</v>
      </c>
      <c r="C20" s="638"/>
      <c r="D20" s="1231">
        <f>SUMIF(折旧测算!$A$9:$A$1004,B20,折旧测算!$L$9:$L$1004)</f>
        <v>0</v>
      </c>
      <c r="E20" s="649"/>
      <c r="F20" s="1260">
        <f>C20+D20-E20</f>
        <v>0</v>
      </c>
      <c r="G20" s="1258">
        <f>SUMIF(折旧测算!$A$9:$A$1004,B20,折旧测算!$N$9:$N$1004)</f>
        <v>0</v>
      </c>
      <c r="H20" s="3336"/>
      <c r="I20" s="3336"/>
      <c r="J20" s="683"/>
    </row>
    <row r="21" spans="1:10" s="615" customFormat="1" ht="23.25" customHeight="1">
      <c r="A21" s="1259"/>
      <c r="B21" s="1234" t="s">
        <v>5113</v>
      </c>
      <c r="C21" s="638"/>
      <c r="D21" s="1231">
        <f>SUMIF(折旧测算!$A$9:$A$1004,B21,折旧测算!$L$9:$L$1004)</f>
        <v>0</v>
      </c>
      <c r="E21" s="649"/>
      <c r="F21" s="1260">
        <f>C21+D21-E21</f>
        <v>0</v>
      </c>
      <c r="G21" s="1258">
        <f>SUMIF(折旧测算!$A$9:$A$1004,B21,折旧测算!$N$9:$N$1004)</f>
        <v>0</v>
      </c>
      <c r="H21" s="3336"/>
      <c r="I21" s="3336"/>
      <c r="J21" s="683"/>
    </row>
    <row r="22" spans="1:10" s="615" customFormat="1" ht="23.25" customHeight="1">
      <c r="A22" s="1261"/>
      <c r="B22" s="1235" t="s">
        <v>5114</v>
      </c>
      <c r="C22" s="1262"/>
      <c r="D22" s="1236">
        <f>SUMIF(折旧测算!$A$9:$A$1004,B22,折旧测算!$L$9:$L$1004)</f>
        <v>0</v>
      </c>
      <c r="E22" s="1263"/>
      <c r="F22" s="1264">
        <f>C22+D22-E22</f>
        <v>0</v>
      </c>
      <c r="G22" s="1258">
        <f>SUMIF(折旧测算!$A$9:$A$1004,B22,折旧测算!$N$9:$N$1004)</f>
        <v>0</v>
      </c>
      <c r="H22" s="3336"/>
      <c r="I22" s="3336"/>
    </row>
    <row r="23" spans="1:10" s="615" customFormat="1" ht="23.25" customHeight="1">
      <c r="A23" s="1253" t="s">
        <v>5122</v>
      </c>
      <c r="B23" s="569" t="s">
        <v>757</v>
      </c>
      <c r="C23" s="1265">
        <f>SUM(C18:C22)</f>
        <v>0</v>
      </c>
      <c r="D23" s="1265">
        <f>SUM(D18:D22)</f>
        <v>0</v>
      </c>
      <c r="E23" s="1265">
        <f>SUM(E18:E22)</f>
        <v>0</v>
      </c>
      <c r="F23" s="1265">
        <f>SUM(F18:F22)</f>
        <v>0</v>
      </c>
      <c r="G23" s="1266">
        <f>SUM(G18:G22)</f>
        <v>0</v>
      </c>
      <c r="H23" s="1267" t="s">
        <v>5126</v>
      </c>
      <c r="I23" s="1268"/>
    </row>
    <row r="24" spans="1:10" s="615" customFormat="1" ht="23.25" customHeight="1">
      <c r="A24" s="1269"/>
      <c r="B24" s="571" t="s">
        <v>5127</v>
      </c>
      <c r="C24" s="1270"/>
      <c r="D24" s="1270"/>
      <c r="E24" s="1270"/>
      <c r="F24" s="1271">
        <f>C24+D24-E24</f>
        <v>0</v>
      </c>
      <c r="G24" s="1272"/>
      <c r="H24" s="1273"/>
      <c r="I24" s="1268"/>
    </row>
    <row r="25" spans="1:10" s="615" customFormat="1" ht="23.25" customHeight="1">
      <c r="A25" s="1274"/>
      <c r="B25" s="1275" t="s">
        <v>5128</v>
      </c>
      <c r="C25" s="1276"/>
      <c r="D25" s="1276"/>
      <c r="E25" s="1276"/>
      <c r="F25" s="1243">
        <f>C25+D25-E25</f>
        <v>0</v>
      </c>
      <c r="G25" s="1277"/>
      <c r="H25" s="1273"/>
      <c r="I25" s="1268"/>
    </row>
    <row r="26" spans="1:10" s="615" customFormat="1" ht="23.25" customHeight="1">
      <c r="A26" s="1278"/>
      <c r="B26" s="1279" t="s">
        <v>5129</v>
      </c>
      <c r="C26" s="1280">
        <f>C24+C25</f>
        <v>0</v>
      </c>
      <c r="D26" s="1280">
        <f>D24+D25</f>
        <v>0</v>
      </c>
      <c r="E26" s="1280">
        <f>E24+E25</f>
        <v>0</v>
      </c>
      <c r="F26" s="1238">
        <f>F24+F25</f>
        <v>0</v>
      </c>
      <c r="G26" s="1281"/>
      <c r="H26" s="1273"/>
      <c r="I26" s="1268"/>
    </row>
    <row r="27" spans="1:10" s="615" customFormat="1" ht="20.25" customHeight="1">
      <c r="A27" s="2651" t="s">
        <v>5130</v>
      </c>
      <c r="B27" s="2651"/>
      <c r="C27" s="2651"/>
      <c r="D27" s="2651"/>
      <c r="E27" s="2651"/>
      <c r="F27" s="2651"/>
      <c r="G27" s="2651"/>
      <c r="H27" s="690"/>
      <c r="I27" s="690"/>
    </row>
    <row r="28" spans="1:10" s="615" customFormat="1" ht="26.25" customHeight="1">
      <c r="A28" s="3236" t="s">
        <v>5131</v>
      </c>
      <c r="B28" s="3236"/>
      <c r="C28" s="1282" t="s">
        <v>5132</v>
      </c>
      <c r="D28" s="1282" t="s">
        <v>6531</v>
      </c>
      <c r="E28" s="1282" t="s">
        <v>345</v>
      </c>
      <c r="F28" s="1282" t="s">
        <v>5134</v>
      </c>
      <c r="G28" s="1283" t="s">
        <v>757</v>
      </c>
      <c r="H28" s="690"/>
      <c r="I28" s="690"/>
    </row>
    <row r="29" spans="1:10" s="615" customFormat="1" ht="26.25" customHeight="1">
      <c r="A29" s="2658" t="s">
        <v>4378</v>
      </c>
      <c r="B29" s="2658"/>
      <c r="C29" s="2091">
        <f>制造费用、生产成本!C31</f>
        <v>0</v>
      </c>
      <c r="D29" s="1285">
        <f>销售费用!$D$20</f>
        <v>0</v>
      </c>
      <c r="E29" s="1285">
        <f>管理费用!$D$20</f>
        <v>0</v>
      </c>
      <c r="F29" s="642"/>
      <c r="G29" s="626">
        <f>SUM(C29:F29)</f>
        <v>0</v>
      </c>
      <c r="H29" s="690"/>
      <c r="I29" s="690"/>
    </row>
    <row r="30" spans="1:10" s="615" customFormat="1" ht="24" customHeight="1">
      <c r="A30" s="3239" t="s">
        <v>4430</v>
      </c>
      <c r="B30" s="3239"/>
      <c r="C30" s="3286" t="str">
        <f>IF(F13&lt;&gt;资产负债表!$C$20,"固定资产原值账载数与报表数相差"&amp;DOLLAR(F13-资产负债表!$C$20,2)&amp;"元！","固定资产原值账载数与报表数相符！")</f>
        <v>固定资产原值账载数与报表数相符！</v>
      </c>
      <c r="D30" s="3286"/>
      <c r="E30" s="3286"/>
      <c r="F30" s="3286"/>
      <c r="G30" s="3286"/>
      <c r="H30" s="690"/>
      <c r="I30" s="690"/>
    </row>
    <row r="31" spans="1:10" s="615" customFormat="1" ht="24" customHeight="1">
      <c r="A31" s="3239"/>
      <c r="B31" s="3239"/>
      <c r="C31" s="3405" t="str">
        <f>IF(F23&lt;&gt;资产负债表!$C$21,"累计折旧账载数与报表数相差"&amp;DOLLAR(F23-资产负债表!$C$21,2)&amp;"元！","累计折旧账载数与报表数相符！")</f>
        <v>累计折旧账载数与报表数相符！</v>
      </c>
      <c r="D31" s="3405"/>
      <c r="E31" s="3405"/>
      <c r="F31" s="3405"/>
      <c r="G31" s="3405"/>
      <c r="H31" s="690"/>
      <c r="I31" s="690"/>
    </row>
    <row r="32" spans="1:10" s="615" customFormat="1" ht="24" customHeight="1">
      <c r="A32" s="3239"/>
      <c r="B32" s="3239"/>
      <c r="C32" s="3067" t="str">
        <f>IF(G29&lt;&gt;D23,"对应科目折旧发生额与本期折旧额相差"&amp;DOLLAR(G29-D23,2)&amp;"元！","对应科目折旧发生额与本期折旧额相符！")</f>
        <v>对应科目折旧发生额与本期折旧额相符！</v>
      </c>
      <c r="D32" s="3067"/>
      <c r="E32" s="3067"/>
      <c r="F32" s="3067"/>
      <c r="G32" s="3067"/>
      <c r="H32" s="690"/>
      <c r="I32" s="690"/>
    </row>
    <row r="33" spans="1:9" s="615" customFormat="1" ht="15" customHeight="1">
      <c r="A33" s="3240" t="s">
        <v>4431</v>
      </c>
      <c r="B33" s="3240"/>
      <c r="C33" s="3403" t="s">
        <v>5135</v>
      </c>
      <c r="D33" s="3403"/>
      <c r="E33" s="3404" t="str">
        <f>IF(D23-G23&gt;0,"、E","")</f>
        <v/>
      </c>
      <c r="F33" s="3404"/>
      <c r="G33" s="3404"/>
      <c r="H33" s="690"/>
      <c r="I33" s="690"/>
    </row>
    <row r="34" spans="1:9" s="615" customFormat="1" ht="43.5" customHeight="1">
      <c r="A34" s="3240"/>
      <c r="B34" s="3240"/>
      <c r="C34" s="3252"/>
      <c r="D34" s="3252"/>
      <c r="E34" s="3252"/>
      <c r="F34" s="3252"/>
      <c r="G34" s="3252"/>
      <c r="H34" s="690"/>
      <c r="I34" s="690"/>
    </row>
    <row r="35" spans="1:9" s="615" customFormat="1" ht="28.5" customHeight="1">
      <c r="A35" s="3242" t="s">
        <v>4433</v>
      </c>
      <c r="B35" s="3242"/>
      <c r="C35" s="3067" t="str">
        <f>IF(D23-G23&gt;0,"会计折旧大于税法允许计提的折旧额,应予纳税调整增加"&amp;DOLLAR(D23-G23,2)&amp;"元！",IF(D23-G23&lt;0,"会计折旧小于税法允许计提的折旧额,应予纳税调整减少"&amp;DOLLAR(G23-D23,2)&amp;"元！","折旧计提未超过税法允许的数额,认可！"))</f>
        <v>折旧计提未超过税法允许的数额,认可！</v>
      </c>
      <c r="D35" s="3067"/>
      <c r="E35" s="3067"/>
      <c r="F35" s="3067"/>
      <c r="G35" s="3067"/>
      <c r="H35" s="684"/>
      <c r="I35" s="690"/>
    </row>
    <row r="36" spans="1:9" s="573" customFormat="1" ht="13.5" customHeight="1">
      <c r="A36" s="640"/>
      <c r="B36" s="640"/>
      <c r="C36" s="640"/>
      <c r="D36" s="640"/>
      <c r="E36" s="1286"/>
      <c r="F36" s="1286"/>
      <c r="G36" s="1286"/>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H18:I22"/>
    <mergeCell ref="A1:G1"/>
    <mergeCell ref="H1:H4"/>
    <mergeCell ref="A2:C3"/>
    <mergeCell ref="G3:G4"/>
    <mergeCell ref="A4:C4"/>
    <mergeCell ref="A27:G27"/>
    <mergeCell ref="A28:B28"/>
    <mergeCell ref="A29:B29"/>
    <mergeCell ref="A30:B32"/>
    <mergeCell ref="C30:G30"/>
    <mergeCell ref="C31:G31"/>
    <mergeCell ref="C32:G32"/>
    <mergeCell ref="A33:B34"/>
    <mergeCell ref="C33:D33"/>
    <mergeCell ref="E33:G33"/>
    <mergeCell ref="C34:G34"/>
    <mergeCell ref="A35:B35"/>
    <mergeCell ref="C35:G35"/>
  </mergeCells>
  <phoneticPr fontId="135" type="noConversion"/>
  <dataValidations disablePrompts="1" count="2">
    <dataValidation allowBlank="1" showErrorMessage="1" promptTitle="存在调整事项时" prompt="_x000a_选择 “E”" sqref="E33:G33">
      <formula1>0</formula1>
      <formula2>0</formula2>
    </dataValidation>
    <dataValidation allowBlank="1" showErrorMessage="1" sqref="E3">
      <formula1>0</formula1>
      <formula2>0</formula2>
    </dataValidation>
  </dataValidations>
  <hyperlinks>
    <hyperlink ref="H7" location="资产负债!A1" display="资产负债表"/>
    <hyperlink ref="H8" location="资产折旧纳税调整表!A1" display="资产折旧纳税调整表"/>
    <hyperlink ref="H9" location="折旧测算!A1" display="折旧验算表"/>
    <hyperlink ref="H10" location="纳税调整明细表!A1" display="纳税调整明细表"/>
    <hyperlink ref="H11" location="营业费用!A1" display="营业费用审核表"/>
    <hyperlink ref="H12" location="管理费用!A1" display="管理费用审核表"/>
    <hyperlink ref="H13" location="在建工程审核表!A1" display="在建工程审核表"/>
    <hyperlink ref="H16" location="A105081固定资产加速折旧、扣除明细表!A1" display="A105081固定资产加速折旧、扣除明细表!A1"/>
    <hyperlink ref="H14" location="固定资产加速折旧审核表!A1" display="固定资产加速折旧审核表!A1"/>
    <hyperlink ref="H15" location="A105080资产折旧、摊销情况及纳税调整明细表!A1" display="A105080资产折旧、摊销情况及纳税调整明细表!A1"/>
  </hyperlinks>
  <pageMargins left="0.78740157480314998" right="0.35433070866141703" top="0.511811023622047" bottom="0.11811023622047198" header="0.511811023622047" footer="0.511811023622047"/>
  <pageSetup paperSize="9" scale="98" firstPageNumber="0" fitToWidth="0" orientation="portrait" blackAndWhite="1"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U1015"/>
  <sheetViews>
    <sheetView topLeftCell="D1" workbookViewId="0">
      <selection activeCell="A4" sqref="A4:O4"/>
    </sheetView>
  </sheetViews>
  <sheetFormatPr defaultColWidth="9" defaultRowHeight="12"/>
  <cols>
    <col min="1" max="1" width="7" style="640" customWidth="1"/>
    <col min="2" max="2" width="7.125" style="640" customWidth="1"/>
    <col min="3" max="3" width="9.5" style="1332" customWidth="1"/>
    <col min="4" max="4" width="8.25" style="1333" customWidth="1"/>
    <col min="5" max="6" width="9.5" style="1333" customWidth="1"/>
    <col min="7" max="7" width="8.25" style="1333" customWidth="1"/>
    <col min="8" max="11" width="9.5" style="1333" customWidth="1"/>
    <col min="12" max="13" width="9.5" style="1332" customWidth="1"/>
    <col min="14" max="14" width="9.5" style="640" customWidth="1"/>
    <col min="15" max="15" width="7.75" style="640" customWidth="1"/>
    <col min="16" max="17" width="7.75" style="640" hidden="1" customWidth="1"/>
    <col min="18" max="18" width="27.125" style="640" customWidth="1"/>
    <col min="19" max="16384" width="9" style="640"/>
  </cols>
  <sheetData>
    <row r="1" spans="1:21" ht="26.25" customHeight="1">
      <c r="A1" s="2568" t="s">
        <v>5136</v>
      </c>
      <c r="B1" s="2568"/>
      <c r="C1" s="2568"/>
      <c r="D1" s="2568"/>
      <c r="E1" s="2568"/>
      <c r="F1" s="2568"/>
      <c r="G1" s="2568"/>
      <c r="H1" s="2568"/>
      <c r="I1" s="2568"/>
      <c r="J1" s="2568"/>
      <c r="K1" s="2568"/>
      <c r="L1" s="2568"/>
      <c r="M1" s="2568"/>
      <c r="N1" s="2568"/>
      <c r="O1" s="2568"/>
      <c r="P1" s="2324"/>
      <c r="Q1" s="2324"/>
      <c r="R1" s="3407"/>
      <c r="S1" s="654"/>
      <c r="T1" s="654"/>
      <c r="U1" s="654"/>
    </row>
    <row r="2" spans="1:21" ht="22.5" customHeight="1">
      <c r="A2" s="3418" t="str">
        <f>"委托单位："&amp;基本情况!$C$3</f>
        <v>委托单位：</v>
      </c>
      <c r="B2" s="3418"/>
      <c r="C2" s="3418"/>
      <c r="D2" s="3418"/>
      <c r="E2" s="3418"/>
      <c r="F2" s="3418"/>
      <c r="G2" s="1287" t="s">
        <v>4407</v>
      </c>
      <c r="H2" s="2931" t="str">
        <f>基本情况!$F$19&amp;""</f>
        <v/>
      </c>
      <c r="I2" s="2931"/>
      <c r="J2" s="571" t="s">
        <v>4575</v>
      </c>
      <c r="K2" s="3419" t="str">
        <f>TEXT(基本情况!$F$27,"yyyy-mm-dd")</f>
        <v>2018-03-16</v>
      </c>
      <c r="L2" s="3419"/>
      <c r="M2" s="1288"/>
      <c r="N2" s="3420" t="s">
        <v>4409</v>
      </c>
      <c r="O2" s="3421" t="str">
        <f>开始!F14</f>
        <v>AS-12</v>
      </c>
      <c r="P2" s="2327"/>
      <c r="Q2" s="2327"/>
      <c r="R2" s="3407"/>
      <c r="S2" s="654"/>
      <c r="T2" s="654"/>
      <c r="U2" s="654"/>
    </row>
    <row r="3" spans="1:21" ht="22.5" customHeight="1">
      <c r="A3" s="3279" t="str">
        <f>"会计期间："&amp;基本情况!$F$9</f>
        <v>会计期间：2017年01月01日至2017年12月31日</v>
      </c>
      <c r="B3" s="3279"/>
      <c r="C3" s="3279"/>
      <c r="D3" s="3279"/>
      <c r="E3" s="3279"/>
      <c r="F3" s="3279"/>
      <c r="G3" s="1289" t="s">
        <v>4410</v>
      </c>
      <c r="H3" s="3422" t="str">
        <f>基本情况!$F$18&amp;""</f>
        <v/>
      </c>
      <c r="I3" s="3422"/>
      <c r="J3" s="685" t="s">
        <v>4575</v>
      </c>
      <c r="K3" s="3422" t="str">
        <f>TEXT(基本情况!$F$28,"yyyy-mm-dd")</f>
        <v>2018-05-04</v>
      </c>
      <c r="L3" s="3422"/>
      <c r="M3" s="1290"/>
      <c r="N3" s="3420"/>
      <c r="O3" s="3421"/>
      <c r="P3" s="2327"/>
      <c r="Q3" s="2327"/>
      <c r="R3" s="3407"/>
      <c r="S3" s="654"/>
      <c r="T3" s="654"/>
      <c r="U3" s="654"/>
    </row>
    <row r="4" spans="1:21" s="621" customFormat="1" ht="7.5" customHeight="1">
      <c r="A4" s="2661"/>
      <c r="B4" s="2661"/>
      <c r="C4" s="2661"/>
      <c r="D4" s="2661"/>
      <c r="E4" s="2661"/>
      <c r="F4" s="2661"/>
      <c r="G4" s="2661"/>
      <c r="H4" s="2661"/>
      <c r="I4" s="2661"/>
      <c r="J4" s="2661"/>
      <c r="K4" s="2661"/>
      <c r="L4" s="2661"/>
      <c r="M4" s="2661"/>
      <c r="N4" s="2661"/>
      <c r="O4" s="2661"/>
      <c r="P4" s="2326"/>
      <c r="Q4" s="2326"/>
      <c r="R4" s="3407"/>
      <c r="S4" s="691"/>
      <c r="T4" s="691"/>
      <c r="U4" s="691"/>
    </row>
    <row r="5" spans="1:21" s="621" customFormat="1" ht="18" customHeight="1">
      <c r="A5" s="3240" t="s">
        <v>5104</v>
      </c>
      <c r="B5" s="3274" t="s">
        <v>5137</v>
      </c>
      <c r="C5" s="3413" t="s">
        <v>5138</v>
      </c>
      <c r="D5" s="3414" t="s">
        <v>4476</v>
      </c>
      <c r="E5" s="3414"/>
      <c r="F5" s="3414"/>
      <c r="G5" s="3414" t="s">
        <v>4477</v>
      </c>
      <c r="H5" s="3414"/>
      <c r="I5" s="3414"/>
      <c r="J5" s="3415" t="s">
        <v>5139</v>
      </c>
      <c r="K5" s="3415" t="s">
        <v>5140</v>
      </c>
      <c r="L5" s="3413" t="s">
        <v>5141</v>
      </c>
      <c r="M5" s="3416" t="s">
        <v>5142</v>
      </c>
      <c r="N5" s="3274" t="s">
        <v>5143</v>
      </c>
      <c r="O5" s="3411" t="s">
        <v>5144</v>
      </c>
      <c r="P5" s="2367"/>
      <c r="Q5" s="2367"/>
      <c r="R5" s="650"/>
      <c r="S5" s="691"/>
      <c r="T5" s="691"/>
      <c r="U5" s="691"/>
    </row>
    <row r="6" spans="1:21" ht="21" customHeight="1">
      <c r="A6" s="3240"/>
      <c r="B6" s="3274"/>
      <c r="C6" s="3413"/>
      <c r="D6" s="1291" t="s">
        <v>5145</v>
      </c>
      <c r="E6" s="1291" t="s">
        <v>4378</v>
      </c>
      <c r="F6" s="1291" t="s">
        <v>5146</v>
      </c>
      <c r="G6" s="1291" t="s">
        <v>5147</v>
      </c>
      <c r="H6" s="1291" t="s">
        <v>4378</v>
      </c>
      <c r="I6" s="1291" t="s">
        <v>5148</v>
      </c>
      <c r="J6" s="3415"/>
      <c r="K6" s="3415"/>
      <c r="L6" s="3413"/>
      <c r="M6" s="3417"/>
      <c r="N6" s="3274"/>
      <c r="O6" s="3411"/>
      <c r="P6" s="2367"/>
      <c r="Q6" s="2367"/>
      <c r="R6" s="651"/>
      <c r="S6" s="654"/>
      <c r="T6" s="654"/>
      <c r="U6" s="654"/>
    </row>
    <row r="7" spans="1:21" ht="46.5" customHeight="1">
      <c r="A7" s="1292" t="s">
        <v>5149</v>
      </c>
      <c r="B7" s="1293" t="s">
        <v>5150</v>
      </c>
      <c r="C7" s="1294">
        <v>1</v>
      </c>
      <c r="D7" s="1295" t="s">
        <v>5151</v>
      </c>
      <c r="E7" s="1296">
        <v>2</v>
      </c>
      <c r="F7" s="1295" t="s">
        <v>5152</v>
      </c>
      <c r="G7" s="1295" t="s">
        <v>5153</v>
      </c>
      <c r="H7" s="1296">
        <v>4</v>
      </c>
      <c r="I7" s="1295" t="s">
        <v>5154</v>
      </c>
      <c r="J7" s="1247" t="s">
        <v>5155</v>
      </c>
      <c r="K7" s="1247" t="s">
        <v>5156</v>
      </c>
      <c r="L7" s="1297">
        <v>8</v>
      </c>
      <c r="M7" s="1297" t="s">
        <v>5157</v>
      </c>
      <c r="N7" s="1298" t="s">
        <v>5158</v>
      </c>
      <c r="O7" s="1299" t="s">
        <v>5159</v>
      </c>
      <c r="P7" s="2367"/>
      <c r="Q7" s="2367"/>
      <c r="R7" s="651"/>
      <c r="S7" s="654"/>
      <c r="T7" s="654"/>
      <c r="U7" s="654"/>
    </row>
    <row r="8" spans="1:21" ht="18" customHeight="1">
      <c r="A8" s="3239" t="s">
        <v>757</v>
      </c>
      <c r="B8" s="3239"/>
      <c r="C8" s="1300">
        <f>SUM(C9:C1004)</f>
        <v>0</v>
      </c>
      <c r="D8" s="1301"/>
      <c r="E8" s="1300">
        <f>SUM(E9:E1004)</f>
        <v>0</v>
      </c>
      <c r="F8" s="1300">
        <f>SUM(F9:F1004)</f>
        <v>0</v>
      </c>
      <c r="G8" s="1301"/>
      <c r="H8" s="1302">
        <f t="shared" ref="H8:O8" si="0">SUM(H9:H1004)</f>
        <v>0</v>
      </c>
      <c r="I8" s="1302">
        <f t="shared" si="0"/>
        <v>0</v>
      </c>
      <c r="J8" s="1302">
        <f t="shared" si="0"/>
        <v>0</v>
      </c>
      <c r="K8" s="1302">
        <f t="shared" si="0"/>
        <v>0</v>
      </c>
      <c r="L8" s="1302">
        <f t="shared" si="0"/>
        <v>0</v>
      </c>
      <c r="M8" s="1302">
        <f t="shared" si="0"/>
        <v>0</v>
      </c>
      <c r="N8" s="1303">
        <f t="shared" si="0"/>
        <v>0</v>
      </c>
      <c r="O8" s="1304">
        <f t="shared" si="0"/>
        <v>0</v>
      </c>
      <c r="P8" s="2368"/>
      <c r="Q8" s="2368"/>
      <c r="R8" s="564" t="s">
        <v>1724</v>
      </c>
      <c r="S8" s="654"/>
      <c r="T8" s="654"/>
      <c r="U8" s="654"/>
    </row>
    <row r="9" spans="1:21" ht="14.25" customHeight="1">
      <c r="A9" s="1305" t="s">
        <v>5113</v>
      </c>
      <c r="B9" s="1306"/>
      <c r="C9" s="1307"/>
      <c r="D9" s="1308"/>
      <c r="E9" s="1307"/>
      <c r="F9" s="1309">
        <f>E9*(12-MONTH(D9))/12</f>
        <v>0</v>
      </c>
      <c r="G9" s="1310"/>
      <c r="H9" s="1311"/>
      <c r="I9" s="1312">
        <f>H9*(12-MONTH(G9))/12</f>
        <v>0</v>
      </c>
      <c r="J9" s="1309">
        <f t="shared" ref="J9:J72" si="1">C9+E9-H9</f>
        <v>0</v>
      </c>
      <c r="K9" s="1309">
        <f t="shared" ref="K9:K72" si="2">C9+F9-I9</f>
        <v>0</v>
      </c>
      <c r="L9" s="1307"/>
      <c r="M9" s="1313"/>
      <c r="N9" s="1314">
        <f>IF(M9&lt;&gt;0,ROUND(B9*K9,2)+M9,IF(ABS(ROUND(K9*B9,2)-L9)&lt;3,L9,MIN(ROUND(K9*B9,2),L9)))</f>
        <v>0</v>
      </c>
      <c r="O9" s="1315">
        <f>IF(ISERROR(L9-N9),"",IF(ABS(L9-N9)&lt;3,0,L9-N9))</f>
        <v>0</v>
      </c>
      <c r="P9" s="2369">
        <f>IFERROR(YEAR(D9),0)</f>
        <v>1900</v>
      </c>
      <c r="Q9" s="2369">
        <f>IFERROR(YEAR(G9),0)</f>
        <v>1900</v>
      </c>
      <c r="R9" s="570" t="s">
        <v>1711</v>
      </c>
      <c r="S9" s="654"/>
      <c r="T9" s="654"/>
      <c r="U9" s="654"/>
    </row>
    <row r="10" spans="1:21" ht="14.25" customHeight="1">
      <c r="A10" s="1316" t="s">
        <v>5108</v>
      </c>
      <c r="B10" s="1317"/>
      <c r="C10" s="1318"/>
      <c r="D10" s="1319"/>
      <c r="E10" s="1318"/>
      <c r="F10" s="1320">
        <f>E10*(12-MONTH(D10))/12</f>
        <v>0</v>
      </c>
      <c r="G10" s="1319"/>
      <c r="H10" s="1318"/>
      <c r="I10" s="1320">
        <f>H10*(12-MONTH(G10))/12</f>
        <v>0</v>
      </c>
      <c r="J10" s="1320">
        <f t="shared" si="1"/>
        <v>0</v>
      </c>
      <c r="K10" s="1320">
        <f t="shared" si="2"/>
        <v>0</v>
      </c>
      <c r="L10" s="1318"/>
      <c r="M10" s="1318"/>
      <c r="N10" s="1321">
        <f t="shared" ref="N10:N73" si="3">IF(M10&lt;&gt;0,ROUND(B10*K10,2)+M10,IF(ABS(ROUND(K10*B10,2)-L10)&lt;3,L10,MIN(ROUND(K10*B10,2),L10)))</f>
        <v>0</v>
      </c>
      <c r="O10" s="1322">
        <f t="shared" ref="O10:O73" si="4">IF(ISERROR(L10-N10),"",IF(ABS(L10-N10)&lt;3,0,L10-N10))</f>
        <v>0</v>
      </c>
      <c r="P10" s="2369">
        <f t="shared" ref="P10:P73" si="5">IFERROR(YEAR(D10),0)</f>
        <v>1900</v>
      </c>
      <c r="Q10" s="2369">
        <f t="shared" ref="Q10:Q73" si="6">IFERROR(YEAR(G10),0)</f>
        <v>1900</v>
      </c>
      <c r="R10" s="1233" t="s">
        <v>5109</v>
      </c>
      <c r="S10" s="654"/>
      <c r="T10" s="654"/>
      <c r="U10" s="654"/>
    </row>
    <row r="11" spans="1:21" ht="14.25" customHeight="1">
      <c r="A11" s="1316"/>
      <c r="B11" s="1317"/>
      <c r="C11" s="1318"/>
      <c r="D11" s="1319"/>
      <c r="E11" s="1318"/>
      <c r="F11" s="1320">
        <f t="shared" ref="F11:F74" si="7">E11*(12-MONTH(D11))/12</f>
        <v>0</v>
      </c>
      <c r="G11" s="1319"/>
      <c r="H11" s="1318"/>
      <c r="I11" s="1320">
        <f t="shared" ref="I11:I74" si="8">H11*(12-MONTH(G11))/12</f>
        <v>0</v>
      </c>
      <c r="J11" s="1320">
        <f t="shared" si="1"/>
        <v>0</v>
      </c>
      <c r="K11" s="1320">
        <f t="shared" si="2"/>
        <v>0</v>
      </c>
      <c r="L11" s="1318"/>
      <c r="M11" s="1318"/>
      <c r="N11" s="1321">
        <f t="shared" si="3"/>
        <v>0</v>
      </c>
      <c r="O11" s="1322">
        <f t="shared" si="4"/>
        <v>0</v>
      </c>
      <c r="P11" s="2369">
        <f t="shared" si="5"/>
        <v>1900</v>
      </c>
      <c r="Q11" s="2369">
        <f t="shared" si="6"/>
        <v>1900</v>
      </c>
      <c r="R11" s="1233" t="s">
        <v>5160</v>
      </c>
      <c r="S11" s="654"/>
      <c r="T11" s="654"/>
      <c r="U11" s="654"/>
    </row>
    <row r="12" spans="1:21" ht="14.25" customHeight="1">
      <c r="A12" s="1316"/>
      <c r="B12" s="1317"/>
      <c r="C12" s="1318"/>
      <c r="D12" s="1319"/>
      <c r="E12" s="1318"/>
      <c r="F12" s="1320">
        <f t="shared" si="7"/>
        <v>0</v>
      </c>
      <c r="G12" s="1319"/>
      <c r="H12" s="1318"/>
      <c r="I12" s="1320">
        <f t="shared" si="8"/>
        <v>0</v>
      </c>
      <c r="J12" s="1320">
        <f t="shared" si="1"/>
        <v>0</v>
      </c>
      <c r="K12" s="1320">
        <f t="shared" si="2"/>
        <v>0</v>
      </c>
      <c r="L12" s="1318"/>
      <c r="M12" s="1318"/>
      <c r="N12" s="1321">
        <f t="shared" si="3"/>
        <v>0</v>
      </c>
      <c r="O12" s="1322">
        <f t="shared" si="4"/>
        <v>0</v>
      </c>
      <c r="P12" s="2369">
        <f t="shared" si="5"/>
        <v>1900</v>
      </c>
      <c r="Q12" s="2369">
        <f t="shared" si="6"/>
        <v>1900</v>
      </c>
      <c r="R12" s="1245" t="s">
        <v>5117</v>
      </c>
      <c r="S12" s="654"/>
      <c r="T12" s="654"/>
      <c r="U12" s="654"/>
    </row>
    <row r="13" spans="1:21" ht="14.25" customHeight="1">
      <c r="A13" s="1316"/>
      <c r="B13" s="1317"/>
      <c r="C13" s="1318"/>
      <c r="D13" s="1319"/>
      <c r="E13" s="1318"/>
      <c r="F13" s="1320">
        <f t="shared" si="7"/>
        <v>0</v>
      </c>
      <c r="G13" s="1319"/>
      <c r="H13" s="1318"/>
      <c r="I13" s="1320">
        <f t="shared" si="8"/>
        <v>0</v>
      </c>
      <c r="J13" s="1320">
        <f t="shared" si="1"/>
        <v>0</v>
      </c>
      <c r="K13" s="1320">
        <f t="shared" si="2"/>
        <v>0</v>
      </c>
      <c r="L13" s="1318"/>
      <c r="M13" s="1318"/>
      <c r="N13" s="1321">
        <f t="shared" si="3"/>
        <v>0</v>
      </c>
      <c r="O13" s="1322">
        <f t="shared" si="4"/>
        <v>0</v>
      </c>
      <c r="P13" s="2369">
        <f t="shared" si="5"/>
        <v>1900</v>
      </c>
      <c r="Q13" s="2369">
        <f t="shared" si="6"/>
        <v>1900</v>
      </c>
      <c r="R13" s="1233"/>
      <c r="S13" s="654"/>
      <c r="T13" s="654"/>
      <c r="U13" s="654"/>
    </row>
    <row r="14" spans="1:21" ht="14.25" customHeight="1">
      <c r="A14" s="1316"/>
      <c r="B14" s="1317"/>
      <c r="C14" s="1318"/>
      <c r="D14" s="1319"/>
      <c r="E14" s="1318"/>
      <c r="F14" s="1320">
        <f t="shared" si="7"/>
        <v>0</v>
      </c>
      <c r="G14" s="1319"/>
      <c r="H14" s="1318"/>
      <c r="I14" s="1320">
        <f t="shared" si="8"/>
        <v>0</v>
      </c>
      <c r="J14" s="1320">
        <f t="shared" si="1"/>
        <v>0</v>
      </c>
      <c r="K14" s="1320">
        <f t="shared" si="2"/>
        <v>0</v>
      </c>
      <c r="L14" s="1318"/>
      <c r="M14" s="1318"/>
      <c r="N14" s="1321">
        <f t="shared" si="3"/>
        <v>0</v>
      </c>
      <c r="O14" s="1322">
        <f t="shared" si="4"/>
        <v>0</v>
      </c>
      <c r="P14" s="2369">
        <f t="shared" si="5"/>
        <v>1900</v>
      </c>
      <c r="Q14" s="2369">
        <f t="shared" si="6"/>
        <v>1900</v>
      </c>
      <c r="R14" s="1233"/>
      <c r="S14" s="654"/>
      <c r="T14" s="654"/>
      <c r="U14" s="654"/>
    </row>
    <row r="15" spans="1:21" ht="14.25" customHeight="1">
      <c r="A15" s="1316"/>
      <c r="B15" s="1317"/>
      <c r="C15" s="1318"/>
      <c r="D15" s="1319"/>
      <c r="E15" s="1318"/>
      <c r="F15" s="1320">
        <f t="shared" si="7"/>
        <v>0</v>
      </c>
      <c r="G15" s="1319"/>
      <c r="H15" s="1318"/>
      <c r="I15" s="1320">
        <f t="shared" si="8"/>
        <v>0</v>
      </c>
      <c r="J15" s="1320">
        <f t="shared" si="1"/>
        <v>0</v>
      </c>
      <c r="K15" s="1320">
        <f t="shared" si="2"/>
        <v>0</v>
      </c>
      <c r="L15" s="1318"/>
      <c r="M15" s="1318"/>
      <c r="N15" s="1321">
        <f t="shared" si="3"/>
        <v>0</v>
      </c>
      <c r="O15" s="1322">
        <f t="shared" si="4"/>
        <v>0</v>
      </c>
      <c r="P15" s="2369">
        <f t="shared" si="5"/>
        <v>1900</v>
      </c>
      <c r="Q15" s="2369">
        <f t="shared" si="6"/>
        <v>1900</v>
      </c>
      <c r="R15" s="3412" t="s">
        <v>5161</v>
      </c>
      <c r="S15" s="3412"/>
      <c r="T15" s="3412"/>
      <c r="U15" s="3412"/>
    </row>
    <row r="16" spans="1:21" ht="14.25" customHeight="1">
      <c r="A16" s="1316"/>
      <c r="B16" s="1317"/>
      <c r="C16" s="1318"/>
      <c r="D16" s="1319"/>
      <c r="E16" s="1318"/>
      <c r="F16" s="1320">
        <f t="shared" si="7"/>
        <v>0</v>
      </c>
      <c r="G16" s="1319"/>
      <c r="H16" s="1318"/>
      <c r="I16" s="1320">
        <f t="shared" si="8"/>
        <v>0</v>
      </c>
      <c r="J16" s="1320">
        <f t="shared" si="1"/>
        <v>0</v>
      </c>
      <c r="K16" s="1320">
        <f t="shared" si="2"/>
        <v>0</v>
      </c>
      <c r="L16" s="1318"/>
      <c r="M16" s="1318"/>
      <c r="N16" s="1321">
        <f t="shared" si="3"/>
        <v>0</v>
      </c>
      <c r="O16" s="1322">
        <f t="shared" si="4"/>
        <v>0</v>
      </c>
      <c r="P16" s="2369">
        <f t="shared" si="5"/>
        <v>1900</v>
      </c>
      <c r="Q16" s="2369">
        <f t="shared" si="6"/>
        <v>1900</v>
      </c>
      <c r="R16" s="3412"/>
      <c r="S16" s="3412"/>
      <c r="T16" s="3412"/>
      <c r="U16" s="3412"/>
    </row>
    <row r="17" spans="1:21" ht="14.25" customHeight="1">
      <c r="A17" s="1316"/>
      <c r="B17" s="1317"/>
      <c r="C17" s="1318"/>
      <c r="D17" s="1319"/>
      <c r="E17" s="1318"/>
      <c r="F17" s="1320">
        <f t="shared" si="7"/>
        <v>0</v>
      </c>
      <c r="G17" s="1319"/>
      <c r="H17" s="1318"/>
      <c r="I17" s="1320">
        <f t="shared" si="8"/>
        <v>0</v>
      </c>
      <c r="J17" s="1320">
        <f t="shared" si="1"/>
        <v>0</v>
      </c>
      <c r="K17" s="1320">
        <f t="shared" si="2"/>
        <v>0</v>
      </c>
      <c r="L17" s="1318"/>
      <c r="M17" s="1318"/>
      <c r="N17" s="1321">
        <f t="shared" si="3"/>
        <v>0</v>
      </c>
      <c r="O17" s="1322">
        <f t="shared" si="4"/>
        <v>0</v>
      </c>
      <c r="P17" s="2369">
        <f t="shared" si="5"/>
        <v>1900</v>
      </c>
      <c r="Q17" s="2369">
        <f t="shared" si="6"/>
        <v>1900</v>
      </c>
      <c r="R17" s="3412"/>
      <c r="S17" s="3412"/>
      <c r="T17" s="3412"/>
      <c r="U17" s="3412"/>
    </row>
    <row r="18" spans="1:21" ht="14.25" customHeight="1">
      <c r="A18" s="1316"/>
      <c r="B18" s="1317"/>
      <c r="C18" s="1318"/>
      <c r="D18" s="1319"/>
      <c r="E18" s="1318"/>
      <c r="F18" s="1320">
        <f t="shared" si="7"/>
        <v>0</v>
      </c>
      <c r="G18" s="1319"/>
      <c r="H18" s="1318"/>
      <c r="I18" s="1320">
        <f t="shared" si="8"/>
        <v>0</v>
      </c>
      <c r="J18" s="1320">
        <f t="shared" si="1"/>
        <v>0</v>
      </c>
      <c r="K18" s="1320">
        <f t="shared" si="2"/>
        <v>0</v>
      </c>
      <c r="L18" s="1318"/>
      <c r="M18" s="1318"/>
      <c r="N18" s="1321">
        <f t="shared" si="3"/>
        <v>0</v>
      </c>
      <c r="O18" s="1322">
        <f t="shared" si="4"/>
        <v>0</v>
      </c>
      <c r="P18" s="2369">
        <f t="shared" si="5"/>
        <v>1900</v>
      </c>
      <c r="Q18" s="2369">
        <f t="shared" si="6"/>
        <v>1900</v>
      </c>
      <c r="R18" s="1323"/>
      <c r="S18" s="654"/>
      <c r="T18" s="654"/>
      <c r="U18" s="654"/>
    </row>
    <row r="19" spans="1:21" ht="14.25" customHeight="1">
      <c r="A19" s="1316"/>
      <c r="B19" s="1317"/>
      <c r="C19" s="1318"/>
      <c r="D19" s="1319"/>
      <c r="E19" s="1318"/>
      <c r="F19" s="1320">
        <f t="shared" si="7"/>
        <v>0</v>
      </c>
      <c r="G19" s="1319"/>
      <c r="H19" s="1318"/>
      <c r="I19" s="1320">
        <f t="shared" si="8"/>
        <v>0</v>
      </c>
      <c r="J19" s="1320">
        <f t="shared" si="1"/>
        <v>0</v>
      </c>
      <c r="K19" s="1320">
        <f t="shared" si="2"/>
        <v>0</v>
      </c>
      <c r="L19" s="1318"/>
      <c r="M19" s="1318"/>
      <c r="N19" s="1321">
        <f t="shared" si="3"/>
        <v>0</v>
      </c>
      <c r="O19" s="1322">
        <f t="shared" si="4"/>
        <v>0</v>
      </c>
      <c r="P19" s="2369">
        <f t="shared" si="5"/>
        <v>1900</v>
      </c>
      <c r="Q19" s="2369">
        <f t="shared" si="6"/>
        <v>1900</v>
      </c>
      <c r="R19" s="1324" t="s">
        <v>5162</v>
      </c>
      <c r="S19" s="654"/>
      <c r="T19" s="654"/>
      <c r="U19" s="654"/>
    </row>
    <row r="20" spans="1:21" ht="14.25" customHeight="1">
      <c r="A20" s="1316"/>
      <c r="B20" s="1317"/>
      <c r="C20" s="1318"/>
      <c r="D20" s="1319"/>
      <c r="E20" s="1318"/>
      <c r="F20" s="1320">
        <f t="shared" si="7"/>
        <v>0</v>
      </c>
      <c r="G20" s="1319"/>
      <c r="H20" s="1318"/>
      <c r="I20" s="1320">
        <f t="shared" si="8"/>
        <v>0</v>
      </c>
      <c r="J20" s="1320">
        <f t="shared" si="1"/>
        <v>0</v>
      </c>
      <c r="K20" s="1320">
        <f t="shared" si="2"/>
        <v>0</v>
      </c>
      <c r="L20" s="1318"/>
      <c r="M20" s="1318"/>
      <c r="N20" s="1321">
        <f t="shared" si="3"/>
        <v>0</v>
      </c>
      <c r="O20" s="1322">
        <f t="shared" si="4"/>
        <v>0</v>
      </c>
      <c r="P20" s="2369">
        <f t="shared" si="5"/>
        <v>1900</v>
      </c>
      <c r="Q20" s="2369">
        <f t="shared" si="6"/>
        <v>1900</v>
      </c>
      <c r="R20" s="1325"/>
      <c r="S20" s="654"/>
      <c r="T20" s="654"/>
      <c r="U20" s="654"/>
    </row>
    <row r="21" spans="1:21" ht="14.25" customHeight="1">
      <c r="A21" s="1316"/>
      <c r="B21" s="1317"/>
      <c r="C21" s="1318"/>
      <c r="D21" s="1319"/>
      <c r="E21" s="1318"/>
      <c r="F21" s="1320">
        <f t="shared" si="7"/>
        <v>0</v>
      </c>
      <c r="G21" s="1319"/>
      <c r="H21" s="1318"/>
      <c r="I21" s="1320">
        <f t="shared" si="8"/>
        <v>0</v>
      </c>
      <c r="J21" s="1320">
        <f t="shared" si="1"/>
        <v>0</v>
      </c>
      <c r="K21" s="1320">
        <f t="shared" si="2"/>
        <v>0</v>
      </c>
      <c r="L21" s="1318"/>
      <c r="M21" s="1318"/>
      <c r="N21" s="1321">
        <f t="shared" si="3"/>
        <v>0</v>
      </c>
      <c r="O21" s="1322">
        <f t="shared" si="4"/>
        <v>0</v>
      </c>
      <c r="P21" s="2369">
        <f t="shared" si="5"/>
        <v>1900</v>
      </c>
      <c r="Q21" s="2369">
        <f t="shared" si="6"/>
        <v>1900</v>
      </c>
      <c r="R21" s="654"/>
      <c r="S21" s="654"/>
      <c r="T21" s="654"/>
      <c r="U21" s="654"/>
    </row>
    <row r="22" spans="1:21" ht="14.25" customHeight="1">
      <c r="A22" s="1316"/>
      <c r="B22" s="1317"/>
      <c r="C22" s="1318"/>
      <c r="D22" s="1319"/>
      <c r="E22" s="1318"/>
      <c r="F22" s="1320">
        <f t="shared" si="7"/>
        <v>0</v>
      </c>
      <c r="G22" s="1319"/>
      <c r="H22" s="1318"/>
      <c r="I22" s="1320">
        <f t="shared" si="8"/>
        <v>0</v>
      </c>
      <c r="J22" s="1320">
        <f t="shared" si="1"/>
        <v>0</v>
      </c>
      <c r="K22" s="1320">
        <f t="shared" si="2"/>
        <v>0</v>
      </c>
      <c r="L22" s="1318"/>
      <c r="M22" s="1318"/>
      <c r="N22" s="1321">
        <f t="shared" si="3"/>
        <v>0</v>
      </c>
      <c r="O22" s="1322">
        <f t="shared" si="4"/>
        <v>0</v>
      </c>
      <c r="P22" s="2369">
        <f t="shared" si="5"/>
        <v>1900</v>
      </c>
      <c r="Q22" s="2369">
        <f t="shared" si="6"/>
        <v>1900</v>
      </c>
      <c r="R22" s="654"/>
      <c r="S22" s="654"/>
      <c r="T22" s="654"/>
      <c r="U22" s="654"/>
    </row>
    <row r="23" spans="1:21" ht="14.25" customHeight="1">
      <c r="A23" s="1316"/>
      <c r="B23" s="1317"/>
      <c r="C23" s="1318"/>
      <c r="D23" s="1319"/>
      <c r="E23" s="1318"/>
      <c r="F23" s="1320">
        <f t="shared" si="7"/>
        <v>0</v>
      </c>
      <c r="G23" s="1319"/>
      <c r="H23" s="1318"/>
      <c r="I23" s="1320">
        <f t="shared" si="8"/>
        <v>0</v>
      </c>
      <c r="J23" s="1320">
        <f t="shared" si="1"/>
        <v>0</v>
      </c>
      <c r="K23" s="1320">
        <f t="shared" si="2"/>
        <v>0</v>
      </c>
      <c r="L23" s="1318"/>
      <c r="M23" s="1318"/>
      <c r="N23" s="1321">
        <f t="shared" si="3"/>
        <v>0</v>
      </c>
      <c r="O23" s="1322">
        <f t="shared" si="4"/>
        <v>0</v>
      </c>
      <c r="P23" s="2369">
        <f t="shared" si="5"/>
        <v>1900</v>
      </c>
      <c r="Q23" s="2369">
        <f t="shared" si="6"/>
        <v>1900</v>
      </c>
      <c r="R23" s="654"/>
      <c r="S23" s="654"/>
      <c r="T23" s="654"/>
      <c r="U23" s="654"/>
    </row>
    <row r="24" spans="1:21" ht="14.25" customHeight="1">
      <c r="A24" s="1316"/>
      <c r="B24" s="1317"/>
      <c r="C24" s="1318"/>
      <c r="D24" s="1319"/>
      <c r="E24" s="1318"/>
      <c r="F24" s="1320">
        <f t="shared" si="7"/>
        <v>0</v>
      </c>
      <c r="G24" s="1319"/>
      <c r="H24" s="1318"/>
      <c r="I24" s="1320">
        <f t="shared" si="8"/>
        <v>0</v>
      </c>
      <c r="J24" s="1320">
        <f t="shared" si="1"/>
        <v>0</v>
      </c>
      <c r="K24" s="1320">
        <f t="shared" si="2"/>
        <v>0</v>
      </c>
      <c r="L24" s="1318"/>
      <c r="M24" s="1318"/>
      <c r="N24" s="1321">
        <f t="shared" si="3"/>
        <v>0</v>
      </c>
      <c r="O24" s="1322">
        <f t="shared" si="4"/>
        <v>0</v>
      </c>
      <c r="P24" s="2369">
        <f t="shared" si="5"/>
        <v>1900</v>
      </c>
      <c r="Q24" s="2369">
        <f t="shared" si="6"/>
        <v>1900</v>
      </c>
      <c r="R24" s="654"/>
      <c r="S24" s="654"/>
      <c r="T24" s="654"/>
      <c r="U24" s="654"/>
    </row>
    <row r="25" spans="1:21" ht="14.25" customHeight="1">
      <c r="A25" s="1316"/>
      <c r="B25" s="1317"/>
      <c r="C25" s="1318"/>
      <c r="D25" s="1319"/>
      <c r="E25" s="1318"/>
      <c r="F25" s="1320">
        <f t="shared" si="7"/>
        <v>0</v>
      </c>
      <c r="G25" s="1319"/>
      <c r="H25" s="1318"/>
      <c r="I25" s="1320">
        <f t="shared" si="8"/>
        <v>0</v>
      </c>
      <c r="J25" s="1320">
        <f t="shared" si="1"/>
        <v>0</v>
      </c>
      <c r="K25" s="1320">
        <f t="shared" si="2"/>
        <v>0</v>
      </c>
      <c r="L25" s="1318"/>
      <c r="M25" s="1318"/>
      <c r="N25" s="1321">
        <f t="shared" si="3"/>
        <v>0</v>
      </c>
      <c r="O25" s="1322">
        <f t="shared" si="4"/>
        <v>0</v>
      </c>
      <c r="P25" s="2369">
        <f t="shared" si="5"/>
        <v>1900</v>
      </c>
      <c r="Q25" s="2369">
        <f t="shared" si="6"/>
        <v>1900</v>
      </c>
      <c r="R25" s="654"/>
      <c r="S25" s="654"/>
      <c r="T25" s="654"/>
      <c r="U25" s="654"/>
    </row>
    <row r="26" spans="1:21" ht="14.25" customHeight="1">
      <c r="A26" s="1316"/>
      <c r="B26" s="1317"/>
      <c r="C26" s="1318"/>
      <c r="D26" s="1319"/>
      <c r="E26" s="1318"/>
      <c r="F26" s="1320">
        <f t="shared" si="7"/>
        <v>0</v>
      </c>
      <c r="G26" s="1319"/>
      <c r="H26" s="1318"/>
      <c r="I26" s="1320">
        <f t="shared" si="8"/>
        <v>0</v>
      </c>
      <c r="J26" s="1320">
        <f t="shared" si="1"/>
        <v>0</v>
      </c>
      <c r="K26" s="1320">
        <f t="shared" si="2"/>
        <v>0</v>
      </c>
      <c r="L26" s="1318"/>
      <c r="M26" s="1318"/>
      <c r="N26" s="1321">
        <f t="shared" si="3"/>
        <v>0</v>
      </c>
      <c r="O26" s="1322">
        <f t="shared" si="4"/>
        <v>0</v>
      </c>
      <c r="P26" s="2369">
        <f t="shared" si="5"/>
        <v>1900</v>
      </c>
      <c r="Q26" s="2369">
        <f t="shared" si="6"/>
        <v>1900</v>
      </c>
      <c r="R26" s="654"/>
      <c r="S26" s="654"/>
      <c r="T26" s="654"/>
      <c r="U26" s="654"/>
    </row>
    <row r="27" spans="1:21" ht="14.25" customHeight="1">
      <c r="A27" s="1316"/>
      <c r="B27" s="1317"/>
      <c r="C27" s="1318"/>
      <c r="D27" s="1319"/>
      <c r="E27" s="1318"/>
      <c r="F27" s="1320">
        <f t="shared" si="7"/>
        <v>0</v>
      </c>
      <c r="G27" s="1319"/>
      <c r="H27" s="1318"/>
      <c r="I27" s="1320">
        <f t="shared" si="8"/>
        <v>0</v>
      </c>
      <c r="J27" s="1320">
        <f t="shared" si="1"/>
        <v>0</v>
      </c>
      <c r="K27" s="1320">
        <f t="shared" si="2"/>
        <v>0</v>
      </c>
      <c r="L27" s="1318"/>
      <c r="M27" s="1318"/>
      <c r="N27" s="1321">
        <f t="shared" si="3"/>
        <v>0</v>
      </c>
      <c r="O27" s="1322">
        <f t="shared" si="4"/>
        <v>0</v>
      </c>
      <c r="P27" s="2369">
        <f t="shared" si="5"/>
        <v>1900</v>
      </c>
      <c r="Q27" s="2369">
        <f t="shared" si="6"/>
        <v>1900</v>
      </c>
      <c r="R27" s="654"/>
      <c r="S27" s="654"/>
      <c r="T27" s="654"/>
      <c r="U27" s="654"/>
    </row>
    <row r="28" spans="1:21" ht="14.25" customHeight="1">
      <c r="A28" s="1316"/>
      <c r="B28" s="1317"/>
      <c r="C28" s="1318"/>
      <c r="D28" s="1319"/>
      <c r="E28" s="1318"/>
      <c r="F28" s="1320">
        <f t="shared" si="7"/>
        <v>0</v>
      </c>
      <c r="G28" s="1319"/>
      <c r="H28" s="1318"/>
      <c r="I28" s="1320">
        <f t="shared" si="8"/>
        <v>0</v>
      </c>
      <c r="J28" s="1320">
        <f t="shared" si="1"/>
        <v>0</v>
      </c>
      <c r="K28" s="1320">
        <f t="shared" si="2"/>
        <v>0</v>
      </c>
      <c r="L28" s="1318"/>
      <c r="M28" s="1318"/>
      <c r="N28" s="1321">
        <f t="shared" si="3"/>
        <v>0</v>
      </c>
      <c r="O28" s="1322">
        <f t="shared" si="4"/>
        <v>0</v>
      </c>
      <c r="P28" s="2369">
        <f t="shared" si="5"/>
        <v>1900</v>
      </c>
      <c r="Q28" s="2369">
        <f t="shared" si="6"/>
        <v>1900</v>
      </c>
      <c r="R28" s="654"/>
      <c r="S28" s="654"/>
      <c r="T28" s="654"/>
      <c r="U28" s="654"/>
    </row>
    <row r="29" spans="1:21" ht="14.25" customHeight="1">
      <c r="A29" s="1316"/>
      <c r="B29" s="1317"/>
      <c r="C29" s="1318"/>
      <c r="D29" s="1319"/>
      <c r="E29" s="1318"/>
      <c r="F29" s="1320">
        <f t="shared" si="7"/>
        <v>0</v>
      </c>
      <c r="G29" s="1319"/>
      <c r="H29" s="1318"/>
      <c r="I29" s="1320">
        <f t="shared" si="8"/>
        <v>0</v>
      </c>
      <c r="J29" s="1320">
        <f t="shared" si="1"/>
        <v>0</v>
      </c>
      <c r="K29" s="1320">
        <f t="shared" si="2"/>
        <v>0</v>
      </c>
      <c r="L29" s="1318"/>
      <c r="M29" s="1318"/>
      <c r="N29" s="1321">
        <f t="shared" si="3"/>
        <v>0</v>
      </c>
      <c r="O29" s="1322">
        <f t="shared" si="4"/>
        <v>0</v>
      </c>
      <c r="P29" s="2369">
        <f t="shared" si="5"/>
        <v>1900</v>
      </c>
      <c r="Q29" s="2369">
        <f t="shared" si="6"/>
        <v>1900</v>
      </c>
      <c r="R29" s="654"/>
      <c r="S29" s="654"/>
      <c r="T29" s="654"/>
      <c r="U29" s="654"/>
    </row>
    <row r="30" spans="1:21" ht="14.25" customHeight="1">
      <c r="A30" s="1316"/>
      <c r="B30" s="1317"/>
      <c r="C30" s="1318"/>
      <c r="D30" s="1319"/>
      <c r="E30" s="1318"/>
      <c r="F30" s="1320">
        <f t="shared" si="7"/>
        <v>0</v>
      </c>
      <c r="G30" s="1319"/>
      <c r="H30" s="1318"/>
      <c r="I30" s="1320">
        <f t="shared" si="8"/>
        <v>0</v>
      </c>
      <c r="J30" s="1320">
        <f t="shared" si="1"/>
        <v>0</v>
      </c>
      <c r="K30" s="1320">
        <f t="shared" si="2"/>
        <v>0</v>
      </c>
      <c r="L30" s="1318"/>
      <c r="M30" s="1318"/>
      <c r="N30" s="1321">
        <f t="shared" si="3"/>
        <v>0</v>
      </c>
      <c r="O30" s="1322">
        <f t="shared" si="4"/>
        <v>0</v>
      </c>
      <c r="P30" s="2369">
        <f t="shared" si="5"/>
        <v>1900</v>
      </c>
      <c r="Q30" s="2369">
        <f t="shared" si="6"/>
        <v>1900</v>
      </c>
      <c r="R30" s="654"/>
      <c r="S30" s="654"/>
      <c r="T30" s="654"/>
      <c r="U30" s="654"/>
    </row>
    <row r="31" spans="1:21" ht="14.25" customHeight="1">
      <c r="A31" s="1316"/>
      <c r="B31" s="1317"/>
      <c r="C31" s="1318"/>
      <c r="D31" s="1319"/>
      <c r="E31" s="1318"/>
      <c r="F31" s="1320">
        <f t="shared" si="7"/>
        <v>0</v>
      </c>
      <c r="G31" s="1319"/>
      <c r="H31" s="1318"/>
      <c r="I31" s="1320">
        <f t="shared" si="8"/>
        <v>0</v>
      </c>
      <c r="J31" s="1320">
        <f t="shared" si="1"/>
        <v>0</v>
      </c>
      <c r="K31" s="1320">
        <f t="shared" si="2"/>
        <v>0</v>
      </c>
      <c r="L31" s="1318"/>
      <c r="M31" s="1318"/>
      <c r="N31" s="1321">
        <f t="shared" si="3"/>
        <v>0</v>
      </c>
      <c r="O31" s="1322">
        <f t="shared" si="4"/>
        <v>0</v>
      </c>
      <c r="P31" s="2369">
        <f t="shared" si="5"/>
        <v>1900</v>
      </c>
      <c r="Q31" s="2369">
        <f t="shared" si="6"/>
        <v>1900</v>
      </c>
      <c r="R31" s="654"/>
      <c r="S31" s="654"/>
      <c r="T31" s="654"/>
      <c r="U31" s="654"/>
    </row>
    <row r="32" spans="1:21" ht="14.25" customHeight="1">
      <c r="A32" s="1316"/>
      <c r="B32" s="1317"/>
      <c r="C32" s="1318"/>
      <c r="D32" s="1319"/>
      <c r="E32" s="1318"/>
      <c r="F32" s="1320">
        <f t="shared" si="7"/>
        <v>0</v>
      </c>
      <c r="G32" s="1319"/>
      <c r="H32" s="1318"/>
      <c r="I32" s="1320">
        <f t="shared" si="8"/>
        <v>0</v>
      </c>
      <c r="J32" s="1320">
        <f t="shared" si="1"/>
        <v>0</v>
      </c>
      <c r="K32" s="1320">
        <f t="shared" si="2"/>
        <v>0</v>
      </c>
      <c r="L32" s="1318"/>
      <c r="M32" s="1318"/>
      <c r="N32" s="1321">
        <f t="shared" si="3"/>
        <v>0</v>
      </c>
      <c r="O32" s="1322">
        <f t="shared" si="4"/>
        <v>0</v>
      </c>
      <c r="P32" s="2369">
        <f t="shared" si="5"/>
        <v>1900</v>
      </c>
      <c r="Q32" s="2369">
        <f t="shared" si="6"/>
        <v>1900</v>
      </c>
      <c r="R32" s="654"/>
      <c r="S32" s="654"/>
      <c r="T32" s="654"/>
      <c r="U32" s="654"/>
    </row>
    <row r="33" spans="1:21" ht="14.25" customHeight="1">
      <c r="A33" s="1316"/>
      <c r="B33" s="1317"/>
      <c r="C33" s="1318"/>
      <c r="D33" s="1319"/>
      <c r="E33" s="1318"/>
      <c r="F33" s="1320">
        <f t="shared" si="7"/>
        <v>0</v>
      </c>
      <c r="G33" s="1319"/>
      <c r="H33" s="1318"/>
      <c r="I33" s="1320">
        <f t="shared" si="8"/>
        <v>0</v>
      </c>
      <c r="J33" s="1320">
        <f t="shared" si="1"/>
        <v>0</v>
      </c>
      <c r="K33" s="1320">
        <f t="shared" si="2"/>
        <v>0</v>
      </c>
      <c r="L33" s="1318"/>
      <c r="M33" s="1318"/>
      <c r="N33" s="1321">
        <f t="shared" si="3"/>
        <v>0</v>
      </c>
      <c r="O33" s="1322">
        <f t="shared" si="4"/>
        <v>0</v>
      </c>
      <c r="P33" s="2369">
        <f t="shared" si="5"/>
        <v>1900</v>
      </c>
      <c r="Q33" s="2369">
        <f t="shared" si="6"/>
        <v>1900</v>
      </c>
      <c r="R33" s="654"/>
      <c r="S33" s="654"/>
      <c r="T33" s="654"/>
      <c r="U33" s="654"/>
    </row>
    <row r="34" spans="1:21" ht="14.25" customHeight="1">
      <c r="A34" s="1316"/>
      <c r="B34" s="1317"/>
      <c r="C34" s="1318"/>
      <c r="D34" s="1319"/>
      <c r="E34" s="1318"/>
      <c r="F34" s="1320">
        <f t="shared" si="7"/>
        <v>0</v>
      </c>
      <c r="G34" s="1319"/>
      <c r="H34" s="1318"/>
      <c r="I34" s="1320">
        <f t="shared" si="8"/>
        <v>0</v>
      </c>
      <c r="J34" s="1320">
        <f t="shared" si="1"/>
        <v>0</v>
      </c>
      <c r="K34" s="1320">
        <f t="shared" si="2"/>
        <v>0</v>
      </c>
      <c r="L34" s="1318"/>
      <c r="M34" s="1318"/>
      <c r="N34" s="1321">
        <f t="shared" si="3"/>
        <v>0</v>
      </c>
      <c r="O34" s="1322">
        <f t="shared" si="4"/>
        <v>0</v>
      </c>
      <c r="P34" s="2369">
        <f t="shared" si="5"/>
        <v>1900</v>
      </c>
      <c r="Q34" s="2369">
        <f t="shared" si="6"/>
        <v>1900</v>
      </c>
      <c r="R34" s="654"/>
      <c r="S34" s="654"/>
      <c r="T34" s="654"/>
      <c r="U34" s="654"/>
    </row>
    <row r="35" spans="1:21" ht="14.25" customHeight="1">
      <c r="A35" s="1316"/>
      <c r="B35" s="1317"/>
      <c r="C35" s="1318"/>
      <c r="D35" s="1319"/>
      <c r="E35" s="1318"/>
      <c r="F35" s="1320">
        <f t="shared" si="7"/>
        <v>0</v>
      </c>
      <c r="G35" s="1319"/>
      <c r="H35" s="1318"/>
      <c r="I35" s="1320">
        <f t="shared" si="8"/>
        <v>0</v>
      </c>
      <c r="J35" s="1320">
        <f t="shared" si="1"/>
        <v>0</v>
      </c>
      <c r="K35" s="1320">
        <f t="shared" si="2"/>
        <v>0</v>
      </c>
      <c r="L35" s="1318"/>
      <c r="M35" s="1318"/>
      <c r="N35" s="1321">
        <f t="shared" si="3"/>
        <v>0</v>
      </c>
      <c r="O35" s="1322">
        <f t="shared" si="4"/>
        <v>0</v>
      </c>
      <c r="P35" s="2369">
        <f t="shared" si="5"/>
        <v>1900</v>
      </c>
      <c r="Q35" s="2369">
        <f t="shared" si="6"/>
        <v>1900</v>
      </c>
      <c r="R35" s="654"/>
      <c r="S35" s="654"/>
      <c r="T35" s="654"/>
      <c r="U35" s="654"/>
    </row>
    <row r="36" spans="1:21" ht="14.25" customHeight="1">
      <c r="A36" s="1316"/>
      <c r="B36" s="1317"/>
      <c r="C36" s="1318"/>
      <c r="D36" s="1319"/>
      <c r="E36" s="1318"/>
      <c r="F36" s="1320">
        <f t="shared" si="7"/>
        <v>0</v>
      </c>
      <c r="G36" s="1319"/>
      <c r="H36" s="1318"/>
      <c r="I36" s="1320">
        <f t="shared" si="8"/>
        <v>0</v>
      </c>
      <c r="J36" s="1320">
        <f t="shared" si="1"/>
        <v>0</v>
      </c>
      <c r="K36" s="1320">
        <f t="shared" si="2"/>
        <v>0</v>
      </c>
      <c r="L36" s="1318"/>
      <c r="M36" s="1318"/>
      <c r="N36" s="1321">
        <f t="shared" si="3"/>
        <v>0</v>
      </c>
      <c r="O36" s="1322">
        <f t="shared" si="4"/>
        <v>0</v>
      </c>
      <c r="P36" s="2369">
        <f t="shared" si="5"/>
        <v>1900</v>
      </c>
      <c r="Q36" s="2369">
        <f t="shared" si="6"/>
        <v>1900</v>
      </c>
      <c r="R36" s="654"/>
      <c r="S36" s="654"/>
      <c r="T36" s="654"/>
      <c r="U36" s="654"/>
    </row>
    <row r="37" spans="1:21" ht="14.25" customHeight="1">
      <c r="A37" s="1316"/>
      <c r="B37" s="1317"/>
      <c r="C37" s="1318"/>
      <c r="D37" s="1319"/>
      <c r="E37" s="1318"/>
      <c r="F37" s="1320">
        <f t="shared" si="7"/>
        <v>0</v>
      </c>
      <c r="G37" s="1319"/>
      <c r="H37" s="1318"/>
      <c r="I37" s="1320">
        <f t="shared" si="8"/>
        <v>0</v>
      </c>
      <c r="J37" s="1320">
        <f t="shared" si="1"/>
        <v>0</v>
      </c>
      <c r="K37" s="1320">
        <f t="shared" si="2"/>
        <v>0</v>
      </c>
      <c r="L37" s="1318"/>
      <c r="M37" s="1318"/>
      <c r="N37" s="1321">
        <f t="shared" si="3"/>
        <v>0</v>
      </c>
      <c r="O37" s="1322">
        <f t="shared" si="4"/>
        <v>0</v>
      </c>
      <c r="P37" s="2369">
        <f t="shared" si="5"/>
        <v>1900</v>
      </c>
      <c r="Q37" s="2369">
        <f t="shared" si="6"/>
        <v>1900</v>
      </c>
      <c r="R37" s="654"/>
      <c r="S37" s="654"/>
      <c r="T37" s="654"/>
      <c r="U37" s="654"/>
    </row>
    <row r="38" spans="1:21" ht="14.25" customHeight="1">
      <c r="A38" s="1316"/>
      <c r="B38" s="1317"/>
      <c r="C38" s="1318"/>
      <c r="D38" s="1319"/>
      <c r="E38" s="1318"/>
      <c r="F38" s="1320">
        <f t="shared" si="7"/>
        <v>0</v>
      </c>
      <c r="G38" s="1319"/>
      <c r="H38" s="1318"/>
      <c r="I38" s="1320">
        <f t="shared" si="8"/>
        <v>0</v>
      </c>
      <c r="J38" s="1320">
        <f t="shared" si="1"/>
        <v>0</v>
      </c>
      <c r="K38" s="1320">
        <f t="shared" si="2"/>
        <v>0</v>
      </c>
      <c r="L38" s="1318"/>
      <c r="M38" s="1318"/>
      <c r="N38" s="1321">
        <f t="shared" si="3"/>
        <v>0</v>
      </c>
      <c r="O38" s="1322">
        <f t="shared" si="4"/>
        <v>0</v>
      </c>
      <c r="P38" s="2369">
        <f t="shared" si="5"/>
        <v>1900</v>
      </c>
      <c r="Q38" s="2369">
        <f t="shared" si="6"/>
        <v>1900</v>
      </c>
      <c r="R38" s="654"/>
      <c r="S38" s="654"/>
      <c r="T38" s="654"/>
      <c r="U38" s="654"/>
    </row>
    <row r="39" spans="1:21" ht="14.25" customHeight="1">
      <c r="A39" s="1316"/>
      <c r="B39" s="1317"/>
      <c r="C39" s="1318"/>
      <c r="D39" s="1319"/>
      <c r="E39" s="1318"/>
      <c r="F39" s="1320">
        <f t="shared" si="7"/>
        <v>0</v>
      </c>
      <c r="G39" s="1319"/>
      <c r="H39" s="1318"/>
      <c r="I39" s="1320">
        <f t="shared" si="8"/>
        <v>0</v>
      </c>
      <c r="J39" s="1320">
        <f t="shared" si="1"/>
        <v>0</v>
      </c>
      <c r="K39" s="1320">
        <f t="shared" si="2"/>
        <v>0</v>
      </c>
      <c r="L39" s="1318"/>
      <c r="M39" s="1318"/>
      <c r="N39" s="1321">
        <f t="shared" si="3"/>
        <v>0</v>
      </c>
      <c r="O39" s="1322">
        <f t="shared" si="4"/>
        <v>0</v>
      </c>
      <c r="P39" s="2369">
        <f t="shared" si="5"/>
        <v>1900</v>
      </c>
      <c r="Q39" s="2369">
        <f t="shared" si="6"/>
        <v>1900</v>
      </c>
      <c r="R39" s="654"/>
      <c r="S39" s="654"/>
      <c r="T39" s="654"/>
      <c r="U39" s="654"/>
    </row>
    <row r="40" spans="1:21" ht="14.25" customHeight="1">
      <c r="A40" s="1316"/>
      <c r="B40" s="1317"/>
      <c r="C40" s="1318"/>
      <c r="D40" s="1319"/>
      <c r="E40" s="1318"/>
      <c r="F40" s="1320">
        <f t="shared" si="7"/>
        <v>0</v>
      </c>
      <c r="G40" s="1319"/>
      <c r="H40" s="1318"/>
      <c r="I40" s="1320">
        <f t="shared" si="8"/>
        <v>0</v>
      </c>
      <c r="J40" s="1320">
        <f t="shared" si="1"/>
        <v>0</v>
      </c>
      <c r="K40" s="1320">
        <f t="shared" si="2"/>
        <v>0</v>
      </c>
      <c r="L40" s="1318"/>
      <c r="M40" s="1318"/>
      <c r="N40" s="1321">
        <f t="shared" si="3"/>
        <v>0</v>
      </c>
      <c r="O40" s="1322">
        <f t="shared" si="4"/>
        <v>0</v>
      </c>
      <c r="P40" s="2369">
        <f t="shared" si="5"/>
        <v>1900</v>
      </c>
      <c r="Q40" s="2369">
        <f t="shared" si="6"/>
        <v>1900</v>
      </c>
      <c r="R40" s="654"/>
      <c r="S40" s="654"/>
      <c r="T40" s="654"/>
      <c r="U40" s="654"/>
    </row>
    <row r="41" spans="1:21" ht="14.25" customHeight="1">
      <c r="A41" s="1316"/>
      <c r="B41" s="1317"/>
      <c r="C41" s="1318"/>
      <c r="D41" s="1319"/>
      <c r="E41" s="1318"/>
      <c r="F41" s="1320">
        <f t="shared" si="7"/>
        <v>0</v>
      </c>
      <c r="G41" s="1319"/>
      <c r="H41" s="1318"/>
      <c r="I41" s="1320">
        <f t="shared" si="8"/>
        <v>0</v>
      </c>
      <c r="J41" s="1320">
        <f t="shared" si="1"/>
        <v>0</v>
      </c>
      <c r="K41" s="1320">
        <f t="shared" si="2"/>
        <v>0</v>
      </c>
      <c r="L41" s="1318"/>
      <c r="M41" s="1318"/>
      <c r="N41" s="1321">
        <f t="shared" si="3"/>
        <v>0</v>
      </c>
      <c r="O41" s="1322">
        <f t="shared" si="4"/>
        <v>0</v>
      </c>
      <c r="P41" s="2369">
        <f t="shared" si="5"/>
        <v>1900</v>
      </c>
      <c r="Q41" s="2369">
        <f t="shared" si="6"/>
        <v>1900</v>
      </c>
      <c r="R41" s="654"/>
      <c r="S41" s="654"/>
      <c r="T41" s="654"/>
      <c r="U41" s="654"/>
    </row>
    <row r="42" spans="1:21" ht="14.25" customHeight="1">
      <c r="A42" s="1316"/>
      <c r="B42" s="1317"/>
      <c r="C42" s="1318"/>
      <c r="D42" s="1319"/>
      <c r="E42" s="1318"/>
      <c r="F42" s="1320">
        <f t="shared" si="7"/>
        <v>0</v>
      </c>
      <c r="G42" s="1319"/>
      <c r="H42" s="1318"/>
      <c r="I42" s="1320">
        <f t="shared" si="8"/>
        <v>0</v>
      </c>
      <c r="J42" s="1320">
        <f t="shared" si="1"/>
        <v>0</v>
      </c>
      <c r="K42" s="1320">
        <f t="shared" si="2"/>
        <v>0</v>
      </c>
      <c r="L42" s="1318"/>
      <c r="M42" s="1318"/>
      <c r="N42" s="1321">
        <f t="shared" si="3"/>
        <v>0</v>
      </c>
      <c r="O42" s="1322">
        <f t="shared" si="4"/>
        <v>0</v>
      </c>
      <c r="P42" s="2369">
        <f t="shared" si="5"/>
        <v>1900</v>
      </c>
      <c r="Q42" s="2369">
        <f t="shared" si="6"/>
        <v>1900</v>
      </c>
      <c r="R42" s="654"/>
      <c r="S42" s="654"/>
      <c r="T42" s="654"/>
      <c r="U42" s="654"/>
    </row>
    <row r="43" spans="1:21" ht="14.25" customHeight="1">
      <c r="A43" s="1316"/>
      <c r="B43" s="1317"/>
      <c r="C43" s="1318"/>
      <c r="D43" s="1319"/>
      <c r="E43" s="1318"/>
      <c r="F43" s="1320">
        <f t="shared" si="7"/>
        <v>0</v>
      </c>
      <c r="G43" s="1319"/>
      <c r="H43" s="1318"/>
      <c r="I43" s="1320">
        <f t="shared" si="8"/>
        <v>0</v>
      </c>
      <c r="J43" s="1320">
        <f t="shared" si="1"/>
        <v>0</v>
      </c>
      <c r="K43" s="1320">
        <f t="shared" si="2"/>
        <v>0</v>
      </c>
      <c r="L43" s="1318"/>
      <c r="M43" s="1318"/>
      <c r="N43" s="1321">
        <f t="shared" si="3"/>
        <v>0</v>
      </c>
      <c r="O43" s="1322">
        <f t="shared" si="4"/>
        <v>0</v>
      </c>
      <c r="P43" s="2369">
        <f t="shared" si="5"/>
        <v>1900</v>
      </c>
      <c r="Q43" s="2369">
        <f t="shared" si="6"/>
        <v>1900</v>
      </c>
      <c r="R43" s="654"/>
      <c r="S43" s="654"/>
      <c r="T43" s="654"/>
      <c r="U43" s="654"/>
    </row>
    <row r="44" spans="1:21" ht="14.25" customHeight="1">
      <c r="A44" s="1316"/>
      <c r="B44" s="1317"/>
      <c r="C44" s="1318"/>
      <c r="D44" s="1319"/>
      <c r="E44" s="1318"/>
      <c r="F44" s="1320">
        <f t="shared" si="7"/>
        <v>0</v>
      </c>
      <c r="G44" s="1319"/>
      <c r="H44" s="1318"/>
      <c r="I44" s="1320">
        <f t="shared" si="8"/>
        <v>0</v>
      </c>
      <c r="J44" s="1320">
        <f t="shared" si="1"/>
        <v>0</v>
      </c>
      <c r="K44" s="1320">
        <f t="shared" si="2"/>
        <v>0</v>
      </c>
      <c r="L44" s="1318"/>
      <c r="M44" s="1318"/>
      <c r="N44" s="1321">
        <f t="shared" si="3"/>
        <v>0</v>
      </c>
      <c r="O44" s="1322">
        <f t="shared" si="4"/>
        <v>0</v>
      </c>
      <c r="P44" s="2369">
        <f t="shared" si="5"/>
        <v>1900</v>
      </c>
      <c r="Q44" s="2369">
        <f t="shared" si="6"/>
        <v>1900</v>
      </c>
      <c r="R44" s="654"/>
      <c r="S44" s="654"/>
      <c r="T44" s="654"/>
      <c r="U44" s="654"/>
    </row>
    <row r="45" spans="1:21" ht="14.25" customHeight="1">
      <c r="A45" s="1316"/>
      <c r="B45" s="1317"/>
      <c r="C45" s="1318"/>
      <c r="D45" s="1319"/>
      <c r="E45" s="1318"/>
      <c r="F45" s="1320">
        <f t="shared" si="7"/>
        <v>0</v>
      </c>
      <c r="G45" s="1319"/>
      <c r="H45" s="1318"/>
      <c r="I45" s="1320">
        <f t="shared" si="8"/>
        <v>0</v>
      </c>
      <c r="J45" s="1320">
        <f t="shared" si="1"/>
        <v>0</v>
      </c>
      <c r="K45" s="1320">
        <f t="shared" si="2"/>
        <v>0</v>
      </c>
      <c r="L45" s="1318"/>
      <c r="M45" s="1318"/>
      <c r="N45" s="1321">
        <f t="shared" si="3"/>
        <v>0</v>
      </c>
      <c r="O45" s="1322">
        <f t="shared" si="4"/>
        <v>0</v>
      </c>
      <c r="P45" s="2369">
        <f t="shared" si="5"/>
        <v>1900</v>
      </c>
      <c r="Q45" s="2369">
        <f t="shared" si="6"/>
        <v>1900</v>
      </c>
      <c r="R45" s="654"/>
      <c r="S45" s="654"/>
      <c r="T45" s="654"/>
      <c r="U45" s="654"/>
    </row>
    <row r="46" spans="1:21" ht="14.25" customHeight="1">
      <c r="A46" s="1316"/>
      <c r="B46" s="1317"/>
      <c r="C46" s="1318"/>
      <c r="D46" s="1319"/>
      <c r="E46" s="1318"/>
      <c r="F46" s="1320">
        <f t="shared" si="7"/>
        <v>0</v>
      </c>
      <c r="G46" s="1319"/>
      <c r="H46" s="1318"/>
      <c r="I46" s="1320">
        <f t="shared" si="8"/>
        <v>0</v>
      </c>
      <c r="J46" s="1320">
        <f t="shared" si="1"/>
        <v>0</v>
      </c>
      <c r="K46" s="1320">
        <f t="shared" si="2"/>
        <v>0</v>
      </c>
      <c r="L46" s="1318"/>
      <c r="M46" s="1318"/>
      <c r="N46" s="1321">
        <f t="shared" si="3"/>
        <v>0</v>
      </c>
      <c r="O46" s="1322">
        <f t="shared" si="4"/>
        <v>0</v>
      </c>
      <c r="P46" s="2369">
        <f t="shared" si="5"/>
        <v>1900</v>
      </c>
      <c r="Q46" s="2369">
        <f t="shared" si="6"/>
        <v>1900</v>
      </c>
      <c r="R46" s="654"/>
      <c r="S46" s="654"/>
      <c r="T46" s="654"/>
      <c r="U46" s="654"/>
    </row>
    <row r="47" spans="1:21" ht="14.25" customHeight="1">
      <c r="A47" s="1316"/>
      <c r="B47" s="1317"/>
      <c r="C47" s="1318"/>
      <c r="D47" s="1319"/>
      <c r="E47" s="1318"/>
      <c r="F47" s="1320">
        <f t="shared" si="7"/>
        <v>0</v>
      </c>
      <c r="G47" s="1319"/>
      <c r="H47" s="1318"/>
      <c r="I47" s="1320">
        <f t="shared" si="8"/>
        <v>0</v>
      </c>
      <c r="J47" s="1320">
        <f t="shared" si="1"/>
        <v>0</v>
      </c>
      <c r="K47" s="1320">
        <f t="shared" si="2"/>
        <v>0</v>
      </c>
      <c r="L47" s="1318"/>
      <c r="M47" s="1318"/>
      <c r="N47" s="1321">
        <f t="shared" si="3"/>
        <v>0</v>
      </c>
      <c r="O47" s="1322">
        <f t="shared" si="4"/>
        <v>0</v>
      </c>
      <c r="P47" s="2369">
        <f t="shared" si="5"/>
        <v>1900</v>
      </c>
      <c r="Q47" s="2369">
        <f t="shared" si="6"/>
        <v>1900</v>
      </c>
      <c r="R47" s="654"/>
      <c r="S47" s="654"/>
      <c r="T47" s="654"/>
      <c r="U47" s="654"/>
    </row>
    <row r="48" spans="1:21" ht="14.25" customHeight="1">
      <c r="A48" s="1316"/>
      <c r="B48" s="1317"/>
      <c r="C48" s="1318"/>
      <c r="D48" s="1319"/>
      <c r="E48" s="1318"/>
      <c r="F48" s="1320">
        <f t="shared" si="7"/>
        <v>0</v>
      </c>
      <c r="G48" s="1319"/>
      <c r="H48" s="1318"/>
      <c r="I48" s="1320">
        <f t="shared" si="8"/>
        <v>0</v>
      </c>
      <c r="J48" s="1320">
        <f t="shared" si="1"/>
        <v>0</v>
      </c>
      <c r="K48" s="1320">
        <f t="shared" si="2"/>
        <v>0</v>
      </c>
      <c r="L48" s="1318"/>
      <c r="M48" s="1318"/>
      <c r="N48" s="1321">
        <f t="shared" si="3"/>
        <v>0</v>
      </c>
      <c r="O48" s="1322">
        <f t="shared" si="4"/>
        <v>0</v>
      </c>
      <c r="P48" s="2369">
        <f t="shared" si="5"/>
        <v>1900</v>
      </c>
      <c r="Q48" s="2369">
        <f t="shared" si="6"/>
        <v>1900</v>
      </c>
      <c r="R48" s="654"/>
      <c r="S48" s="654"/>
      <c r="T48" s="654"/>
      <c r="U48" s="654"/>
    </row>
    <row r="49" spans="1:21" ht="14.25" customHeight="1">
      <c r="A49" s="1316"/>
      <c r="B49" s="1317"/>
      <c r="C49" s="1318"/>
      <c r="D49" s="1319"/>
      <c r="E49" s="1318"/>
      <c r="F49" s="1320">
        <f t="shared" si="7"/>
        <v>0</v>
      </c>
      <c r="G49" s="1319"/>
      <c r="H49" s="1318"/>
      <c r="I49" s="1320">
        <f t="shared" si="8"/>
        <v>0</v>
      </c>
      <c r="J49" s="1320">
        <f t="shared" si="1"/>
        <v>0</v>
      </c>
      <c r="K49" s="1320">
        <f t="shared" si="2"/>
        <v>0</v>
      </c>
      <c r="L49" s="1318"/>
      <c r="M49" s="1318"/>
      <c r="N49" s="1321">
        <f t="shared" si="3"/>
        <v>0</v>
      </c>
      <c r="O49" s="1322">
        <f t="shared" si="4"/>
        <v>0</v>
      </c>
      <c r="P49" s="2369">
        <f t="shared" si="5"/>
        <v>1900</v>
      </c>
      <c r="Q49" s="2369">
        <f t="shared" si="6"/>
        <v>1900</v>
      </c>
      <c r="R49" s="654"/>
      <c r="S49" s="654"/>
      <c r="T49" s="654"/>
      <c r="U49" s="654"/>
    </row>
    <row r="50" spans="1:21" ht="14.25" customHeight="1">
      <c r="A50" s="1316"/>
      <c r="B50" s="1317"/>
      <c r="C50" s="1318"/>
      <c r="D50" s="1319"/>
      <c r="E50" s="1318"/>
      <c r="F50" s="1320">
        <f t="shared" si="7"/>
        <v>0</v>
      </c>
      <c r="G50" s="1319"/>
      <c r="H50" s="1318"/>
      <c r="I50" s="1320">
        <f t="shared" si="8"/>
        <v>0</v>
      </c>
      <c r="J50" s="1320">
        <f t="shared" si="1"/>
        <v>0</v>
      </c>
      <c r="K50" s="1320">
        <f t="shared" si="2"/>
        <v>0</v>
      </c>
      <c r="L50" s="1318"/>
      <c r="M50" s="1318"/>
      <c r="N50" s="1321">
        <f t="shared" si="3"/>
        <v>0</v>
      </c>
      <c r="O50" s="1322">
        <f t="shared" si="4"/>
        <v>0</v>
      </c>
      <c r="P50" s="2369">
        <f t="shared" si="5"/>
        <v>1900</v>
      </c>
      <c r="Q50" s="2369">
        <f t="shared" si="6"/>
        <v>1900</v>
      </c>
      <c r="R50" s="654"/>
      <c r="S50" s="654"/>
      <c r="T50" s="654"/>
      <c r="U50" s="654"/>
    </row>
    <row r="51" spans="1:21" ht="14.25" customHeight="1">
      <c r="A51" s="1316"/>
      <c r="B51" s="1317"/>
      <c r="C51" s="1318"/>
      <c r="D51" s="1319"/>
      <c r="E51" s="1318"/>
      <c r="F51" s="1320">
        <f t="shared" si="7"/>
        <v>0</v>
      </c>
      <c r="G51" s="1319"/>
      <c r="H51" s="1318"/>
      <c r="I51" s="1320">
        <f t="shared" si="8"/>
        <v>0</v>
      </c>
      <c r="J51" s="1320">
        <f t="shared" si="1"/>
        <v>0</v>
      </c>
      <c r="K51" s="1320">
        <f t="shared" si="2"/>
        <v>0</v>
      </c>
      <c r="L51" s="1318"/>
      <c r="M51" s="1318"/>
      <c r="N51" s="1321">
        <f t="shared" si="3"/>
        <v>0</v>
      </c>
      <c r="O51" s="1322">
        <f t="shared" si="4"/>
        <v>0</v>
      </c>
      <c r="P51" s="2369">
        <f t="shared" si="5"/>
        <v>1900</v>
      </c>
      <c r="Q51" s="2369">
        <f t="shared" si="6"/>
        <v>1900</v>
      </c>
      <c r="R51" s="654"/>
      <c r="S51" s="654"/>
      <c r="T51" s="654"/>
      <c r="U51" s="654"/>
    </row>
    <row r="52" spans="1:21" ht="14.25" customHeight="1">
      <c r="A52" s="1316"/>
      <c r="B52" s="1317"/>
      <c r="C52" s="1318"/>
      <c r="D52" s="1319"/>
      <c r="E52" s="1318"/>
      <c r="F52" s="1320">
        <f t="shared" si="7"/>
        <v>0</v>
      </c>
      <c r="G52" s="1319"/>
      <c r="H52" s="1318"/>
      <c r="I52" s="1320">
        <f t="shared" si="8"/>
        <v>0</v>
      </c>
      <c r="J52" s="1320">
        <f t="shared" si="1"/>
        <v>0</v>
      </c>
      <c r="K52" s="1320">
        <f t="shared" si="2"/>
        <v>0</v>
      </c>
      <c r="L52" s="1318"/>
      <c r="M52" s="1318"/>
      <c r="N52" s="1321">
        <f t="shared" si="3"/>
        <v>0</v>
      </c>
      <c r="O52" s="1322">
        <f t="shared" si="4"/>
        <v>0</v>
      </c>
      <c r="P52" s="2369">
        <f t="shared" si="5"/>
        <v>1900</v>
      </c>
      <c r="Q52" s="2369">
        <f t="shared" si="6"/>
        <v>1900</v>
      </c>
      <c r="R52" s="654"/>
      <c r="S52" s="654"/>
      <c r="T52" s="654"/>
      <c r="U52" s="654"/>
    </row>
    <row r="53" spans="1:21" ht="14.25" customHeight="1">
      <c r="A53" s="1316"/>
      <c r="B53" s="1317"/>
      <c r="C53" s="1318"/>
      <c r="D53" s="1319"/>
      <c r="E53" s="1318"/>
      <c r="F53" s="1320">
        <f t="shared" si="7"/>
        <v>0</v>
      </c>
      <c r="G53" s="1319"/>
      <c r="H53" s="1318"/>
      <c r="I53" s="1320">
        <f t="shared" si="8"/>
        <v>0</v>
      </c>
      <c r="J53" s="1320">
        <f t="shared" si="1"/>
        <v>0</v>
      </c>
      <c r="K53" s="1320">
        <f t="shared" si="2"/>
        <v>0</v>
      </c>
      <c r="L53" s="1318"/>
      <c r="M53" s="1318"/>
      <c r="N53" s="1321">
        <f t="shared" si="3"/>
        <v>0</v>
      </c>
      <c r="O53" s="1322">
        <f t="shared" si="4"/>
        <v>0</v>
      </c>
      <c r="P53" s="2369">
        <f t="shared" si="5"/>
        <v>1900</v>
      </c>
      <c r="Q53" s="2369">
        <f t="shared" si="6"/>
        <v>1900</v>
      </c>
      <c r="R53" s="654"/>
      <c r="S53" s="654"/>
      <c r="T53" s="654"/>
      <c r="U53" s="654"/>
    </row>
    <row r="54" spans="1:21" ht="14.25" customHeight="1">
      <c r="A54" s="1316"/>
      <c r="B54" s="1317"/>
      <c r="C54" s="1318"/>
      <c r="D54" s="1319"/>
      <c r="E54" s="1318"/>
      <c r="F54" s="1320">
        <f t="shared" si="7"/>
        <v>0</v>
      </c>
      <c r="G54" s="1319"/>
      <c r="H54" s="1318"/>
      <c r="I54" s="1320">
        <f t="shared" si="8"/>
        <v>0</v>
      </c>
      <c r="J54" s="1320">
        <f t="shared" si="1"/>
        <v>0</v>
      </c>
      <c r="K54" s="1320">
        <f t="shared" si="2"/>
        <v>0</v>
      </c>
      <c r="L54" s="1318"/>
      <c r="M54" s="1318"/>
      <c r="N54" s="1321">
        <f t="shared" si="3"/>
        <v>0</v>
      </c>
      <c r="O54" s="1322">
        <f t="shared" si="4"/>
        <v>0</v>
      </c>
      <c r="P54" s="2369">
        <f t="shared" si="5"/>
        <v>1900</v>
      </c>
      <c r="Q54" s="2369">
        <f t="shared" si="6"/>
        <v>1900</v>
      </c>
      <c r="R54" s="654"/>
      <c r="S54" s="654"/>
      <c r="T54" s="654"/>
      <c r="U54" s="654"/>
    </row>
    <row r="55" spans="1:21" ht="14.25" customHeight="1">
      <c r="A55" s="1316"/>
      <c r="B55" s="1317"/>
      <c r="C55" s="1318"/>
      <c r="D55" s="1319"/>
      <c r="E55" s="1318"/>
      <c r="F55" s="1320">
        <f t="shared" si="7"/>
        <v>0</v>
      </c>
      <c r="G55" s="1319"/>
      <c r="H55" s="1318"/>
      <c r="I55" s="1320">
        <f t="shared" si="8"/>
        <v>0</v>
      </c>
      <c r="J55" s="1320">
        <f t="shared" si="1"/>
        <v>0</v>
      </c>
      <c r="K55" s="1320">
        <f t="shared" si="2"/>
        <v>0</v>
      </c>
      <c r="L55" s="1318"/>
      <c r="M55" s="1318"/>
      <c r="N55" s="1321">
        <f t="shared" si="3"/>
        <v>0</v>
      </c>
      <c r="O55" s="1322">
        <f t="shared" si="4"/>
        <v>0</v>
      </c>
      <c r="P55" s="2369">
        <f t="shared" si="5"/>
        <v>1900</v>
      </c>
      <c r="Q55" s="2369">
        <f t="shared" si="6"/>
        <v>1900</v>
      </c>
      <c r="R55" s="654"/>
      <c r="S55" s="654"/>
      <c r="T55" s="654"/>
      <c r="U55" s="654"/>
    </row>
    <row r="56" spans="1:21" ht="14.25" customHeight="1">
      <c r="A56" s="1316"/>
      <c r="B56" s="1317"/>
      <c r="C56" s="1318"/>
      <c r="D56" s="1319"/>
      <c r="E56" s="1318"/>
      <c r="F56" s="1320">
        <f t="shared" si="7"/>
        <v>0</v>
      </c>
      <c r="G56" s="1319"/>
      <c r="H56" s="1318"/>
      <c r="I56" s="1320">
        <f t="shared" si="8"/>
        <v>0</v>
      </c>
      <c r="J56" s="1320">
        <f t="shared" si="1"/>
        <v>0</v>
      </c>
      <c r="K56" s="1320">
        <f t="shared" si="2"/>
        <v>0</v>
      </c>
      <c r="L56" s="1318"/>
      <c r="M56" s="1318"/>
      <c r="N56" s="1321">
        <f t="shared" si="3"/>
        <v>0</v>
      </c>
      <c r="O56" s="1322">
        <f t="shared" si="4"/>
        <v>0</v>
      </c>
      <c r="P56" s="2369">
        <f t="shared" si="5"/>
        <v>1900</v>
      </c>
      <c r="Q56" s="2369">
        <f t="shared" si="6"/>
        <v>1900</v>
      </c>
      <c r="R56" s="654"/>
      <c r="S56" s="654"/>
      <c r="T56" s="654"/>
      <c r="U56" s="654"/>
    </row>
    <row r="57" spans="1:21" ht="14.25" customHeight="1">
      <c r="A57" s="1316"/>
      <c r="B57" s="1317"/>
      <c r="C57" s="1318"/>
      <c r="D57" s="1319"/>
      <c r="E57" s="1318"/>
      <c r="F57" s="1320">
        <f t="shared" si="7"/>
        <v>0</v>
      </c>
      <c r="G57" s="1319"/>
      <c r="H57" s="1318"/>
      <c r="I57" s="1320">
        <f t="shared" si="8"/>
        <v>0</v>
      </c>
      <c r="J57" s="1320">
        <f t="shared" si="1"/>
        <v>0</v>
      </c>
      <c r="K57" s="1320">
        <f t="shared" si="2"/>
        <v>0</v>
      </c>
      <c r="L57" s="1318"/>
      <c r="M57" s="1318"/>
      <c r="N57" s="1321">
        <f t="shared" si="3"/>
        <v>0</v>
      </c>
      <c r="O57" s="1322">
        <f t="shared" si="4"/>
        <v>0</v>
      </c>
      <c r="P57" s="2369">
        <f t="shared" si="5"/>
        <v>1900</v>
      </c>
      <c r="Q57" s="2369">
        <f t="shared" si="6"/>
        <v>1900</v>
      </c>
      <c r="R57" s="654"/>
      <c r="S57" s="654"/>
      <c r="T57" s="654"/>
      <c r="U57" s="654"/>
    </row>
    <row r="58" spans="1:21" ht="14.25" customHeight="1">
      <c r="A58" s="1316"/>
      <c r="B58" s="1317"/>
      <c r="C58" s="1318"/>
      <c r="D58" s="1319"/>
      <c r="E58" s="1318"/>
      <c r="F58" s="1320">
        <f t="shared" si="7"/>
        <v>0</v>
      </c>
      <c r="G58" s="1319"/>
      <c r="H58" s="1318"/>
      <c r="I58" s="1320">
        <f t="shared" si="8"/>
        <v>0</v>
      </c>
      <c r="J58" s="1320">
        <f t="shared" si="1"/>
        <v>0</v>
      </c>
      <c r="K58" s="1320">
        <f t="shared" si="2"/>
        <v>0</v>
      </c>
      <c r="L58" s="1318"/>
      <c r="M58" s="1318"/>
      <c r="N58" s="1321">
        <f t="shared" si="3"/>
        <v>0</v>
      </c>
      <c r="O58" s="1322">
        <f t="shared" si="4"/>
        <v>0</v>
      </c>
      <c r="P58" s="2369">
        <f t="shared" si="5"/>
        <v>1900</v>
      </c>
      <c r="Q58" s="2369">
        <f t="shared" si="6"/>
        <v>1900</v>
      </c>
      <c r="R58" s="654"/>
      <c r="S58" s="654"/>
      <c r="T58" s="654"/>
      <c r="U58" s="654"/>
    </row>
    <row r="59" spans="1:21" ht="14.25" customHeight="1">
      <c r="A59" s="1316"/>
      <c r="B59" s="1317"/>
      <c r="C59" s="1318"/>
      <c r="D59" s="1319"/>
      <c r="E59" s="1318"/>
      <c r="F59" s="1320">
        <f t="shared" si="7"/>
        <v>0</v>
      </c>
      <c r="G59" s="1319"/>
      <c r="H59" s="1318"/>
      <c r="I59" s="1320">
        <f t="shared" si="8"/>
        <v>0</v>
      </c>
      <c r="J59" s="1320">
        <f t="shared" si="1"/>
        <v>0</v>
      </c>
      <c r="K59" s="1320">
        <f t="shared" si="2"/>
        <v>0</v>
      </c>
      <c r="L59" s="1318"/>
      <c r="M59" s="1318"/>
      <c r="N59" s="1321">
        <f t="shared" si="3"/>
        <v>0</v>
      </c>
      <c r="O59" s="1322">
        <f t="shared" si="4"/>
        <v>0</v>
      </c>
      <c r="P59" s="2369">
        <f t="shared" si="5"/>
        <v>1900</v>
      </c>
      <c r="Q59" s="2369">
        <f t="shared" si="6"/>
        <v>1900</v>
      </c>
      <c r="R59" s="654"/>
      <c r="S59" s="654"/>
      <c r="T59" s="654"/>
      <c r="U59" s="654"/>
    </row>
    <row r="60" spans="1:21" ht="14.25" customHeight="1">
      <c r="A60" s="1316"/>
      <c r="B60" s="1317"/>
      <c r="C60" s="1318"/>
      <c r="D60" s="1319"/>
      <c r="E60" s="1318"/>
      <c r="F60" s="1320">
        <f t="shared" si="7"/>
        <v>0</v>
      </c>
      <c r="G60" s="1319"/>
      <c r="H60" s="1318"/>
      <c r="I60" s="1320">
        <f t="shared" si="8"/>
        <v>0</v>
      </c>
      <c r="J60" s="1320">
        <f t="shared" si="1"/>
        <v>0</v>
      </c>
      <c r="K60" s="1320">
        <f t="shared" si="2"/>
        <v>0</v>
      </c>
      <c r="L60" s="1318"/>
      <c r="M60" s="1318"/>
      <c r="N60" s="1321">
        <f t="shared" si="3"/>
        <v>0</v>
      </c>
      <c r="O60" s="1322">
        <f t="shared" si="4"/>
        <v>0</v>
      </c>
      <c r="P60" s="2369">
        <f t="shared" si="5"/>
        <v>1900</v>
      </c>
      <c r="Q60" s="2369">
        <f t="shared" si="6"/>
        <v>1900</v>
      </c>
      <c r="R60" s="654"/>
      <c r="S60" s="654"/>
      <c r="T60" s="654"/>
      <c r="U60" s="654"/>
    </row>
    <row r="61" spans="1:21" ht="14.25" customHeight="1">
      <c r="A61" s="1316"/>
      <c r="B61" s="1317"/>
      <c r="C61" s="1318"/>
      <c r="D61" s="1319"/>
      <c r="E61" s="1318"/>
      <c r="F61" s="1320">
        <f t="shared" si="7"/>
        <v>0</v>
      </c>
      <c r="G61" s="1319"/>
      <c r="H61" s="1318"/>
      <c r="I61" s="1320">
        <f t="shared" si="8"/>
        <v>0</v>
      </c>
      <c r="J61" s="1320">
        <f t="shared" si="1"/>
        <v>0</v>
      </c>
      <c r="K61" s="1320">
        <f t="shared" si="2"/>
        <v>0</v>
      </c>
      <c r="L61" s="1318"/>
      <c r="M61" s="1318"/>
      <c r="N61" s="1321">
        <f t="shared" si="3"/>
        <v>0</v>
      </c>
      <c r="O61" s="1322">
        <f t="shared" si="4"/>
        <v>0</v>
      </c>
      <c r="P61" s="2369">
        <f t="shared" si="5"/>
        <v>1900</v>
      </c>
      <c r="Q61" s="2369">
        <f t="shared" si="6"/>
        <v>1900</v>
      </c>
      <c r="R61" s="654"/>
      <c r="S61" s="654"/>
      <c r="T61" s="654"/>
      <c r="U61" s="654"/>
    </row>
    <row r="62" spans="1:21" ht="14.25" customHeight="1">
      <c r="A62" s="1316"/>
      <c r="B62" s="1317"/>
      <c r="C62" s="1318"/>
      <c r="D62" s="1319"/>
      <c r="E62" s="1318"/>
      <c r="F62" s="1320">
        <f t="shared" si="7"/>
        <v>0</v>
      </c>
      <c r="G62" s="1319"/>
      <c r="H62" s="1318"/>
      <c r="I62" s="1320">
        <f t="shared" si="8"/>
        <v>0</v>
      </c>
      <c r="J62" s="1320">
        <f t="shared" si="1"/>
        <v>0</v>
      </c>
      <c r="K62" s="1320">
        <f t="shared" si="2"/>
        <v>0</v>
      </c>
      <c r="L62" s="1318"/>
      <c r="M62" s="1318"/>
      <c r="N62" s="1321">
        <f t="shared" si="3"/>
        <v>0</v>
      </c>
      <c r="O62" s="1322">
        <f t="shared" si="4"/>
        <v>0</v>
      </c>
      <c r="P62" s="2369">
        <f t="shared" si="5"/>
        <v>1900</v>
      </c>
      <c r="Q62" s="2369">
        <f t="shared" si="6"/>
        <v>1900</v>
      </c>
      <c r="R62" s="654"/>
      <c r="S62" s="654"/>
      <c r="T62" s="654"/>
      <c r="U62" s="654"/>
    </row>
    <row r="63" spans="1:21" ht="14.25" customHeight="1">
      <c r="A63" s="1316"/>
      <c r="B63" s="1317"/>
      <c r="C63" s="1318"/>
      <c r="D63" s="1319"/>
      <c r="E63" s="1318"/>
      <c r="F63" s="1320">
        <f t="shared" si="7"/>
        <v>0</v>
      </c>
      <c r="G63" s="1319"/>
      <c r="H63" s="1318"/>
      <c r="I63" s="1320">
        <f t="shared" si="8"/>
        <v>0</v>
      </c>
      <c r="J63" s="1320">
        <f t="shared" si="1"/>
        <v>0</v>
      </c>
      <c r="K63" s="1320">
        <f t="shared" si="2"/>
        <v>0</v>
      </c>
      <c r="L63" s="1318"/>
      <c r="M63" s="1318"/>
      <c r="N63" s="1321">
        <f t="shared" si="3"/>
        <v>0</v>
      </c>
      <c r="O63" s="1322">
        <f t="shared" si="4"/>
        <v>0</v>
      </c>
      <c r="P63" s="2369">
        <f t="shared" si="5"/>
        <v>1900</v>
      </c>
      <c r="Q63" s="2369">
        <f t="shared" si="6"/>
        <v>1900</v>
      </c>
      <c r="R63" s="654"/>
      <c r="S63" s="654"/>
      <c r="T63" s="654"/>
      <c r="U63" s="654"/>
    </row>
    <row r="64" spans="1:21" ht="14.25" customHeight="1">
      <c r="A64" s="1316"/>
      <c r="B64" s="1317"/>
      <c r="C64" s="1318"/>
      <c r="D64" s="1319"/>
      <c r="E64" s="1318"/>
      <c r="F64" s="1320">
        <f t="shared" si="7"/>
        <v>0</v>
      </c>
      <c r="G64" s="1319"/>
      <c r="H64" s="1318"/>
      <c r="I64" s="1320">
        <f t="shared" si="8"/>
        <v>0</v>
      </c>
      <c r="J64" s="1320">
        <f t="shared" si="1"/>
        <v>0</v>
      </c>
      <c r="K64" s="1320">
        <f t="shared" si="2"/>
        <v>0</v>
      </c>
      <c r="L64" s="1318"/>
      <c r="M64" s="1318"/>
      <c r="N64" s="1321">
        <f t="shared" si="3"/>
        <v>0</v>
      </c>
      <c r="O64" s="1322">
        <f t="shared" si="4"/>
        <v>0</v>
      </c>
      <c r="P64" s="2369">
        <f t="shared" si="5"/>
        <v>1900</v>
      </c>
      <c r="Q64" s="2369">
        <f t="shared" si="6"/>
        <v>1900</v>
      </c>
      <c r="R64" s="654"/>
      <c r="S64" s="654"/>
      <c r="T64" s="654"/>
      <c r="U64" s="654"/>
    </row>
    <row r="65" spans="1:21" ht="14.25" customHeight="1">
      <c r="A65" s="1316"/>
      <c r="B65" s="1317"/>
      <c r="C65" s="1318"/>
      <c r="D65" s="1319"/>
      <c r="E65" s="1318"/>
      <c r="F65" s="1320">
        <f t="shared" si="7"/>
        <v>0</v>
      </c>
      <c r="G65" s="1319"/>
      <c r="H65" s="1318"/>
      <c r="I65" s="1320">
        <f t="shared" si="8"/>
        <v>0</v>
      </c>
      <c r="J65" s="1320">
        <f t="shared" si="1"/>
        <v>0</v>
      </c>
      <c r="K65" s="1320">
        <f t="shared" si="2"/>
        <v>0</v>
      </c>
      <c r="L65" s="1318"/>
      <c r="M65" s="1318"/>
      <c r="N65" s="1321">
        <f t="shared" si="3"/>
        <v>0</v>
      </c>
      <c r="O65" s="1322">
        <f t="shared" si="4"/>
        <v>0</v>
      </c>
      <c r="P65" s="2369">
        <f t="shared" si="5"/>
        <v>1900</v>
      </c>
      <c r="Q65" s="2369">
        <f t="shared" si="6"/>
        <v>1900</v>
      </c>
      <c r="R65" s="654"/>
      <c r="S65" s="654"/>
      <c r="T65" s="654"/>
      <c r="U65" s="654"/>
    </row>
    <row r="66" spans="1:21" ht="14.25" customHeight="1">
      <c r="A66" s="1316"/>
      <c r="B66" s="1317"/>
      <c r="C66" s="1318"/>
      <c r="D66" s="1319"/>
      <c r="E66" s="1318"/>
      <c r="F66" s="1320">
        <f t="shared" si="7"/>
        <v>0</v>
      </c>
      <c r="G66" s="1319"/>
      <c r="H66" s="1318"/>
      <c r="I66" s="1320">
        <f t="shared" si="8"/>
        <v>0</v>
      </c>
      <c r="J66" s="1320">
        <f t="shared" si="1"/>
        <v>0</v>
      </c>
      <c r="K66" s="1320">
        <f t="shared" si="2"/>
        <v>0</v>
      </c>
      <c r="L66" s="1318"/>
      <c r="M66" s="1318"/>
      <c r="N66" s="1321">
        <f t="shared" si="3"/>
        <v>0</v>
      </c>
      <c r="O66" s="1322">
        <f t="shared" si="4"/>
        <v>0</v>
      </c>
      <c r="P66" s="2369">
        <f t="shared" si="5"/>
        <v>1900</v>
      </c>
      <c r="Q66" s="2369">
        <f t="shared" si="6"/>
        <v>1900</v>
      </c>
      <c r="R66" s="654"/>
      <c r="S66" s="654"/>
      <c r="T66" s="654"/>
      <c r="U66" s="654"/>
    </row>
    <row r="67" spans="1:21" ht="14.25" customHeight="1">
      <c r="A67" s="1316"/>
      <c r="B67" s="1317"/>
      <c r="C67" s="1318"/>
      <c r="D67" s="1319"/>
      <c r="E67" s="1318"/>
      <c r="F67" s="1320">
        <f t="shared" si="7"/>
        <v>0</v>
      </c>
      <c r="G67" s="1319"/>
      <c r="H67" s="1318"/>
      <c r="I67" s="1320">
        <f t="shared" si="8"/>
        <v>0</v>
      </c>
      <c r="J67" s="1320">
        <f t="shared" si="1"/>
        <v>0</v>
      </c>
      <c r="K67" s="1320">
        <f t="shared" si="2"/>
        <v>0</v>
      </c>
      <c r="L67" s="1318"/>
      <c r="M67" s="1318"/>
      <c r="N67" s="1321">
        <f t="shared" si="3"/>
        <v>0</v>
      </c>
      <c r="O67" s="1322">
        <f t="shared" si="4"/>
        <v>0</v>
      </c>
      <c r="P67" s="2369">
        <f t="shared" si="5"/>
        <v>1900</v>
      </c>
      <c r="Q67" s="2369">
        <f t="shared" si="6"/>
        <v>1900</v>
      </c>
      <c r="R67" s="654"/>
      <c r="S67" s="654"/>
      <c r="T67" s="654"/>
      <c r="U67" s="654"/>
    </row>
    <row r="68" spans="1:21" ht="14.25" customHeight="1">
      <c r="A68" s="1316"/>
      <c r="B68" s="1317"/>
      <c r="C68" s="1318"/>
      <c r="D68" s="1319"/>
      <c r="E68" s="1318"/>
      <c r="F68" s="1320">
        <f t="shared" si="7"/>
        <v>0</v>
      </c>
      <c r="G68" s="1319"/>
      <c r="H68" s="1318"/>
      <c r="I68" s="1320">
        <f t="shared" si="8"/>
        <v>0</v>
      </c>
      <c r="J68" s="1320">
        <f t="shared" si="1"/>
        <v>0</v>
      </c>
      <c r="K68" s="1320">
        <f t="shared" si="2"/>
        <v>0</v>
      </c>
      <c r="L68" s="1318"/>
      <c r="M68" s="1318"/>
      <c r="N68" s="1321">
        <f t="shared" si="3"/>
        <v>0</v>
      </c>
      <c r="O68" s="1322">
        <f t="shared" si="4"/>
        <v>0</v>
      </c>
      <c r="P68" s="2369">
        <f t="shared" si="5"/>
        <v>1900</v>
      </c>
      <c r="Q68" s="2369">
        <f t="shared" si="6"/>
        <v>1900</v>
      </c>
      <c r="R68" s="654"/>
      <c r="S68" s="654"/>
      <c r="T68" s="654"/>
      <c r="U68" s="654"/>
    </row>
    <row r="69" spans="1:21" ht="14.25" customHeight="1">
      <c r="A69" s="1316"/>
      <c r="B69" s="1317"/>
      <c r="C69" s="1318"/>
      <c r="D69" s="1319"/>
      <c r="E69" s="1318"/>
      <c r="F69" s="1320">
        <f t="shared" si="7"/>
        <v>0</v>
      </c>
      <c r="G69" s="1319"/>
      <c r="H69" s="1318"/>
      <c r="I69" s="1320">
        <f t="shared" si="8"/>
        <v>0</v>
      </c>
      <c r="J69" s="1320">
        <f t="shared" si="1"/>
        <v>0</v>
      </c>
      <c r="K69" s="1320">
        <f t="shared" si="2"/>
        <v>0</v>
      </c>
      <c r="L69" s="1318"/>
      <c r="M69" s="1318"/>
      <c r="N69" s="1321">
        <f t="shared" si="3"/>
        <v>0</v>
      </c>
      <c r="O69" s="1322">
        <f t="shared" si="4"/>
        <v>0</v>
      </c>
      <c r="P69" s="2369">
        <f t="shared" si="5"/>
        <v>1900</v>
      </c>
      <c r="Q69" s="2369">
        <f t="shared" si="6"/>
        <v>1900</v>
      </c>
      <c r="R69" s="654"/>
      <c r="S69" s="654"/>
      <c r="T69" s="654"/>
      <c r="U69" s="654"/>
    </row>
    <row r="70" spans="1:21" ht="14.25" customHeight="1">
      <c r="A70" s="1316"/>
      <c r="B70" s="1317"/>
      <c r="C70" s="1318"/>
      <c r="D70" s="1319"/>
      <c r="E70" s="1318"/>
      <c r="F70" s="1320">
        <f t="shared" si="7"/>
        <v>0</v>
      </c>
      <c r="G70" s="1319"/>
      <c r="H70" s="1318"/>
      <c r="I70" s="1320">
        <f t="shared" si="8"/>
        <v>0</v>
      </c>
      <c r="J70" s="1320">
        <f t="shared" si="1"/>
        <v>0</v>
      </c>
      <c r="K70" s="1320">
        <f t="shared" si="2"/>
        <v>0</v>
      </c>
      <c r="L70" s="1318"/>
      <c r="M70" s="1318"/>
      <c r="N70" s="1321">
        <f t="shared" si="3"/>
        <v>0</v>
      </c>
      <c r="O70" s="1322">
        <f t="shared" si="4"/>
        <v>0</v>
      </c>
      <c r="P70" s="2369">
        <f t="shared" si="5"/>
        <v>1900</v>
      </c>
      <c r="Q70" s="2369">
        <f t="shared" si="6"/>
        <v>1900</v>
      </c>
      <c r="R70" s="654"/>
      <c r="S70" s="654"/>
      <c r="T70" s="654"/>
      <c r="U70" s="654"/>
    </row>
    <row r="71" spans="1:21" ht="14.25" customHeight="1">
      <c r="A71" s="1316"/>
      <c r="B71" s="1317"/>
      <c r="C71" s="1318"/>
      <c r="D71" s="1319"/>
      <c r="E71" s="1318"/>
      <c r="F71" s="1320">
        <f t="shared" si="7"/>
        <v>0</v>
      </c>
      <c r="G71" s="1319"/>
      <c r="H71" s="1318"/>
      <c r="I71" s="1320">
        <f t="shared" si="8"/>
        <v>0</v>
      </c>
      <c r="J71" s="1320">
        <f t="shared" si="1"/>
        <v>0</v>
      </c>
      <c r="K71" s="1320">
        <f t="shared" si="2"/>
        <v>0</v>
      </c>
      <c r="L71" s="1318"/>
      <c r="M71" s="1318"/>
      <c r="N71" s="1321">
        <f t="shared" si="3"/>
        <v>0</v>
      </c>
      <c r="O71" s="1322">
        <f t="shared" si="4"/>
        <v>0</v>
      </c>
      <c r="P71" s="2369">
        <f t="shared" si="5"/>
        <v>1900</v>
      </c>
      <c r="Q71" s="2369">
        <f t="shared" si="6"/>
        <v>1900</v>
      </c>
      <c r="R71" s="654"/>
      <c r="S71" s="654"/>
      <c r="T71" s="654"/>
      <c r="U71" s="654"/>
    </row>
    <row r="72" spans="1:21" ht="14.25" customHeight="1">
      <c r="A72" s="1316"/>
      <c r="B72" s="1317"/>
      <c r="C72" s="1318"/>
      <c r="D72" s="1319"/>
      <c r="E72" s="1318"/>
      <c r="F72" s="1320">
        <f t="shared" si="7"/>
        <v>0</v>
      </c>
      <c r="G72" s="1319"/>
      <c r="H72" s="1318"/>
      <c r="I72" s="1320">
        <f t="shared" si="8"/>
        <v>0</v>
      </c>
      <c r="J72" s="1320">
        <f t="shared" si="1"/>
        <v>0</v>
      </c>
      <c r="K72" s="1320">
        <f t="shared" si="2"/>
        <v>0</v>
      </c>
      <c r="L72" s="1318"/>
      <c r="M72" s="1318"/>
      <c r="N72" s="1321">
        <f t="shared" si="3"/>
        <v>0</v>
      </c>
      <c r="O72" s="1322">
        <f t="shared" si="4"/>
        <v>0</v>
      </c>
      <c r="P72" s="2369">
        <f t="shared" si="5"/>
        <v>1900</v>
      </c>
      <c r="Q72" s="2369">
        <f t="shared" si="6"/>
        <v>1900</v>
      </c>
      <c r="R72" s="654"/>
      <c r="S72" s="654"/>
      <c r="T72" s="654"/>
      <c r="U72" s="654"/>
    </row>
    <row r="73" spans="1:21" ht="14.25" customHeight="1">
      <c r="A73" s="1316"/>
      <c r="B73" s="1317"/>
      <c r="C73" s="1318"/>
      <c r="D73" s="1319"/>
      <c r="E73" s="1318"/>
      <c r="F73" s="1320">
        <f t="shared" si="7"/>
        <v>0</v>
      </c>
      <c r="G73" s="1319"/>
      <c r="H73" s="1318"/>
      <c r="I73" s="1320">
        <f t="shared" si="8"/>
        <v>0</v>
      </c>
      <c r="J73" s="1320">
        <f t="shared" ref="J73:J136" si="9">C73+E73-H73</f>
        <v>0</v>
      </c>
      <c r="K73" s="1320">
        <f t="shared" ref="K73:K136" si="10">C73+F73-I73</f>
        <v>0</v>
      </c>
      <c r="L73" s="1318"/>
      <c r="M73" s="1318"/>
      <c r="N73" s="1321">
        <f t="shared" si="3"/>
        <v>0</v>
      </c>
      <c r="O73" s="1322">
        <f t="shared" si="4"/>
        <v>0</v>
      </c>
      <c r="P73" s="2369">
        <f t="shared" si="5"/>
        <v>1900</v>
      </c>
      <c r="Q73" s="2369">
        <f t="shared" si="6"/>
        <v>1900</v>
      </c>
      <c r="R73" s="654"/>
      <c r="S73" s="654"/>
      <c r="T73" s="654"/>
      <c r="U73" s="654"/>
    </row>
    <row r="74" spans="1:21" ht="14.25" customHeight="1">
      <c r="A74" s="1316"/>
      <c r="B74" s="1317"/>
      <c r="C74" s="1318"/>
      <c r="D74" s="1319"/>
      <c r="E74" s="1318"/>
      <c r="F74" s="1320">
        <f t="shared" si="7"/>
        <v>0</v>
      </c>
      <c r="G74" s="1319"/>
      <c r="H74" s="1318"/>
      <c r="I74" s="1320">
        <f t="shared" si="8"/>
        <v>0</v>
      </c>
      <c r="J74" s="1320">
        <f t="shared" si="9"/>
        <v>0</v>
      </c>
      <c r="K74" s="1320">
        <f t="shared" si="10"/>
        <v>0</v>
      </c>
      <c r="L74" s="1318"/>
      <c r="M74" s="1318"/>
      <c r="N74" s="1321">
        <f t="shared" ref="N74:N137" si="11">IF(M74&lt;&gt;0,ROUND(B74*K74,2)+M74,IF(ABS(ROUND(K74*B74,2)-L74)&lt;3,L74,MIN(ROUND(K74*B74,2),L74)))</f>
        <v>0</v>
      </c>
      <c r="O74" s="1322">
        <f t="shared" ref="O74:O137" si="12">IF(ISERROR(L74-N74),"",IF(ABS(L74-N74)&lt;3,0,L74-N74))</f>
        <v>0</v>
      </c>
      <c r="P74" s="2369">
        <f t="shared" ref="P74:P137" si="13">IFERROR(YEAR(D74),0)</f>
        <v>1900</v>
      </c>
      <c r="Q74" s="2369">
        <f t="shared" ref="Q74:Q137" si="14">IFERROR(YEAR(G74),0)</f>
        <v>1900</v>
      </c>
      <c r="R74" s="654"/>
      <c r="S74" s="654"/>
      <c r="T74" s="654"/>
      <c r="U74" s="654"/>
    </row>
    <row r="75" spans="1:21" ht="14.25" customHeight="1">
      <c r="A75" s="1316"/>
      <c r="B75" s="1317"/>
      <c r="C75" s="1318"/>
      <c r="D75" s="1319"/>
      <c r="E75" s="1318"/>
      <c r="F75" s="1320">
        <f t="shared" ref="F75:F138" si="15">E75*(12-MONTH(D75))/12</f>
        <v>0</v>
      </c>
      <c r="G75" s="1319"/>
      <c r="H75" s="1318"/>
      <c r="I75" s="1320">
        <f t="shared" ref="I75:I138" si="16">H75*(12-MONTH(G75))/12</f>
        <v>0</v>
      </c>
      <c r="J75" s="1320">
        <f t="shared" si="9"/>
        <v>0</v>
      </c>
      <c r="K75" s="1320">
        <f t="shared" si="10"/>
        <v>0</v>
      </c>
      <c r="L75" s="1318"/>
      <c r="M75" s="1318"/>
      <c r="N75" s="1321">
        <f t="shared" si="11"/>
        <v>0</v>
      </c>
      <c r="O75" s="1322">
        <f t="shared" si="12"/>
        <v>0</v>
      </c>
      <c r="P75" s="2369">
        <f t="shared" si="13"/>
        <v>1900</v>
      </c>
      <c r="Q75" s="2369">
        <f t="shared" si="14"/>
        <v>1900</v>
      </c>
      <c r="R75" s="654"/>
      <c r="S75" s="654"/>
      <c r="T75" s="654"/>
      <c r="U75" s="654"/>
    </row>
    <row r="76" spans="1:21" ht="14.25" customHeight="1">
      <c r="A76" s="1316"/>
      <c r="B76" s="1317"/>
      <c r="C76" s="1318"/>
      <c r="D76" s="1319"/>
      <c r="E76" s="1318"/>
      <c r="F76" s="1320">
        <f t="shared" si="15"/>
        <v>0</v>
      </c>
      <c r="G76" s="1319"/>
      <c r="H76" s="1318"/>
      <c r="I76" s="1320">
        <f t="shared" si="16"/>
        <v>0</v>
      </c>
      <c r="J76" s="1320">
        <f t="shared" si="9"/>
        <v>0</v>
      </c>
      <c r="K76" s="1320">
        <f t="shared" si="10"/>
        <v>0</v>
      </c>
      <c r="L76" s="1318"/>
      <c r="M76" s="1318"/>
      <c r="N76" s="1321">
        <f t="shared" si="11"/>
        <v>0</v>
      </c>
      <c r="O76" s="1322">
        <f t="shared" si="12"/>
        <v>0</v>
      </c>
      <c r="P76" s="2369">
        <f t="shared" si="13"/>
        <v>1900</v>
      </c>
      <c r="Q76" s="2369">
        <f t="shared" si="14"/>
        <v>1900</v>
      </c>
      <c r="R76" s="654"/>
      <c r="S76" s="654"/>
      <c r="T76" s="654"/>
      <c r="U76" s="654"/>
    </row>
    <row r="77" spans="1:21" ht="14.25" customHeight="1">
      <c r="A77" s="1316"/>
      <c r="B77" s="1317"/>
      <c r="C77" s="1318"/>
      <c r="D77" s="1319"/>
      <c r="E77" s="1318"/>
      <c r="F77" s="1320">
        <f t="shared" si="15"/>
        <v>0</v>
      </c>
      <c r="G77" s="1319"/>
      <c r="H77" s="1318"/>
      <c r="I77" s="1320">
        <f t="shared" si="16"/>
        <v>0</v>
      </c>
      <c r="J77" s="1320">
        <f t="shared" si="9"/>
        <v>0</v>
      </c>
      <c r="K77" s="1320">
        <f t="shared" si="10"/>
        <v>0</v>
      </c>
      <c r="L77" s="1318"/>
      <c r="M77" s="1318"/>
      <c r="N77" s="1321">
        <f t="shared" si="11"/>
        <v>0</v>
      </c>
      <c r="O77" s="1322">
        <f t="shared" si="12"/>
        <v>0</v>
      </c>
      <c r="P77" s="2369">
        <f t="shared" si="13"/>
        <v>1900</v>
      </c>
      <c r="Q77" s="2369">
        <f t="shared" si="14"/>
        <v>1900</v>
      </c>
      <c r="R77" s="654"/>
      <c r="S77" s="654"/>
      <c r="T77" s="654"/>
      <c r="U77" s="654"/>
    </row>
    <row r="78" spans="1:21" ht="14.25" customHeight="1">
      <c r="A78" s="1316"/>
      <c r="B78" s="1317"/>
      <c r="C78" s="1318"/>
      <c r="D78" s="1319"/>
      <c r="E78" s="1318"/>
      <c r="F78" s="1320">
        <f t="shared" si="15"/>
        <v>0</v>
      </c>
      <c r="G78" s="1319"/>
      <c r="H78" s="1318"/>
      <c r="I78" s="1320">
        <f t="shared" si="16"/>
        <v>0</v>
      </c>
      <c r="J78" s="1320">
        <f t="shared" si="9"/>
        <v>0</v>
      </c>
      <c r="K78" s="1320">
        <f t="shared" si="10"/>
        <v>0</v>
      </c>
      <c r="L78" s="1318"/>
      <c r="M78" s="1318"/>
      <c r="N78" s="1321">
        <f t="shared" si="11"/>
        <v>0</v>
      </c>
      <c r="O78" s="1322">
        <f t="shared" si="12"/>
        <v>0</v>
      </c>
      <c r="P78" s="2369">
        <f t="shared" si="13"/>
        <v>1900</v>
      </c>
      <c r="Q78" s="2369">
        <f t="shared" si="14"/>
        <v>1900</v>
      </c>
      <c r="R78" s="654"/>
      <c r="S78" s="654"/>
      <c r="T78" s="654"/>
      <c r="U78" s="654"/>
    </row>
    <row r="79" spans="1:21" ht="14.25" customHeight="1">
      <c r="A79" s="1316"/>
      <c r="B79" s="1317"/>
      <c r="C79" s="1318"/>
      <c r="D79" s="1319"/>
      <c r="E79" s="1318"/>
      <c r="F79" s="1320">
        <f t="shared" si="15"/>
        <v>0</v>
      </c>
      <c r="G79" s="1319"/>
      <c r="H79" s="1318"/>
      <c r="I79" s="1320">
        <f t="shared" si="16"/>
        <v>0</v>
      </c>
      <c r="J79" s="1320">
        <f t="shared" si="9"/>
        <v>0</v>
      </c>
      <c r="K79" s="1320">
        <f t="shared" si="10"/>
        <v>0</v>
      </c>
      <c r="L79" s="1318"/>
      <c r="M79" s="1318"/>
      <c r="N79" s="1321">
        <f t="shared" si="11"/>
        <v>0</v>
      </c>
      <c r="O79" s="1322">
        <f t="shared" si="12"/>
        <v>0</v>
      </c>
      <c r="P79" s="2369">
        <f t="shared" si="13"/>
        <v>1900</v>
      </c>
      <c r="Q79" s="2369">
        <f t="shared" si="14"/>
        <v>1900</v>
      </c>
      <c r="R79" s="654"/>
      <c r="S79" s="654"/>
      <c r="T79" s="654"/>
      <c r="U79" s="654"/>
    </row>
    <row r="80" spans="1:21" ht="14.25" customHeight="1">
      <c r="A80" s="1316"/>
      <c r="B80" s="1317"/>
      <c r="C80" s="1318"/>
      <c r="D80" s="1319"/>
      <c r="E80" s="1318"/>
      <c r="F80" s="1320">
        <f t="shared" si="15"/>
        <v>0</v>
      </c>
      <c r="G80" s="1319"/>
      <c r="H80" s="1318"/>
      <c r="I80" s="1320">
        <f t="shared" si="16"/>
        <v>0</v>
      </c>
      <c r="J80" s="1320">
        <f t="shared" si="9"/>
        <v>0</v>
      </c>
      <c r="K80" s="1320">
        <f t="shared" si="10"/>
        <v>0</v>
      </c>
      <c r="L80" s="1318"/>
      <c r="M80" s="1318"/>
      <c r="N80" s="1321">
        <f t="shared" si="11"/>
        <v>0</v>
      </c>
      <c r="O80" s="1322">
        <f t="shared" si="12"/>
        <v>0</v>
      </c>
      <c r="P80" s="2369">
        <f t="shared" si="13"/>
        <v>1900</v>
      </c>
      <c r="Q80" s="2369">
        <f t="shared" si="14"/>
        <v>1900</v>
      </c>
      <c r="R80" s="654"/>
      <c r="S80" s="654"/>
      <c r="T80" s="654"/>
      <c r="U80" s="654"/>
    </row>
    <row r="81" spans="1:21" ht="14.25" customHeight="1">
      <c r="A81" s="1316"/>
      <c r="B81" s="1317"/>
      <c r="C81" s="1318"/>
      <c r="D81" s="1319"/>
      <c r="E81" s="1318"/>
      <c r="F81" s="1320">
        <f t="shared" si="15"/>
        <v>0</v>
      </c>
      <c r="G81" s="1319"/>
      <c r="H81" s="1318"/>
      <c r="I81" s="1320">
        <f t="shared" si="16"/>
        <v>0</v>
      </c>
      <c r="J81" s="1320">
        <f t="shared" si="9"/>
        <v>0</v>
      </c>
      <c r="K81" s="1320">
        <f t="shared" si="10"/>
        <v>0</v>
      </c>
      <c r="L81" s="1318"/>
      <c r="M81" s="1318"/>
      <c r="N81" s="1321">
        <f t="shared" si="11"/>
        <v>0</v>
      </c>
      <c r="O81" s="1322">
        <f t="shared" si="12"/>
        <v>0</v>
      </c>
      <c r="P81" s="2369">
        <f t="shared" si="13"/>
        <v>1900</v>
      </c>
      <c r="Q81" s="2369">
        <f t="shared" si="14"/>
        <v>1900</v>
      </c>
      <c r="R81" s="654"/>
      <c r="S81" s="654"/>
      <c r="T81" s="654"/>
      <c r="U81" s="654"/>
    </row>
    <row r="82" spans="1:21" ht="14.25" customHeight="1">
      <c r="A82" s="1316"/>
      <c r="B82" s="1317"/>
      <c r="C82" s="1318"/>
      <c r="D82" s="1319"/>
      <c r="E82" s="1318"/>
      <c r="F82" s="1320">
        <f t="shared" si="15"/>
        <v>0</v>
      </c>
      <c r="G82" s="1319"/>
      <c r="H82" s="1318"/>
      <c r="I82" s="1320">
        <f t="shared" si="16"/>
        <v>0</v>
      </c>
      <c r="J82" s="1320">
        <f t="shared" si="9"/>
        <v>0</v>
      </c>
      <c r="K82" s="1320">
        <f t="shared" si="10"/>
        <v>0</v>
      </c>
      <c r="L82" s="1318"/>
      <c r="M82" s="1318"/>
      <c r="N82" s="1321">
        <f t="shared" si="11"/>
        <v>0</v>
      </c>
      <c r="O82" s="1322">
        <f t="shared" si="12"/>
        <v>0</v>
      </c>
      <c r="P82" s="2369">
        <f t="shared" si="13"/>
        <v>1900</v>
      </c>
      <c r="Q82" s="2369">
        <f t="shared" si="14"/>
        <v>1900</v>
      </c>
      <c r="R82" s="654"/>
      <c r="S82" s="654"/>
      <c r="T82" s="654"/>
      <c r="U82" s="654"/>
    </row>
    <row r="83" spans="1:21" ht="14.25" customHeight="1">
      <c r="A83" s="1316"/>
      <c r="B83" s="1317"/>
      <c r="C83" s="1318"/>
      <c r="D83" s="1319"/>
      <c r="E83" s="1318"/>
      <c r="F83" s="1320">
        <f t="shared" si="15"/>
        <v>0</v>
      </c>
      <c r="G83" s="1319"/>
      <c r="H83" s="1318"/>
      <c r="I83" s="1320">
        <f t="shared" si="16"/>
        <v>0</v>
      </c>
      <c r="J83" s="1320">
        <f t="shared" si="9"/>
        <v>0</v>
      </c>
      <c r="K83" s="1320">
        <f t="shared" si="10"/>
        <v>0</v>
      </c>
      <c r="L83" s="1318"/>
      <c r="M83" s="1318"/>
      <c r="N83" s="1321">
        <f t="shared" si="11"/>
        <v>0</v>
      </c>
      <c r="O83" s="1322">
        <f t="shared" si="12"/>
        <v>0</v>
      </c>
      <c r="P83" s="2369">
        <f t="shared" si="13"/>
        <v>1900</v>
      </c>
      <c r="Q83" s="2369">
        <f t="shared" si="14"/>
        <v>1900</v>
      </c>
      <c r="R83" s="654"/>
      <c r="S83" s="654"/>
      <c r="T83" s="654"/>
      <c r="U83" s="654"/>
    </row>
    <row r="84" spans="1:21" ht="14.25" customHeight="1">
      <c r="A84" s="1316"/>
      <c r="B84" s="1317"/>
      <c r="C84" s="1318"/>
      <c r="D84" s="1319"/>
      <c r="E84" s="1318"/>
      <c r="F84" s="1320">
        <f t="shared" si="15"/>
        <v>0</v>
      </c>
      <c r="G84" s="1319"/>
      <c r="H84" s="1318"/>
      <c r="I84" s="1320">
        <f t="shared" si="16"/>
        <v>0</v>
      </c>
      <c r="J84" s="1320">
        <f t="shared" si="9"/>
        <v>0</v>
      </c>
      <c r="K84" s="1320">
        <f t="shared" si="10"/>
        <v>0</v>
      </c>
      <c r="L84" s="1318"/>
      <c r="M84" s="1318"/>
      <c r="N84" s="1321">
        <f t="shared" si="11"/>
        <v>0</v>
      </c>
      <c r="O84" s="1322">
        <f t="shared" si="12"/>
        <v>0</v>
      </c>
      <c r="P84" s="2369">
        <f t="shared" si="13"/>
        <v>1900</v>
      </c>
      <c r="Q84" s="2369">
        <f t="shared" si="14"/>
        <v>1900</v>
      </c>
      <c r="R84" s="654"/>
      <c r="S84" s="654"/>
      <c r="T84" s="654"/>
      <c r="U84" s="654"/>
    </row>
    <row r="85" spans="1:21" ht="14.25" customHeight="1">
      <c r="A85" s="1316"/>
      <c r="B85" s="1317"/>
      <c r="C85" s="1318"/>
      <c r="D85" s="1319"/>
      <c r="E85" s="1318"/>
      <c r="F85" s="1320">
        <f t="shared" si="15"/>
        <v>0</v>
      </c>
      <c r="G85" s="1319"/>
      <c r="H85" s="1318"/>
      <c r="I85" s="1320">
        <f t="shared" si="16"/>
        <v>0</v>
      </c>
      <c r="J85" s="1320">
        <f t="shared" si="9"/>
        <v>0</v>
      </c>
      <c r="K85" s="1320">
        <f t="shared" si="10"/>
        <v>0</v>
      </c>
      <c r="L85" s="1318"/>
      <c r="M85" s="1318"/>
      <c r="N85" s="1321">
        <f t="shared" si="11"/>
        <v>0</v>
      </c>
      <c r="O85" s="1322">
        <f t="shared" si="12"/>
        <v>0</v>
      </c>
      <c r="P85" s="2369">
        <f t="shared" si="13"/>
        <v>1900</v>
      </c>
      <c r="Q85" s="2369">
        <f t="shared" si="14"/>
        <v>1900</v>
      </c>
      <c r="R85" s="654"/>
      <c r="S85" s="654"/>
      <c r="T85" s="654"/>
      <c r="U85" s="654"/>
    </row>
    <row r="86" spans="1:21" ht="14.25" customHeight="1">
      <c r="A86" s="1316"/>
      <c r="B86" s="1317"/>
      <c r="C86" s="1318"/>
      <c r="D86" s="1319"/>
      <c r="E86" s="1318"/>
      <c r="F86" s="1320">
        <f t="shared" si="15"/>
        <v>0</v>
      </c>
      <c r="G86" s="1319"/>
      <c r="H86" s="1318"/>
      <c r="I86" s="1320">
        <f t="shared" si="16"/>
        <v>0</v>
      </c>
      <c r="J86" s="1320">
        <f t="shared" si="9"/>
        <v>0</v>
      </c>
      <c r="K86" s="1320">
        <f t="shared" si="10"/>
        <v>0</v>
      </c>
      <c r="L86" s="1318"/>
      <c r="M86" s="1318"/>
      <c r="N86" s="1321">
        <f t="shared" si="11"/>
        <v>0</v>
      </c>
      <c r="O86" s="1322">
        <f t="shared" si="12"/>
        <v>0</v>
      </c>
      <c r="P86" s="2369">
        <f t="shared" si="13"/>
        <v>1900</v>
      </c>
      <c r="Q86" s="2369">
        <f t="shared" si="14"/>
        <v>1900</v>
      </c>
      <c r="R86" s="654"/>
      <c r="S86" s="654"/>
      <c r="T86" s="654"/>
      <c r="U86" s="654"/>
    </row>
    <row r="87" spans="1:21" ht="14.25" customHeight="1">
      <c r="A87" s="1316"/>
      <c r="B87" s="1317"/>
      <c r="C87" s="1318"/>
      <c r="D87" s="1319"/>
      <c r="E87" s="1318"/>
      <c r="F87" s="1320">
        <f t="shared" si="15"/>
        <v>0</v>
      </c>
      <c r="G87" s="1319"/>
      <c r="H87" s="1318"/>
      <c r="I87" s="1320">
        <f t="shared" si="16"/>
        <v>0</v>
      </c>
      <c r="J87" s="1320">
        <f t="shared" si="9"/>
        <v>0</v>
      </c>
      <c r="K87" s="1320">
        <f t="shared" si="10"/>
        <v>0</v>
      </c>
      <c r="L87" s="1318"/>
      <c r="M87" s="1318"/>
      <c r="N87" s="1321">
        <f t="shared" si="11"/>
        <v>0</v>
      </c>
      <c r="O87" s="1322">
        <f t="shared" si="12"/>
        <v>0</v>
      </c>
      <c r="P87" s="2369">
        <f t="shared" si="13"/>
        <v>1900</v>
      </c>
      <c r="Q87" s="2369">
        <f t="shared" si="14"/>
        <v>1900</v>
      </c>
      <c r="R87" s="654"/>
      <c r="S87" s="654"/>
      <c r="T87" s="654"/>
      <c r="U87" s="654"/>
    </row>
    <row r="88" spans="1:21" ht="14.25" customHeight="1">
      <c r="A88" s="1316"/>
      <c r="B88" s="1317"/>
      <c r="C88" s="1318"/>
      <c r="D88" s="1319"/>
      <c r="E88" s="1318"/>
      <c r="F88" s="1320">
        <f t="shared" si="15"/>
        <v>0</v>
      </c>
      <c r="G88" s="1319"/>
      <c r="H88" s="1318"/>
      <c r="I88" s="1320">
        <f t="shared" si="16"/>
        <v>0</v>
      </c>
      <c r="J88" s="1320">
        <f t="shared" si="9"/>
        <v>0</v>
      </c>
      <c r="K88" s="1320">
        <f t="shared" si="10"/>
        <v>0</v>
      </c>
      <c r="L88" s="1318"/>
      <c r="M88" s="1318"/>
      <c r="N88" s="1321">
        <f t="shared" si="11"/>
        <v>0</v>
      </c>
      <c r="O88" s="1322">
        <f t="shared" si="12"/>
        <v>0</v>
      </c>
      <c r="P88" s="2369">
        <f t="shared" si="13"/>
        <v>1900</v>
      </c>
      <c r="Q88" s="2369">
        <f t="shared" si="14"/>
        <v>1900</v>
      </c>
      <c r="R88" s="654"/>
      <c r="S88" s="654"/>
      <c r="T88" s="654"/>
      <c r="U88" s="654"/>
    </row>
    <row r="89" spans="1:21" ht="14.25" customHeight="1">
      <c r="A89" s="1316"/>
      <c r="B89" s="1317"/>
      <c r="C89" s="1318"/>
      <c r="D89" s="1319"/>
      <c r="E89" s="1318"/>
      <c r="F89" s="1320">
        <f t="shared" si="15"/>
        <v>0</v>
      </c>
      <c r="G89" s="1319"/>
      <c r="H89" s="1318"/>
      <c r="I89" s="1320">
        <f t="shared" si="16"/>
        <v>0</v>
      </c>
      <c r="J89" s="1320">
        <f t="shared" si="9"/>
        <v>0</v>
      </c>
      <c r="K89" s="1320">
        <f t="shared" si="10"/>
        <v>0</v>
      </c>
      <c r="L89" s="1318"/>
      <c r="M89" s="1318"/>
      <c r="N89" s="1321">
        <f t="shared" si="11"/>
        <v>0</v>
      </c>
      <c r="O89" s="1322">
        <f t="shared" si="12"/>
        <v>0</v>
      </c>
      <c r="P89" s="2369">
        <f t="shared" si="13"/>
        <v>1900</v>
      </c>
      <c r="Q89" s="2369">
        <f t="shared" si="14"/>
        <v>1900</v>
      </c>
      <c r="R89" s="654"/>
      <c r="S89" s="654"/>
      <c r="T89" s="654"/>
      <c r="U89" s="654"/>
    </row>
    <row r="90" spans="1:21" ht="14.25" customHeight="1">
      <c r="A90" s="1316"/>
      <c r="B90" s="1317"/>
      <c r="C90" s="1318"/>
      <c r="D90" s="1319"/>
      <c r="E90" s="1318"/>
      <c r="F90" s="1320">
        <f t="shared" si="15"/>
        <v>0</v>
      </c>
      <c r="G90" s="1319"/>
      <c r="H90" s="1318"/>
      <c r="I90" s="1320">
        <f t="shared" si="16"/>
        <v>0</v>
      </c>
      <c r="J90" s="1320">
        <f t="shared" si="9"/>
        <v>0</v>
      </c>
      <c r="K90" s="1320">
        <f t="shared" si="10"/>
        <v>0</v>
      </c>
      <c r="L90" s="1318"/>
      <c r="M90" s="1318"/>
      <c r="N90" s="1321">
        <f t="shared" si="11"/>
        <v>0</v>
      </c>
      <c r="O90" s="1322">
        <f t="shared" si="12"/>
        <v>0</v>
      </c>
      <c r="P90" s="2369">
        <f t="shared" si="13"/>
        <v>1900</v>
      </c>
      <c r="Q90" s="2369">
        <f t="shared" si="14"/>
        <v>1900</v>
      </c>
      <c r="R90" s="654"/>
      <c r="S90" s="654"/>
      <c r="T90" s="654"/>
      <c r="U90" s="654"/>
    </row>
    <row r="91" spans="1:21" ht="14.25" customHeight="1">
      <c r="A91" s="1316"/>
      <c r="B91" s="1317"/>
      <c r="C91" s="1318"/>
      <c r="D91" s="1319"/>
      <c r="E91" s="1318"/>
      <c r="F91" s="1320">
        <f t="shared" si="15"/>
        <v>0</v>
      </c>
      <c r="G91" s="1319"/>
      <c r="H91" s="1318"/>
      <c r="I91" s="1320">
        <f t="shared" si="16"/>
        <v>0</v>
      </c>
      <c r="J91" s="1320">
        <f t="shared" si="9"/>
        <v>0</v>
      </c>
      <c r="K91" s="1320">
        <f t="shared" si="10"/>
        <v>0</v>
      </c>
      <c r="L91" s="1318"/>
      <c r="M91" s="1318"/>
      <c r="N91" s="1321">
        <f t="shared" si="11"/>
        <v>0</v>
      </c>
      <c r="O91" s="1322">
        <f t="shared" si="12"/>
        <v>0</v>
      </c>
      <c r="P91" s="2369">
        <f t="shared" si="13"/>
        <v>1900</v>
      </c>
      <c r="Q91" s="2369">
        <f t="shared" si="14"/>
        <v>1900</v>
      </c>
      <c r="R91" s="654"/>
      <c r="S91" s="654"/>
      <c r="T91" s="654"/>
      <c r="U91" s="654"/>
    </row>
    <row r="92" spans="1:21" ht="14.25" customHeight="1">
      <c r="A92" s="1316"/>
      <c r="B92" s="1317"/>
      <c r="C92" s="1318"/>
      <c r="D92" s="1319"/>
      <c r="E92" s="1318"/>
      <c r="F92" s="1320">
        <f t="shared" si="15"/>
        <v>0</v>
      </c>
      <c r="G92" s="1319"/>
      <c r="H92" s="1318"/>
      <c r="I92" s="1320">
        <f t="shared" si="16"/>
        <v>0</v>
      </c>
      <c r="J92" s="1320">
        <f t="shared" si="9"/>
        <v>0</v>
      </c>
      <c r="K92" s="1320">
        <f t="shared" si="10"/>
        <v>0</v>
      </c>
      <c r="L92" s="1318"/>
      <c r="M92" s="1318"/>
      <c r="N92" s="1321">
        <f t="shared" si="11"/>
        <v>0</v>
      </c>
      <c r="O92" s="1322">
        <f t="shared" si="12"/>
        <v>0</v>
      </c>
      <c r="P92" s="2369">
        <f t="shared" si="13"/>
        <v>1900</v>
      </c>
      <c r="Q92" s="2369">
        <f t="shared" si="14"/>
        <v>1900</v>
      </c>
      <c r="R92" s="654"/>
      <c r="S92" s="654"/>
      <c r="T92" s="654"/>
      <c r="U92" s="654"/>
    </row>
    <row r="93" spans="1:21" ht="14.25" customHeight="1">
      <c r="A93" s="1316"/>
      <c r="B93" s="1317"/>
      <c r="C93" s="1318"/>
      <c r="D93" s="1319"/>
      <c r="E93" s="1318"/>
      <c r="F93" s="1320">
        <f t="shared" si="15"/>
        <v>0</v>
      </c>
      <c r="G93" s="1319"/>
      <c r="H93" s="1318"/>
      <c r="I93" s="1320">
        <f t="shared" si="16"/>
        <v>0</v>
      </c>
      <c r="J93" s="1320">
        <f t="shared" si="9"/>
        <v>0</v>
      </c>
      <c r="K93" s="1320">
        <f t="shared" si="10"/>
        <v>0</v>
      </c>
      <c r="L93" s="1318"/>
      <c r="M93" s="1318"/>
      <c r="N93" s="1321">
        <f t="shared" si="11"/>
        <v>0</v>
      </c>
      <c r="O93" s="1322">
        <f t="shared" si="12"/>
        <v>0</v>
      </c>
      <c r="P93" s="2369">
        <f t="shared" si="13"/>
        <v>1900</v>
      </c>
      <c r="Q93" s="2369">
        <f t="shared" si="14"/>
        <v>1900</v>
      </c>
      <c r="R93" s="654"/>
      <c r="S93" s="654"/>
      <c r="T93" s="654"/>
      <c r="U93" s="654"/>
    </row>
    <row r="94" spans="1:21" ht="14.25" customHeight="1">
      <c r="A94" s="1316"/>
      <c r="B94" s="1317"/>
      <c r="C94" s="1318"/>
      <c r="D94" s="1319"/>
      <c r="E94" s="1318"/>
      <c r="F94" s="1320">
        <f t="shared" si="15"/>
        <v>0</v>
      </c>
      <c r="G94" s="1319"/>
      <c r="H94" s="1318"/>
      <c r="I94" s="1320">
        <f t="shared" si="16"/>
        <v>0</v>
      </c>
      <c r="J94" s="1320">
        <f t="shared" si="9"/>
        <v>0</v>
      </c>
      <c r="K94" s="1320">
        <f t="shared" si="10"/>
        <v>0</v>
      </c>
      <c r="L94" s="1318"/>
      <c r="M94" s="1318"/>
      <c r="N94" s="1321">
        <f t="shared" si="11"/>
        <v>0</v>
      </c>
      <c r="O94" s="1322">
        <f t="shared" si="12"/>
        <v>0</v>
      </c>
      <c r="P94" s="2369">
        <f t="shared" si="13"/>
        <v>1900</v>
      </c>
      <c r="Q94" s="2369">
        <f t="shared" si="14"/>
        <v>1900</v>
      </c>
      <c r="R94" s="654"/>
      <c r="S94" s="654"/>
      <c r="T94" s="654"/>
      <c r="U94" s="654"/>
    </row>
    <row r="95" spans="1:21" ht="14.25" customHeight="1">
      <c r="A95" s="1316"/>
      <c r="B95" s="1317"/>
      <c r="C95" s="1318"/>
      <c r="D95" s="1319"/>
      <c r="E95" s="1318"/>
      <c r="F95" s="1320">
        <f t="shared" si="15"/>
        <v>0</v>
      </c>
      <c r="G95" s="1319"/>
      <c r="H95" s="1318"/>
      <c r="I95" s="1320">
        <f t="shared" si="16"/>
        <v>0</v>
      </c>
      <c r="J95" s="1320">
        <f t="shared" si="9"/>
        <v>0</v>
      </c>
      <c r="K95" s="1320">
        <f t="shared" si="10"/>
        <v>0</v>
      </c>
      <c r="L95" s="1318"/>
      <c r="M95" s="1318"/>
      <c r="N95" s="1321">
        <f t="shared" si="11"/>
        <v>0</v>
      </c>
      <c r="O95" s="1322">
        <f t="shared" si="12"/>
        <v>0</v>
      </c>
      <c r="P95" s="2369">
        <f t="shared" si="13"/>
        <v>1900</v>
      </c>
      <c r="Q95" s="2369">
        <f t="shared" si="14"/>
        <v>1900</v>
      </c>
      <c r="R95" s="654"/>
      <c r="S95" s="654"/>
      <c r="T95" s="654"/>
      <c r="U95" s="654"/>
    </row>
    <row r="96" spans="1:21" ht="14.25" customHeight="1">
      <c r="A96" s="1316"/>
      <c r="B96" s="1317"/>
      <c r="C96" s="1318"/>
      <c r="D96" s="1319"/>
      <c r="E96" s="1318"/>
      <c r="F96" s="1320">
        <f t="shared" si="15"/>
        <v>0</v>
      </c>
      <c r="G96" s="1319"/>
      <c r="H96" s="1318"/>
      <c r="I96" s="1320">
        <f t="shared" si="16"/>
        <v>0</v>
      </c>
      <c r="J96" s="1320">
        <f t="shared" si="9"/>
        <v>0</v>
      </c>
      <c r="K96" s="1320">
        <f t="shared" si="10"/>
        <v>0</v>
      </c>
      <c r="L96" s="1318"/>
      <c r="M96" s="1318"/>
      <c r="N96" s="1321">
        <f t="shared" si="11"/>
        <v>0</v>
      </c>
      <c r="O96" s="1322">
        <f t="shared" si="12"/>
        <v>0</v>
      </c>
      <c r="P96" s="2369">
        <f t="shared" si="13"/>
        <v>1900</v>
      </c>
      <c r="Q96" s="2369">
        <f t="shared" si="14"/>
        <v>1900</v>
      </c>
      <c r="R96" s="654"/>
      <c r="S96" s="654"/>
      <c r="T96" s="654"/>
      <c r="U96" s="654"/>
    </row>
    <row r="97" spans="1:21" ht="14.25" customHeight="1">
      <c r="A97" s="1316"/>
      <c r="B97" s="1317"/>
      <c r="C97" s="1318"/>
      <c r="D97" s="1319"/>
      <c r="E97" s="1318"/>
      <c r="F97" s="1320">
        <f t="shared" si="15"/>
        <v>0</v>
      </c>
      <c r="G97" s="1319"/>
      <c r="H97" s="1318"/>
      <c r="I97" s="1320">
        <f t="shared" si="16"/>
        <v>0</v>
      </c>
      <c r="J97" s="1320">
        <f t="shared" si="9"/>
        <v>0</v>
      </c>
      <c r="K97" s="1320">
        <f t="shared" si="10"/>
        <v>0</v>
      </c>
      <c r="L97" s="1318"/>
      <c r="M97" s="1318"/>
      <c r="N97" s="1321">
        <f t="shared" si="11"/>
        <v>0</v>
      </c>
      <c r="O97" s="1322">
        <f t="shared" si="12"/>
        <v>0</v>
      </c>
      <c r="P97" s="2369">
        <f t="shared" si="13"/>
        <v>1900</v>
      </c>
      <c r="Q97" s="2369">
        <f t="shared" si="14"/>
        <v>1900</v>
      </c>
      <c r="R97" s="654"/>
      <c r="S97" s="654"/>
      <c r="T97" s="654"/>
      <c r="U97" s="654"/>
    </row>
    <row r="98" spans="1:21" ht="14.25" customHeight="1">
      <c r="A98" s="1316"/>
      <c r="B98" s="1317"/>
      <c r="C98" s="1318"/>
      <c r="D98" s="1319"/>
      <c r="E98" s="1318"/>
      <c r="F98" s="1320">
        <f t="shared" si="15"/>
        <v>0</v>
      </c>
      <c r="G98" s="1319"/>
      <c r="H98" s="1318"/>
      <c r="I98" s="1320">
        <f t="shared" si="16"/>
        <v>0</v>
      </c>
      <c r="J98" s="1320">
        <f t="shared" si="9"/>
        <v>0</v>
      </c>
      <c r="K98" s="1320">
        <f t="shared" si="10"/>
        <v>0</v>
      </c>
      <c r="L98" s="1318"/>
      <c r="M98" s="1318"/>
      <c r="N98" s="1321">
        <f t="shared" si="11"/>
        <v>0</v>
      </c>
      <c r="O98" s="1322">
        <f t="shared" si="12"/>
        <v>0</v>
      </c>
      <c r="P98" s="2369">
        <f t="shared" si="13"/>
        <v>1900</v>
      </c>
      <c r="Q98" s="2369">
        <f t="shared" si="14"/>
        <v>1900</v>
      </c>
      <c r="R98" s="654"/>
      <c r="S98" s="654"/>
      <c r="T98" s="654"/>
      <c r="U98" s="654"/>
    </row>
    <row r="99" spans="1:21" ht="14.25" customHeight="1">
      <c r="A99" s="1316"/>
      <c r="B99" s="1317"/>
      <c r="C99" s="1318"/>
      <c r="D99" s="1319"/>
      <c r="E99" s="1318"/>
      <c r="F99" s="1320">
        <f t="shared" si="15"/>
        <v>0</v>
      </c>
      <c r="G99" s="1319"/>
      <c r="H99" s="1318"/>
      <c r="I99" s="1320">
        <f t="shared" si="16"/>
        <v>0</v>
      </c>
      <c r="J99" s="1320">
        <f t="shared" si="9"/>
        <v>0</v>
      </c>
      <c r="K99" s="1320">
        <f t="shared" si="10"/>
        <v>0</v>
      </c>
      <c r="L99" s="1318"/>
      <c r="M99" s="1318"/>
      <c r="N99" s="1321">
        <f t="shared" si="11"/>
        <v>0</v>
      </c>
      <c r="O99" s="1322">
        <f t="shared" si="12"/>
        <v>0</v>
      </c>
      <c r="P99" s="2369">
        <f t="shared" si="13"/>
        <v>1900</v>
      </c>
      <c r="Q99" s="2369">
        <f t="shared" si="14"/>
        <v>1900</v>
      </c>
      <c r="R99" s="654"/>
      <c r="S99" s="654"/>
      <c r="T99" s="654"/>
      <c r="U99" s="654"/>
    </row>
    <row r="100" spans="1:21" ht="14.25" customHeight="1">
      <c r="A100" s="1316"/>
      <c r="B100" s="1317"/>
      <c r="C100" s="1318"/>
      <c r="D100" s="1319"/>
      <c r="E100" s="1318"/>
      <c r="F100" s="1320">
        <f t="shared" si="15"/>
        <v>0</v>
      </c>
      <c r="G100" s="1319"/>
      <c r="H100" s="1318"/>
      <c r="I100" s="1320">
        <f t="shared" si="16"/>
        <v>0</v>
      </c>
      <c r="J100" s="1320">
        <f t="shared" si="9"/>
        <v>0</v>
      </c>
      <c r="K100" s="1320">
        <f t="shared" si="10"/>
        <v>0</v>
      </c>
      <c r="L100" s="1318"/>
      <c r="M100" s="1318"/>
      <c r="N100" s="1321">
        <f t="shared" si="11"/>
        <v>0</v>
      </c>
      <c r="O100" s="1322">
        <f t="shared" si="12"/>
        <v>0</v>
      </c>
      <c r="P100" s="2369">
        <f t="shared" si="13"/>
        <v>1900</v>
      </c>
      <c r="Q100" s="2369">
        <f t="shared" si="14"/>
        <v>1900</v>
      </c>
      <c r="R100" s="654"/>
      <c r="S100" s="654"/>
      <c r="T100" s="654"/>
      <c r="U100" s="654"/>
    </row>
    <row r="101" spans="1:21" ht="14.25" customHeight="1">
      <c r="A101" s="1316"/>
      <c r="B101" s="1317"/>
      <c r="C101" s="1318"/>
      <c r="D101" s="1319"/>
      <c r="E101" s="1318"/>
      <c r="F101" s="1320">
        <f t="shared" si="15"/>
        <v>0</v>
      </c>
      <c r="G101" s="1319"/>
      <c r="H101" s="1318"/>
      <c r="I101" s="1320">
        <f t="shared" si="16"/>
        <v>0</v>
      </c>
      <c r="J101" s="1320">
        <f t="shared" si="9"/>
        <v>0</v>
      </c>
      <c r="K101" s="1320">
        <f t="shared" si="10"/>
        <v>0</v>
      </c>
      <c r="L101" s="1318"/>
      <c r="M101" s="1318"/>
      <c r="N101" s="1321">
        <f t="shared" si="11"/>
        <v>0</v>
      </c>
      <c r="O101" s="1322">
        <f t="shared" si="12"/>
        <v>0</v>
      </c>
      <c r="P101" s="2369">
        <f t="shared" si="13"/>
        <v>1900</v>
      </c>
      <c r="Q101" s="2369">
        <f t="shared" si="14"/>
        <v>1900</v>
      </c>
      <c r="R101" s="654"/>
      <c r="S101" s="654"/>
      <c r="T101" s="654"/>
      <c r="U101" s="654"/>
    </row>
    <row r="102" spans="1:21" ht="14.25" customHeight="1">
      <c r="A102" s="1316"/>
      <c r="B102" s="1317"/>
      <c r="C102" s="1318"/>
      <c r="D102" s="1319"/>
      <c r="E102" s="1318"/>
      <c r="F102" s="1320">
        <f t="shared" si="15"/>
        <v>0</v>
      </c>
      <c r="G102" s="1319"/>
      <c r="H102" s="1318"/>
      <c r="I102" s="1320">
        <f t="shared" si="16"/>
        <v>0</v>
      </c>
      <c r="J102" s="1320">
        <f t="shared" si="9"/>
        <v>0</v>
      </c>
      <c r="K102" s="1320">
        <f t="shared" si="10"/>
        <v>0</v>
      </c>
      <c r="L102" s="1318"/>
      <c r="M102" s="1318"/>
      <c r="N102" s="1321">
        <f t="shared" si="11"/>
        <v>0</v>
      </c>
      <c r="O102" s="1322">
        <f t="shared" si="12"/>
        <v>0</v>
      </c>
      <c r="P102" s="2369">
        <f t="shared" si="13"/>
        <v>1900</v>
      </c>
      <c r="Q102" s="2369">
        <f t="shared" si="14"/>
        <v>1900</v>
      </c>
      <c r="R102" s="654"/>
      <c r="S102" s="654"/>
      <c r="T102" s="654"/>
      <c r="U102" s="654"/>
    </row>
    <row r="103" spans="1:21" ht="14.25" customHeight="1">
      <c r="A103" s="1316"/>
      <c r="B103" s="1317"/>
      <c r="C103" s="1318"/>
      <c r="D103" s="1319"/>
      <c r="E103" s="1318"/>
      <c r="F103" s="1320">
        <f t="shared" si="15"/>
        <v>0</v>
      </c>
      <c r="G103" s="1319"/>
      <c r="H103" s="1318"/>
      <c r="I103" s="1320">
        <f t="shared" si="16"/>
        <v>0</v>
      </c>
      <c r="J103" s="1320">
        <f t="shared" si="9"/>
        <v>0</v>
      </c>
      <c r="K103" s="1320">
        <f t="shared" si="10"/>
        <v>0</v>
      </c>
      <c r="L103" s="1318"/>
      <c r="M103" s="1318"/>
      <c r="N103" s="1321">
        <f t="shared" si="11"/>
        <v>0</v>
      </c>
      <c r="O103" s="1322">
        <f t="shared" si="12"/>
        <v>0</v>
      </c>
      <c r="P103" s="2369">
        <f t="shared" si="13"/>
        <v>1900</v>
      </c>
      <c r="Q103" s="2369">
        <f t="shared" si="14"/>
        <v>1900</v>
      </c>
      <c r="R103" s="654"/>
      <c r="S103" s="654"/>
      <c r="T103" s="654"/>
      <c r="U103" s="654"/>
    </row>
    <row r="104" spans="1:21" ht="14.25" customHeight="1">
      <c r="A104" s="1316"/>
      <c r="B104" s="1317"/>
      <c r="C104" s="1318"/>
      <c r="D104" s="1319"/>
      <c r="E104" s="1318"/>
      <c r="F104" s="1320">
        <f t="shared" si="15"/>
        <v>0</v>
      </c>
      <c r="G104" s="1319"/>
      <c r="H104" s="1318"/>
      <c r="I104" s="1320">
        <f t="shared" si="16"/>
        <v>0</v>
      </c>
      <c r="J104" s="1320">
        <f t="shared" si="9"/>
        <v>0</v>
      </c>
      <c r="K104" s="1320">
        <f t="shared" si="10"/>
        <v>0</v>
      </c>
      <c r="L104" s="1318"/>
      <c r="M104" s="1318"/>
      <c r="N104" s="1321">
        <f t="shared" si="11"/>
        <v>0</v>
      </c>
      <c r="O104" s="1322">
        <f t="shared" si="12"/>
        <v>0</v>
      </c>
      <c r="P104" s="2369">
        <f t="shared" si="13"/>
        <v>1900</v>
      </c>
      <c r="Q104" s="2369">
        <f t="shared" si="14"/>
        <v>1900</v>
      </c>
      <c r="R104" s="654"/>
      <c r="S104" s="654"/>
      <c r="T104" s="654"/>
      <c r="U104" s="654"/>
    </row>
    <row r="105" spans="1:21" ht="14.25" customHeight="1">
      <c r="A105" s="1316"/>
      <c r="B105" s="1317"/>
      <c r="C105" s="1318"/>
      <c r="D105" s="1319"/>
      <c r="E105" s="1318"/>
      <c r="F105" s="1320">
        <f t="shared" si="15"/>
        <v>0</v>
      </c>
      <c r="G105" s="1319"/>
      <c r="H105" s="1318"/>
      <c r="I105" s="1320">
        <f t="shared" si="16"/>
        <v>0</v>
      </c>
      <c r="J105" s="1320">
        <f t="shared" si="9"/>
        <v>0</v>
      </c>
      <c r="K105" s="1320">
        <f t="shared" si="10"/>
        <v>0</v>
      </c>
      <c r="L105" s="1318"/>
      <c r="M105" s="1318"/>
      <c r="N105" s="1321">
        <f t="shared" si="11"/>
        <v>0</v>
      </c>
      <c r="O105" s="1322">
        <f t="shared" si="12"/>
        <v>0</v>
      </c>
      <c r="P105" s="2369">
        <f t="shared" si="13"/>
        <v>1900</v>
      </c>
      <c r="Q105" s="2369">
        <f t="shared" si="14"/>
        <v>1900</v>
      </c>
      <c r="R105" s="654"/>
      <c r="S105" s="654"/>
      <c r="T105" s="654"/>
      <c r="U105" s="654"/>
    </row>
    <row r="106" spans="1:21" ht="14.25" customHeight="1">
      <c r="A106" s="1316"/>
      <c r="B106" s="1317"/>
      <c r="C106" s="1318"/>
      <c r="D106" s="1319"/>
      <c r="E106" s="1318"/>
      <c r="F106" s="1320">
        <f t="shared" si="15"/>
        <v>0</v>
      </c>
      <c r="G106" s="1319"/>
      <c r="H106" s="1318"/>
      <c r="I106" s="1320">
        <f t="shared" si="16"/>
        <v>0</v>
      </c>
      <c r="J106" s="1320">
        <f t="shared" si="9"/>
        <v>0</v>
      </c>
      <c r="K106" s="1320">
        <f t="shared" si="10"/>
        <v>0</v>
      </c>
      <c r="L106" s="1318"/>
      <c r="M106" s="1318"/>
      <c r="N106" s="1321">
        <f t="shared" si="11"/>
        <v>0</v>
      </c>
      <c r="O106" s="1322">
        <f t="shared" si="12"/>
        <v>0</v>
      </c>
      <c r="P106" s="2369">
        <f t="shared" si="13"/>
        <v>1900</v>
      </c>
      <c r="Q106" s="2369">
        <f t="shared" si="14"/>
        <v>1900</v>
      </c>
      <c r="R106" s="654"/>
      <c r="S106" s="654"/>
      <c r="T106" s="654"/>
      <c r="U106" s="654"/>
    </row>
    <row r="107" spans="1:21" ht="14.25" customHeight="1">
      <c r="A107" s="1316"/>
      <c r="B107" s="1317"/>
      <c r="C107" s="1318"/>
      <c r="D107" s="1319"/>
      <c r="E107" s="1318"/>
      <c r="F107" s="1320">
        <f t="shared" si="15"/>
        <v>0</v>
      </c>
      <c r="G107" s="1319"/>
      <c r="H107" s="1318"/>
      <c r="I107" s="1320">
        <f t="shared" si="16"/>
        <v>0</v>
      </c>
      <c r="J107" s="1320">
        <f t="shared" si="9"/>
        <v>0</v>
      </c>
      <c r="K107" s="1320">
        <f t="shared" si="10"/>
        <v>0</v>
      </c>
      <c r="L107" s="1318"/>
      <c r="M107" s="1318"/>
      <c r="N107" s="1321">
        <f t="shared" si="11"/>
        <v>0</v>
      </c>
      <c r="O107" s="1322">
        <f t="shared" si="12"/>
        <v>0</v>
      </c>
      <c r="P107" s="2369">
        <f t="shared" si="13"/>
        <v>1900</v>
      </c>
      <c r="Q107" s="2369">
        <f t="shared" si="14"/>
        <v>1900</v>
      </c>
      <c r="R107" s="654"/>
      <c r="S107" s="654"/>
      <c r="T107" s="654"/>
      <c r="U107" s="654"/>
    </row>
    <row r="108" spans="1:21" ht="14.25" customHeight="1">
      <c r="A108" s="1316"/>
      <c r="B108" s="1317"/>
      <c r="C108" s="1318"/>
      <c r="D108" s="1319"/>
      <c r="E108" s="1318"/>
      <c r="F108" s="1320">
        <f t="shared" si="15"/>
        <v>0</v>
      </c>
      <c r="G108" s="1319"/>
      <c r="H108" s="1318"/>
      <c r="I108" s="1320">
        <f t="shared" si="16"/>
        <v>0</v>
      </c>
      <c r="J108" s="1320">
        <f t="shared" si="9"/>
        <v>0</v>
      </c>
      <c r="K108" s="1320">
        <f t="shared" si="10"/>
        <v>0</v>
      </c>
      <c r="L108" s="1318"/>
      <c r="M108" s="1318"/>
      <c r="N108" s="1321">
        <f t="shared" si="11"/>
        <v>0</v>
      </c>
      <c r="O108" s="1322">
        <f t="shared" si="12"/>
        <v>0</v>
      </c>
      <c r="P108" s="2369">
        <f t="shared" si="13"/>
        <v>1900</v>
      </c>
      <c r="Q108" s="2369">
        <f t="shared" si="14"/>
        <v>1900</v>
      </c>
      <c r="R108" s="654"/>
      <c r="S108" s="654"/>
      <c r="T108" s="654"/>
      <c r="U108" s="654"/>
    </row>
    <row r="109" spans="1:21" ht="14.25" customHeight="1">
      <c r="A109" s="1316"/>
      <c r="B109" s="1317"/>
      <c r="C109" s="1318"/>
      <c r="D109" s="1319"/>
      <c r="E109" s="1318"/>
      <c r="F109" s="1320">
        <f t="shared" si="15"/>
        <v>0</v>
      </c>
      <c r="G109" s="1319"/>
      <c r="H109" s="1318"/>
      <c r="I109" s="1320">
        <f t="shared" si="16"/>
        <v>0</v>
      </c>
      <c r="J109" s="1320">
        <f t="shared" si="9"/>
        <v>0</v>
      </c>
      <c r="K109" s="1320">
        <f t="shared" si="10"/>
        <v>0</v>
      </c>
      <c r="L109" s="1318"/>
      <c r="M109" s="1318"/>
      <c r="N109" s="1321">
        <f t="shared" si="11"/>
        <v>0</v>
      </c>
      <c r="O109" s="1322">
        <f t="shared" si="12"/>
        <v>0</v>
      </c>
      <c r="P109" s="2369">
        <f t="shared" si="13"/>
        <v>1900</v>
      </c>
      <c r="Q109" s="2369">
        <f t="shared" si="14"/>
        <v>1900</v>
      </c>
      <c r="R109" s="654"/>
      <c r="S109" s="654"/>
      <c r="T109" s="654"/>
      <c r="U109" s="654"/>
    </row>
    <row r="110" spans="1:21" ht="14.25" customHeight="1">
      <c r="A110" s="1316"/>
      <c r="B110" s="1317"/>
      <c r="C110" s="1318"/>
      <c r="D110" s="1319"/>
      <c r="E110" s="1318"/>
      <c r="F110" s="1320">
        <f t="shared" si="15"/>
        <v>0</v>
      </c>
      <c r="G110" s="1319"/>
      <c r="H110" s="1318"/>
      <c r="I110" s="1320">
        <f t="shared" si="16"/>
        <v>0</v>
      </c>
      <c r="J110" s="1320">
        <f t="shared" si="9"/>
        <v>0</v>
      </c>
      <c r="K110" s="1320">
        <f t="shared" si="10"/>
        <v>0</v>
      </c>
      <c r="L110" s="1318"/>
      <c r="M110" s="1318"/>
      <c r="N110" s="1321">
        <f t="shared" si="11"/>
        <v>0</v>
      </c>
      <c r="O110" s="1322">
        <f t="shared" si="12"/>
        <v>0</v>
      </c>
      <c r="P110" s="2369">
        <f t="shared" si="13"/>
        <v>1900</v>
      </c>
      <c r="Q110" s="2369">
        <f t="shared" si="14"/>
        <v>1900</v>
      </c>
      <c r="R110" s="654"/>
      <c r="S110" s="654"/>
      <c r="T110" s="654"/>
      <c r="U110" s="654"/>
    </row>
    <row r="111" spans="1:21" ht="14.25" customHeight="1">
      <c r="A111" s="1316"/>
      <c r="B111" s="1317"/>
      <c r="C111" s="1318"/>
      <c r="D111" s="1319"/>
      <c r="E111" s="1318"/>
      <c r="F111" s="1320">
        <f t="shared" si="15"/>
        <v>0</v>
      </c>
      <c r="G111" s="1319"/>
      <c r="H111" s="1318"/>
      <c r="I111" s="1320">
        <f t="shared" si="16"/>
        <v>0</v>
      </c>
      <c r="J111" s="1320">
        <f t="shared" si="9"/>
        <v>0</v>
      </c>
      <c r="K111" s="1320">
        <f t="shared" si="10"/>
        <v>0</v>
      </c>
      <c r="L111" s="1318"/>
      <c r="M111" s="1318"/>
      <c r="N111" s="1321">
        <f t="shared" si="11"/>
        <v>0</v>
      </c>
      <c r="O111" s="1322">
        <f t="shared" si="12"/>
        <v>0</v>
      </c>
      <c r="P111" s="2369">
        <f t="shared" si="13"/>
        <v>1900</v>
      </c>
      <c r="Q111" s="2369">
        <f t="shared" si="14"/>
        <v>1900</v>
      </c>
      <c r="R111" s="654"/>
      <c r="S111" s="654"/>
      <c r="T111" s="654"/>
      <c r="U111" s="654"/>
    </row>
    <row r="112" spans="1:21" ht="14.25" customHeight="1">
      <c r="A112" s="1316"/>
      <c r="B112" s="1317"/>
      <c r="C112" s="1318"/>
      <c r="D112" s="1319"/>
      <c r="E112" s="1318"/>
      <c r="F112" s="1320">
        <f t="shared" si="15"/>
        <v>0</v>
      </c>
      <c r="G112" s="1319"/>
      <c r="H112" s="1318"/>
      <c r="I112" s="1320">
        <f t="shared" si="16"/>
        <v>0</v>
      </c>
      <c r="J112" s="1320">
        <f t="shared" si="9"/>
        <v>0</v>
      </c>
      <c r="K112" s="1320">
        <f t="shared" si="10"/>
        <v>0</v>
      </c>
      <c r="L112" s="1318"/>
      <c r="M112" s="1318"/>
      <c r="N112" s="1321">
        <f t="shared" si="11"/>
        <v>0</v>
      </c>
      <c r="O112" s="1322">
        <f t="shared" si="12"/>
        <v>0</v>
      </c>
      <c r="P112" s="2369">
        <f t="shared" si="13"/>
        <v>1900</v>
      </c>
      <c r="Q112" s="2369">
        <f t="shared" si="14"/>
        <v>1900</v>
      </c>
      <c r="R112" s="654"/>
      <c r="S112" s="654"/>
      <c r="T112" s="654"/>
      <c r="U112" s="654"/>
    </row>
    <row r="113" spans="1:21" ht="14.25" customHeight="1">
      <c r="A113" s="1316"/>
      <c r="B113" s="1317"/>
      <c r="C113" s="1318"/>
      <c r="D113" s="1319"/>
      <c r="E113" s="1318"/>
      <c r="F113" s="1320">
        <f t="shared" si="15"/>
        <v>0</v>
      </c>
      <c r="G113" s="1319"/>
      <c r="H113" s="1318"/>
      <c r="I113" s="1320">
        <f t="shared" si="16"/>
        <v>0</v>
      </c>
      <c r="J113" s="1320">
        <f t="shared" si="9"/>
        <v>0</v>
      </c>
      <c r="K113" s="1320">
        <f t="shared" si="10"/>
        <v>0</v>
      </c>
      <c r="L113" s="1318"/>
      <c r="M113" s="1318"/>
      <c r="N113" s="1321">
        <f t="shared" si="11"/>
        <v>0</v>
      </c>
      <c r="O113" s="1322">
        <f t="shared" si="12"/>
        <v>0</v>
      </c>
      <c r="P113" s="2369">
        <f t="shared" si="13"/>
        <v>1900</v>
      </c>
      <c r="Q113" s="2369">
        <f t="shared" si="14"/>
        <v>1900</v>
      </c>
      <c r="R113" s="654"/>
      <c r="S113" s="654"/>
      <c r="T113" s="654"/>
      <c r="U113" s="654"/>
    </row>
    <row r="114" spans="1:21" ht="14.25" customHeight="1">
      <c r="A114" s="1316"/>
      <c r="B114" s="1317"/>
      <c r="C114" s="1318"/>
      <c r="D114" s="1319"/>
      <c r="E114" s="1318"/>
      <c r="F114" s="1320">
        <f t="shared" si="15"/>
        <v>0</v>
      </c>
      <c r="G114" s="1319"/>
      <c r="H114" s="1318"/>
      <c r="I114" s="1320">
        <f t="shared" si="16"/>
        <v>0</v>
      </c>
      <c r="J114" s="1320">
        <f t="shared" si="9"/>
        <v>0</v>
      </c>
      <c r="K114" s="1320">
        <f t="shared" si="10"/>
        <v>0</v>
      </c>
      <c r="L114" s="1318"/>
      <c r="M114" s="1318"/>
      <c r="N114" s="1321">
        <f t="shared" si="11"/>
        <v>0</v>
      </c>
      <c r="O114" s="1322">
        <f t="shared" si="12"/>
        <v>0</v>
      </c>
      <c r="P114" s="2369">
        <f t="shared" si="13"/>
        <v>1900</v>
      </c>
      <c r="Q114" s="2369">
        <f t="shared" si="14"/>
        <v>1900</v>
      </c>
      <c r="R114" s="654"/>
      <c r="S114" s="654"/>
      <c r="T114" s="654"/>
      <c r="U114" s="654"/>
    </row>
    <row r="115" spans="1:21" ht="14.25" customHeight="1">
      <c r="A115" s="1316"/>
      <c r="B115" s="1317"/>
      <c r="C115" s="1318"/>
      <c r="D115" s="1319"/>
      <c r="E115" s="1318"/>
      <c r="F115" s="1320">
        <f t="shared" si="15"/>
        <v>0</v>
      </c>
      <c r="G115" s="1319"/>
      <c r="H115" s="1318"/>
      <c r="I115" s="1320">
        <f t="shared" si="16"/>
        <v>0</v>
      </c>
      <c r="J115" s="1320">
        <f t="shared" si="9"/>
        <v>0</v>
      </c>
      <c r="K115" s="1320">
        <f t="shared" si="10"/>
        <v>0</v>
      </c>
      <c r="L115" s="1318"/>
      <c r="M115" s="1318"/>
      <c r="N115" s="1321">
        <f t="shared" si="11"/>
        <v>0</v>
      </c>
      <c r="O115" s="1322">
        <f t="shared" si="12"/>
        <v>0</v>
      </c>
      <c r="P115" s="2369">
        <f t="shared" si="13"/>
        <v>1900</v>
      </c>
      <c r="Q115" s="2369">
        <f t="shared" si="14"/>
        <v>1900</v>
      </c>
      <c r="R115" s="654"/>
      <c r="S115" s="654"/>
      <c r="T115" s="654"/>
      <c r="U115" s="654"/>
    </row>
    <row r="116" spans="1:21" ht="14.25" customHeight="1">
      <c r="A116" s="1316"/>
      <c r="B116" s="1317"/>
      <c r="C116" s="1318"/>
      <c r="D116" s="1319"/>
      <c r="E116" s="1318"/>
      <c r="F116" s="1320">
        <f t="shared" si="15"/>
        <v>0</v>
      </c>
      <c r="G116" s="1319"/>
      <c r="H116" s="1318"/>
      <c r="I116" s="1320">
        <f t="shared" si="16"/>
        <v>0</v>
      </c>
      <c r="J116" s="1320">
        <f t="shared" si="9"/>
        <v>0</v>
      </c>
      <c r="K116" s="1320">
        <f t="shared" si="10"/>
        <v>0</v>
      </c>
      <c r="L116" s="1318"/>
      <c r="M116" s="1318"/>
      <c r="N116" s="1321">
        <f t="shared" si="11"/>
        <v>0</v>
      </c>
      <c r="O116" s="1322">
        <f t="shared" si="12"/>
        <v>0</v>
      </c>
      <c r="P116" s="2369">
        <f t="shared" si="13"/>
        <v>1900</v>
      </c>
      <c r="Q116" s="2369">
        <f t="shared" si="14"/>
        <v>1900</v>
      </c>
      <c r="R116" s="654"/>
      <c r="S116" s="654"/>
      <c r="T116" s="654"/>
      <c r="U116" s="654"/>
    </row>
    <row r="117" spans="1:21" ht="14.25" customHeight="1">
      <c r="A117" s="1316"/>
      <c r="B117" s="1317"/>
      <c r="C117" s="1318"/>
      <c r="D117" s="1319"/>
      <c r="E117" s="1318"/>
      <c r="F117" s="1320">
        <f t="shared" si="15"/>
        <v>0</v>
      </c>
      <c r="G117" s="1319"/>
      <c r="H117" s="1318"/>
      <c r="I117" s="1320">
        <f t="shared" si="16"/>
        <v>0</v>
      </c>
      <c r="J117" s="1320">
        <f t="shared" si="9"/>
        <v>0</v>
      </c>
      <c r="K117" s="1320">
        <f t="shared" si="10"/>
        <v>0</v>
      </c>
      <c r="L117" s="1318"/>
      <c r="M117" s="1318"/>
      <c r="N117" s="1321">
        <f t="shared" si="11"/>
        <v>0</v>
      </c>
      <c r="O117" s="1322">
        <f t="shared" si="12"/>
        <v>0</v>
      </c>
      <c r="P117" s="2369">
        <f t="shared" si="13"/>
        <v>1900</v>
      </c>
      <c r="Q117" s="2369">
        <f t="shared" si="14"/>
        <v>1900</v>
      </c>
      <c r="R117" s="654"/>
      <c r="S117" s="654"/>
      <c r="T117" s="654"/>
      <c r="U117" s="654"/>
    </row>
    <row r="118" spans="1:21" ht="14.25" customHeight="1">
      <c r="A118" s="1316"/>
      <c r="B118" s="1317"/>
      <c r="C118" s="1318"/>
      <c r="D118" s="1319"/>
      <c r="E118" s="1318"/>
      <c r="F118" s="1320">
        <f t="shared" si="15"/>
        <v>0</v>
      </c>
      <c r="G118" s="1319"/>
      <c r="H118" s="1318"/>
      <c r="I118" s="1320">
        <f t="shared" si="16"/>
        <v>0</v>
      </c>
      <c r="J118" s="1320">
        <f t="shared" si="9"/>
        <v>0</v>
      </c>
      <c r="K118" s="1320">
        <f t="shared" si="10"/>
        <v>0</v>
      </c>
      <c r="L118" s="1318"/>
      <c r="M118" s="1318"/>
      <c r="N118" s="1321">
        <f t="shared" si="11"/>
        <v>0</v>
      </c>
      <c r="O118" s="1322">
        <f t="shared" si="12"/>
        <v>0</v>
      </c>
      <c r="P118" s="2369">
        <f t="shared" si="13"/>
        <v>1900</v>
      </c>
      <c r="Q118" s="2369">
        <f t="shared" si="14"/>
        <v>1900</v>
      </c>
      <c r="R118" s="654"/>
      <c r="S118" s="654"/>
      <c r="T118" s="654"/>
      <c r="U118" s="654"/>
    </row>
    <row r="119" spans="1:21" ht="14.25" customHeight="1">
      <c r="A119" s="1316"/>
      <c r="B119" s="1317"/>
      <c r="C119" s="1318"/>
      <c r="D119" s="1319"/>
      <c r="E119" s="1318"/>
      <c r="F119" s="1320">
        <f t="shared" si="15"/>
        <v>0</v>
      </c>
      <c r="G119" s="1319"/>
      <c r="H119" s="1318"/>
      <c r="I119" s="1320">
        <f t="shared" si="16"/>
        <v>0</v>
      </c>
      <c r="J119" s="1320">
        <f t="shared" si="9"/>
        <v>0</v>
      </c>
      <c r="K119" s="1320">
        <f t="shared" si="10"/>
        <v>0</v>
      </c>
      <c r="L119" s="1318"/>
      <c r="M119" s="1318"/>
      <c r="N119" s="1321">
        <f t="shared" si="11"/>
        <v>0</v>
      </c>
      <c r="O119" s="1322">
        <f t="shared" si="12"/>
        <v>0</v>
      </c>
      <c r="P119" s="2369">
        <f t="shared" si="13"/>
        <v>1900</v>
      </c>
      <c r="Q119" s="2369">
        <f t="shared" si="14"/>
        <v>1900</v>
      </c>
      <c r="R119" s="654"/>
      <c r="S119" s="654"/>
      <c r="T119" s="654"/>
      <c r="U119" s="654"/>
    </row>
    <row r="120" spans="1:21" ht="14.25" customHeight="1">
      <c r="A120" s="1316"/>
      <c r="B120" s="1317"/>
      <c r="C120" s="1318"/>
      <c r="D120" s="1319"/>
      <c r="E120" s="1318"/>
      <c r="F120" s="1320">
        <f t="shared" si="15"/>
        <v>0</v>
      </c>
      <c r="G120" s="1319"/>
      <c r="H120" s="1318"/>
      <c r="I120" s="1320">
        <f t="shared" si="16"/>
        <v>0</v>
      </c>
      <c r="J120" s="1320">
        <f t="shared" si="9"/>
        <v>0</v>
      </c>
      <c r="K120" s="1320">
        <f t="shared" si="10"/>
        <v>0</v>
      </c>
      <c r="L120" s="1318"/>
      <c r="M120" s="1318"/>
      <c r="N120" s="1321">
        <f t="shared" si="11"/>
        <v>0</v>
      </c>
      <c r="O120" s="1322">
        <f t="shared" si="12"/>
        <v>0</v>
      </c>
      <c r="P120" s="2369">
        <f t="shared" si="13"/>
        <v>1900</v>
      </c>
      <c r="Q120" s="2369">
        <f t="shared" si="14"/>
        <v>1900</v>
      </c>
      <c r="R120" s="654"/>
      <c r="S120" s="654"/>
      <c r="T120" s="654"/>
      <c r="U120" s="654"/>
    </row>
    <row r="121" spans="1:21" ht="14.25" customHeight="1">
      <c r="A121" s="1316"/>
      <c r="B121" s="1317"/>
      <c r="C121" s="1318"/>
      <c r="D121" s="1319"/>
      <c r="E121" s="1318"/>
      <c r="F121" s="1320">
        <f t="shared" si="15"/>
        <v>0</v>
      </c>
      <c r="G121" s="1319"/>
      <c r="H121" s="1318"/>
      <c r="I121" s="1320">
        <f t="shared" si="16"/>
        <v>0</v>
      </c>
      <c r="J121" s="1320">
        <f t="shared" si="9"/>
        <v>0</v>
      </c>
      <c r="K121" s="1320">
        <f t="shared" si="10"/>
        <v>0</v>
      </c>
      <c r="L121" s="1318"/>
      <c r="M121" s="1318"/>
      <c r="N121" s="1321">
        <f t="shared" si="11"/>
        <v>0</v>
      </c>
      <c r="O121" s="1322">
        <f t="shared" si="12"/>
        <v>0</v>
      </c>
      <c r="P121" s="2369">
        <f t="shared" si="13"/>
        <v>1900</v>
      </c>
      <c r="Q121" s="2369">
        <f t="shared" si="14"/>
        <v>1900</v>
      </c>
      <c r="R121" s="654"/>
      <c r="S121" s="654"/>
      <c r="T121" s="654"/>
      <c r="U121" s="654"/>
    </row>
    <row r="122" spans="1:21" ht="14.25" customHeight="1">
      <c r="A122" s="1316"/>
      <c r="B122" s="1317"/>
      <c r="C122" s="1318"/>
      <c r="D122" s="1319"/>
      <c r="E122" s="1318"/>
      <c r="F122" s="1320">
        <f t="shared" si="15"/>
        <v>0</v>
      </c>
      <c r="G122" s="1319"/>
      <c r="H122" s="1318"/>
      <c r="I122" s="1320">
        <f t="shared" si="16"/>
        <v>0</v>
      </c>
      <c r="J122" s="1320">
        <f t="shared" si="9"/>
        <v>0</v>
      </c>
      <c r="K122" s="1320">
        <f t="shared" si="10"/>
        <v>0</v>
      </c>
      <c r="L122" s="1318"/>
      <c r="M122" s="1318"/>
      <c r="N122" s="1321">
        <f t="shared" si="11"/>
        <v>0</v>
      </c>
      <c r="O122" s="1322">
        <f t="shared" si="12"/>
        <v>0</v>
      </c>
      <c r="P122" s="2369">
        <f t="shared" si="13"/>
        <v>1900</v>
      </c>
      <c r="Q122" s="2369">
        <f t="shared" si="14"/>
        <v>1900</v>
      </c>
      <c r="R122" s="654"/>
      <c r="S122" s="654"/>
      <c r="T122" s="654"/>
      <c r="U122" s="654"/>
    </row>
    <row r="123" spans="1:21" ht="14.25" customHeight="1">
      <c r="A123" s="1316"/>
      <c r="B123" s="1317"/>
      <c r="C123" s="1318"/>
      <c r="D123" s="1319"/>
      <c r="E123" s="1318"/>
      <c r="F123" s="1320">
        <f t="shared" si="15"/>
        <v>0</v>
      </c>
      <c r="G123" s="1319"/>
      <c r="H123" s="1318"/>
      <c r="I123" s="1320">
        <f t="shared" si="16"/>
        <v>0</v>
      </c>
      <c r="J123" s="1320">
        <f t="shared" si="9"/>
        <v>0</v>
      </c>
      <c r="K123" s="1320">
        <f t="shared" si="10"/>
        <v>0</v>
      </c>
      <c r="L123" s="1318"/>
      <c r="M123" s="1318"/>
      <c r="N123" s="1321">
        <f t="shared" si="11"/>
        <v>0</v>
      </c>
      <c r="O123" s="1322">
        <f t="shared" si="12"/>
        <v>0</v>
      </c>
      <c r="P123" s="2369">
        <f t="shared" si="13"/>
        <v>1900</v>
      </c>
      <c r="Q123" s="2369">
        <f t="shared" si="14"/>
        <v>1900</v>
      </c>
      <c r="R123" s="654"/>
      <c r="S123" s="654"/>
      <c r="T123" s="654"/>
      <c r="U123" s="654"/>
    </row>
    <row r="124" spans="1:21" ht="14.25" customHeight="1">
      <c r="A124" s="1316"/>
      <c r="B124" s="1317"/>
      <c r="C124" s="1318"/>
      <c r="D124" s="1319"/>
      <c r="E124" s="1318"/>
      <c r="F124" s="1320">
        <f t="shared" si="15"/>
        <v>0</v>
      </c>
      <c r="G124" s="1319"/>
      <c r="H124" s="1318"/>
      <c r="I124" s="1320">
        <f t="shared" si="16"/>
        <v>0</v>
      </c>
      <c r="J124" s="1320">
        <f t="shared" si="9"/>
        <v>0</v>
      </c>
      <c r="K124" s="1320">
        <f t="shared" si="10"/>
        <v>0</v>
      </c>
      <c r="L124" s="1318"/>
      <c r="M124" s="1318"/>
      <c r="N124" s="1321">
        <f t="shared" si="11"/>
        <v>0</v>
      </c>
      <c r="O124" s="1322">
        <f t="shared" si="12"/>
        <v>0</v>
      </c>
      <c r="P124" s="2369">
        <f t="shared" si="13"/>
        <v>1900</v>
      </c>
      <c r="Q124" s="2369">
        <f t="shared" si="14"/>
        <v>1900</v>
      </c>
      <c r="R124" s="654"/>
      <c r="S124" s="654"/>
      <c r="T124" s="654"/>
      <c r="U124" s="654"/>
    </row>
    <row r="125" spans="1:21" ht="14.25" customHeight="1">
      <c r="A125" s="1316"/>
      <c r="B125" s="1317"/>
      <c r="C125" s="1318"/>
      <c r="D125" s="1319"/>
      <c r="E125" s="1318"/>
      <c r="F125" s="1320">
        <f t="shared" si="15"/>
        <v>0</v>
      </c>
      <c r="G125" s="1319"/>
      <c r="H125" s="1318"/>
      <c r="I125" s="1320">
        <f t="shared" si="16"/>
        <v>0</v>
      </c>
      <c r="J125" s="1320">
        <f t="shared" si="9"/>
        <v>0</v>
      </c>
      <c r="K125" s="1320">
        <f t="shared" si="10"/>
        <v>0</v>
      </c>
      <c r="L125" s="1318"/>
      <c r="M125" s="1318"/>
      <c r="N125" s="1321">
        <f t="shared" si="11"/>
        <v>0</v>
      </c>
      <c r="O125" s="1322">
        <f t="shared" si="12"/>
        <v>0</v>
      </c>
      <c r="P125" s="2369">
        <f t="shared" si="13"/>
        <v>1900</v>
      </c>
      <c r="Q125" s="2369">
        <f t="shared" si="14"/>
        <v>1900</v>
      </c>
      <c r="R125" s="654"/>
      <c r="S125" s="654"/>
      <c r="T125" s="654"/>
      <c r="U125" s="654"/>
    </row>
    <row r="126" spans="1:21" ht="14.25" customHeight="1">
      <c r="A126" s="1316"/>
      <c r="B126" s="1317"/>
      <c r="C126" s="1318"/>
      <c r="D126" s="1319"/>
      <c r="E126" s="1318"/>
      <c r="F126" s="1320">
        <f t="shared" si="15"/>
        <v>0</v>
      </c>
      <c r="G126" s="1319"/>
      <c r="H126" s="1318"/>
      <c r="I126" s="1320">
        <f t="shared" si="16"/>
        <v>0</v>
      </c>
      <c r="J126" s="1320">
        <f t="shared" si="9"/>
        <v>0</v>
      </c>
      <c r="K126" s="1320">
        <f t="shared" si="10"/>
        <v>0</v>
      </c>
      <c r="L126" s="1318"/>
      <c r="M126" s="1318"/>
      <c r="N126" s="1321">
        <f t="shared" si="11"/>
        <v>0</v>
      </c>
      <c r="O126" s="1322">
        <f t="shared" si="12"/>
        <v>0</v>
      </c>
      <c r="P126" s="2369">
        <f t="shared" si="13"/>
        <v>1900</v>
      </c>
      <c r="Q126" s="2369">
        <f t="shared" si="14"/>
        <v>1900</v>
      </c>
      <c r="R126" s="654"/>
      <c r="S126" s="654"/>
      <c r="T126" s="654"/>
      <c r="U126" s="654"/>
    </row>
    <row r="127" spans="1:21" ht="14.25" customHeight="1">
      <c r="A127" s="1316"/>
      <c r="B127" s="1317"/>
      <c r="C127" s="1318"/>
      <c r="D127" s="1319"/>
      <c r="E127" s="1318"/>
      <c r="F127" s="1320">
        <f t="shared" si="15"/>
        <v>0</v>
      </c>
      <c r="G127" s="1319"/>
      <c r="H127" s="1318"/>
      <c r="I127" s="1320">
        <f t="shared" si="16"/>
        <v>0</v>
      </c>
      <c r="J127" s="1320">
        <f t="shared" si="9"/>
        <v>0</v>
      </c>
      <c r="K127" s="1320">
        <f t="shared" si="10"/>
        <v>0</v>
      </c>
      <c r="L127" s="1318"/>
      <c r="M127" s="1318"/>
      <c r="N127" s="1321">
        <f t="shared" si="11"/>
        <v>0</v>
      </c>
      <c r="O127" s="1322">
        <f t="shared" si="12"/>
        <v>0</v>
      </c>
      <c r="P127" s="2369">
        <f t="shared" si="13"/>
        <v>1900</v>
      </c>
      <c r="Q127" s="2369">
        <f t="shared" si="14"/>
        <v>1900</v>
      </c>
      <c r="R127" s="654"/>
      <c r="S127" s="654"/>
      <c r="T127" s="654"/>
      <c r="U127" s="654"/>
    </row>
    <row r="128" spans="1:21" ht="14.25" customHeight="1">
      <c r="A128" s="1316"/>
      <c r="B128" s="1317"/>
      <c r="C128" s="1318"/>
      <c r="D128" s="1319"/>
      <c r="E128" s="1318"/>
      <c r="F128" s="1320">
        <f t="shared" si="15"/>
        <v>0</v>
      </c>
      <c r="G128" s="1319"/>
      <c r="H128" s="1318"/>
      <c r="I128" s="1320">
        <f t="shared" si="16"/>
        <v>0</v>
      </c>
      <c r="J128" s="1320">
        <f t="shared" si="9"/>
        <v>0</v>
      </c>
      <c r="K128" s="1320">
        <f t="shared" si="10"/>
        <v>0</v>
      </c>
      <c r="L128" s="1318"/>
      <c r="M128" s="1318"/>
      <c r="N128" s="1321">
        <f t="shared" si="11"/>
        <v>0</v>
      </c>
      <c r="O128" s="1322">
        <f t="shared" si="12"/>
        <v>0</v>
      </c>
      <c r="P128" s="2369">
        <f t="shared" si="13"/>
        <v>1900</v>
      </c>
      <c r="Q128" s="2369">
        <f t="shared" si="14"/>
        <v>1900</v>
      </c>
      <c r="R128" s="654"/>
      <c r="S128" s="654"/>
      <c r="T128" s="654"/>
      <c r="U128" s="654"/>
    </row>
    <row r="129" spans="1:21" ht="14.25" customHeight="1">
      <c r="A129" s="1316"/>
      <c r="B129" s="1317"/>
      <c r="C129" s="1318"/>
      <c r="D129" s="1319"/>
      <c r="E129" s="1318"/>
      <c r="F129" s="1320">
        <f t="shared" si="15"/>
        <v>0</v>
      </c>
      <c r="G129" s="1319"/>
      <c r="H129" s="1318"/>
      <c r="I129" s="1320">
        <f t="shared" si="16"/>
        <v>0</v>
      </c>
      <c r="J129" s="1320">
        <f t="shared" si="9"/>
        <v>0</v>
      </c>
      <c r="K129" s="1320">
        <f t="shared" si="10"/>
        <v>0</v>
      </c>
      <c r="L129" s="1318"/>
      <c r="M129" s="1318"/>
      <c r="N129" s="1321">
        <f t="shared" si="11"/>
        <v>0</v>
      </c>
      <c r="O129" s="1322">
        <f t="shared" si="12"/>
        <v>0</v>
      </c>
      <c r="P129" s="2369">
        <f t="shared" si="13"/>
        <v>1900</v>
      </c>
      <c r="Q129" s="2369">
        <f t="shared" si="14"/>
        <v>1900</v>
      </c>
      <c r="R129" s="654"/>
      <c r="S129" s="654"/>
      <c r="T129" s="654"/>
      <c r="U129" s="654"/>
    </row>
    <row r="130" spans="1:21" ht="14.25" customHeight="1">
      <c r="A130" s="1316"/>
      <c r="B130" s="1317"/>
      <c r="C130" s="1318"/>
      <c r="D130" s="1319"/>
      <c r="E130" s="1318"/>
      <c r="F130" s="1320">
        <f t="shared" si="15"/>
        <v>0</v>
      </c>
      <c r="G130" s="1319"/>
      <c r="H130" s="1318"/>
      <c r="I130" s="1320">
        <f t="shared" si="16"/>
        <v>0</v>
      </c>
      <c r="J130" s="1320">
        <f t="shared" si="9"/>
        <v>0</v>
      </c>
      <c r="K130" s="1320">
        <f t="shared" si="10"/>
        <v>0</v>
      </c>
      <c r="L130" s="1318"/>
      <c r="M130" s="1318"/>
      <c r="N130" s="1321">
        <f t="shared" si="11"/>
        <v>0</v>
      </c>
      <c r="O130" s="1322">
        <f t="shared" si="12"/>
        <v>0</v>
      </c>
      <c r="P130" s="2369">
        <f t="shared" si="13"/>
        <v>1900</v>
      </c>
      <c r="Q130" s="2369">
        <f t="shared" si="14"/>
        <v>1900</v>
      </c>
      <c r="R130" s="654"/>
      <c r="S130" s="654"/>
      <c r="T130" s="654"/>
      <c r="U130" s="654"/>
    </row>
    <row r="131" spans="1:21" ht="14.25" customHeight="1">
      <c r="A131" s="1316"/>
      <c r="B131" s="1317"/>
      <c r="C131" s="1318"/>
      <c r="D131" s="1319"/>
      <c r="E131" s="1318"/>
      <c r="F131" s="1320">
        <f t="shared" si="15"/>
        <v>0</v>
      </c>
      <c r="G131" s="1319"/>
      <c r="H131" s="1318"/>
      <c r="I131" s="1320">
        <f t="shared" si="16"/>
        <v>0</v>
      </c>
      <c r="J131" s="1320">
        <f t="shared" si="9"/>
        <v>0</v>
      </c>
      <c r="K131" s="1320">
        <f t="shared" si="10"/>
        <v>0</v>
      </c>
      <c r="L131" s="1318"/>
      <c r="M131" s="1318"/>
      <c r="N131" s="1321">
        <f t="shared" si="11"/>
        <v>0</v>
      </c>
      <c r="O131" s="1322">
        <f t="shared" si="12"/>
        <v>0</v>
      </c>
      <c r="P131" s="2369">
        <f t="shared" si="13"/>
        <v>1900</v>
      </c>
      <c r="Q131" s="2369">
        <f t="shared" si="14"/>
        <v>1900</v>
      </c>
      <c r="R131" s="654"/>
      <c r="S131" s="654"/>
      <c r="T131" s="654"/>
      <c r="U131" s="654"/>
    </row>
    <row r="132" spans="1:21" ht="14.25" customHeight="1">
      <c r="A132" s="1316"/>
      <c r="B132" s="1317"/>
      <c r="C132" s="1318"/>
      <c r="D132" s="1319"/>
      <c r="E132" s="1318"/>
      <c r="F132" s="1320">
        <f t="shared" si="15"/>
        <v>0</v>
      </c>
      <c r="G132" s="1319"/>
      <c r="H132" s="1318"/>
      <c r="I132" s="1320">
        <f t="shared" si="16"/>
        <v>0</v>
      </c>
      <c r="J132" s="1320">
        <f t="shared" si="9"/>
        <v>0</v>
      </c>
      <c r="K132" s="1320">
        <f t="shared" si="10"/>
        <v>0</v>
      </c>
      <c r="L132" s="1318"/>
      <c r="M132" s="1318"/>
      <c r="N132" s="1321">
        <f t="shared" si="11"/>
        <v>0</v>
      </c>
      <c r="O132" s="1322">
        <f t="shared" si="12"/>
        <v>0</v>
      </c>
      <c r="P132" s="2369">
        <f t="shared" si="13"/>
        <v>1900</v>
      </c>
      <c r="Q132" s="2369">
        <f t="shared" si="14"/>
        <v>1900</v>
      </c>
      <c r="R132" s="654"/>
      <c r="S132" s="654"/>
      <c r="T132" s="654"/>
      <c r="U132" s="654"/>
    </row>
    <row r="133" spans="1:21" ht="14.25" customHeight="1">
      <c r="A133" s="1316"/>
      <c r="B133" s="1317"/>
      <c r="C133" s="1318"/>
      <c r="D133" s="1319"/>
      <c r="E133" s="1318"/>
      <c r="F133" s="1320">
        <f t="shared" si="15"/>
        <v>0</v>
      </c>
      <c r="G133" s="1319"/>
      <c r="H133" s="1318"/>
      <c r="I133" s="1320">
        <f t="shared" si="16"/>
        <v>0</v>
      </c>
      <c r="J133" s="1320">
        <f t="shared" si="9"/>
        <v>0</v>
      </c>
      <c r="K133" s="1320">
        <f t="shared" si="10"/>
        <v>0</v>
      </c>
      <c r="L133" s="1318"/>
      <c r="M133" s="1318"/>
      <c r="N133" s="1321">
        <f t="shared" si="11"/>
        <v>0</v>
      </c>
      <c r="O133" s="1322">
        <f t="shared" si="12"/>
        <v>0</v>
      </c>
      <c r="P133" s="2369">
        <f t="shared" si="13"/>
        <v>1900</v>
      </c>
      <c r="Q133" s="2369">
        <f t="shared" si="14"/>
        <v>1900</v>
      </c>
      <c r="R133" s="654"/>
      <c r="S133" s="654"/>
      <c r="T133" s="654"/>
      <c r="U133" s="654"/>
    </row>
    <row r="134" spans="1:21" ht="14.25" customHeight="1">
      <c r="A134" s="1316"/>
      <c r="B134" s="1317"/>
      <c r="C134" s="1318"/>
      <c r="D134" s="1319"/>
      <c r="E134" s="1318"/>
      <c r="F134" s="1320">
        <f t="shared" si="15"/>
        <v>0</v>
      </c>
      <c r="G134" s="1319"/>
      <c r="H134" s="1318"/>
      <c r="I134" s="1320">
        <f t="shared" si="16"/>
        <v>0</v>
      </c>
      <c r="J134" s="1320">
        <f t="shared" si="9"/>
        <v>0</v>
      </c>
      <c r="K134" s="1320">
        <f t="shared" si="10"/>
        <v>0</v>
      </c>
      <c r="L134" s="1318"/>
      <c r="M134" s="1318"/>
      <c r="N134" s="1321">
        <f t="shared" si="11"/>
        <v>0</v>
      </c>
      <c r="O134" s="1322">
        <f t="shared" si="12"/>
        <v>0</v>
      </c>
      <c r="P134" s="2369">
        <f t="shared" si="13"/>
        <v>1900</v>
      </c>
      <c r="Q134" s="2369">
        <f t="shared" si="14"/>
        <v>1900</v>
      </c>
      <c r="R134" s="654"/>
      <c r="S134" s="654"/>
      <c r="T134" s="654"/>
      <c r="U134" s="654"/>
    </row>
    <row r="135" spans="1:21" ht="14.25" customHeight="1">
      <c r="A135" s="1316"/>
      <c r="B135" s="1317"/>
      <c r="C135" s="1318"/>
      <c r="D135" s="1319"/>
      <c r="E135" s="1318"/>
      <c r="F135" s="1320">
        <f t="shared" si="15"/>
        <v>0</v>
      </c>
      <c r="G135" s="1319"/>
      <c r="H135" s="1318"/>
      <c r="I135" s="1320">
        <f t="shared" si="16"/>
        <v>0</v>
      </c>
      <c r="J135" s="1320">
        <f t="shared" si="9"/>
        <v>0</v>
      </c>
      <c r="K135" s="1320">
        <f t="shared" si="10"/>
        <v>0</v>
      </c>
      <c r="L135" s="1318"/>
      <c r="M135" s="1318"/>
      <c r="N135" s="1321">
        <f t="shared" si="11"/>
        <v>0</v>
      </c>
      <c r="O135" s="1322">
        <f t="shared" si="12"/>
        <v>0</v>
      </c>
      <c r="P135" s="2369">
        <f t="shared" si="13"/>
        <v>1900</v>
      </c>
      <c r="Q135" s="2369">
        <f t="shared" si="14"/>
        <v>1900</v>
      </c>
      <c r="R135" s="654"/>
      <c r="S135" s="654"/>
      <c r="T135" s="654"/>
      <c r="U135" s="654"/>
    </row>
    <row r="136" spans="1:21" ht="14.25" customHeight="1">
      <c r="A136" s="1316"/>
      <c r="B136" s="1317"/>
      <c r="C136" s="1318"/>
      <c r="D136" s="1319"/>
      <c r="E136" s="1318"/>
      <c r="F136" s="1320">
        <f t="shared" si="15"/>
        <v>0</v>
      </c>
      <c r="G136" s="1319"/>
      <c r="H136" s="1318"/>
      <c r="I136" s="1320">
        <f t="shared" si="16"/>
        <v>0</v>
      </c>
      <c r="J136" s="1320">
        <f t="shared" si="9"/>
        <v>0</v>
      </c>
      <c r="K136" s="1320">
        <f t="shared" si="10"/>
        <v>0</v>
      </c>
      <c r="L136" s="1318"/>
      <c r="M136" s="1318"/>
      <c r="N136" s="1321">
        <f t="shared" si="11"/>
        <v>0</v>
      </c>
      <c r="O136" s="1322">
        <f t="shared" si="12"/>
        <v>0</v>
      </c>
      <c r="P136" s="2369">
        <f t="shared" si="13"/>
        <v>1900</v>
      </c>
      <c r="Q136" s="2369">
        <f t="shared" si="14"/>
        <v>1900</v>
      </c>
      <c r="R136" s="654"/>
      <c r="S136" s="654"/>
      <c r="T136" s="654"/>
      <c r="U136" s="654"/>
    </row>
    <row r="137" spans="1:21" ht="14.25" customHeight="1">
      <c r="A137" s="1316"/>
      <c r="B137" s="1317"/>
      <c r="C137" s="1318"/>
      <c r="D137" s="1319"/>
      <c r="E137" s="1318"/>
      <c r="F137" s="1320">
        <f t="shared" si="15"/>
        <v>0</v>
      </c>
      <c r="G137" s="1319"/>
      <c r="H137" s="1318"/>
      <c r="I137" s="1320">
        <f t="shared" si="16"/>
        <v>0</v>
      </c>
      <c r="J137" s="1320">
        <f t="shared" ref="J137:J200" si="17">C137+E137-H137</f>
        <v>0</v>
      </c>
      <c r="K137" s="1320">
        <f t="shared" ref="K137:K200" si="18">C137+F137-I137</f>
        <v>0</v>
      </c>
      <c r="L137" s="1318"/>
      <c r="M137" s="1318"/>
      <c r="N137" s="1321">
        <f t="shared" si="11"/>
        <v>0</v>
      </c>
      <c r="O137" s="1322">
        <f t="shared" si="12"/>
        <v>0</v>
      </c>
      <c r="P137" s="2369">
        <f t="shared" si="13"/>
        <v>1900</v>
      </c>
      <c r="Q137" s="2369">
        <f t="shared" si="14"/>
        <v>1900</v>
      </c>
      <c r="R137" s="654"/>
      <c r="S137" s="654"/>
      <c r="T137" s="654"/>
      <c r="U137" s="654"/>
    </row>
    <row r="138" spans="1:21" ht="14.25" customHeight="1">
      <c r="A138" s="1316"/>
      <c r="B138" s="1317"/>
      <c r="C138" s="1318"/>
      <c r="D138" s="1319"/>
      <c r="E138" s="1318"/>
      <c r="F138" s="1320">
        <f t="shared" si="15"/>
        <v>0</v>
      </c>
      <c r="G138" s="1319"/>
      <c r="H138" s="1318"/>
      <c r="I138" s="1320">
        <f t="shared" si="16"/>
        <v>0</v>
      </c>
      <c r="J138" s="1320">
        <f t="shared" si="17"/>
        <v>0</v>
      </c>
      <c r="K138" s="1320">
        <f t="shared" si="18"/>
        <v>0</v>
      </c>
      <c r="L138" s="1318"/>
      <c r="M138" s="1318"/>
      <c r="N138" s="1321">
        <f t="shared" ref="N138:N201" si="19">IF(M138&lt;&gt;0,ROUND(B138*K138,2)+M138,IF(ABS(ROUND(K138*B138,2)-L138)&lt;3,L138,MIN(ROUND(K138*B138,2),L138)))</f>
        <v>0</v>
      </c>
      <c r="O138" s="1322">
        <f t="shared" ref="O138:O201" si="20">IF(ISERROR(L138-N138),"",IF(ABS(L138-N138)&lt;3,0,L138-N138))</f>
        <v>0</v>
      </c>
      <c r="P138" s="2369">
        <f t="shared" ref="P138:P201" si="21">IFERROR(YEAR(D138),0)</f>
        <v>1900</v>
      </c>
      <c r="Q138" s="2369">
        <f t="shared" ref="Q138:Q201" si="22">IFERROR(YEAR(G138),0)</f>
        <v>1900</v>
      </c>
      <c r="R138" s="654"/>
      <c r="S138" s="654"/>
      <c r="T138" s="654"/>
      <c r="U138" s="654"/>
    </row>
    <row r="139" spans="1:21" ht="14.25" customHeight="1">
      <c r="A139" s="1316"/>
      <c r="B139" s="1317"/>
      <c r="C139" s="1318"/>
      <c r="D139" s="1319"/>
      <c r="E139" s="1318"/>
      <c r="F139" s="1320">
        <f t="shared" ref="F139:F202" si="23">E139*(12-MONTH(D139))/12</f>
        <v>0</v>
      </c>
      <c r="G139" s="1319"/>
      <c r="H139" s="1318"/>
      <c r="I139" s="1320">
        <f t="shared" ref="I139:I202" si="24">H139*(12-MONTH(G139))/12</f>
        <v>0</v>
      </c>
      <c r="J139" s="1320">
        <f t="shared" si="17"/>
        <v>0</v>
      </c>
      <c r="K139" s="1320">
        <f t="shared" si="18"/>
        <v>0</v>
      </c>
      <c r="L139" s="1318"/>
      <c r="M139" s="1318"/>
      <c r="N139" s="1321">
        <f t="shared" si="19"/>
        <v>0</v>
      </c>
      <c r="O139" s="1322">
        <f t="shared" si="20"/>
        <v>0</v>
      </c>
      <c r="P139" s="2369">
        <f t="shared" si="21"/>
        <v>1900</v>
      </c>
      <c r="Q139" s="2369">
        <f t="shared" si="22"/>
        <v>1900</v>
      </c>
      <c r="R139" s="654"/>
      <c r="S139" s="654"/>
      <c r="T139" s="654"/>
      <c r="U139" s="654"/>
    </row>
    <row r="140" spans="1:21" ht="14.25" customHeight="1">
      <c r="A140" s="1316"/>
      <c r="B140" s="1317"/>
      <c r="C140" s="1318"/>
      <c r="D140" s="1319"/>
      <c r="E140" s="1318"/>
      <c r="F140" s="1320">
        <f t="shared" si="23"/>
        <v>0</v>
      </c>
      <c r="G140" s="1319"/>
      <c r="H140" s="1318"/>
      <c r="I140" s="1320">
        <f t="shared" si="24"/>
        <v>0</v>
      </c>
      <c r="J140" s="1320">
        <f t="shared" si="17"/>
        <v>0</v>
      </c>
      <c r="K140" s="1320">
        <f t="shared" si="18"/>
        <v>0</v>
      </c>
      <c r="L140" s="1318"/>
      <c r="M140" s="1318"/>
      <c r="N140" s="1321">
        <f t="shared" si="19"/>
        <v>0</v>
      </c>
      <c r="O140" s="1322">
        <f t="shared" si="20"/>
        <v>0</v>
      </c>
      <c r="P140" s="2369">
        <f t="shared" si="21"/>
        <v>1900</v>
      </c>
      <c r="Q140" s="2369">
        <f t="shared" si="22"/>
        <v>1900</v>
      </c>
      <c r="R140" s="654"/>
      <c r="S140" s="654"/>
      <c r="T140" s="654"/>
      <c r="U140" s="654"/>
    </row>
    <row r="141" spans="1:21" ht="14.25" customHeight="1">
      <c r="A141" s="1316"/>
      <c r="B141" s="1317"/>
      <c r="C141" s="1318"/>
      <c r="D141" s="1319"/>
      <c r="E141" s="1318"/>
      <c r="F141" s="1320">
        <f t="shared" si="23"/>
        <v>0</v>
      </c>
      <c r="G141" s="1319"/>
      <c r="H141" s="1318"/>
      <c r="I141" s="1320">
        <f t="shared" si="24"/>
        <v>0</v>
      </c>
      <c r="J141" s="1320">
        <f t="shared" si="17"/>
        <v>0</v>
      </c>
      <c r="K141" s="1320">
        <f t="shared" si="18"/>
        <v>0</v>
      </c>
      <c r="L141" s="1318"/>
      <c r="M141" s="1318"/>
      <c r="N141" s="1321">
        <f t="shared" si="19"/>
        <v>0</v>
      </c>
      <c r="O141" s="1322">
        <f t="shared" si="20"/>
        <v>0</v>
      </c>
      <c r="P141" s="2369">
        <f t="shared" si="21"/>
        <v>1900</v>
      </c>
      <c r="Q141" s="2369">
        <f t="shared" si="22"/>
        <v>1900</v>
      </c>
      <c r="R141" s="654"/>
      <c r="S141" s="654"/>
      <c r="T141" s="654"/>
      <c r="U141" s="654"/>
    </row>
    <row r="142" spans="1:21" ht="14.25" customHeight="1">
      <c r="A142" s="1316"/>
      <c r="B142" s="1317"/>
      <c r="C142" s="1318"/>
      <c r="D142" s="1319"/>
      <c r="E142" s="1318"/>
      <c r="F142" s="1320">
        <f t="shared" si="23"/>
        <v>0</v>
      </c>
      <c r="G142" s="1319"/>
      <c r="H142" s="1318"/>
      <c r="I142" s="1320">
        <f t="shared" si="24"/>
        <v>0</v>
      </c>
      <c r="J142" s="1320">
        <f t="shared" si="17"/>
        <v>0</v>
      </c>
      <c r="K142" s="1320">
        <f t="shared" si="18"/>
        <v>0</v>
      </c>
      <c r="L142" s="1318"/>
      <c r="M142" s="1318"/>
      <c r="N142" s="1321">
        <f t="shared" si="19"/>
        <v>0</v>
      </c>
      <c r="O142" s="1322">
        <f t="shared" si="20"/>
        <v>0</v>
      </c>
      <c r="P142" s="2369">
        <f t="shared" si="21"/>
        <v>1900</v>
      </c>
      <c r="Q142" s="2369">
        <f t="shared" si="22"/>
        <v>1900</v>
      </c>
      <c r="R142" s="654"/>
      <c r="S142" s="654"/>
      <c r="T142" s="654"/>
      <c r="U142" s="654"/>
    </row>
    <row r="143" spans="1:21" ht="14.25" customHeight="1">
      <c r="A143" s="1316"/>
      <c r="B143" s="1317"/>
      <c r="C143" s="1318"/>
      <c r="D143" s="1319"/>
      <c r="E143" s="1318"/>
      <c r="F143" s="1320">
        <f t="shared" si="23"/>
        <v>0</v>
      </c>
      <c r="G143" s="1319"/>
      <c r="H143" s="1318"/>
      <c r="I143" s="1320">
        <f t="shared" si="24"/>
        <v>0</v>
      </c>
      <c r="J143" s="1320">
        <f t="shared" si="17"/>
        <v>0</v>
      </c>
      <c r="K143" s="1320">
        <f t="shared" si="18"/>
        <v>0</v>
      </c>
      <c r="L143" s="1318"/>
      <c r="M143" s="1318"/>
      <c r="N143" s="1321">
        <f t="shared" si="19"/>
        <v>0</v>
      </c>
      <c r="O143" s="1322">
        <f t="shared" si="20"/>
        <v>0</v>
      </c>
      <c r="P143" s="2369">
        <f t="shared" si="21"/>
        <v>1900</v>
      </c>
      <c r="Q143" s="2369">
        <f t="shared" si="22"/>
        <v>1900</v>
      </c>
      <c r="R143" s="654"/>
      <c r="S143" s="654"/>
      <c r="T143" s="654"/>
      <c r="U143" s="654"/>
    </row>
    <row r="144" spans="1:21" ht="14.25" customHeight="1">
      <c r="A144" s="1316"/>
      <c r="B144" s="1317"/>
      <c r="C144" s="1318"/>
      <c r="D144" s="1319"/>
      <c r="E144" s="1318"/>
      <c r="F144" s="1320">
        <f t="shared" si="23"/>
        <v>0</v>
      </c>
      <c r="G144" s="1319"/>
      <c r="H144" s="1318"/>
      <c r="I144" s="1320">
        <f t="shared" si="24"/>
        <v>0</v>
      </c>
      <c r="J144" s="1320">
        <f t="shared" si="17"/>
        <v>0</v>
      </c>
      <c r="K144" s="1320">
        <f t="shared" si="18"/>
        <v>0</v>
      </c>
      <c r="L144" s="1318"/>
      <c r="M144" s="1318"/>
      <c r="N144" s="1321">
        <f t="shared" si="19"/>
        <v>0</v>
      </c>
      <c r="O144" s="1322">
        <f t="shared" si="20"/>
        <v>0</v>
      </c>
      <c r="P144" s="2369">
        <f t="shared" si="21"/>
        <v>1900</v>
      </c>
      <c r="Q144" s="2369">
        <f t="shared" si="22"/>
        <v>1900</v>
      </c>
      <c r="R144" s="654"/>
      <c r="S144" s="654"/>
      <c r="T144" s="654"/>
      <c r="U144" s="654"/>
    </row>
    <row r="145" spans="1:21" ht="14.25" customHeight="1">
      <c r="A145" s="1316"/>
      <c r="B145" s="1317"/>
      <c r="C145" s="1318"/>
      <c r="D145" s="1319"/>
      <c r="E145" s="1318"/>
      <c r="F145" s="1320">
        <f t="shared" si="23"/>
        <v>0</v>
      </c>
      <c r="G145" s="1319"/>
      <c r="H145" s="1318"/>
      <c r="I145" s="1320">
        <f t="shared" si="24"/>
        <v>0</v>
      </c>
      <c r="J145" s="1320">
        <f t="shared" si="17"/>
        <v>0</v>
      </c>
      <c r="K145" s="1320">
        <f t="shared" si="18"/>
        <v>0</v>
      </c>
      <c r="L145" s="1318"/>
      <c r="M145" s="1318"/>
      <c r="N145" s="1321">
        <f t="shared" si="19"/>
        <v>0</v>
      </c>
      <c r="O145" s="1322">
        <f t="shared" si="20"/>
        <v>0</v>
      </c>
      <c r="P145" s="2369">
        <f t="shared" si="21"/>
        <v>1900</v>
      </c>
      <c r="Q145" s="2369">
        <f t="shared" si="22"/>
        <v>1900</v>
      </c>
      <c r="R145" s="654"/>
      <c r="S145" s="654"/>
      <c r="T145" s="654"/>
      <c r="U145" s="654"/>
    </row>
    <row r="146" spans="1:21" ht="14.25" customHeight="1">
      <c r="A146" s="1316"/>
      <c r="B146" s="1317"/>
      <c r="C146" s="1318"/>
      <c r="D146" s="1319"/>
      <c r="E146" s="1318"/>
      <c r="F146" s="1320">
        <f t="shared" si="23"/>
        <v>0</v>
      </c>
      <c r="G146" s="1319"/>
      <c r="H146" s="1318"/>
      <c r="I146" s="1320">
        <f t="shared" si="24"/>
        <v>0</v>
      </c>
      <c r="J146" s="1320">
        <f t="shared" si="17"/>
        <v>0</v>
      </c>
      <c r="K146" s="1320">
        <f t="shared" si="18"/>
        <v>0</v>
      </c>
      <c r="L146" s="1318"/>
      <c r="M146" s="1318"/>
      <c r="N146" s="1321">
        <f t="shared" si="19"/>
        <v>0</v>
      </c>
      <c r="O146" s="1322">
        <f t="shared" si="20"/>
        <v>0</v>
      </c>
      <c r="P146" s="2369">
        <f t="shared" si="21"/>
        <v>1900</v>
      </c>
      <c r="Q146" s="2369">
        <f t="shared" si="22"/>
        <v>1900</v>
      </c>
      <c r="R146" s="654"/>
      <c r="S146" s="654"/>
      <c r="T146" s="654"/>
      <c r="U146" s="654"/>
    </row>
    <row r="147" spans="1:21" ht="14.25" customHeight="1">
      <c r="A147" s="1316"/>
      <c r="B147" s="1317"/>
      <c r="C147" s="1318"/>
      <c r="D147" s="1319"/>
      <c r="E147" s="1318"/>
      <c r="F147" s="1320">
        <f t="shared" si="23"/>
        <v>0</v>
      </c>
      <c r="G147" s="1319"/>
      <c r="H147" s="1318"/>
      <c r="I147" s="1320">
        <f t="shared" si="24"/>
        <v>0</v>
      </c>
      <c r="J147" s="1320">
        <f t="shared" si="17"/>
        <v>0</v>
      </c>
      <c r="K147" s="1320">
        <f t="shared" si="18"/>
        <v>0</v>
      </c>
      <c r="L147" s="1318"/>
      <c r="M147" s="1318"/>
      <c r="N147" s="1321">
        <f t="shared" si="19"/>
        <v>0</v>
      </c>
      <c r="O147" s="1322">
        <f t="shared" si="20"/>
        <v>0</v>
      </c>
      <c r="P147" s="2369">
        <f t="shared" si="21"/>
        <v>1900</v>
      </c>
      <c r="Q147" s="2369">
        <f t="shared" si="22"/>
        <v>1900</v>
      </c>
      <c r="R147" s="654"/>
      <c r="S147" s="654"/>
      <c r="T147" s="654"/>
      <c r="U147" s="654"/>
    </row>
    <row r="148" spans="1:21" ht="14.25" customHeight="1">
      <c r="A148" s="1316"/>
      <c r="B148" s="1317"/>
      <c r="C148" s="1318"/>
      <c r="D148" s="1319"/>
      <c r="E148" s="1318"/>
      <c r="F148" s="1320">
        <f t="shared" si="23"/>
        <v>0</v>
      </c>
      <c r="G148" s="1319"/>
      <c r="H148" s="1318"/>
      <c r="I148" s="1320">
        <f t="shared" si="24"/>
        <v>0</v>
      </c>
      <c r="J148" s="1320">
        <f t="shared" si="17"/>
        <v>0</v>
      </c>
      <c r="K148" s="1320">
        <f t="shared" si="18"/>
        <v>0</v>
      </c>
      <c r="L148" s="1318"/>
      <c r="M148" s="1318"/>
      <c r="N148" s="1321">
        <f t="shared" si="19"/>
        <v>0</v>
      </c>
      <c r="O148" s="1322">
        <f t="shared" si="20"/>
        <v>0</v>
      </c>
      <c r="P148" s="2369">
        <f t="shared" si="21"/>
        <v>1900</v>
      </c>
      <c r="Q148" s="2369">
        <f t="shared" si="22"/>
        <v>1900</v>
      </c>
      <c r="R148" s="654"/>
      <c r="S148" s="654"/>
      <c r="T148" s="654"/>
      <c r="U148" s="654"/>
    </row>
    <row r="149" spans="1:21" ht="14.25" customHeight="1">
      <c r="A149" s="1316"/>
      <c r="B149" s="1317"/>
      <c r="C149" s="1318"/>
      <c r="D149" s="1319"/>
      <c r="E149" s="1318"/>
      <c r="F149" s="1320">
        <f t="shared" si="23"/>
        <v>0</v>
      </c>
      <c r="G149" s="1319"/>
      <c r="H149" s="1318"/>
      <c r="I149" s="1320">
        <f t="shared" si="24"/>
        <v>0</v>
      </c>
      <c r="J149" s="1320">
        <f t="shared" si="17"/>
        <v>0</v>
      </c>
      <c r="K149" s="1320">
        <f t="shared" si="18"/>
        <v>0</v>
      </c>
      <c r="L149" s="1318"/>
      <c r="M149" s="1318"/>
      <c r="N149" s="1321">
        <f t="shared" si="19"/>
        <v>0</v>
      </c>
      <c r="O149" s="1322">
        <f t="shared" si="20"/>
        <v>0</v>
      </c>
      <c r="P149" s="2369">
        <f t="shared" si="21"/>
        <v>1900</v>
      </c>
      <c r="Q149" s="2369">
        <f t="shared" si="22"/>
        <v>1900</v>
      </c>
      <c r="R149" s="654"/>
      <c r="S149" s="654"/>
      <c r="T149" s="654"/>
      <c r="U149" s="654"/>
    </row>
    <row r="150" spans="1:21" ht="14.25" customHeight="1">
      <c r="A150" s="1316"/>
      <c r="B150" s="1317"/>
      <c r="C150" s="1318"/>
      <c r="D150" s="1319"/>
      <c r="E150" s="1318"/>
      <c r="F150" s="1320">
        <f t="shared" si="23"/>
        <v>0</v>
      </c>
      <c r="G150" s="1319"/>
      <c r="H150" s="1318"/>
      <c r="I150" s="1320">
        <f t="shared" si="24"/>
        <v>0</v>
      </c>
      <c r="J150" s="1320">
        <f t="shared" si="17"/>
        <v>0</v>
      </c>
      <c r="K150" s="1320">
        <f t="shared" si="18"/>
        <v>0</v>
      </c>
      <c r="L150" s="1318"/>
      <c r="M150" s="1318"/>
      <c r="N150" s="1321">
        <f t="shared" si="19"/>
        <v>0</v>
      </c>
      <c r="O150" s="1322">
        <f t="shared" si="20"/>
        <v>0</v>
      </c>
      <c r="P150" s="2369">
        <f t="shared" si="21"/>
        <v>1900</v>
      </c>
      <c r="Q150" s="2369">
        <f t="shared" si="22"/>
        <v>1900</v>
      </c>
      <c r="R150" s="654"/>
      <c r="S150" s="654"/>
      <c r="T150" s="654"/>
      <c r="U150" s="654"/>
    </row>
    <row r="151" spans="1:21" ht="14.25" customHeight="1">
      <c r="A151" s="1316"/>
      <c r="B151" s="1317"/>
      <c r="C151" s="1318"/>
      <c r="D151" s="1319"/>
      <c r="E151" s="1318"/>
      <c r="F151" s="1320">
        <f t="shared" si="23"/>
        <v>0</v>
      </c>
      <c r="G151" s="1319"/>
      <c r="H151" s="1318"/>
      <c r="I151" s="1320">
        <f t="shared" si="24"/>
        <v>0</v>
      </c>
      <c r="J151" s="1320">
        <f t="shared" si="17"/>
        <v>0</v>
      </c>
      <c r="K151" s="1320">
        <f t="shared" si="18"/>
        <v>0</v>
      </c>
      <c r="L151" s="1318"/>
      <c r="M151" s="1318"/>
      <c r="N151" s="1321">
        <f t="shared" si="19"/>
        <v>0</v>
      </c>
      <c r="O151" s="1322">
        <f t="shared" si="20"/>
        <v>0</v>
      </c>
      <c r="P151" s="2369">
        <f t="shared" si="21"/>
        <v>1900</v>
      </c>
      <c r="Q151" s="2369">
        <f t="shared" si="22"/>
        <v>1900</v>
      </c>
      <c r="R151" s="654"/>
      <c r="S151" s="654"/>
      <c r="T151" s="654"/>
      <c r="U151" s="654"/>
    </row>
    <row r="152" spans="1:21" ht="14.25" customHeight="1">
      <c r="A152" s="1316"/>
      <c r="B152" s="1317"/>
      <c r="C152" s="1318"/>
      <c r="D152" s="1319"/>
      <c r="E152" s="1318"/>
      <c r="F152" s="1320">
        <f t="shared" si="23"/>
        <v>0</v>
      </c>
      <c r="G152" s="1319"/>
      <c r="H152" s="1318"/>
      <c r="I152" s="1320">
        <f t="shared" si="24"/>
        <v>0</v>
      </c>
      <c r="J152" s="1320">
        <f t="shared" si="17"/>
        <v>0</v>
      </c>
      <c r="K152" s="1320">
        <f t="shared" si="18"/>
        <v>0</v>
      </c>
      <c r="L152" s="1318"/>
      <c r="M152" s="1318"/>
      <c r="N152" s="1321">
        <f t="shared" si="19"/>
        <v>0</v>
      </c>
      <c r="O152" s="1322">
        <f t="shared" si="20"/>
        <v>0</v>
      </c>
      <c r="P152" s="2369">
        <f t="shared" si="21"/>
        <v>1900</v>
      </c>
      <c r="Q152" s="2369">
        <f t="shared" si="22"/>
        <v>1900</v>
      </c>
      <c r="R152" s="654"/>
      <c r="S152" s="654"/>
      <c r="T152" s="654"/>
      <c r="U152" s="654"/>
    </row>
    <row r="153" spans="1:21" ht="14.25" customHeight="1">
      <c r="A153" s="1316"/>
      <c r="B153" s="1317"/>
      <c r="C153" s="1318"/>
      <c r="D153" s="1319"/>
      <c r="E153" s="1318"/>
      <c r="F153" s="1320">
        <f t="shared" si="23"/>
        <v>0</v>
      </c>
      <c r="G153" s="1319"/>
      <c r="H153" s="1318"/>
      <c r="I153" s="1320">
        <f t="shared" si="24"/>
        <v>0</v>
      </c>
      <c r="J153" s="1320">
        <f t="shared" si="17"/>
        <v>0</v>
      </c>
      <c r="K153" s="1320">
        <f t="shared" si="18"/>
        <v>0</v>
      </c>
      <c r="L153" s="1318"/>
      <c r="M153" s="1318"/>
      <c r="N153" s="1321">
        <f t="shared" si="19"/>
        <v>0</v>
      </c>
      <c r="O153" s="1322">
        <f t="shared" si="20"/>
        <v>0</v>
      </c>
      <c r="P153" s="2369">
        <f t="shared" si="21"/>
        <v>1900</v>
      </c>
      <c r="Q153" s="2369">
        <f t="shared" si="22"/>
        <v>1900</v>
      </c>
      <c r="R153" s="654"/>
      <c r="S153" s="654"/>
      <c r="T153" s="654"/>
      <c r="U153" s="654"/>
    </row>
    <row r="154" spans="1:21" ht="14.25" customHeight="1">
      <c r="A154" s="1316"/>
      <c r="B154" s="1317"/>
      <c r="C154" s="1318"/>
      <c r="D154" s="1319"/>
      <c r="E154" s="1318"/>
      <c r="F154" s="1320">
        <f t="shared" si="23"/>
        <v>0</v>
      </c>
      <c r="G154" s="1319"/>
      <c r="H154" s="1318"/>
      <c r="I154" s="1320">
        <f t="shared" si="24"/>
        <v>0</v>
      </c>
      <c r="J154" s="1320">
        <f t="shared" si="17"/>
        <v>0</v>
      </c>
      <c r="K154" s="1320">
        <f t="shared" si="18"/>
        <v>0</v>
      </c>
      <c r="L154" s="1318"/>
      <c r="M154" s="1318"/>
      <c r="N154" s="1321">
        <f t="shared" si="19"/>
        <v>0</v>
      </c>
      <c r="O154" s="1322">
        <f t="shared" si="20"/>
        <v>0</v>
      </c>
      <c r="P154" s="2369">
        <f t="shared" si="21"/>
        <v>1900</v>
      </c>
      <c r="Q154" s="2369">
        <f t="shared" si="22"/>
        <v>1900</v>
      </c>
      <c r="R154" s="654"/>
      <c r="S154" s="654"/>
      <c r="T154" s="654"/>
      <c r="U154" s="654"/>
    </row>
    <row r="155" spans="1:21" ht="14.25" customHeight="1">
      <c r="A155" s="1316"/>
      <c r="B155" s="1317"/>
      <c r="C155" s="1318"/>
      <c r="D155" s="1319"/>
      <c r="E155" s="1318"/>
      <c r="F155" s="1320">
        <f t="shared" si="23"/>
        <v>0</v>
      </c>
      <c r="G155" s="1319"/>
      <c r="H155" s="1318"/>
      <c r="I155" s="1320">
        <f t="shared" si="24"/>
        <v>0</v>
      </c>
      <c r="J155" s="1320">
        <f t="shared" si="17"/>
        <v>0</v>
      </c>
      <c r="K155" s="1320">
        <f t="shared" si="18"/>
        <v>0</v>
      </c>
      <c r="L155" s="1318"/>
      <c r="M155" s="1318"/>
      <c r="N155" s="1321">
        <f t="shared" si="19"/>
        <v>0</v>
      </c>
      <c r="O155" s="1322">
        <f t="shared" si="20"/>
        <v>0</v>
      </c>
      <c r="P155" s="2369">
        <f t="shared" si="21"/>
        <v>1900</v>
      </c>
      <c r="Q155" s="2369">
        <f t="shared" si="22"/>
        <v>1900</v>
      </c>
      <c r="R155" s="654"/>
      <c r="S155" s="654"/>
      <c r="T155" s="654"/>
      <c r="U155" s="654"/>
    </row>
    <row r="156" spans="1:21" ht="14.25" customHeight="1">
      <c r="A156" s="1316"/>
      <c r="B156" s="1317"/>
      <c r="C156" s="1318"/>
      <c r="D156" s="1319"/>
      <c r="E156" s="1318"/>
      <c r="F156" s="1320">
        <f t="shared" si="23"/>
        <v>0</v>
      </c>
      <c r="G156" s="1319"/>
      <c r="H156" s="1318"/>
      <c r="I156" s="1320">
        <f t="shared" si="24"/>
        <v>0</v>
      </c>
      <c r="J156" s="1320">
        <f t="shared" si="17"/>
        <v>0</v>
      </c>
      <c r="K156" s="1320">
        <f t="shared" si="18"/>
        <v>0</v>
      </c>
      <c r="L156" s="1318"/>
      <c r="M156" s="1318"/>
      <c r="N156" s="1321">
        <f t="shared" si="19"/>
        <v>0</v>
      </c>
      <c r="O156" s="1322">
        <f t="shared" si="20"/>
        <v>0</v>
      </c>
      <c r="P156" s="2369">
        <f t="shared" si="21"/>
        <v>1900</v>
      </c>
      <c r="Q156" s="2369">
        <f t="shared" si="22"/>
        <v>1900</v>
      </c>
      <c r="R156" s="654"/>
      <c r="S156" s="654"/>
      <c r="T156" s="654"/>
      <c r="U156" s="654"/>
    </row>
    <row r="157" spans="1:21" ht="14.25" customHeight="1">
      <c r="A157" s="1316"/>
      <c r="B157" s="1317"/>
      <c r="C157" s="1318"/>
      <c r="D157" s="1319"/>
      <c r="E157" s="1318"/>
      <c r="F157" s="1320">
        <f t="shared" si="23"/>
        <v>0</v>
      </c>
      <c r="G157" s="1319"/>
      <c r="H157" s="1318"/>
      <c r="I157" s="1320">
        <f t="shared" si="24"/>
        <v>0</v>
      </c>
      <c r="J157" s="1320">
        <f t="shared" si="17"/>
        <v>0</v>
      </c>
      <c r="K157" s="1320">
        <f t="shared" si="18"/>
        <v>0</v>
      </c>
      <c r="L157" s="1318"/>
      <c r="M157" s="1318"/>
      <c r="N157" s="1321">
        <f t="shared" si="19"/>
        <v>0</v>
      </c>
      <c r="O157" s="1322">
        <f t="shared" si="20"/>
        <v>0</v>
      </c>
      <c r="P157" s="2369">
        <f t="shared" si="21"/>
        <v>1900</v>
      </c>
      <c r="Q157" s="2369">
        <f t="shared" si="22"/>
        <v>1900</v>
      </c>
      <c r="R157" s="654"/>
      <c r="S157" s="654"/>
      <c r="T157" s="654"/>
      <c r="U157" s="654"/>
    </row>
    <row r="158" spans="1:21" ht="14.25" customHeight="1">
      <c r="A158" s="1316"/>
      <c r="B158" s="1317"/>
      <c r="C158" s="1318"/>
      <c r="D158" s="1319"/>
      <c r="E158" s="1318"/>
      <c r="F158" s="1320">
        <f t="shared" si="23"/>
        <v>0</v>
      </c>
      <c r="G158" s="1319"/>
      <c r="H158" s="1318"/>
      <c r="I158" s="1320">
        <f t="shared" si="24"/>
        <v>0</v>
      </c>
      <c r="J158" s="1320">
        <f t="shared" si="17"/>
        <v>0</v>
      </c>
      <c r="K158" s="1320">
        <f t="shared" si="18"/>
        <v>0</v>
      </c>
      <c r="L158" s="1318"/>
      <c r="M158" s="1318"/>
      <c r="N158" s="1321">
        <f t="shared" si="19"/>
        <v>0</v>
      </c>
      <c r="O158" s="1322">
        <f t="shared" si="20"/>
        <v>0</v>
      </c>
      <c r="P158" s="2369">
        <f t="shared" si="21"/>
        <v>1900</v>
      </c>
      <c r="Q158" s="2369">
        <f t="shared" si="22"/>
        <v>1900</v>
      </c>
      <c r="R158" s="654"/>
      <c r="S158" s="654"/>
      <c r="T158" s="654"/>
      <c r="U158" s="654"/>
    </row>
    <row r="159" spans="1:21" ht="14.25" customHeight="1">
      <c r="A159" s="1316"/>
      <c r="B159" s="1317"/>
      <c r="C159" s="1318"/>
      <c r="D159" s="1319"/>
      <c r="E159" s="1318"/>
      <c r="F159" s="1320">
        <f t="shared" si="23"/>
        <v>0</v>
      </c>
      <c r="G159" s="1319"/>
      <c r="H159" s="1318"/>
      <c r="I159" s="1320">
        <f t="shared" si="24"/>
        <v>0</v>
      </c>
      <c r="J159" s="1320">
        <f t="shared" si="17"/>
        <v>0</v>
      </c>
      <c r="K159" s="1320">
        <f t="shared" si="18"/>
        <v>0</v>
      </c>
      <c r="L159" s="1318"/>
      <c r="M159" s="1318"/>
      <c r="N159" s="1321">
        <f t="shared" si="19"/>
        <v>0</v>
      </c>
      <c r="O159" s="1322">
        <f t="shared" si="20"/>
        <v>0</v>
      </c>
      <c r="P159" s="2369">
        <f t="shared" si="21"/>
        <v>1900</v>
      </c>
      <c r="Q159" s="2369">
        <f t="shared" si="22"/>
        <v>1900</v>
      </c>
      <c r="R159" s="654"/>
      <c r="S159" s="654"/>
      <c r="T159" s="654"/>
      <c r="U159" s="654"/>
    </row>
    <row r="160" spans="1:21" ht="14.25" customHeight="1">
      <c r="A160" s="1316"/>
      <c r="B160" s="1317"/>
      <c r="C160" s="1318"/>
      <c r="D160" s="1319"/>
      <c r="E160" s="1318"/>
      <c r="F160" s="1320">
        <f t="shared" si="23"/>
        <v>0</v>
      </c>
      <c r="G160" s="1319"/>
      <c r="H160" s="1318"/>
      <c r="I160" s="1320">
        <f t="shared" si="24"/>
        <v>0</v>
      </c>
      <c r="J160" s="1320">
        <f t="shared" si="17"/>
        <v>0</v>
      </c>
      <c r="K160" s="1320">
        <f t="shared" si="18"/>
        <v>0</v>
      </c>
      <c r="L160" s="1318"/>
      <c r="M160" s="1318"/>
      <c r="N160" s="1321">
        <f t="shared" si="19"/>
        <v>0</v>
      </c>
      <c r="O160" s="1322">
        <f t="shared" si="20"/>
        <v>0</v>
      </c>
      <c r="P160" s="2369">
        <f t="shared" si="21"/>
        <v>1900</v>
      </c>
      <c r="Q160" s="2369">
        <f t="shared" si="22"/>
        <v>1900</v>
      </c>
      <c r="R160" s="654"/>
      <c r="S160" s="654"/>
      <c r="T160" s="654"/>
      <c r="U160" s="654"/>
    </row>
    <row r="161" spans="1:21" ht="14.25" customHeight="1">
      <c r="A161" s="1316"/>
      <c r="B161" s="1317"/>
      <c r="C161" s="1318"/>
      <c r="D161" s="1319"/>
      <c r="E161" s="1318"/>
      <c r="F161" s="1320">
        <f t="shared" si="23"/>
        <v>0</v>
      </c>
      <c r="G161" s="1319"/>
      <c r="H161" s="1318"/>
      <c r="I161" s="1320">
        <f t="shared" si="24"/>
        <v>0</v>
      </c>
      <c r="J161" s="1320">
        <f t="shared" si="17"/>
        <v>0</v>
      </c>
      <c r="K161" s="1320">
        <f t="shared" si="18"/>
        <v>0</v>
      </c>
      <c r="L161" s="1318"/>
      <c r="M161" s="1318"/>
      <c r="N161" s="1321">
        <f t="shared" si="19"/>
        <v>0</v>
      </c>
      <c r="O161" s="1322">
        <f t="shared" si="20"/>
        <v>0</v>
      </c>
      <c r="P161" s="2369">
        <f t="shared" si="21"/>
        <v>1900</v>
      </c>
      <c r="Q161" s="2369">
        <f t="shared" si="22"/>
        <v>1900</v>
      </c>
      <c r="R161" s="654"/>
      <c r="S161" s="654"/>
      <c r="T161" s="654"/>
      <c r="U161" s="654"/>
    </row>
    <row r="162" spans="1:21" ht="14.25" customHeight="1">
      <c r="A162" s="1316"/>
      <c r="B162" s="1317"/>
      <c r="C162" s="1318"/>
      <c r="D162" s="1319"/>
      <c r="E162" s="1318"/>
      <c r="F162" s="1320">
        <f t="shared" si="23"/>
        <v>0</v>
      </c>
      <c r="G162" s="1319"/>
      <c r="H162" s="1318"/>
      <c r="I162" s="1320">
        <f t="shared" si="24"/>
        <v>0</v>
      </c>
      <c r="J162" s="1320">
        <f t="shared" si="17"/>
        <v>0</v>
      </c>
      <c r="K162" s="1320">
        <f t="shared" si="18"/>
        <v>0</v>
      </c>
      <c r="L162" s="1318"/>
      <c r="M162" s="1318"/>
      <c r="N162" s="1321">
        <f t="shared" si="19"/>
        <v>0</v>
      </c>
      <c r="O162" s="1322">
        <f t="shared" si="20"/>
        <v>0</v>
      </c>
      <c r="P162" s="2369">
        <f t="shared" si="21"/>
        <v>1900</v>
      </c>
      <c r="Q162" s="2369">
        <f t="shared" si="22"/>
        <v>1900</v>
      </c>
      <c r="R162" s="654"/>
      <c r="S162" s="654"/>
      <c r="T162" s="654"/>
      <c r="U162" s="654"/>
    </row>
    <row r="163" spans="1:21" ht="14.25" customHeight="1">
      <c r="A163" s="1316"/>
      <c r="B163" s="1317"/>
      <c r="C163" s="1318"/>
      <c r="D163" s="1319"/>
      <c r="E163" s="1318"/>
      <c r="F163" s="1320">
        <f t="shared" si="23"/>
        <v>0</v>
      </c>
      <c r="G163" s="1319"/>
      <c r="H163" s="1318"/>
      <c r="I163" s="1320">
        <f t="shared" si="24"/>
        <v>0</v>
      </c>
      <c r="J163" s="1320">
        <f t="shared" si="17"/>
        <v>0</v>
      </c>
      <c r="K163" s="1320">
        <f t="shared" si="18"/>
        <v>0</v>
      </c>
      <c r="L163" s="1318"/>
      <c r="M163" s="1318"/>
      <c r="N163" s="1321">
        <f t="shared" si="19"/>
        <v>0</v>
      </c>
      <c r="O163" s="1322">
        <f t="shared" si="20"/>
        <v>0</v>
      </c>
      <c r="P163" s="2369">
        <f t="shared" si="21"/>
        <v>1900</v>
      </c>
      <c r="Q163" s="2369">
        <f t="shared" si="22"/>
        <v>1900</v>
      </c>
      <c r="R163" s="654"/>
      <c r="S163" s="654"/>
      <c r="T163" s="654"/>
      <c r="U163" s="654"/>
    </row>
    <row r="164" spans="1:21" ht="14.25" customHeight="1">
      <c r="A164" s="1316"/>
      <c r="B164" s="1317"/>
      <c r="C164" s="1318"/>
      <c r="D164" s="1319"/>
      <c r="E164" s="1318"/>
      <c r="F164" s="1320">
        <f t="shared" si="23"/>
        <v>0</v>
      </c>
      <c r="G164" s="1319"/>
      <c r="H164" s="1318"/>
      <c r="I164" s="1320">
        <f t="shared" si="24"/>
        <v>0</v>
      </c>
      <c r="J164" s="1320">
        <f t="shared" si="17"/>
        <v>0</v>
      </c>
      <c r="K164" s="1320">
        <f t="shared" si="18"/>
        <v>0</v>
      </c>
      <c r="L164" s="1318"/>
      <c r="M164" s="1318"/>
      <c r="N164" s="1321">
        <f t="shared" si="19"/>
        <v>0</v>
      </c>
      <c r="O164" s="1322">
        <f t="shared" si="20"/>
        <v>0</v>
      </c>
      <c r="P164" s="2369">
        <f t="shared" si="21"/>
        <v>1900</v>
      </c>
      <c r="Q164" s="2369">
        <f t="shared" si="22"/>
        <v>1900</v>
      </c>
      <c r="R164" s="654"/>
      <c r="S164" s="654"/>
      <c r="T164" s="654"/>
      <c r="U164" s="654"/>
    </row>
    <row r="165" spans="1:21" ht="14.25" customHeight="1">
      <c r="A165" s="1316"/>
      <c r="B165" s="1317"/>
      <c r="C165" s="1318"/>
      <c r="D165" s="1319"/>
      <c r="E165" s="1318"/>
      <c r="F165" s="1320">
        <f t="shared" si="23"/>
        <v>0</v>
      </c>
      <c r="G165" s="1319"/>
      <c r="H165" s="1318"/>
      <c r="I165" s="1320">
        <f t="shared" si="24"/>
        <v>0</v>
      </c>
      <c r="J165" s="1320">
        <f t="shared" si="17"/>
        <v>0</v>
      </c>
      <c r="K165" s="1320">
        <f t="shared" si="18"/>
        <v>0</v>
      </c>
      <c r="L165" s="1318"/>
      <c r="M165" s="1318"/>
      <c r="N165" s="1321">
        <f t="shared" si="19"/>
        <v>0</v>
      </c>
      <c r="O165" s="1322">
        <f t="shared" si="20"/>
        <v>0</v>
      </c>
      <c r="P165" s="2369">
        <f t="shared" si="21"/>
        <v>1900</v>
      </c>
      <c r="Q165" s="2369">
        <f t="shared" si="22"/>
        <v>1900</v>
      </c>
      <c r="R165" s="654"/>
      <c r="S165" s="654"/>
      <c r="T165" s="654"/>
      <c r="U165" s="654"/>
    </row>
    <row r="166" spans="1:21" ht="14.25" customHeight="1">
      <c r="A166" s="1316"/>
      <c r="B166" s="1317"/>
      <c r="C166" s="1318"/>
      <c r="D166" s="1319"/>
      <c r="E166" s="1318"/>
      <c r="F166" s="1320">
        <f t="shared" si="23"/>
        <v>0</v>
      </c>
      <c r="G166" s="1319"/>
      <c r="H166" s="1318"/>
      <c r="I166" s="1320">
        <f t="shared" si="24"/>
        <v>0</v>
      </c>
      <c r="J166" s="1320">
        <f t="shared" si="17"/>
        <v>0</v>
      </c>
      <c r="K166" s="1320">
        <f t="shared" si="18"/>
        <v>0</v>
      </c>
      <c r="L166" s="1318"/>
      <c r="M166" s="1318"/>
      <c r="N166" s="1321">
        <f t="shared" si="19"/>
        <v>0</v>
      </c>
      <c r="O166" s="1322">
        <f t="shared" si="20"/>
        <v>0</v>
      </c>
      <c r="P166" s="2369">
        <f t="shared" si="21"/>
        <v>1900</v>
      </c>
      <c r="Q166" s="2369">
        <f t="shared" si="22"/>
        <v>1900</v>
      </c>
      <c r="R166" s="654"/>
      <c r="S166" s="654"/>
      <c r="T166" s="654"/>
      <c r="U166" s="654"/>
    </row>
    <row r="167" spans="1:21" ht="14.25" customHeight="1">
      <c r="A167" s="1316"/>
      <c r="B167" s="1317"/>
      <c r="C167" s="1318"/>
      <c r="D167" s="1319"/>
      <c r="E167" s="1318"/>
      <c r="F167" s="1320">
        <f t="shared" si="23"/>
        <v>0</v>
      </c>
      <c r="G167" s="1319"/>
      <c r="H167" s="1318"/>
      <c r="I167" s="1320">
        <f t="shared" si="24"/>
        <v>0</v>
      </c>
      <c r="J167" s="1320">
        <f t="shared" si="17"/>
        <v>0</v>
      </c>
      <c r="K167" s="1320">
        <f t="shared" si="18"/>
        <v>0</v>
      </c>
      <c r="L167" s="1318"/>
      <c r="M167" s="1318"/>
      <c r="N167" s="1321">
        <f t="shared" si="19"/>
        <v>0</v>
      </c>
      <c r="O167" s="1322">
        <f t="shared" si="20"/>
        <v>0</v>
      </c>
      <c r="P167" s="2369">
        <f t="shared" si="21"/>
        <v>1900</v>
      </c>
      <c r="Q167" s="2369">
        <f t="shared" si="22"/>
        <v>1900</v>
      </c>
      <c r="R167" s="654"/>
      <c r="S167" s="654"/>
      <c r="T167" s="654"/>
      <c r="U167" s="654"/>
    </row>
    <row r="168" spans="1:21" ht="14.25" customHeight="1">
      <c r="A168" s="1316"/>
      <c r="B168" s="1317"/>
      <c r="C168" s="1318"/>
      <c r="D168" s="1319"/>
      <c r="E168" s="1318"/>
      <c r="F168" s="1320">
        <f t="shared" si="23"/>
        <v>0</v>
      </c>
      <c r="G168" s="1319"/>
      <c r="H168" s="1318"/>
      <c r="I168" s="1320">
        <f t="shared" si="24"/>
        <v>0</v>
      </c>
      <c r="J168" s="1320">
        <f t="shared" si="17"/>
        <v>0</v>
      </c>
      <c r="K168" s="1320">
        <f t="shared" si="18"/>
        <v>0</v>
      </c>
      <c r="L168" s="1318"/>
      <c r="M168" s="1318"/>
      <c r="N168" s="1321">
        <f t="shared" si="19"/>
        <v>0</v>
      </c>
      <c r="O168" s="1322">
        <f t="shared" si="20"/>
        <v>0</v>
      </c>
      <c r="P168" s="2369">
        <f t="shared" si="21"/>
        <v>1900</v>
      </c>
      <c r="Q168" s="2369">
        <f t="shared" si="22"/>
        <v>1900</v>
      </c>
      <c r="R168" s="654"/>
      <c r="S168" s="654"/>
      <c r="T168" s="654"/>
      <c r="U168" s="654"/>
    </row>
    <row r="169" spans="1:21" ht="14.25" customHeight="1">
      <c r="A169" s="1316"/>
      <c r="B169" s="1317"/>
      <c r="C169" s="1318"/>
      <c r="D169" s="1319"/>
      <c r="E169" s="1318"/>
      <c r="F169" s="1320">
        <f t="shared" si="23"/>
        <v>0</v>
      </c>
      <c r="G169" s="1319"/>
      <c r="H169" s="1318"/>
      <c r="I169" s="1320">
        <f t="shared" si="24"/>
        <v>0</v>
      </c>
      <c r="J169" s="1320">
        <f t="shared" si="17"/>
        <v>0</v>
      </c>
      <c r="K169" s="1320">
        <f t="shared" si="18"/>
        <v>0</v>
      </c>
      <c r="L169" s="1318"/>
      <c r="M169" s="1318"/>
      <c r="N169" s="1321">
        <f t="shared" si="19"/>
        <v>0</v>
      </c>
      <c r="O169" s="1322">
        <f t="shared" si="20"/>
        <v>0</v>
      </c>
      <c r="P169" s="2369">
        <f t="shared" si="21"/>
        <v>1900</v>
      </c>
      <c r="Q169" s="2369">
        <f t="shared" si="22"/>
        <v>1900</v>
      </c>
      <c r="R169" s="654"/>
      <c r="S169" s="654"/>
      <c r="T169" s="654"/>
      <c r="U169" s="654"/>
    </row>
    <row r="170" spans="1:21" ht="14.25" customHeight="1">
      <c r="A170" s="1316"/>
      <c r="B170" s="1317"/>
      <c r="C170" s="1318"/>
      <c r="D170" s="1319"/>
      <c r="E170" s="1318"/>
      <c r="F170" s="1320">
        <f t="shared" si="23"/>
        <v>0</v>
      </c>
      <c r="G170" s="1319"/>
      <c r="H170" s="1318"/>
      <c r="I170" s="1320">
        <f t="shared" si="24"/>
        <v>0</v>
      </c>
      <c r="J170" s="1320">
        <f t="shared" si="17"/>
        <v>0</v>
      </c>
      <c r="K170" s="1320">
        <f t="shared" si="18"/>
        <v>0</v>
      </c>
      <c r="L170" s="1318"/>
      <c r="M170" s="1318"/>
      <c r="N170" s="1321">
        <f t="shared" si="19"/>
        <v>0</v>
      </c>
      <c r="O170" s="1322">
        <f t="shared" si="20"/>
        <v>0</v>
      </c>
      <c r="P170" s="2369">
        <f t="shared" si="21"/>
        <v>1900</v>
      </c>
      <c r="Q170" s="2369">
        <f t="shared" si="22"/>
        <v>1900</v>
      </c>
      <c r="R170" s="654"/>
      <c r="S170" s="654"/>
      <c r="T170" s="654"/>
      <c r="U170" s="654"/>
    </row>
    <row r="171" spans="1:21" ht="14.25" customHeight="1">
      <c r="A171" s="1316"/>
      <c r="B171" s="1317"/>
      <c r="C171" s="1318"/>
      <c r="D171" s="1319"/>
      <c r="E171" s="1318"/>
      <c r="F171" s="1320">
        <f t="shared" si="23"/>
        <v>0</v>
      </c>
      <c r="G171" s="1319"/>
      <c r="H171" s="1318"/>
      <c r="I171" s="1320">
        <f t="shared" si="24"/>
        <v>0</v>
      </c>
      <c r="J171" s="1320">
        <f t="shared" si="17"/>
        <v>0</v>
      </c>
      <c r="K171" s="1320">
        <f t="shared" si="18"/>
        <v>0</v>
      </c>
      <c r="L171" s="1318"/>
      <c r="M171" s="1318"/>
      <c r="N171" s="1321">
        <f t="shared" si="19"/>
        <v>0</v>
      </c>
      <c r="O171" s="1322">
        <f t="shared" si="20"/>
        <v>0</v>
      </c>
      <c r="P171" s="2369">
        <f t="shared" si="21"/>
        <v>1900</v>
      </c>
      <c r="Q171" s="2369">
        <f t="shared" si="22"/>
        <v>1900</v>
      </c>
      <c r="R171" s="654"/>
      <c r="S171" s="654"/>
      <c r="T171" s="654"/>
      <c r="U171" s="654"/>
    </row>
    <row r="172" spans="1:21" ht="14.25" customHeight="1">
      <c r="A172" s="1316"/>
      <c r="B172" s="1317"/>
      <c r="C172" s="1318"/>
      <c r="D172" s="1319"/>
      <c r="E172" s="1318"/>
      <c r="F172" s="1320">
        <f t="shared" si="23"/>
        <v>0</v>
      </c>
      <c r="G172" s="1319"/>
      <c r="H172" s="1318"/>
      <c r="I172" s="1320">
        <f t="shared" si="24"/>
        <v>0</v>
      </c>
      <c r="J172" s="1320">
        <f t="shared" si="17"/>
        <v>0</v>
      </c>
      <c r="K172" s="1320">
        <f t="shared" si="18"/>
        <v>0</v>
      </c>
      <c r="L172" s="1318"/>
      <c r="M172" s="1318"/>
      <c r="N172" s="1321">
        <f t="shared" si="19"/>
        <v>0</v>
      </c>
      <c r="O172" s="1322">
        <f t="shared" si="20"/>
        <v>0</v>
      </c>
      <c r="P172" s="2369">
        <f t="shared" si="21"/>
        <v>1900</v>
      </c>
      <c r="Q172" s="2369">
        <f t="shared" si="22"/>
        <v>1900</v>
      </c>
      <c r="R172" s="654"/>
      <c r="S172" s="654"/>
      <c r="T172" s="654"/>
      <c r="U172" s="654"/>
    </row>
    <row r="173" spans="1:21" ht="14.25" customHeight="1">
      <c r="A173" s="1316"/>
      <c r="B173" s="1317"/>
      <c r="C173" s="1318"/>
      <c r="D173" s="1319"/>
      <c r="E173" s="1318"/>
      <c r="F173" s="1320">
        <f t="shared" si="23"/>
        <v>0</v>
      </c>
      <c r="G173" s="1319"/>
      <c r="H173" s="1318"/>
      <c r="I173" s="1320">
        <f t="shared" si="24"/>
        <v>0</v>
      </c>
      <c r="J173" s="1320">
        <f t="shared" si="17"/>
        <v>0</v>
      </c>
      <c r="K173" s="1320">
        <f t="shared" si="18"/>
        <v>0</v>
      </c>
      <c r="L173" s="1318"/>
      <c r="M173" s="1318"/>
      <c r="N173" s="1321">
        <f t="shared" si="19"/>
        <v>0</v>
      </c>
      <c r="O173" s="1322">
        <f t="shared" si="20"/>
        <v>0</v>
      </c>
      <c r="P173" s="2369">
        <f t="shared" si="21"/>
        <v>1900</v>
      </c>
      <c r="Q173" s="2369">
        <f t="shared" si="22"/>
        <v>1900</v>
      </c>
      <c r="R173" s="654"/>
      <c r="S173" s="654"/>
      <c r="T173" s="654"/>
      <c r="U173" s="654"/>
    </row>
    <row r="174" spans="1:21" ht="14.25" customHeight="1">
      <c r="A174" s="1316"/>
      <c r="B174" s="1317"/>
      <c r="C174" s="1318"/>
      <c r="D174" s="1319"/>
      <c r="E174" s="1318"/>
      <c r="F174" s="1320">
        <f t="shared" si="23"/>
        <v>0</v>
      </c>
      <c r="G174" s="1319"/>
      <c r="H174" s="1318"/>
      <c r="I174" s="1320">
        <f t="shared" si="24"/>
        <v>0</v>
      </c>
      <c r="J174" s="1320">
        <f t="shared" si="17"/>
        <v>0</v>
      </c>
      <c r="K174" s="1320">
        <f t="shared" si="18"/>
        <v>0</v>
      </c>
      <c r="L174" s="1318"/>
      <c r="M174" s="1318"/>
      <c r="N174" s="1321">
        <f t="shared" si="19"/>
        <v>0</v>
      </c>
      <c r="O174" s="1322">
        <f t="shared" si="20"/>
        <v>0</v>
      </c>
      <c r="P174" s="2369">
        <f t="shared" si="21"/>
        <v>1900</v>
      </c>
      <c r="Q174" s="2369">
        <f t="shared" si="22"/>
        <v>1900</v>
      </c>
      <c r="R174" s="654"/>
      <c r="S174" s="654"/>
      <c r="T174" s="654"/>
      <c r="U174" s="654"/>
    </row>
    <row r="175" spans="1:21" ht="14.25" customHeight="1">
      <c r="A175" s="1316"/>
      <c r="B175" s="1317"/>
      <c r="C175" s="1318"/>
      <c r="D175" s="1319"/>
      <c r="E175" s="1318"/>
      <c r="F175" s="1320">
        <f t="shared" si="23"/>
        <v>0</v>
      </c>
      <c r="G175" s="1319"/>
      <c r="H175" s="1318"/>
      <c r="I175" s="1320">
        <f t="shared" si="24"/>
        <v>0</v>
      </c>
      <c r="J175" s="1320">
        <f t="shared" si="17"/>
        <v>0</v>
      </c>
      <c r="K175" s="1320">
        <f t="shared" si="18"/>
        <v>0</v>
      </c>
      <c r="L175" s="1318"/>
      <c r="M175" s="1318"/>
      <c r="N175" s="1321">
        <f t="shared" si="19"/>
        <v>0</v>
      </c>
      <c r="O175" s="1322">
        <f t="shared" si="20"/>
        <v>0</v>
      </c>
      <c r="P175" s="2369">
        <f t="shared" si="21"/>
        <v>1900</v>
      </c>
      <c r="Q175" s="2369">
        <f t="shared" si="22"/>
        <v>1900</v>
      </c>
      <c r="R175" s="654"/>
      <c r="S175" s="654"/>
      <c r="T175" s="654"/>
      <c r="U175" s="654"/>
    </row>
    <row r="176" spans="1:21" ht="14.25" customHeight="1">
      <c r="A176" s="1316"/>
      <c r="B176" s="1317"/>
      <c r="C176" s="1318"/>
      <c r="D176" s="1319"/>
      <c r="E176" s="1318"/>
      <c r="F176" s="1320">
        <f t="shared" si="23"/>
        <v>0</v>
      </c>
      <c r="G176" s="1319"/>
      <c r="H176" s="1318"/>
      <c r="I176" s="1320">
        <f t="shared" si="24"/>
        <v>0</v>
      </c>
      <c r="J176" s="1320">
        <f t="shared" si="17"/>
        <v>0</v>
      </c>
      <c r="K176" s="1320">
        <f t="shared" si="18"/>
        <v>0</v>
      </c>
      <c r="L176" s="1318"/>
      <c r="M176" s="1318"/>
      <c r="N176" s="1321">
        <f t="shared" si="19"/>
        <v>0</v>
      </c>
      <c r="O176" s="1322">
        <f t="shared" si="20"/>
        <v>0</v>
      </c>
      <c r="P176" s="2369">
        <f t="shared" si="21"/>
        <v>1900</v>
      </c>
      <c r="Q176" s="2369">
        <f t="shared" si="22"/>
        <v>1900</v>
      </c>
      <c r="R176" s="654"/>
      <c r="S176" s="654"/>
      <c r="T176" s="654"/>
      <c r="U176" s="654"/>
    </row>
    <row r="177" spans="1:21" ht="14.25" customHeight="1">
      <c r="A177" s="1316"/>
      <c r="B177" s="1317"/>
      <c r="C177" s="1318"/>
      <c r="D177" s="1319"/>
      <c r="E177" s="1318"/>
      <c r="F177" s="1320">
        <f t="shared" si="23"/>
        <v>0</v>
      </c>
      <c r="G177" s="1319"/>
      <c r="H177" s="1318"/>
      <c r="I177" s="1320">
        <f t="shared" si="24"/>
        <v>0</v>
      </c>
      <c r="J177" s="1320">
        <f t="shared" si="17"/>
        <v>0</v>
      </c>
      <c r="K177" s="1320">
        <f t="shared" si="18"/>
        <v>0</v>
      </c>
      <c r="L177" s="1318"/>
      <c r="M177" s="1318"/>
      <c r="N177" s="1321">
        <f t="shared" si="19"/>
        <v>0</v>
      </c>
      <c r="O177" s="1322">
        <f t="shared" si="20"/>
        <v>0</v>
      </c>
      <c r="P177" s="2369">
        <f t="shared" si="21"/>
        <v>1900</v>
      </c>
      <c r="Q177" s="2369">
        <f t="shared" si="22"/>
        <v>1900</v>
      </c>
      <c r="R177" s="654"/>
      <c r="S177" s="654"/>
      <c r="T177" s="654"/>
      <c r="U177" s="654"/>
    </row>
    <row r="178" spans="1:21" ht="14.25" customHeight="1">
      <c r="A178" s="1316"/>
      <c r="B178" s="1317"/>
      <c r="C178" s="1318"/>
      <c r="D178" s="1319"/>
      <c r="E178" s="1318"/>
      <c r="F178" s="1320">
        <f t="shared" si="23"/>
        <v>0</v>
      </c>
      <c r="G178" s="1319"/>
      <c r="H178" s="1318"/>
      <c r="I178" s="1320">
        <f t="shared" si="24"/>
        <v>0</v>
      </c>
      <c r="J178" s="1320">
        <f t="shared" si="17"/>
        <v>0</v>
      </c>
      <c r="K178" s="1320">
        <f t="shared" si="18"/>
        <v>0</v>
      </c>
      <c r="L178" s="1318"/>
      <c r="M178" s="1318"/>
      <c r="N178" s="1321">
        <f t="shared" si="19"/>
        <v>0</v>
      </c>
      <c r="O178" s="1322">
        <f t="shared" si="20"/>
        <v>0</v>
      </c>
      <c r="P178" s="2369">
        <f t="shared" si="21"/>
        <v>1900</v>
      </c>
      <c r="Q178" s="2369">
        <f t="shared" si="22"/>
        <v>1900</v>
      </c>
      <c r="R178" s="654"/>
      <c r="S178" s="654"/>
      <c r="T178" s="654"/>
      <c r="U178" s="654"/>
    </row>
    <row r="179" spans="1:21" ht="14.25" customHeight="1">
      <c r="A179" s="1316"/>
      <c r="B179" s="1317"/>
      <c r="C179" s="1318"/>
      <c r="D179" s="1319"/>
      <c r="E179" s="1318"/>
      <c r="F179" s="1320">
        <f t="shared" si="23"/>
        <v>0</v>
      </c>
      <c r="G179" s="1319"/>
      <c r="H179" s="1318"/>
      <c r="I179" s="1320">
        <f t="shared" si="24"/>
        <v>0</v>
      </c>
      <c r="J179" s="1320">
        <f t="shared" si="17"/>
        <v>0</v>
      </c>
      <c r="K179" s="1320">
        <f t="shared" si="18"/>
        <v>0</v>
      </c>
      <c r="L179" s="1318"/>
      <c r="M179" s="1318"/>
      <c r="N179" s="1321">
        <f t="shared" si="19"/>
        <v>0</v>
      </c>
      <c r="O179" s="1322">
        <f t="shared" si="20"/>
        <v>0</v>
      </c>
      <c r="P179" s="2369">
        <f t="shared" si="21"/>
        <v>1900</v>
      </c>
      <c r="Q179" s="2369">
        <f t="shared" si="22"/>
        <v>1900</v>
      </c>
      <c r="R179" s="654"/>
      <c r="S179" s="654"/>
      <c r="T179" s="654"/>
      <c r="U179" s="654"/>
    </row>
    <row r="180" spans="1:21" ht="14.25" customHeight="1">
      <c r="A180" s="1316"/>
      <c r="B180" s="1317"/>
      <c r="C180" s="1318"/>
      <c r="D180" s="1319"/>
      <c r="E180" s="1318"/>
      <c r="F180" s="1320">
        <f t="shared" si="23"/>
        <v>0</v>
      </c>
      <c r="G180" s="1319"/>
      <c r="H180" s="1318"/>
      <c r="I180" s="1320">
        <f t="shared" si="24"/>
        <v>0</v>
      </c>
      <c r="J180" s="1320">
        <f t="shared" si="17"/>
        <v>0</v>
      </c>
      <c r="K180" s="1320">
        <f t="shared" si="18"/>
        <v>0</v>
      </c>
      <c r="L180" s="1318"/>
      <c r="M180" s="1318"/>
      <c r="N180" s="1321">
        <f t="shared" si="19"/>
        <v>0</v>
      </c>
      <c r="O180" s="1322">
        <f t="shared" si="20"/>
        <v>0</v>
      </c>
      <c r="P180" s="2369">
        <f t="shared" si="21"/>
        <v>1900</v>
      </c>
      <c r="Q180" s="2369">
        <f t="shared" si="22"/>
        <v>1900</v>
      </c>
      <c r="R180" s="654"/>
      <c r="S180" s="654"/>
      <c r="T180" s="654"/>
      <c r="U180" s="654"/>
    </row>
    <row r="181" spans="1:21" ht="14.25" customHeight="1">
      <c r="A181" s="1316"/>
      <c r="B181" s="1317"/>
      <c r="C181" s="1318"/>
      <c r="D181" s="1319"/>
      <c r="E181" s="1318"/>
      <c r="F181" s="1320">
        <f t="shared" si="23"/>
        <v>0</v>
      </c>
      <c r="G181" s="1319"/>
      <c r="H181" s="1318"/>
      <c r="I181" s="1320">
        <f t="shared" si="24"/>
        <v>0</v>
      </c>
      <c r="J181" s="1320">
        <f t="shared" si="17"/>
        <v>0</v>
      </c>
      <c r="K181" s="1320">
        <f t="shared" si="18"/>
        <v>0</v>
      </c>
      <c r="L181" s="1318"/>
      <c r="M181" s="1318"/>
      <c r="N181" s="1321">
        <f t="shared" si="19"/>
        <v>0</v>
      </c>
      <c r="O181" s="1322">
        <f t="shared" si="20"/>
        <v>0</v>
      </c>
      <c r="P181" s="2369">
        <f t="shared" si="21"/>
        <v>1900</v>
      </c>
      <c r="Q181" s="2369">
        <f t="shared" si="22"/>
        <v>1900</v>
      </c>
      <c r="R181" s="654"/>
      <c r="S181" s="654"/>
      <c r="T181" s="654"/>
      <c r="U181" s="654"/>
    </row>
    <row r="182" spans="1:21" ht="14.25" customHeight="1">
      <c r="A182" s="1316"/>
      <c r="B182" s="1317"/>
      <c r="C182" s="1318"/>
      <c r="D182" s="1319"/>
      <c r="E182" s="1318"/>
      <c r="F182" s="1320">
        <f t="shared" si="23"/>
        <v>0</v>
      </c>
      <c r="G182" s="1319"/>
      <c r="H182" s="1318"/>
      <c r="I182" s="1320">
        <f t="shared" si="24"/>
        <v>0</v>
      </c>
      <c r="J182" s="1320">
        <f t="shared" si="17"/>
        <v>0</v>
      </c>
      <c r="K182" s="1320">
        <f t="shared" si="18"/>
        <v>0</v>
      </c>
      <c r="L182" s="1318"/>
      <c r="M182" s="1318"/>
      <c r="N182" s="1321">
        <f t="shared" si="19"/>
        <v>0</v>
      </c>
      <c r="O182" s="1322">
        <f t="shared" si="20"/>
        <v>0</v>
      </c>
      <c r="P182" s="2369">
        <f t="shared" si="21"/>
        <v>1900</v>
      </c>
      <c r="Q182" s="2369">
        <f t="shared" si="22"/>
        <v>1900</v>
      </c>
      <c r="R182" s="654"/>
      <c r="S182" s="654"/>
      <c r="T182" s="654"/>
      <c r="U182" s="654"/>
    </row>
    <row r="183" spans="1:21" ht="14.25" customHeight="1">
      <c r="A183" s="1316"/>
      <c r="B183" s="1317"/>
      <c r="C183" s="1318"/>
      <c r="D183" s="1319"/>
      <c r="E183" s="1318"/>
      <c r="F183" s="1320">
        <f t="shared" si="23"/>
        <v>0</v>
      </c>
      <c r="G183" s="1319"/>
      <c r="H183" s="1318"/>
      <c r="I183" s="1320">
        <f t="shared" si="24"/>
        <v>0</v>
      </c>
      <c r="J183" s="1320">
        <f t="shared" si="17"/>
        <v>0</v>
      </c>
      <c r="K183" s="1320">
        <f t="shared" si="18"/>
        <v>0</v>
      </c>
      <c r="L183" s="1318"/>
      <c r="M183" s="1318"/>
      <c r="N183" s="1321">
        <f t="shared" si="19"/>
        <v>0</v>
      </c>
      <c r="O183" s="1322">
        <f t="shared" si="20"/>
        <v>0</v>
      </c>
      <c r="P183" s="2369">
        <f t="shared" si="21"/>
        <v>1900</v>
      </c>
      <c r="Q183" s="2369">
        <f t="shared" si="22"/>
        <v>1900</v>
      </c>
      <c r="R183" s="654"/>
      <c r="S183" s="654"/>
      <c r="T183" s="654"/>
      <c r="U183" s="654"/>
    </row>
    <row r="184" spans="1:21" ht="14.25" customHeight="1">
      <c r="A184" s="1316"/>
      <c r="B184" s="1317"/>
      <c r="C184" s="1318"/>
      <c r="D184" s="1319"/>
      <c r="E184" s="1318"/>
      <c r="F184" s="1320">
        <f t="shared" si="23"/>
        <v>0</v>
      </c>
      <c r="G184" s="1319"/>
      <c r="H184" s="1318"/>
      <c r="I184" s="1320">
        <f t="shared" si="24"/>
        <v>0</v>
      </c>
      <c r="J184" s="1320">
        <f t="shared" si="17"/>
        <v>0</v>
      </c>
      <c r="K184" s="1320">
        <f t="shared" si="18"/>
        <v>0</v>
      </c>
      <c r="L184" s="1318"/>
      <c r="M184" s="1318"/>
      <c r="N184" s="1321">
        <f t="shared" si="19"/>
        <v>0</v>
      </c>
      <c r="O184" s="1322">
        <f t="shared" si="20"/>
        <v>0</v>
      </c>
      <c r="P184" s="2369">
        <f t="shared" si="21"/>
        <v>1900</v>
      </c>
      <c r="Q184" s="2369">
        <f t="shared" si="22"/>
        <v>1900</v>
      </c>
      <c r="R184" s="654"/>
      <c r="S184" s="654"/>
      <c r="T184" s="654"/>
      <c r="U184" s="654"/>
    </row>
    <row r="185" spans="1:21" ht="14.25" customHeight="1">
      <c r="A185" s="1316"/>
      <c r="B185" s="1317"/>
      <c r="C185" s="1318"/>
      <c r="D185" s="1319"/>
      <c r="E185" s="1318"/>
      <c r="F185" s="1320">
        <f t="shared" si="23"/>
        <v>0</v>
      </c>
      <c r="G185" s="1319"/>
      <c r="H185" s="1318"/>
      <c r="I185" s="1320">
        <f t="shared" si="24"/>
        <v>0</v>
      </c>
      <c r="J185" s="1320">
        <f t="shared" si="17"/>
        <v>0</v>
      </c>
      <c r="K185" s="1320">
        <f t="shared" si="18"/>
        <v>0</v>
      </c>
      <c r="L185" s="1318"/>
      <c r="M185" s="1318"/>
      <c r="N185" s="1321">
        <f t="shared" si="19"/>
        <v>0</v>
      </c>
      <c r="O185" s="1322">
        <f t="shared" si="20"/>
        <v>0</v>
      </c>
      <c r="P185" s="2369">
        <f t="shared" si="21"/>
        <v>1900</v>
      </c>
      <c r="Q185" s="2369">
        <f t="shared" si="22"/>
        <v>1900</v>
      </c>
      <c r="R185" s="654"/>
      <c r="S185" s="654"/>
      <c r="T185" s="654"/>
      <c r="U185" s="654"/>
    </row>
    <row r="186" spans="1:21" ht="14.25" customHeight="1">
      <c r="A186" s="1316"/>
      <c r="B186" s="1317"/>
      <c r="C186" s="1318"/>
      <c r="D186" s="1319"/>
      <c r="E186" s="1318"/>
      <c r="F186" s="1320">
        <f t="shared" si="23"/>
        <v>0</v>
      </c>
      <c r="G186" s="1319"/>
      <c r="H186" s="1318"/>
      <c r="I186" s="1320">
        <f t="shared" si="24"/>
        <v>0</v>
      </c>
      <c r="J186" s="1320">
        <f t="shared" si="17"/>
        <v>0</v>
      </c>
      <c r="K186" s="1320">
        <f t="shared" si="18"/>
        <v>0</v>
      </c>
      <c r="L186" s="1318"/>
      <c r="M186" s="1318"/>
      <c r="N186" s="1321">
        <f t="shared" si="19"/>
        <v>0</v>
      </c>
      <c r="O186" s="1322">
        <f t="shared" si="20"/>
        <v>0</v>
      </c>
      <c r="P186" s="2369">
        <f t="shared" si="21"/>
        <v>1900</v>
      </c>
      <c r="Q186" s="2369">
        <f t="shared" si="22"/>
        <v>1900</v>
      </c>
      <c r="R186" s="654"/>
      <c r="S186" s="654"/>
      <c r="T186" s="654"/>
      <c r="U186" s="654"/>
    </row>
    <row r="187" spans="1:21" ht="14.25" customHeight="1">
      <c r="A187" s="1316"/>
      <c r="B187" s="1317"/>
      <c r="C187" s="1318"/>
      <c r="D187" s="1319"/>
      <c r="E187" s="1318"/>
      <c r="F187" s="1320">
        <f t="shared" si="23"/>
        <v>0</v>
      </c>
      <c r="G187" s="1319"/>
      <c r="H187" s="1318"/>
      <c r="I187" s="1320">
        <f t="shared" si="24"/>
        <v>0</v>
      </c>
      <c r="J187" s="1320">
        <f t="shared" si="17"/>
        <v>0</v>
      </c>
      <c r="K187" s="1320">
        <f t="shared" si="18"/>
        <v>0</v>
      </c>
      <c r="L187" s="1318"/>
      <c r="M187" s="1318"/>
      <c r="N187" s="1321">
        <f t="shared" si="19"/>
        <v>0</v>
      </c>
      <c r="O187" s="1322">
        <f t="shared" si="20"/>
        <v>0</v>
      </c>
      <c r="P187" s="2369">
        <f t="shared" si="21"/>
        <v>1900</v>
      </c>
      <c r="Q187" s="2369">
        <f t="shared" si="22"/>
        <v>1900</v>
      </c>
      <c r="R187" s="654"/>
      <c r="S187" s="654"/>
      <c r="T187" s="654"/>
      <c r="U187" s="654"/>
    </row>
    <row r="188" spans="1:21" ht="14.25" customHeight="1">
      <c r="A188" s="1316"/>
      <c r="B188" s="1317"/>
      <c r="C188" s="1318"/>
      <c r="D188" s="1319"/>
      <c r="E188" s="1318"/>
      <c r="F188" s="1320">
        <f t="shared" si="23"/>
        <v>0</v>
      </c>
      <c r="G188" s="1319"/>
      <c r="H188" s="1318"/>
      <c r="I188" s="1320">
        <f t="shared" si="24"/>
        <v>0</v>
      </c>
      <c r="J188" s="1320">
        <f t="shared" si="17"/>
        <v>0</v>
      </c>
      <c r="K188" s="1320">
        <f t="shared" si="18"/>
        <v>0</v>
      </c>
      <c r="L188" s="1318"/>
      <c r="M188" s="1318"/>
      <c r="N188" s="1321">
        <f t="shared" si="19"/>
        <v>0</v>
      </c>
      <c r="O188" s="1322">
        <f t="shared" si="20"/>
        <v>0</v>
      </c>
      <c r="P188" s="2369">
        <f t="shared" si="21"/>
        <v>1900</v>
      </c>
      <c r="Q188" s="2369">
        <f t="shared" si="22"/>
        <v>1900</v>
      </c>
      <c r="R188" s="654"/>
      <c r="S188" s="654"/>
      <c r="T188" s="654"/>
      <c r="U188" s="654"/>
    </row>
    <row r="189" spans="1:21" ht="14.25" customHeight="1">
      <c r="A189" s="1316"/>
      <c r="B189" s="1317"/>
      <c r="C189" s="1318"/>
      <c r="D189" s="1319"/>
      <c r="E189" s="1318"/>
      <c r="F189" s="1320">
        <f t="shared" si="23"/>
        <v>0</v>
      </c>
      <c r="G189" s="1319"/>
      <c r="H189" s="1318"/>
      <c r="I189" s="1320">
        <f t="shared" si="24"/>
        <v>0</v>
      </c>
      <c r="J189" s="1320">
        <f t="shared" si="17"/>
        <v>0</v>
      </c>
      <c r="K189" s="1320">
        <f t="shared" si="18"/>
        <v>0</v>
      </c>
      <c r="L189" s="1318"/>
      <c r="M189" s="1318"/>
      <c r="N189" s="1321">
        <f t="shared" si="19"/>
        <v>0</v>
      </c>
      <c r="O189" s="1322">
        <f t="shared" si="20"/>
        <v>0</v>
      </c>
      <c r="P189" s="2369">
        <f t="shared" si="21"/>
        <v>1900</v>
      </c>
      <c r="Q189" s="2369">
        <f t="shared" si="22"/>
        <v>1900</v>
      </c>
      <c r="R189" s="654"/>
      <c r="S189" s="654"/>
      <c r="T189" s="654"/>
      <c r="U189" s="654"/>
    </row>
    <row r="190" spans="1:21" ht="14.25" customHeight="1">
      <c r="A190" s="1316"/>
      <c r="B190" s="1317"/>
      <c r="C190" s="1318"/>
      <c r="D190" s="1319"/>
      <c r="E190" s="1318"/>
      <c r="F190" s="1320">
        <f t="shared" si="23"/>
        <v>0</v>
      </c>
      <c r="G190" s="1319"/>
      <c r="H190" s="1318"/>
      <c r="I190" s="1320">
        <f t="shared" si="24"/>
        <v>0</v>
      </c>
      <c r="J190" s="1320">
        <f t="shared" si="17"/>
        <v>0</v>
      </c>
      <c r="K190" s="1320">
        <f t="shared" si="18"/>
        <v>0</v>
      </c>
      <c r="L190" s="1318"/>
      <c r="M190" s="1318"/>
      <c r="N190" s="1321">
        <f t="shared" si="19"/>
        <v>0</v>
      </c>
      <c r="O190" s="1322">
        <f t="shared" si="20"/>
        <v>0</v>
      </c>
      <c r="P190" s="2369">
        <f t="shared" si="21"/>
        <v>1900</v>
      </c>
      <c r="Q190" s="2369">
        <f t="shared" si="22"/>
        <v>1900</v>
      </c>
      <c r="R190" s="654"/>
      <c r="S190" s="654"/>
      <c r="T190" s="654"/>
      <c r="U190" s="654"/>
    </row>
    <row r="191" spans="1:21" ht="14.25" customHeight="1">
      <c r="A191" s="1316"/>
      <c r="B191" s="1317"/>
      <c r="C191" s="1318"/>
      <c r="D191" s="1319"/>
      <c r="E191" s="1318"/>
      <c r="F191" s="1320">
        <f t="shared" si="23"/>
        <v>0</v>
      </c>
      <c r="G191" s="1319"/>
      <c r="H191" s="1318"/>
      <c r="I191" s="1320">
        <f t="shared" si="24"/>
        <v>0</v>
      </c>
      <c r="J191" s="1320">
        <f t="shared" si="17"/>
        <v>0</v>
      </c>
      <c r="K191" s="1320">
        <f t="shared" si="18"/>
        <v>0</v>
      </c>
      <c r="L191" s="1318"/>
      <c r="M191" s="1318"/>
      <c r="N191" s="1321">
        <f t="shared" si="19"/>
        <v>0</v>
      </c>
      <c r="O191" s="1322">
        <f t="shared" si="20"/>
        <v>0</v>
      </c>
      <c r="P191" s="2369">
        <f t="shared" si="21"/>
        <v>1900</v>
      </c>
      <c r="Q191" s="2369">
        <f t="shared" si="22"/>
        <v>1900</v>
      </c>
      <c r="R191" s="654"/>
      <c r="S191" s="654"/>
      <c r="T191" s="654"/>
      <c r="U191" s="654"/>
    </row>
    <row r="192" spans="1:21" ht="14.25" customHeight="1">
      <c r="A192" s="1316"/>
      <c r="B192" s="1317"/>
      <c r="C192" s="1318"/>
      <c r="D192" s="1319"/>
      <c r="E192" s="1318"/>
      <c r="F192" s="1320">
        <f t="shared" si="23"/>
        <v>0</v>
      </c>
      <c r="G192" s="1319"/>
      <c r="H192" s="1318"/>
      <c r="I192" s="1320">
        <f t="shared" si="24"/>
        <v>0</v>
      </c>
      <c r="J192" s="1320">
        <f t="shared" si="17"/>
        <v>0</v>
      </c>
      <c r="K192" s="1320">
        <f t="shared" si="18"/>
        <v>0</v>
      </c>
      <c r="L192" s="1318"/>
      <c r="M192" s="1318"/>
      <c r="N192" s="1321">
        <f t="shared" si="19"/>
        <v>0</v>
      </c>
      <c r="O192" s="1322">
        <f t="shared" si="20"/>
        <v>0</v>
      </c>
      <c r="P192" s="2369">
        <f t="shared" si="21"/>
        <v>1900</v>
      </c>
      <c r="Q192" s="2369">
        <f t="shared" si="22"/>
        <v>1900</v>
      </c>
      <c r="R192" s="654"/>
      <c r="S192" s="654"/>
      <c r="T192" s="654"/>
      <c r="U192" s="654"/>
    </row>
    <row r="193" spans="1:21" ht="14.25" customHeight="1">
      <c r="A193" s="1316"/>
      <c r="B193" s="1317"/>
      <c r="C193" s="1318"/>
      <c r="D193" s="1319"/>
      <c r="E193" s="1318"/>
      <c r="F193" s="1320">
        <f t="shared" si="23"/>
        <v>0</v>
      </c>
      <c r="G193" s="1319"/>
      <c r="H193" s="1318"/>
      <c r="I193" s="1320">
        <f t="shared" si="24"/>
        <v>0</v>
      </c>
      <c r="J193" s="1320">
        <f t="shared" si="17"/>
        <v>0</v>
      </c>
      <c r="K193" s="1320">
        <f t="shared" si="18"/>
        <v>0</v>
      </c>
      <c r="L193" s="1318"/>
      <c r="M193" s="1318"/>
      <c r="N193" s="1321">
        <f t="shared" si="19"/>
        <v>0</v>
      </c>
      <c r="O193" s="1322">
        <f t="shared" si="20"/>
        <v>0</v>
      </c>
      <c r="P193" s="2369">
        <f t="shared" si="21"/>
        <v>1900</v>
      </c>
      <c r="Q193" s="2369">
        <f t="shared" si="22"/>
        <v>1900</v>
      </c>
      <c r="R193" s="654"/>
      <c r="S193" s="654"/>
      <c r="T193" s="654"/>
      <c r="U193" s="654"/>
    </row>
    <row r="194" spans="1:21" ht="14.25" customHeight="1">
      <c r="A194" s="1316"/>
      <c r="B194" s="1317"/>
      <c r="C194" s="1318"/>
      <c r="D194" s="1319"/>
      <c r="E194" s="1318"/>
      <c r="F194" s="1320">
        <f t="shared" si="23"/>
        <v>0</v>
      </c>
      <c r="G194" s="1319"/>
      <c r="H194" s="1318"/>
      <c r="I194" s="1320">
        <f t="shared" si="24"/>
        <v>0</v>
      </c>
      <c r="J194" s="1320">
        <f t="shared" si="17"/>
        <v>0</v>
      </c>
      <c r="K194" s="1320">
        <f t="shared" si="18"/>
        <v>0</v>
      </c>
      <c r="L194" s="1318"/>
      <c r="M194" s="1318"/>
      <c r="N194" s="1321">
        <f t="shared" si="19"/>
        <v>0</v>
      </c>
      <c r="O194" s="1322">
        <f t="shared" si="20"/>
        <v>0</v>
      </c>
      <c r="P194" s="2369">
        <f t="shared" si="21"/>
        <v>1900</v>
      </c>
      <c r="Q194" s="2369">
        <f t="shared" si="22"/>
        <v>1900</v>
      </c>
      <c r="R194" s="654"/>
      <c r="S194" s="654"/>
      <c r="T194" s="654"/>
      <c r="U194" s="654"/>
    </row>
    <row r="195" spans="1:21" ht="14.25" customHeight="1">
      <c r="A195" s="1316"/>
      <c r="B195" s="1317"/>
      <c r="C195" s="1318"/>
      <c r="D195" s="1319"/>
      <c r="E195" s="1318"/>
      <c r="F195" s="1320">
        <f t="shared" si="23"/>
        <v>0</v>
      </c>
      <c r="G195" s="1319"/>
      <c r="H195" s="1318"/>
      <c r="I195" s="1320">
        <f t="shared" si="24"/>
        <v>0</v>
      </c>
      <c r="J195" s="1320">
        <f t="shared" si="17"/>
        <v>0</v>
      </c>
      <c r="K195" s="1320">
        <f t="shared" si="18"/>
        <v>0</v>
      </c>
      <c r="L195" s="1318"/>
      <c r="M195" s="1318"/>
      <c r="N195" s="1321">
        <f t="shared" si="19"/>
        <v>0</v>
      </c>
      <c r="O195" s="1322">
        <f t="shared" si="20"/>
        <v>0</v>
      </c>
      <c r="P195" s="2369">
        <f t="shared" si="21"/>
        <v>1900</v>
      </c>
      <c r="Q195" s="2369">
        <f t="shared" si="22"/>
        <v>1900</v>
      </c>
      <c r="R195" s="654"/>
      <c r="S195" s="654"/>
      <c r="T195" s="654"/>
      <c r="U195" s="654"/>
    </row>
    <row r="196" spans="1:21" ht="14.25" customHeight="1">
      <c r="A196" s="1316"/>
      <c r="B196" s="1317"/>
      <c r="C196" s="1318"/>
      <c r="D196" s="1319"/>
      <c r="E196" s="1318"/>
      <c r="F196" s="1320">
        <f t="shared" si="23"/>
        <v>0</v>
      </c>
      <c r="G196" s="1319"/>
      <c r="H196" s="1318"/>
      <c r="I196" s="1320">
        <f t="shared" si="24"/>
        <v>0</v>
      </c>
      <c r="J196" s="1320">
        <f t="shared" si="17"/>
        <v>0</v>
      </c>
      <c r="K196" s="1320">
        <f t="shared" si="18"/>
        <v>0</v>
      </c>
      <c r="L196" s="1318"/>
      <c r="M196" s="1318"/>
      <c r="N196" s="1321">
        <f t="shared" si="19"/>
        <v>0</v>
      </c>
      <c r="O196" s="1322">
        <f t="shared" si="20"/>
        <v>0</v>
      </c>
      <c r="P196" s="2369">
        <f t="shared" si="21"/>
        <v>1900</v>
      </c>
      <c r="Q196" s="2369">
        <f t="shared" si="22"/>
        <v>1900</v>
      </c>
      <c r="R196" s="654"/>
      <c r="S196" s="654"/>
      <c r="T196" s="654"/>
      <c r="U196" s="654"/>
    </row>
    <row r="197" spans="1:21" ht="14.25" customHeight="1">
      <c r="A197" s="1316"/>
      <c r="B197" s="1317"/>
      <c r="C197" s="1318"/>
      <c r="D197" s="1319"/>
      <c r="E197" s="1318"/>
      <c r="F197" s="1320">
        <f t="shared" si="23"/>
        <v>0</v>
      </c>
      <c r="G197" s="1319"/>
      <c r="H197" s="1318"/>
      <c r="I197" s="1320">
        <f t="shared" si="24"/>
        <v>0</v>
      </c>
      <c r="J197" s="1320">
        <f t="shared" si="17"/>
        <v>0</v>
      </c>
      <c r="K197" s="1320">
        <f t="shared" si="18"/>
        <v>0</v>
      </c>
      <c r="L197" s="1318"/>
      <c r="M197" s="1318"/>
      <c r="N197" s="1321">
        <f t="shared" si="19"/>
        <v>0</v>
      </c>
      <c r="O197" s="1322">
        <f t="shared" si="20"/>
        <v>0</v>
      </c>
      <c r="P197" s="2369">
        <f t="shared" si="21"/>
        <v>1900</v>
      </c>
      <c r="Q197" s="2369">
        <f t="shared" si="22"/>
        <v>1900</v>
      </c>
      <c r="R197" s="654"/>
      <c r="S197" s="654"/>
      <c r="T197" s="654"/>
      <c r="U197" s="654"/>
    </row>
    <row r="198" spans="1:21" ht="14.25" customHeight="1">
      <c r="A198" s="1316"/>
      <c r="B198" s="1317"/>
      <c r="C198" s="1318"/>
      <c r="D198" s="1319"/>
      <c r="E198" s="1318"/>
      <c r="F198" s="1320">
        <f t="shared" si="23"/>
        <v>0</v>
      </c>
      <c r="G198" s="1319"/>
      <c r="H198" s="1318"/>
      <c r="I198" s="1320">
        <f t="shared" si="24"/>
        <v>0</v>
      </c>
      <c r="J198" s="1320">
        <f t="shared" si="17"/>
        <v>0</v>
      </c>
      <c r="K198" s="1320">
        <f t="shared" si="18"/>
        <v>0</v>
      </c>
      <c r="L198" s="1318"/>
      <c r="M198" s="1318"/>
      <c r="N198" s="1321">
        <f t="shared" si="19"/>
        <v>0</v>
      </c>
      <c r="O198" s="1322">
        <f t="shared" si="20"/>
        <v>0</v>
      </c>
      <c r="P198" s="2369">
        <f t="shared" si="21"/>
        <v>1900</v>
      </c>
      <c r="Q198" s="2369">
        <f t="shared" si="22"/>
        <v>1900</v>
      </c>
      <c r="R198" s="654"/>
      <c r="S198" s="654"/>
      <c r="T198" s="654"/>
      <c r="U198" s="654"/>
    </row>
    <row r="199" spans="1:21" ht="14.25" customHeight="1">
      <c r="A199" s="1316"/>
      <c r="B199" s="1317"/>
      <c r="C199" s="1318"/>
      <c r="D199" s="1319"/>
      <c r="E199" s="1318"/>
      <c r="F199" s="1320">
        <f t="shared" si="23"/>
        <v>0</v>
      </c>
      <c r="G199" s="1319"/>
      <c r="H199" s="1318"/>
      <c r="I199" s="1320">
        <f t="shared" si="24"/>
        <v>0</v>
      </c>
      <c r="J199" s="1320">
        <f t="shared" si="17"/>
        <v>0</v>
      </c>
      <c r="K199" s="1320">
        <f t="shared" si="18"/>
        <v>0</v>
      </c>
      <c r="L199" s="1318"/>
      <c r="M199" s="1318"/>
      <c r="N199" s="1321">
        <f t="shared" si="19"/>
        <v>0</v>
      </c>
      <c r="O199" s="1322">
        <f t="shared" si="20"/>
        <v>0</v>
      </c>
      <c r="P199" s="2369">
        <f t="shared" si="21"/>
        <v>1900</v>
      </c>
      <c r="Q199" s="2369">
        <f t="shared" si="22"/>
        <v>1900</v>
      </c>
      <c r="R199" s="654"/>
      <c r="S199" s="654"/>
      <c r="T199" s="654"/>
      <c r="U199" s="654"/>
    </row>
    <row r="200" spans="1:21" ht="14.25" customHeight="1">
      <c r="A200" s="1316"/>
      <c r="B200" s="1317"/>
      <c r="C200" s="1318"/>
      <c r="D200" s="1319"/>
      <c r="E200" s="1318"/>
      <c r="F200" s="1320">
        <f t="shared" si="23"/>
        <v>0</v>
      </c>
      <c r="G200" s="1319"/>
      <c r="H200" s="1318"/>
      <c r="I200" s="1320">
        <f t="shared" si="24"/>
        <v>0</v>
      </c>
      <c r="J200" s="1320">
        <f t="shared" si="17"/>
        <v>0</v>
      </c>
      <c r="K200" s="1320">
        <f t="shared" si="18"/>
        <v>0</v>
      </c>
      <c r="L200" s="1318"/>
      <c r="M200" s="1318"/>
      <c r="N200" s="1321">
        <f t="shared" si="19"/>
        <v>0</v>
      </c>
      <c r="O200" s="1322">
        <f t="shared" si="20"/>
        <v>0</v>
      </c>
      <c r="P200" s="2369">
        <f t="shared" si="21"/>
        <v>1900</v>
      </c>
      <c r="Q200" s="2369">
        <f t="shared" si="22"/>
        <v>1900</v>
      </c>
      <c r="R200" s="654"/>
      <c r="S200" s="654"/>
      <c r="T200" s="654"/>
      <c r="U200" s="654"/>
    </row>
    <row r="201" spans="1:21" ht="14.25" customHeight="1">
      <c r="A201" s="1316"/>
      <c r="B201" s="1317"/>
      <c r="C201" s="1318"/>
      <c r="D201" s="1319"/>
      <c r="E201" s="1318"/>
      <c r="F201" s="1320">
        <f t="shared" si="23"/>
        <v>0</v>
      </c>
      <c r="G201" s="1319"/>
      <c r="H201" s="1318"/>
      <c r="I201" s="1320">
        <f t="shared" si="24"/>
        <v>0</v>
      </c>
      <c r="J201" s="1320">
        <f t="shared" ref="J201:J264" si="25">C201+E201-H201</f>
        <v>0</v>
      </c>
      <c r="K201" s="1320">
        <f t="shared" ref="K201:K264" si="26">C201+F201-I201</f>
        <v>0</v>
      </c>
      <c r="L201" s="1318"/>
      <c r="M201" s="1318"/>
      <c r="N201" s="1321">
        <f t="shared" si="19"/>
        <v>0</v>
      </c>
      <c r="O201" s="1322">
        <f t="shared" si="20"/>
        <v>0</v>
      </c>
      <c r="P201" s="2369">
        <f t="shared" si="21"/>
        <v>1900</v>
      </c>
      <c r="Q201" s="2369">
        <f t="shared" si="22"/>
        <v>1900</v>
      </c>
      <c r="R201" s="654"/>
      <c r="S201" s="654"/>
      <c r="T201" s="654"/>
      <c r="U201" s="654"/>
    </row>
    <row r="202" spans="1:21" ht="14.25" customHeight="1">
      <c r="A202" s="1316"/>
      <c r="B202" s="1317"/>
      <c r="C202" s="1318"/>
      <c r="D202" s="1319"/>
      <c r="E202" s="1318"/>
      <c r="F202" s="1320">
        <f t="shared" si="23"/>
        <v>0</v>
      </c>
      <c r="G202" s="1319"/>
      <c r="H202" s="1318"/>
      <c r="I202" s="1320">
        <f t="shared" si="24"/>
        <v>0</v>
      </c>
      <c r="J202" s="1320">
        <f t="shared" si="25"/>
        <v>0</v>
      </c>
      <c r="K202" s="1320">
        <f t="shared" si="26"/>
        <v>0</v>
      </c>
      <c r="L202" s="1318"/>
      <c r="M202" s="1318"/>
      <c r="N202" s="1321">
        <f t="shared" ref="N202:N265" si="27">IF(M202&lt;&gt;0,ROUND(B202*K202,2)+M202,IF(ABS(ROUND(K202*B202,2)-L202)&lt;3,L202,MIN(ROUND(K202*B202,2),L202)))</f>
        <v>0</v>
      </c>
      <c r="O202" s="1322">
        <f t="shared" ref="O202:O265" si="28">IF(ISERROR(L202-N202),"",IF(ABS(L202-N202)&lt;3,0,L202-N202))</f>
        <v>0</v>
      </c>
      <c r="P202" s="2369">
        <f t="shared" ref="P202:P265" si="29">IFERROR(YEAR(D202),0)</f>
        <v>1900</v>
      </c>
      <c r="Q202" s="2369">
        <f t="shared" ref="Q202:Q265" si="30">IFERROR(YEAR(G202),0)</f>
        <v>1900</v>
      </c>
      <c r="R202" s="654"/>
      <c r="S202" s="654"/>
      <c r="T202" s="654"/>
      <c r="U202" s="654"/>
    </row>
    <row r="203" spans="1:21" ht="14.25" customHeight="1">
      <c r="A203" s="1316"/>
      <c r="B203" s="1317"/>
      <c r="C203" s="1318"/>
      <c r="D203" s="1319"/>
      <c r="E203" s="1318"/>
      <c r="F203" s="1320">
        <f t="shared" ref="F203:F266" si="31">E203*(12-MONTH(D203))/12</f>
        <v>0</v>
      </c>
      <c r="G203" s="1319"/>
      <c r="H203" s="1318"/>
      <c r="I203" s="1320">
        <f t="shared" ref="I203:I266" si="32">H203*(12-MONTH(G203))/12</f>
        <v>0</v>
      </c>
      <c r="J203" s="1320">
        <f t="shared" si="25"/>
        <v>0</v>
      </c>
      <c r="K203" s="1320">
        <f t="shared" si="26"/>
        <v>0</v>
      </c>
      <c r="L203" s="1318"/>
      <c r="M203" s="1318"/>
      <c r="N203" s="1321">
        <f t="shared" si="27"/>
        <v>0</v>
      </c>
      <c r="O203" s="1322">
        <f t="shared" si="28"/>
        <v>0</v>
      </c>
      <c r="P203" s="2369">
        <f t="shared" si="29"/>
        <v>1900</v>
      </c>
      <c r="Q203" s="2369">
        <f t="shared" si="30"/>
        <v>1900</v>
      </c>
      <c r="R203" s="654"/>
      <c r="S203" s="654"/>
      <c r="T203" s="654"/>
      <c r="U203" s="654"/>
    </row>
    <row r="204" spans="1:21" ht="14.25" customHeight="1">
      <c r="A204" s="1316"/>
      <c r="B204" s="1317"/>
      <c r="C204" s="1318"/>
      <c r="D204" s="1319"/>
      <c r="E204" s="1318"/>
      <c r="F204" s="1320">
        <f t="shared" si="31"/>
        <v>0</v>
      </c>
      <c r="G204" s="1319"/>
      <c r="H204" s="1318"/>
      <c r="I204" s="1320">
        <f t="shared" si="32"/>
        <v>0</v>
      </c>
      <c r="J204" s="1320">
        <f t="shared" si="25"/>
        <v>0</v>
      </c>
      <c r="K204" s="1320">
        <f t="shared" si="26"/>
        <v>0</v>
      </c>
      <c r="L204" s="1318"/>
      <c r="M204" s="1318"/>
      <c r="N204" s="1321">
        <f t="shared" si="27"/>
        <v>0</v>
      </c>
      <c r="O204" s="1322">
        <f t="shared" si="28"/>
        <v>0</v>
      </c>
      <c r="P204" s="2369">
        <f t="shared" si="29"/>
        <v>1900</v>
      </c>
      <c r="Q204" s="2369">
        <f t="shared" si="30"/>
        <v>1900</v>
      </c>
      <c r="R204" s="654"/>
      <c r="S204" s="654"/>
      <c r="T204" s="654"/>
      <c r="U204" s="654"/>
    </row>
    <row r="205" spans="1:21" ht="14.25" customHeight="1">
      <c r="A205" s="1316"/>
      <c r="B205" s="1317"/>
      <c r="C205" s="1318"/>
      <c r="D205" s="1319"/>
      <c r="E205" s="1318"/>
      <c r="F205" s="1320">
        <f t="shared" si="31"/>
        <v>0</v>
      </c>
      <c r="G205" s="1319"/>
      <c r="H205" s="1318"/>
      <c r="I205" s="1320">
        <f t="shared" si="32"/>
        <v>0</v>
      </c>
      <c r="J205" s="1320">
        <f t="shared" si="25"/>
        <v>0</v>
      </c>
      <c r="K205" s="1320">
        <f t="shared" si="26"/>
        <v>0</v>
      </c>
      <c r="L205" s="1318"/>
      <c r="M205" s="1318"/>
      <c r="N205" s="1321">
        <f t="shared" si="27"/>
        <v>0</v>
      </c>
      <c r="O205" s="1322">
        <f t="shared" si="28"/>
        <v>0</v>
      </c>
      <c r="P205" s="2369">
        <f t="shared" si="29"/>
        <v>1900</v>
      </c>
      <c r="Q205" s="2369">
        <f t="shared" si="30"/>
        <v>1900</v>
      </c>
      <c r="R205" s="654"/>
      <c r="S205" s="654"/>
      <c r="T205" s="654"/>
      <c r="U205" s="654"/>
    </row>
    <row r="206" spans="1:21" ht="14.25" customHeight="1">
      <c r="A206" s="1316"/>
      <c r="B206" s="1317"/>
      <c r="C206" s="1318"/>
      <c r="D206" s="1319"/>
      <c r="E206" s="1318"/>
      <c r="F206" s="1320">
        <f t="shared" si="31"/>
        <v>0</v>
      </c>
      <c r="G206" s="1319"/>
      <c r="H206" s="1318"/>
      <c r="I206" s="1320">
        <f t="shared" si="32"/>
        <v>0</v>
      </c>
      <c r="J206" s="1320">
        <f t="shared" si="25"/>
        <v>0</v>
      </c>
      <c r="K206" s="1320">
        <f t="shared" si="26"/>
        <v>0</v>
      </c>
      <c r="L206" s="1318"/>
      <c r="M206" s="1318"/>
      <c r="N206" s="1321">
        <f t="shared" si="27"/>
        <v>0</v>
      </c>
      <c r="O206" s="1322">
        <f t="shared" si="28"/>
        <v>0</v>
      </c>
      <c r="P206" s="2369">
        <f t="shared" si="29"/>
        <v>1900</v>
      </c>
      <c r="Q206" s="2369">
        <f t="shared" si="30"/>
        <v>1900</v>
      </c>
      <c r="R206" s="654"/>
      <c r="S206" s="654"/>
      <c r="T206" s="654"/>
      <c r="U206" s="654"/>
    </row>
    <row r="207" spans="1:21" ht="14.25" customHeight="1">
      <c r="A207" s="1316"/>
      <c r="B207" s="1317"/>
      <c r="C207" s="1318"/>
      <c r="D207" s="1319"/>
      <c r="E207" s="1318"/>
      <c r="F207" s="1320">
        <f t="shared" si="31"/>
        <v>0</v>
      </c>
      <c r="G207" s="1319"/>
      <c r="H207" s="1318"/>
      <c r="I207" s="1320">
        <f t="shared" si="32"/>
        <v>0</v>
      </c>
      <c r="J207" s="1320">
        <f t="shared" si="25"/>
        <v>0</v>
      </c>
      <c r="K207" s="1320">
        <f t="shared" si="26"/>
        <v>0</v>
      </c>
      <c r="L207" s="1318"/>
      <c r="M207" s="1318"/>
      <c r="N207" s="1321">
        <f t="shared" si="27"/>
        <v>0</v>
      </c>
      <c r="O207" s="1322">
        <f t="shared" si="28"/>
        <v>0</v>
      </c>
      <c r="P207" s="2369">
        <f t="shared" si="29"/>
        <v>1900</v>
      </c>
      <c r="Q207" s="2369">
        <f t="shared" si="30"/>
        <v>1900</v>
      </c>
      <c r="R207" s="654"/>
      <c r="S207" s="654"/>
      <c r="T207" s="654"/>
      <c r="U207" s="654"/>
    </row>
    <row r="208" spans="1:21" ht="14.25" customHeight="1">
      <c r="A208" s="1316"/>
      <c r="B208" s="1317"/>
      <c r="C208" s="1318"/>
      <c r="D208" s="1319"/>
      <c r="E208" s="1318"/>
      <c r="F208" s="1320">
        <f t="shared" si="31"/>
        <v>0</v>
      </c>
      <c r="G208" s="1319"/>
      <c r="H208" s="1318"/>
      <c r="I208" s="1320">
        <f t="shared" si="32"/>
        <v>0</v>
      </c>
      <c r="J208" s="1320">
        <f t="shared" si="25"/>
        <v>0</v>
      </c>
      <c r="K208" s="1320">
        <f t="shared" si="26"/>
        <v>0</v>
      </c>
      <c r="L208" s="1318"/>
      <c r="M208" s="1318"/>
      <c r="N208" s="1321">
        <f t="shared" si="27"/>
        <v>0</v>
      </c>
      <c r="O208" s="1322">
        <f t="shared" si="28"/>
        <v>0</v>
      </c>
      <c r="P208" s="2369">
        <f t="shared" si="29"/>
        <v>1900</v>
      </c>
      <c r="Q208" s="2369">
        <f t="shared" si="30"/>
        <v>1900</v>
      </c>
      <c r="R208" s="654"/>
      <c r="S208" s="654"/>
      <c r="T208" s="654"/>
      <c r="U208" s="654"/>
    </row>
    <row r="209" spans="1:21" ht="14.25" customHeight="1">
      <c r="A209" s="1316"/>
      <c r="B209" s="1317"/>
      <c r="C209" s="1318"/>
      <c r="D209" s="1319"/>
      <c r="E209" s="1318"/>
      <c r="F209" s="1320">
        <f t="shared" si="31"/>
        <v>0</v>
      </c>
      <c r="G209" s="1319"/>
      <c r="H209" s="1318"/>
      <c r="I209" s="1320">
        <f t="shared" si="32"/>
        <v>0</v>
      </c>
      <c r="J209" s="1320">
        <f t="shared" si="25"/>
        <v>0</v>
      </c>
      <c r="K209" s="1320">
        <f t="shared" si="26"/>
        <v>0</v>
      </c>
      <c r="L209" s="1318"/>
      <c r="M209" s="1318"/>
      <c r="N209" s="1321">
        <f t="shared" si="27"/>
        <v>0</v>
      </c>
      <c r="O209" s="1322">
        <f t="shared" si="28"/>
        <v>0</v>
      </c>
      <c r="P209" s="2369">
        <f t="shared" si="29"/>
        <v>1900</v>
      </c>
      <c r="Q209" s="2369">
        <f t="shared" si="30"/>
        <v>1900</v>
      </c>
      <c r="R209" s="654"/>
      <c r="S209" s="654"/>
      <c r="T209" s="654"/>
      <c r="U209" s="654"/>
    </row>
    <row r="210" spans="1:21" ht="14.25" customHeight="1">
      <c r="A210" s="1316"/>
      <c r="B210" s="1317"/>
      <c r="C210" s="1318"/>
      <c r="D210" s="1319"/>
      <c r="E210" s="1318"/>
      <c r="F210" s="1320">
        <f t="shared" si="31"/>
        <v>0</v>
      </c>
      <c r="G210" s="1319"/>
      <c r="H210" s="1318"/>
      <c r="I210" s="1320">
        <f t="shared" si="32"/>
        <v>0</v>
      </c>
      <c r="J210" s="1320">
        <f t="shared" si="25"/>
        <v>0</v>
      </c>
      <c r="K210" s="1320">
        <f t="shared" si="26"/>
        <v>0</v>
      </c>
      <c r="L210" s="1318"/>
      <c r="M210" s="1318"/>
      <c r="N210" s="1321">
        <f t="shared" si="27"/>
        <v>0</v>
      </c>
      <c r="O210" s="1322">
        <f t="shared" si="28"/>
        <v>0</v>
      </c>
      <c r="P210" s="2369">
        <f t="shared" si="29"/>
        <v>1900</v>
      </c>
      <c r="Q210" s="2369">
        <f t="shared" si="30"/>
        <v>1900</v>
      </c>
      <c r="R210" s="654"/>
      <c r="S210" s="654"/>
      <c r="T210" s="654"/>
      <c r="U210" s="654"/>
    </row>
    <row r="211" spans="1:21" ht="14.25" customHeight="1">
      <c r="A211" s="1316"/>
      <c r="B211" s="1317"/>
      <c r="C211" s="1318"/>
      <c r="D211" s="1319"/>
      <c r="E211" s="1318"/>
      <c r="F211" s="1320">
        <f t="shared" si="31"/>
        <v>0</v>
      </c>
      <c r="G211" s="1319"/>
      <c r="H211" s="1318"/>
      <c r="I211" s="1320">
        <f t="shared" si="32"/>
        <v>0</v>
      </c>
      <c r="J211" s="1320">
        <f t="shared" si="25"/>
        <v>0</v>
      </c>
      <c r="K211" s="1320">
        <f t="shared" si="26"/>
        <v>0</v>
      </c>
      <c r="L211" s="1318"/>
      <c r="M211" s="1318"/>
      <c r="N211" s="1321">
        <f t="shared" si="27"/>
        <v>0</v>
      </c>
      <c r="O211" s="1322">
        <f t="shared" si="28"/>
        <v>0</v>
      </c>
      <c r="P211" s="2369">
        <f t="shared" si="29"/>
        <v>1900</v>
      </c>
      <c r="Q211" s="2369">
        <f t="shared" si="30"/>
        <v>1900</v>
      </c>
      <c r="R211" s="654"/>
      <c r="S211" s="654"/>
      <c r="T211" s="654"/>
      <c r="U211" s="654"/>
    </row>
    <row r="212" spans="1:21" ht="14.25" customHeight="1">
      <c r="A212" s="1316"/>
      <c r="B212" s="1317"/>
      <c r="C212" s="1318"/>
      <c r="D212" s="1319"/>
      <c r="E212" s="1318"/>
      <c r="F212" s="1320">
        <f t="shared" si="31"/>
        <v>0</v>
      </c>
      <c r="G212" s="1319"/>
      <c r="H212" s="1318"/>
      <c r="I212" s="1320">
        <f t="shared" si="32"/>
        <v>0</v>
      </c>
      <c r="J212" s="1320">
        <f t="shared" si="25"/>
        <v>0</v>
      </c>
      <c r="K212" s="1320">
        <f t="shared" si="26"/>
        <v>0</v>
      </c>
      <c r="L212" s="1318"/>
      <c r="M212" s="1318"/>
      <c r="N212" s="1321">
        <f t="shared" si="27"/>
        <v>0</v>
      </c>
      <c r="O212" s="1322">
        <f t="shared" si="28"/>
        <v>0</v>
      </c>
      <c r="P212" s="2369">
        <f t="shared" si="29"/>
        <v>1900</v>
      </c>
      <c r="Q212" s="2369">
        <f t="shared" si="30"/>
        <v>1900</v>
      </c>
      <c r="R212" s="654"/>
      <c r="S212" s="654"/>
      <c r="T212" s="654"/>
      <c r="U212" s="654"/>
    </row>
    <row r="213" spans="1:21" ht="14.25" customHeight="1">
      <c r="A213" s="1316"/>
      <c r="B213" s="1317"/>
      <c r="C213" s="1318"/>
      <c r="D213" s="1319"/>
      <c r="E213" s="1318"/>
      <c r="F213" s="1320">
        <f t="shared" si="31"/>
        <v>0</v>
      </c>
      <c r="G213" s="1319"/>
      <c r="H213" s="1318"/>
      <c r="I213" s="1320">
        <f t="shared" si="32"/>
        <v>0</v>
      </c>
      <c r="J213" s="1320">
        <f t="shared" si="25"/>
        <v>0</v>
      </c>
      <c r="K213" s="1320">
        <f t="shared" si="26"/>
        <v>0</v>
      </c>
      <c r="L213" s="1318"/>
      <c r="M213" s="1318"/>
      <c r="N213" s="1321">
        <f t="shared" si="27"/>
        <v>0</v>
      </c>
      <c r="O213" s="1322">
        <f t="shared" si="28"/>
        <v>0</v>
      </c>
      <c r="P213" s="2369">
        <f t="shared" si="29"/>
        <v>1900</v>
      </c>
      <c r="Q213" s="2369">
        <f t="shared" si="30"/>
        <v>1900</v>
      </c>
      <c r="R213" s="654"/>
      <c r="S213" s="654"/>
      <c r="T213" s="654"/>
      <c r="U213" s="654"/>
    </row>
    <row r="214" spans="1:21" ht="14.25" customHeight="1">
      <c r="A214" s="1316"/>
      <c r="B214" s="1317"/>
      <c r="C214" s="1318"/>
      <c r="D214" s="1319"/>
      <c r="E214" s="1318"/>
      <c r="F214" s="1320">
        <f t="shared" si="31"/>
        <v>0</v>
      </c>
      <c r="G214" s="1319"/>
      <c r="H214" s="1318"/>
      <c r="I214" s="1320">
        <f t="shared" si="32"/>
        <v>0</v>
      </c>
      <c r="J214" s="1320">
        <f t="shared" si="25"/>
        <v>0</v>
      </c>
      <c r="K214" s="1320">
        <f t="shared" si="26"/>
        <v>0</v>
      </c>
      <c r="L214" s="1318"/>
      <c r="M214" s="1318"/>
      <c r="N214" s="1321">
        <f t="shared" si="27"/>
        <v>0</v>
      </c>
      <c r="O214" s="1322">
        <f t="shared" si="28"/>
        <v>0</v>
      </c>
      <c r="P214" s="2369">
        <f t="shared" si="29"/>
        <v>1900</v>
      </c>
      <c r="Q214" s="2369">
        <f t="shared" si="30"/>
        <v>1900</v>
      </c>
      <c r="R214" s="654"/>
      <c r="S214" s="654"/>
      <c r="T214" s="654"/>
      <c r="U214" s="654"/>
    </row>
    <row r="215" spans="1:21" ht="14.25" customHeight="1">
      <c r="A215" s="1316"/>
      <c r="B215" s="1317"/>
      <c r="C215" s="1318"/>
      <c r="D215" s="1319"/>
      <c r="E215" s="1318"/>
      <c r="F215" s="1320">
        <f t="shared" si="31"/>
        <v>0</v>
      </c>
      <c r="G215" s="1319"/>
      <c r="H215" s="1318"/>
      <c r="I215" s="1320">
        <f t="shared" si="32"/>
        <v>0</v>
      </c>
      <c r="J215" s="1320">
        <f t="shared" si="25"/>
        <v>0</v>
      </c>
      <c r="K215" s="1320">
        <f t="shared" si="26"/>
        <v>0</v>
      </c>
      <c r="L215" s="1318"/>
      <c r="M215" s="1318"/>
      <c r="N215" s="1321">
        <f t="shared" si="27"/>
        <v>0</v>
      </c>
      <c r="O215" s="1322">
        <f t="shared" si="28"/>
        <v>0</v>
      </c>
      <c r="P215" s="2369">
        <f t="shared" si="29"/>
        <v>1900</v>
      </c>
      <c r="Q215" s="2369">
        <f t="shared" si="30"/>
        <v>1900</v>
      </c>
      <c r="R215" s="654"/>
      <c r="S215" s="654"/>
      <c r="T215" s="654"/>
      <c r="U215" s="654"/>
    </row>
    <row r="216" spans="1:21" ht="14.25" customHeight="1">
      <c r="A216" s="1316"/>
      <c r="B216" s="1317"/>
      <c r="C216" s="1318"/>
      <c r="D216" s="1319"/>
      <c r="E216" s="1318"/>
      <c r="F216" s="1320">
        <f t="shared" si="31"/>
        <v>0</v>
      </c>
      <c r="G216" s="1319"/>
      <c r="H216" s="1318"/>
      <c r="I216" s="1320">
        <f t="shared" si="32"/>
        <v>0</v>
      </c>
      <c r="J216" s="1320">
        <f t="shared" si="25"/>
        <v>0</v>
      </c>
      <c r="K216" s="1320">
        <f t="shared" si="26"/>
        <v>0</v>
      </c>
      <c r="L216" s="1318"/>
      <c r="M216" s="1318"/>
      <c r="N216" s="1321">
        <f t="shared" si="27"/>
        <v>0</v>
      </c>
      <c r="O216" s="1322">
        <f t="shared" si="28"/>
        <v>0</v>
      </c>
      <c r="P216" s="2369">
        <f t="shared" si="29"/>
        <v>1900</v>
      </c>
      <c r="Q216" s="2369">
        <f t="shared" si="30"/>
        <v>1900</v>
      </c>
      <c r="R216" s="654"/>
      <c r="S216" s="654"/>
      <c r="T216" s="654"/>
      <c r="U216" s="654"/>
    </row>
    <row r="217" spans="1:21" ht="14.25" customHeight="1">
      <c r="A217" s="1316"/>
      <c r="B217" s="1317"/>
      <c r="C217" s="1318"/>
      <c r="D217" s="1319"/>
      <c r="E217" s="1318"/>
      <c r="F217" s="1320">
        <f t="shared" si="31"/>
        <v>0</v>
      </c>
      <c r="G217" s="1319"/>
      <c r="H217" s="1318"/>
      <c r="I217" s="1320">
        <f t="shared" si="32"/>
        <v>0</v>
      </c>
      <c r="J217" s="1320">
        <f t="shared" si="25"/>
        <v>0</v>
      </c>
      <c r="K217" s="1320">
        <f t="shared" si="26"/>
        <v>0</v>
      </c>
      <c r="L217" s="1318"/>
      <c r="M217" s="1318"/>
      <c r="N217" s="1321">
        <f t="shared" si="27"/>
        <v>0</v>
      </c>
      <c r="O217" s="1322">
        <f t="shared" si="28"/>
        <v>0</v>
      </c>
      <c r="P217" s="2369">
        <f t="shared" si="29"/>
        <v>1900</v>
      </c>
      <c r="Q217" s="2369">
        <f t="shared" si="30"/>
        <v>1900</v>
      </c>
      <c r="R217" s="654"/>
      <c r="S217" s="654"/>
      <c r="T217" s="654"/>
      <c r="U217" s="654"/>
    </row>
    <row r="218" spans="1:21" ht="14.25" customHeight="1">
      <c r="A218" s="1316"/>
      <c r="B218" s="1317"/>
      <c r="C218" s="1318"/>
      <c r="D218" s="1319"/>
      <c r="E218" s="1318"/>
      <c r="F218" s="1320">
        <f t="shared" si="31"/>
        <v>0</v>
      </c>
      <c r="G218" s="1319"/>
      <c r="H218" s="1318"/>
      <c r="I218" s="1320">
        <f t="shared" si="32"/>
        <v>0</v>
      </c>
      <c r="J218" s="1320">
        <f t="shared" si="25"/>
        <v>0</v>
      </c>
      <c r="K218" s="1320">
        <f t="shared" si="26"/>
        <v>0</v>
      </c>
      <c r="L218" s="1318"/>
      <c r="M218" s="1318"/>
      <c r="N218" s="1321">
        <f t="shared" si="27"/>
        <v>0</v>
      </c>
      <c r="O218" s="1322">
        <f t="shared" si="28"/>
        <v>0</v>
      </c>
      <c r="P218" s="2369">
        <f t="shared" si="29"/>
        <v>1900</v>
      </c>
      <c r="Q218" s="2369">
        <f t="shared" si="30"/>
        <v>1900</v>
      </c>
      <c r="R218" s="654"/>
      <c r="S218" s="654"/>
      <c r="T218" s="654"/>
      <c r="U218" s="654"/>
    </row>
    <row r="219" spans="1:21" ht="14.25" customHeight="1">
      <c r="A219" s="1316"/>
      <c r="B219" s="1317"/>
      <c r="C219" s="1318"/>
      <c r="D219" s="1319"/>
      <c r="E219" s="1318"/>
      <c r="F219" s="1320">
        <f t="shared" si="31"/>
        <v>0</v>
      </c>
      <c r="G219" s="1319"/>
      <c r="H219" s="1318"/>
      <c r="I219" s="1320">
        <f t="shared" si="32"/>
        <v>0</v>
      </c>
      <c r="J219" s="1320">
        <f t="shared" si="25"/>
        <v>0</v>
      </c>
      <c r="K219" s="1320">
        <f t="shared" si="26"/>
        <v>0</v>
      </c>
      <c r="L219" s="1318"/>
      <c r="M219" s="1318"/>
      <c r="N219" s="1321">
        <f t="shared" si="27"/>
        <v>0</v>
      </c>
      <c r="O219" s="1322">
        <f t="shared" si="28"/>
        <v>0</v>
      </c>
      <c r="P219" s="2369">
        <f t="shared" si="29"/>
        <v>1900</v>
      </c>
      <c r="Q219" s="2369">
        <f t="shared" si="30"/>
        <v>1900</v>
      </c>
      <c r="R219" s="654"/>
      <c r="S219" s="654"/>
      <c r="T219" s="654"/>
      <c r="U219" s="654"/>
    </row>
    <row r="220" spans="1:21" ht="14.25" customHeight="1">
      <c r="A220" s="1316"/>
      <c r="B220" s="1317"/>
      <c r="C220" s="1318"/>
      <c r="D220" s="1319"/>
      <c r="E220" s="1318"/>
      <c r="F220" s="1320">
        <f t="shared" si="31"/>
        <v>0</v>
      </c>
      <c r="G220" s="1319"/>
      <c r="H220" s="1318"/>
      <c r="I220" s="1320">
        <f t="shared" si="32"/>
        <v>0</v>
      </c>
      <c r="J220" s="1320">
        <f t="shared" si="25"/>
        <v>0</v>
      </c>
      <c r="K220" s="1320">
        <f t="shared" si="26"/>
        <v>0</v>
      </c>
      <c r="L220" s="1318"/>
      <c r="M220" s="1318"/>
      <c r="N220" s="1321">
        <f t="shared" si="27"/>
        <v>0</v>
      </c>
      <c r="O220" s="1322">
        <f t="shared" si="28"/>
        <v>0</v>
      </c>
      <c r="P220" s="2369">
        <f t="shared" si="29"/>
        <v>1900</v>
      </c>
      <c r="Q220" s="2369">
        <f t="shared" si="30"/>
        <v>1900</v>
      </c>
      <c r="R220" s="654"/>
      <c r="S220" s="654"/>
      <c r="T220" s="654"/>
      <c r="U220" s="654"/>
    </row>
    <row r="221" spans="1:21" ht="14.25" customHeight="1">
      <c r="A221" s="1316"/>
      <c r="B221" s="1317"/>
      <c r="C221" s="1318"/>
      <c r="D221" s="1319"/>
      <c r="E221" s="1318"/>
      <c r="F221" s="1320">
        <f t="shared" si="31"/>
        <v>0</v>
      </c>
      <c r="G221" s="1319"/>
      <c r="H221" s="1318"/>
      <c r="I221" s="1320">
        <f t="shared" si="32"/>
        <v>0</v>
      </c>
      <c r="J221" s="1320">
        <f t="shared" si="25"/>
        <v>0</v>
      </c>
      <c r="K221" s="1320">
        <f t="shared" si="26"/>
        <v>0</v>
      </c>
      <c r="L221" s="1318"/>
      <c r="M221" s="1318"/>
      <c r="N221" s="1321">
        <f t="shared" si="27"/>
        <v>0</v>
      </c>
      <c r="O221" s="1322">
        <f t="shared" si="28"/>
        <v>0</v>
      </c>
      <c r="P221" s="2369">
        <f t="shared" si="29"/>
        <v>1900</v>
      </c>
      <c r="Q221" s="2369">
        <f t="shared" si="30"/>
        <v>1900</v>
      </c>
      <c r="R221" s="654"/>
      <c r="S221" s="654"/>
      <c r="T221" s="654"/>
      <c r="U221" s="654"/>
    </row>
    <row r="222" spans="1:21" ht="14.25" customHeight="1">
      <c r="A222" s="1316"/>
      <c r="B222" s="1317"/>
      <c r="C222" s="1318"/>
      <c r="D222" s="1319"/>
      <c r="E222" s="1318"/>
      <c r="F222" s="1320">
        <f t="shared" si="31"/>
        <v>0</v>
      </c>
      <c r="G222" s="1319"/>
      <c r="H222" s="1318"/>
      <c r="I222" s="1320">
        <f t="shared" si="32"/>
        <v>0</v>
      </c>
      <c r="J222" s="1320">
        <f t="shared" si="25"/>
        <v>0</v>
      </c>
      <c r="K222" s="1320">
        <f t="shared" si="26"/>
        <v>0</v>
      </c>
      <c r="L222" s="1318"/>
      <c r="M222" s="1318"/>
      <c r="N222" s="1321">
        <f t="shared" si="27"/>
        <v>0</v>
      </c>
      <c r="O222" s="1322">
        <f t="shared" si="28"/>
        <v>0</v>
      </c>
      <c r="P222" s="2369">
        <f t="shared" si="29"/>
        <v>1900</v>
      </c>
      <c r="Q222" s="2369">
        <f t="shared" si="30"/>
        <v>1900</v>
      </c>
      <c r="R222" s="654"/>
      <c r="S222" s="654"/>
      <c r="T222" s="654"/>
      <c r="U222" s="654"/>
    </row>
    <row r="223" spans="1:21" ht="14.25" customHeight="1">
      <c r="A223" s="1316"/>
      <c r="B223" s="1317"/>
      <c r="C223" s="1318"/>
      <c r="D223" s="1319"/>
      <c r="E223" s="1318"/>
      <c r="F223" s="1320">
        <f t="shared" si="31"/>
        <v>0</v>
      </c>
      <c r="G223" s="1319"/>
      <c r="H223" s="1318"/>
      <c r="I223" s="1320">
        <f t="shared" si="32"/>
        <v>0</v>
      </c>
      <c r="J223" s="1320">
        <f t="shared" si="25"/>
        <v>0</v>
      </c>
      <c r="K223" s="1320">
        <f t="shared" si="26"/>
        <v>0</v>
      </c>
      <c r="L223" s="1318"/>
      <c r="M223" s="1318"/>
      <c r="N223" s="1321">
        <f t="shared" si="27"/>
        <v>0</v>
      </c>
      <c r="O223" s="1322">
        <f t="shared" si="28"/>
        <v>0</v>
      </c>
      <c r="P223" s="2369">
        <f t="shared" si="29"/>
        <v>1900</v>
      </c>
      <c r="Q223" s="2369">
        <f t="shared" si="30"/>
        <v>1900</v>
      </c>
      <c r="R223" s="654"/>
      <c r="S223" s="654"/>
      <c r="T223" s="654"/>
      <c r="U223" s="654"/>
    </row>
    <row r="224" spans="1:21" ht="14.25" customHeight="1">
      <c r="A224" s="1316"/>
      <c r="B224" s="1317"/>
      <c r="C224" s="1318"/>
      <c r="D224" s="1319"/>
      <c r="E224" s="1318"/>
      <c r="F224" s="1320">
        <f t="shared" si="31"/>
        <v>0</v>
      </c>
      <c r="G224" s="1319"/>
      <c r="H224" s="1318"/>
      <c r="I224" s="1320">
        <f t="shared" si="32"/>
        <v>0</v>
      </c>
      <c r="J224" s="1320">
        <f t="shared" si="25"/>
        <v>0</v>
      </c>
      <c r="K224" s="1320">
        <f t="shared" si="26"/>
        <v>0</v>
      </c>
      <c r="L224" s="1318"/>
      <c r="M224" s="1318"/>
      <c r="N224" s="1321">
        <f t="shared" si="27"/>
        <v>0</v>
      </c>
      <c r="O224" s="1322">
        <f t="shared" si="28"/>
        <v>0</v>
      </c>
      <c r="P224" s="2369">
        <f t="shared" si="29"/>
        <v>1900</v>
      </c>
      <c r="Q224" s="2369">
        <f t="shared" si="30"/>
        <v>1900</v>
      </c>
      <c r="R224" s="654"/>
      <c r="S224" s="654"/>
      <c r="T224" s="654"/>
      <c r="U224" s="654"/>
    </row>
    <row r="225" spans="1:21" ht="14.25" customHeight="1">
      <c r="A225" s="1316"/>
      <c r="B225" s="1317"/>
      <c r="C225" s="1318"/>
      <c r="D225" s="1319"/>
      <c r="E225" s="1318"/>
      <c r="F225" s="1320">
        <f t="shared" si="31"/>
        <v>0</v>
      </c>
      <c r="G225" s="1319"/>
      <c r="H225" s="1318"/>
      <c r="I225" s="1320">
        <f t="shared" si="32"/>
        <v>0</v>
      </c>
      <c r="J225" s="1320">
        <f t="shared" si="25"/>
        <v>0</v>
      </c>
      <c r="K225" s="1320">
        <f t="shared" si="26"/>
        <v>0</v>
      </c>
      <c r="L225" s="1318"/>
      <c r="M225" s="1318"/>
      <c r="N225" s="1321">
        <f t="shared" si="27"/>
        <v>0</v>
      </c>
      <c r="O225" s="1322">
        <f t="shared" si="28"/>
        <v>0</v>
      </c>
      <c r="P225" s="2369">
        <f t="shared" si="29"/>
        <v>1900</v>
      </c>
      <c r="Q225" s="2369">
        <f t="shared" si="30"/>
        <v>1900</v>
      </c>
      <c r="R225" s="654"/>
      <c r="S225" s="654"/>
      <c r="T225" s="654"/>
      <c r="U225" s="654"/>
    </row>
    <row r="226" spans="1:21" ht="14.25" customHeight="1">
      <c r="A226" s="1316"/>
      <c r="B226" s="1317"/>
      <c r="C226" s="1318"/>
      <c r="D226" s="1319"/>
      <c r="E226" s="1318"/>
      <c r="F226" s="1320">
        <f t="shared" si="31"/>
        <v>0</v>
      </c>
      <c r="G226" s="1319"/>
      <c r="H226" s="1318"/>
      <c r="I226" s="1320">
        <f t="shared" si="32"/>
        <v>0</v>
      </c>
      <c r="J226" s="1320">
        <f t="shared" si="25"/>
        <v>0</v>
      </c>
      <c r="K226" s="1320">
        <f t="shared" si="26"/>
        <v>0</v>
      </c>
      <c r="L226" s="1318"/>
      <c r="M226" s="1318"/>
      <c r="N226" s="1321">
        <f t="shared" si="27"/>
        <v>0</v>
      </c>
      <c r="O226" s="1322">
        <f t="shared" si="28"/>
        <v>0</v>
      </c>
      <c r="P226" s="2369">
        <f t="shared" si="29"/>
        <v>1900</v>
      </c>
      <c r="Q226" s="2369">
        <f t="shared" si="30"/>
        <v>1900</v>
      </c>
      <c r="R226" s="654"/>
      <c r="S226" s="654"/>
      <c r="T226" s="654"/>
      <c r="U226" s="654"/>
    </row>
    <row r="227" spans="1:21" ht="14.25" customHeight="1">
      <c r="A227" s="1316"/>
      <c r="B227" s="1317"/>
      <c r="C227" s="1318"/>
      <c r="D227" s="1319"/>
      <c r="E227" s="1318"/>
      <c r="F227" s="1320">
        <f t="shared" si="31"/>
        <v>0</v>
      </c>
      <c r="G227" s="1319"/>
      <c r="H227" s="1318"/>
      <c r="I227" s="1320">
        <f t="shared" si="32"/>
        <v>0</v>
      </c>
      <c r="J227" s="1320">
        <f t="shared" si="25"/>
        <v>0</v>
      </c>
      <c r="K227" s="1320">
        <f t="shared" si="26"/>
        <v>0</v>
      </c>
      <c r="L227" s="1318"/>
      <c r="M227" s="1318"/>
      <c r="N227" s="1321">
        <f t="shared" si="27"/>
        <v>0</v>
      </c>
      <c r="O227" s="1322">
        <f t="shared" si="28"/>
        <v>0</v>
      </c>
      <c r="P227" s="2369">
        <f t="shared" si="29"/>
        <v>1900</v>
      </c>
      <c r="Q227" s="2369">
        <f t="shared" si="30"/>
        <v>1900</v>
      </c>
      <c r="R227" s="654"/>
      <c r="S227" s="654"/>
      <c r="T227" s="654"/>
      <c r="U227" s="654"/>
    </row>
    <row r="228" spans="1:21" ht="14.25" customHeight="1">
      <c r="A228" s="1316"/>
      <c r="B228" s="1317"/>
      <c r="C228" s="1318"/>
      <c r="D228" s="1319"/>
      <c r="E228" s="1318"/>
      <c r="F228" s="1320">
        <f t="shared" si="31"/>
        <v>0</v>
      </c>
      <c r="G228" s="1319"/>
      <c r="H228" s="1318"/>
      <c r="I228" s="1320">
        <f t="shared" si="32"/>
        <v>0</v>
      </c>
      <c r="J228" s="1320">
        <f t="shared" si="25"/>
        <v>0</v>
      </c>
      <c r="K228" s="1320">
        <f t="shared" si="26"/>
        <v>0</v>
      </c>
      <c r="L228" s="1318"/>
      <c r="M228" s="1318"/>
      <c r="N228" s="1321">
        <f t="shared" si="27"/>
        <v>0</v>
      </c>
      <c r="O228" s="1322">
        <f t="shared" si="28"/>
        <v>0</v>
      </c>
      <c r="P228" s="2369">
        <f t="shared" si="29"/>
        <v>1900</v>
      </c>
      <c r="Q228" s="2369">
        <f t="shared" si="30"/>
        <v>1900</v>
      </c>
      <c r="R228" s="654"/>
      <c r="S228" s="654"/>
      <c r="T228" s="654"/>
      <c r="U228" s="654"/>
    </row>
    <row r="229" spans="1:21" ht="14.25" customHeight="1">
      <c r="A229" s="1316"/>
      <c r="B229" s="1317"/>
      <c r="C229" s="1318"/>
      <c r="D229" s="1319"/>
      <c r="E229" s="1318"/>
      <c r="F229" s="1320">
        <f t="shared" si="31"/>
        <v>0</v>
      </c>
      <c r="G229" s="1319"/>
      <c r="H229" s="1318"/>
      <c r="I229" s="1320">
        <f t="shared" si="32"/>
        <v>0</v>
      </c>
      <c r="J229" s="1320">
        <f t="shared" si="25"/>
        <v>0</v>
      </c>
      <c r="K229" s="1320">
        <f t="shared" si="26"/>
        <v>0</v>
      </c>
      <c r="L229" s="1318"/>
      <c r="M229" s="1318"/>
      <c r="N229" s="1321">
        <f t="shared" si="27"/>
        <v>0</v>
      </c>
      <c r="O229" s="1322">
        <f t="shared" si="28"/>
        <v>0</v>
      </c>
      <c r="P229" s="2369">
        <f t="shared" si="29"/>
        <v>1900</v>
      </c>
      <c r="Q229" s="2369">
        <f t="shared" si="30"/>
        <v>1900</v>
      </c>
      <c r="R229" s="654"/>
      <c r="S229" s="654"/>
      <c r="T229" s="654"/>
      <c r="U229" s="654"/>
    </row>
    <row r="230" spans="1:21" ht="14.25" customHeight="1">
      <c r="A230" s="1316"/>
      <c r="B230" s="1317"/>
      <c r="C230" s="1318"/>
      <c r="D230" s="1319"/>
      <c r="E230" s="1318"/>
      <c r="F230" s="1320">
        <f t="shared" si="31"/>
        <v>0</v>
      </c>
      <c r="G230" s="1319"/>
      <c r="H230" s="1318"/>
      <c r="I230" s="1320">
        <f t="shared" si="32"/>
        <v>0</v>
      </c>
      <c r="J230" s="1320">
        <f t="shared" si="25"/>
        <v>0</v>
      </c>
      <c r="K230" s="1320">
        <f t="shared" si="26"/>
        <v>0</v>
      </c>
      <c r="L230" s="1318"/>
      <c r="M230" s="1318"/>
      <c r="N230" s="1321">
        <f t="shared" si="27"/>
        <v>0</v>
      </c>
      <c r="O230" s="1322">
        <f t="shared" si="28"/>
        <v>0</v>
      </c>
      <c r="P230" s="2369">
        <f t="shared" si="29"/>
        <v>1900</v>
      </c>
      <c r="Q230" s="2369">
        <f t="shared" si="30"/>
        <v>1900</v>
      </c>
      <c r="R230" s="654"/>
      <c r="S230" s="654"/>
      <c r="T230" s="654"/>
      <c r="U230" s="654"/>
    </row>
    <row r="231" spans="1:21" ht="14.25" customHeight="1">
      <c r="A231" s="1316"/>
      <c r="B231" s="1317"/>
      <c r="C231" s="1318"/>
      <c r="D231" s="1319"/>
      <c r="E231" s="1318"/>
      <c r="F231" s="1320">
        <f t="shared" si="31"/>
        <v>0</v>
      </c>
      <c r="G231" s="1319"/>
      <c r="H231" s="1318"/>
      <c r="I231" s="1320">
        <f t="shared" si="32"/>
        <v>0</v>
      </c>
      <c r="J231" s="1320">
        <f t="shared" si="25"/>
        <v>0</v>
      </c>
      <c r="K231" s="1320">
        <f t="shared" si="26"/>
        <v>0</v>
      </c>
      <c r="L231" s="1318"/>
      <c r="M231" s="1318"/>
      <c r="N231" s="1321">
        <f t="shared" si="27"/>
        <v>0</v>
      </c>
      <c r="O231" s="1322">
        <f t="shared" si="28"/>
        <v>0</v>
      </c>
      <c r="P231" s="2369">
        <f t="shared" si="29"/>
        <v>1900</v>
      </c>
      <c r="Q231" s="2369">
        <f t="shared" si="30"/>
        <v>1900</v>
      </c>
      <c r="R231" s="654"/>
      <c r="S231" s="654"/>
      <c r="T231" s="654"/>
      <c r="U231" s="654"/>
    </row>
    <row r="232" spans="1:21" ht="14.25" customHeight="1">
      <c r="A232" s="1316"/>
      <c r="B232" s="1317"/>
      <c r="C232" s="1318"/>
      <c r="D232" s="1319"/>
      <c r="E232" s="1318"/>
      <c r="F232" s="1320">
        <f t="shared" si="31"/>
        <v>0</v>
      </c>
      <c r="G232" s="1319"/>
      <c r="H232" s="1318"/>
      <c r="I232" s="1320">
        <f t="shared" si="32"/>
        <v>0</v>
      </c>
      <c r="J232" s="1320">
        <f t="shared" si="25"/>
        <v>0</v>
      </c>
      <c r="K232" s="1320">
        <f t="shared" si="26"/>
        <v>0</v>
      </c>
      <c r="L232" s="1318"/>
      <c r="M232" s="1318"/>
      <c r="N232" s="1321">
        <f t="shared" si="27"/>
        <v>0</v>
      </c>
      <c r="O232" s="1322">
        <f t="shared" si="28"/>
        <v>0</v>
      </c>
      <c r="P232" s="2369">
        <f t="shared" si="29"/>
        <v>1900</v>
      </c>
      <c r="Q232" s="2369">
        <f t="shared" si="30"/>
        <v>1900</v>
      </c>
      <c r="R232" s="654"/>
      <c r="S232" s="654"/>
      <c r="T232" s="654"/>
      <c r="U232" s="654"/>
    </row>
    <row r="233" spans="1:21" ht="14.25" customHeight="1">
      <c r="A233" s="1316"/>
      <c r="B233" s="1317"/>
      <c r="C233" s="1318"/>
      <c r="D233" s="1319"/>
      <c r="E233" s="1318"/>
      <c r="F233" s="1320">
        <f t="shared" si="31"/>
        <v>0</v>
      </c>
      <c r="G233" s="1319"/>
      <c r="H233" s="1318"/>
      <c r="I233" s="1320">
        <f t="shared" si="32"/>
        <v>0</v>
      </c>
      <c r="J233" s="1320">
        <f t="shared" si="25"/>
        <v>0</v>
      </c>
      <c r="K233" s="1320">
        <f t="shared" si="26"/>
        <v>0</v>
      </c>
      <c r="L233" s="1318"/>
      <c r="M233" s="1318"/>
      <c r="N233" s="1321">
        <f t="shared" si="27"/>
        <v>0</v>
      </c>
      <c r="O233" s="1322">
        <f t="shared" si="28"/>
        <v>0</v>
      </c>
      <c r="P233" s="2369">
        <f t="shared" si="29"/>
        <v>1900</v>
      </c>
      <c r="Q233" s="2369">
        <f t="shared" si="30"/>
        <v>1900</v>
      </c>
      <c r="R233" s="654"/>
      <c r="S233" s="654"/>
      <c r="T233" s="654"/>
      <c r="U233" s="654"/>
    </row>
    <row r="234" spans="1:21" ht="14.25" customHeight="1">
      <c r="A234" s="1316"/>
      <c r="B234" s="1317"/>
      <c r="C234" s="1318"/>
      <c r="D234" s="1319"/>
      <c r="E234" s="1318"/>
      <c r="F234" s="1320">
        <f t="shared" si="31"/>
        <v>0</v>
      </c>
      <c r="G234" s="1319"/>
      <c r="H234" s="1318"/>
      <c r="I234" s="1320">
        <f t="shared" si="32"/>
        <v>0</v>
      </c>
      <c r="J234" s="1320">
        <f t="shared" si="25"/>
        <v>0</v>
      </c>
      <c r="K234" s="1320">
        <f t="shared" si="26"/>
        <v>0</v>
      </c>
      <c r="L234" s="1318"/>
      <c r="M234" s="1318"/>
      <c r="N234" s="1321">
        <f t="shared" si="27"/>
        <v>0</v>
      </c>
      <c r="O234" s="1322">
        <f t="shared" si="28"/>
        <v>0</v>
      </c>
      <c r="P234" s="2369">
        <f t="shared" si="29"/>
        <v>1900</v>
      </c>
      <c r="Q234" s="2369">
        <f t="shared" si="30"/>
        <v>1900</v>
      </c>
      <c r="R234" s="654"/>
      <c r="S234" s="654"/>
      <c r="T234" s="654"/>
      <c r="U234" s="654"/>
    </row>
    <row r="235" spans="1:21" ht="14.25" customHeight="1">
      <c r="A235" s="1316"/>
      <c r="B235" s="1317"/>
      <c r="C235" s="1318"/>
      <c r="D235" s="1319"/>
      <c r="E235" s="1318"/>
      <c r="F235" s="1320">
        <f t="shared" si="31"/>
        <v>0</v>
      </c>
      <c r="G235" s="1319"/>
      <c r="H235" s="1318"/>
      <c r="I235" s="1320">
        <f t="shared" si="32"/>
        <v>0</v>
      </c>
      <c r="J235" s="1320">
        <f t="shared" si="25"/>
        <v>0</v>
      </c>
      <c r="K235" s="1320">
        <f t="shared" si="26"/>
        <v>0</v>
      </c>
      <c r="L235" s="1318"/>
      <c r="M235" s="1318"/>
      <c r="N235" s="1321">
        <f t="shared" si="27"/>
        <v>0</v>
      </c>
      <c r="O235" s="1322">
        <f t="shared" si="28"/>
        <v>0</v>
      </c>
      <c r="P235" s="2369">
        <f t="shared" si="29"/>
        <v>1900</v>
      </c>
      <c r="Q235" s="2369">
        <f t="shared" si="30"/>
        <v>1900</v>
      </c>
      <c r="R235" s="654"/>
      <c r="S235" s="654"/>
      <c r="T235" s="654"/>
      <c r="U235" s="654"/>
    </row>
    <row r="236" spans="1:21" ht="14.25" customHeight="1">
      <c r="A236" s="1316"/>
      <c r="B236" s="1317"/>
      <c r="C236" s="1318"/>
      <c r="D236" s="1319"/>
      <c r="E236" s="1318"/>
      <c r="F236" s="1320">
        <f t="shared" si="31"/>
        <v>0</v>
      </c>
      <c r="G236" s="1319"/>
      <c r="H236" s="1318"/>
      <c r="I236" s="1320">
        <f t="shared" si="32"/>
        <v>0</v>
      </c>
      <c r="J236" s="1320">
        <f t="shared" si="25"/>
        <v>0</v>
      </c>
      <c r="K236" s="1320">
        <f t="shared" si="26"/>
        <v>0</v>
      </c>
      <c r="L236" s="1318"/>
      <c r="M236" s="1318"/>
      <c r="N236" s="1321">
        <f t="shared" si="27"/>
        <v>0</v>
      </c>
      <c r="O236" s="1322">
        <f t="shared" si="28"/>
        <v>0</v>
      </c>
      <c r="P236" s="2369">
        <f t="shared" si="29"/>
        <v>1900</v>
      </c>
      <c r="Q236" s="2369">
        <f t="shared" si="30"/>
        <v>1900</v>
      </c>
      <c r="R236" s="654"/>
      <c r="S236" s="654"/>
      <c r="T236" s="654"/>
      <c r="U236" s="654"/>
    </row>
    <row r="237" spans="1:21" ht="14.25" customHeight="1">
      <c r="A237" s="1316"/>
      <c r="B237" s="1317"/>
      <c r="C237" s="1318"/>
      <c r="D237" s="1319"/>
      <c r="E237" s="1318"/>
      <c r="F237" s="1320">
        <f t="shared" si="31"/>
        <v>0</v>
      </c>
      <c r="G237" s="1319"/>
      <c r="H237" s="1318"/>
      <c r="I237" s="1320">
        <f t="shared" si="32"/>
        <v>0</v>
      </c>
      <c r="J237" s="1320">
        <f t="shared" si="25"/>
        <v>0</v>
      </c>
      <c r="K237" s="1320">
        <f t="shared" si="26"/>
        <v>0</v>
      </c>
      <c r="L237" s="1318"/>
      <c r="M237" s="1318"/>
      <c r="N237" s="1321">
        <f t="shared" si="27"/>
        <v>0</v>
      </c>
      <c r="O237" s="1322">
        <f t="shared" si="28"/>
        <v>0</v>
      </c>
      <c r="P237" s="2369">
        <f t="shared" si="29"/>
        <v>1900</v>
      </c>
      <c r="Q237" s="2369">
        <f t="shared" si="30"/>
        <v>1900</v>
      </c>
      <c r="R237" s="654"/>
      <c r="S237" s="654"/>
      <c r="T237" s="654"/>
      <c r="U237" s="654"/>
    </row>
    <row r="238" spans="1:21" ht="14.25" customHeight="1">
      <c r="A238" s="1316"/>
      <c r="B238" s="1317"/>
      <c r="C238" s="1318"/>
      <c r="D238" s="1319"/>
      <c r="E238" s="1318"/>
      <c r="F238" s="1320">
        <f t="shared" si="31"/>
        <v>0</v>
      </c>
      <c r="G238" s="1319"/>
      <c r="H238" s="1318"/>
      <c r="I238" s="1320">
        <f t="shared" si="32"/>
        <v>0</v>
      </c>
      <c r="J238" s="1320">
        <f t="shared" si="25"/>
        <v>0</v>
      </c>
      <c r="K238" s="1320">
        <f t="shared" si="26"/>
        <v>0</v>
      </c>
      <c r="L238" s="1318"/>
      <c r="M238" s="1318"/>
      <c r="N238" s="1321">
        <f t="shared" si="27"/>
        <v>0</v>
      </c>
      <c r="O238" s="1322">
        <f t="shared" si="28"/>
        <v>0</v>
      </c>
      <c r="P238" s="2369">
        <f t="shared" si="29"/>
        <v>1900</v>
      </c>
      <c r="Q238" s="2369">
        <f t="shared" si="30"/>
        <v>1900</v>
      </c>
      <c r="R238" s="654"/>
      <c r="S238" s="654"/>
      <c r="T238" s="654"/>
      <c r="U238" s="654"/>
    </row>
    <row r="239" spans="1:21" ht="14.25" customHeight="1">
      <c r="A239" s="1316"/>
      <c r="B239" s="1317"/>
      <c r="C239" s="1318"/>
      <c r="D239" s="1319"/>
      <c r="E239" s="1318"/>
      <c r="F239" s="1320">
        <f t="shared" si="31"/>
        <v>0</v>
      </c>
      <c r="G239" s="1319"/>
      <c r="H239" s="1318"/>
      <c r="I239" s="1320">
        <f t="shared" si="32"/>
        <v>0</v>
      </c>
      <c r="J239" s="1320">
        <f t="shared" si="25"/>
        <v>0</v>
      </c>
      <c r="K239" s="1320">
        <f t="shared" si="26"/>
        <v>0</v>
      </c>
      <c r="L239" s="1318"/>
      <c r="M239" s="1318"/>
      <c r="N239" s="1321">
        <f t="shared" si="27"/>
        <v>0</v>
      </c>
      <c r="O239" s="1322">
        <f t="shared" si="28"/>
        <v>0</v>
      </c>
      <c r="P239" s="2369">
        <f t="shared" si="29"/>
        <v>1900</v>
      </c>
      <c r="Q239" s="2369">
        <f t="shared" si="30"/>
        <v>1900</v>
      </c>
      <c r="R239" s="654"/>
      <c r="S239" s="654"/>
      <c r="T239" s="654"/>
      <c r="U239" s="654"/>
    </row>
    <row r="240" spans="1:21" ht="14.25" customHeight="1">
      <c r="A240" s="1316"/>
      <c r="B240" s="1317"/>
      <c r="C240" s="1318"/>
      <c r="D240" s="1319"/>
      <c r="E240" s="1318"/>
      <c r="F240" s="1320">
        <f t="shared" si="31"/>
        <v>0</v>
      </c>
      <c r="G240" s="1319"/>
      <c r="H240" s="1318"/>
      <c r="I240" s="1320">
        <f t="shared" si="32"/>
        <v>0</v>
      </c>
      <c r="J240" s="1320">
        <f t="shared" si="25"/>
        <v>0</v>
      </c>
      <c r="K240" s="1320">
        <f t="shared" si="26"/>
        <v>0</v>
      </c>
      <c r="L240" s="1318"/>
      <c r="M240" s="1318"/>
      <c r="N240" s="1321">
        <f t="shared" si="27"/>
        <v>0</v>
      </c>
      <c r="O240" s="1322">
        <f t="shared" si="28"/>
        <v>0</v>
      </c>
      <c r="P240" s="2369">
        <f t="shared" si="29"/>
        <v>1900</v>
      </c>
      <c r="Q240" s="2369">
        <f t="shared" si="30"/>
        <v>1900</v>
      </c>
      <c r="R240" s="654"/>
      <c r="S240" s="654"/>
      <c r="T240" s="654"/>
      <c r="U240" s="654"/>
    </row>
    <row r="241" spans="1:21" ht="14.25" customHeight="1">
      <c r="A241" s="1316"/>
      <c r="B241" s="1317"/>
      <c r="C241" s="1318"/>
      <c r="D241" s="1319"/>
      <c r="E241" s="1318"/>
      <c r="F241" s="1320">
        <f t="shared" si="31"/>
        <v>0</v>
      </c>
      <c r="G241" s="1319"/>
      <c r="H241" s="1318"/>
      <c r="I241" s="1320">
        <f t="shared" si="32"/>
        <v>0</v>
      </c>
      <c r="J241" s="1320">
        <f t="shared" si="25"/>
        <v>0</v>
      </c>
      <c r="K241" s="1320">
        <f t="shared" si="26"/>
        <v>0</v>
      </c>
      <c r="L241" s="1318"/>
      <c r="M241" s="1318"/>
      <c r="N241" s="1321">
        <f t="shared" si="27"/>
        <v>0</v>
      </c>
      <c r="O241" s="1322">
        <f t="shared" si="28"/>
        <v>0</v>
      </c>
      <c r="P241" s="2369">
        <f t="shared" si="29"/>
        <v>1900</v>
      </c>
      <c r="Q241" s="2369">
        <f t="shared" si="30"/>
        <v>1900</v>
      </c>
      <c r="R241" s="654"/>
      <c r="S241" s="654"/>
      <c r="T241" s="654"/>
      <c r="U241" s="654"/>
    </row>
    <row r="242" spans="1:21" ht="14.25" customHeight="1">
      <c r="A242" s="1316"/>
      <c r="B242" s="1317"/>
      <c r="C242" s="1318"/>
      <c r="D242" s="1319"/>
      <c r="E242" s="1318"/>
      <c r="F242" s="1320">
        <f t="shared" si="31"/>
        <v>0</v>
      </c>
      <c r="G242" s="1319"/>
      <c r="H242" s="1318"/>
      <c r="I242" s="1320">
        <f t="shared" si="32"/>
        <v>0</v>
      </c>
      <c r="J242" s="1320">
        <f t="shared" si="25"/>
        <v>0</v>
      </c>
      <c r="K242" s="1320">
        <f t="shared" si="26"/>
        <v>0</v>
      </c>
      <c r="L242" s="1318"/>
      <c r="M242" s="1318"/>
      <c r="N242" s="1321">
        <f t="shared" si="27"/>
        <v>0</v>
      </c>
      <c r="O242" s="1322">
        <f t="shared" si="28"/>
        <v>0</v>
      </c>
      <c r="P242" s="2369">
        <f t="shared" si="29"/>
        <v>1900</v>
      </c>
      <c r="Q242" s="2369">
        <f t="shared" si="30"/>
        <v>1900</v>
      </c>
      <c r="R242" s="654"/>
      <c r="S242" s="654"/>
      <c r="T242" s="654"/>
      <c r="U242" s="654"/>
    </row>
    <row r="243" spans="1:21" ht="14.25" customHeight="1">
      <c r="A243" s="1316"/>
      <c r="B243" s="1317"/>
      <c r="C243" s="1318"/>
      <c r="D243" s="1319"/>
      <c r="E243" s="1318"/>
      <c r="F243" s="1320">
        <f t="shared" si="31"/>
        <v>0</v>
      </c>
      <c r="G243" s="1319"/>
      <c r="H243" s="1318"/>
      <c r="I243" s="1320">
        <f t="shared" si="32"/>
        <v>0</v>
      </c>
      <c r="J243" s="1320">
        <f t="shared" si="25"/>
        <v>0</v>
      </c>
      <c r="K243" s="1320">
        <f t="shared" si="26"/>
        <v>0</v>
      </c>
      <c r="L243" s="1318"/>
      <c r="M243" s="1318"/>
      <c r="N243" s="1321">
        <f t="shared" si="27"/>
        <v>0</v>
      </c>
      <c r="O243" s="1322">
        <f t="shared" si="28"/>
        <v>0</v>
      </c>
      <c r="P243" s="2369">
        <f t="shared" si="29"/>
        <v>1900</v>
      </c>
      <c r="Q243" s="2369">
        <f t="shared" si="30"/>
        <v>1900</v>
      </c>
      <c r="R243" s="654"/>
      <c r="S243" s="654"/>
      <c r="T243" s="654"/>
      <c r="U243" s="654"/>
    </row>
    <row r="244" spans="1:21" ht="14.25" customHeight="1">
      <c r="A244" s="1316"/>
      <c r="B244" s="1317"/>
      <c r="C244" s="1318"/>
      <c r="D244" s="1319"/>
      <c r="E244" s="1318"/>
      <c r="F244" s="1320">
        <f t="shared" si="31"/>
        <v>0</v>
      </c>
      <c r="G244" s="1319"/>
      <c r="H244" s="1318"/>
      <c r="I244" s="1320">
        <f t="shared" si="32"/>
        <v>0</v>
      </c>
      <c r="J244" s="1320">
        <f t="shared" si="25"/>
        <v>0</v>
      </c>
      <c r="K244" s="1320">
        <f t="shared" si="26"/>
        <v>0</v>
      </c>
      <c r="L244" s="1318"/>
      <c r="M244" s="1318"/>
      <c r="N244" s="1321">
        <f t="shared" si="27"/>
        <v>0</v>
      </c>
      <c r="O244" s="1322">
        <f t="shared" si="28"/>
        <v>0</v>
      </c>
      <c r="P244" s="2369">
        <f t="shared" si="29"/>
        <v>1900</v>
      </c>
      <c r="Q244" s="2369">
        <f t="shared" si="30"/>
        <v>1900</v>
      </c>
      <c r="R244" s="654"/>
      <c r="S244" s="654"/>
      <c r="T244" s="654"/>
      <c r="U244" s="654"/>
    </row>
    <row r="245" spans="1:21" ht="14.25" customHeight="1">
      <c r="A245" s="1316"/>
      <c r="B245" s="1317"/>
      <c r="C245" s="1318"/>
      <c r="D245" s="1319"/>
      <c r="E245" s="1318"/>
      <c r="F245" s="1320">
        <f t="shared" si="31"/>
        <v>0</v>
      </c>
      <c r="G245" s="1319"/>
      <c r="H245" s="1318"/>
      <c r="I245" s="1320">
        <f t="shared" si="32"/>
        <v>0</v>
      </c>
      <c r="J245" s="1320">
        <f t="shared" si="25"/>
        <v>0</v>
      </c>
      <c r="K245" s="1320">
        <f t="shared" si="26"/>
        <v>0</v>
      </c>
      <c r="L245" s="1318"/>
      <c r="M245" s="1318"/>
      <c r="N245" s="1321">
        <f t="shared" si="27"/>
        <v>0</v>
      </c>
      <c r="O245" s="1322">
        <f t="shared" si="28"/>
        <v>0</v>
      </c>
      <c r="P245" s="2369">
        <f t="shared" si="29"/>
        <v>1900</v>
      </c>
      <c r="Q245" s="2369">
        <f t="shared" si="30"/>
        <v>1900</v>
      </c>
      <c r="R245" s="654"/>
      <c r="S245" s="654"/>
      <c r="T245" s="654"/>
      <c r="U245" s="654"/>
    </row>
    <row r="246" spans="1:21" ht="14.25" customHeight="1">
      <c r="A246" s="1316"/>
      <c r="B246" s="1317"/>
      <c r="C246" s="1318"/>
      <c r="D246" s="1319"/>
      <c r="E246" s="1318"/>
      <c r="F246" s="1320">
        <f t="shared" si="31"/>
        <v>0</v>
      </c>
      <c r="G246" s="1319"/>
      <c r="H246" s="1318"/>
      <c r="I246" s="1320">
        <f t="shared" si="32"/>
        <v>0</v>
      </c>
      <c r="J246" s="1320">
        <f t="shared" si="25"/>
        <v>0</v>
      </c>
      <c r="K246" s="1320">
        <f t="shared" si="26"/>
        <v>0</v>
      </c>
      <c r="L246" s="1318"/>
      <c r="M246" s="1318"/>
      <c r="N246" s="1321">
        <f t="shared" si="27"/>
        <v>0</v>
      </c>
      <c r="O246" s="1322">
        <f t="shared" si="28"/>
        <v>0</v>
      </c>
      <c r="P246" s="2369">
        <f t="shared" si="29"/>
        <v>1900</v>
      </c>
      <c r="Q246" s="2369">
        <f t="shared" si="30"/>
        <v>1900</v>
      </c>
      <c r="R246" s="654"/>
      <c r="S246" s="654"/>
      <c r="T246" s="654"/>
      <c r="U246" s="654"/>
    </row>
    <row r="247" spans="1:21" ht="14.25" customHeight="1">
      <c r="A247" s="1316"/>
      <c r="B247" s="1317"/>
      <c r="C247" s="1318"/>
      <c r="D247" s="1319"/>
      <c r="E247" s="1318"/>
      <c r="F247" s="1320">
        <f t="shared" si="31"/>
        <v>0</v>
      </c>
      <c r="G247" s="1319"/>
      <c r="H247" s="1318"/>
      <c r="I247" s="1320">
        <f t="shared" si="32"/>
        <v>0</v>
      </c>
      <c r="J247" s="1320">
        <f t="shared" si="25"/>
        <v>0</v>
      </c>
      <c r="K247" s="1320">
        <f t="shared" si="26"/>
        <v>0</v>
      </c>
      <c r="L247" s="1318"/>
      <c r="M247" s="1318"/>
      <c r="N247" s="1321">
        <f t="shared" si="27"/>
        <v>0</v>
      </c>
      <c r="O247" s="1322">
        <f t="shared" si="28"/>
        <v>0</v>
      </c>
      <c r="P247" s="2369">
        <f t="shared" si="29"/>
        <v>1900</v>
      </c>
      <c r="Q247" s="2369">
        <f t="shared" si="30"/>
        <v>1900</v>
      </c>
      <c r="R247" s="654"/>
      <c r="S247" s="654"/>
      <c r="T247" s="654"/>
      <c r="U247" s="654"/>
    </row>
    <row r="248" spans="1:21" ht="14.25" customHeight="1">
      <c r="A248" s="1316"/>
      <c r="B248" s="1317"/>
      <c r="C248" s="1318"/>
      <c r="D248" s="1319"/>
      <c r="E248" s="1318"/>
      <c r="F248" s="1320">
        <f t="shared" si="31"/>
        <v>0</v>
      </c>
      <c r="G248" s="1319"/>
      <c r="H248" s="1318"/>
      <c r="I248" s="1320">
        <f t="shared" si="32"/>
        <v>0</v>
      </c>
      <c r="J248" s="1320">
        <f t="shared" si="25"/>
        <v>0</v>
      </c>
      <c r="K248" s="1320">
        <f t="shared" si="26"/>
        <v>0</v>
      </c>
      <c r="L248" s="1318"/>
      <c r="M248" s="1318"/>
      <c r="N248" s="1321">
        <f t="shared" si="27"/>
        <v>0</v>
      </c>
      <c r="O248" s="1322">
        <f t="shared" si="28"/>
        <v>0</v>
      </c>
      <c r="P248" s="2369">
        <f t="shared" si="29"/>
        <v>1900</v>
      </c>
      <c r="Q248" s="2369">
        <f t="shared" si="30"/>
        <v>1900</v>
      </c>
      <c r="R248" s="654"/>
      <c r="S248" s="654"/>
      <c r="T248" s="654"/>
      <c r="U248" s="654"/>
    </row>
    <row r="249" spans="1:21" ht="14.25" customHeight="1">
      <c r="A249" s="1316"/>
      <c r="B249" s="1317"/>
      <c r="C249" s="1318"/>
      <c r="D249" s="1319"/>
      <c r="E249" s="1318"/>
      <c r="F249" s="1320">
        <f t="shared" si="31"/>
        <v>0</v>
      </c>
      <c r="G249" s="1319"/>
      <c r="H249" s="1318"/>
      <c r="I249" s="1320">
        <f t="shared" si="32"/>
        <v>0</v>
      </c>
      <c r="J249" s="1320">
        <f t="shared" si="25"/>
        <v>0</v>
      </c>
      <c r="K249" s="1320">
        <f t="shared" si="26"/>
        <v>0</v>
      </c>
      <c r="L249" s="1318"/>
      <c r="M249" s="1318"/>
      <c r="N249" s="1321">
        <f t="shared" si="27"/>
        <v>0</v>
      </c>
      <c r="O249" s="1322">
        <f t="shared" si="28"/>
        <v>0</v>
      </c>
      <c r="P249" s="2369">
        <f t="shared" si="29"/>
        <v>1900</v>
      </c>
      <c r="Q249" s="2369">
        <f t="shared" si="30"/>
        <v>1900</v>
      </c>
      <c r="R249" s="654"/>
      <c r="S249" s="654"/>
      <c r="T249" s="654"/>
      <c r="U249" s="654"/>
    </row>
    <row r="250" spans="1:21" ht="14.25" customHeight="1">
      <c r="A250" s="1316"/>
      <c r="B250" s="1317"/>
      <c r="C250" s="1318"/>
      <c r="D250" s="1319"/>
      <c r="E250" s="1318"/>
      <c r="F250" s="1320">
        <f t="shared" si="31"/>
        <v>0</v>
      </c>
      <c r="G250" s="1319"/>
      <c r="H250" s="1318"/>
      <c r="I250" s="1320">
        <f t="shared" si="32"/>
        <v>0</v>
      </c>
      <c r="J250" s="1320">
        <f t="shared" si="25"/>
        <v>0</v>
      </c>
      <c r="K250" s="1320">
        <f t="shared" si="26"/>
        <v>0</v>
      </c>
      <c r="L250" s="1318"/>
      <c r="M250" s="1318"/>
      <c r="N250" s="1321">
        <f t="shared" si="27"/>
        <v>0</v>
      </c>
      <c r="O250" s="1322">
        <f t="shared" si="28"/>
        <v>0</v>
      </c>
      <c r="P250" s="2369">
        <f t="shared" si="29"/>
        <v>1900</v>
      </c>
      <c r="Q250" s="2369">
        <f t="shared" si="30"/>
        <v>1900</v>
      </c>
      <c r="R250" s="654"/>
      <c r="S250" s="654"/>
      <c r="T250" s="654"/>
      <c r="U250" s="654"/>
    </row>
    <row r="251" spans="1:21" ht="14.25" customHeight="1">
      <c r="A251" s="1316"/>
      <c r="B251" s="1317"/>
      <c r="C251" s="1318"/>
      <c r="D251" s="1319"/>
      <c r="E251" s="1318"/>
      <c r="F251" s="1320">
        <f t="shared" si="31"/>
        <v>0</v>
      </c>
      <c r="G251" s="1319"/>
      <c r="H251" s="1318"/>
      <c r="I251" s="1320">
        <f t="shared" si="32"/>
        <v>0</v>
      </c>
      <c r="J251" s="1320">
        <f t="shared" si="25"/>
        <v>0</v>
      </c>
      <c r="K251" s="1320">
        <f t="shared" si="26"/>
        <v>0</v>
      </c>
      <c r="L251" s="1318"/>
      <c r="M251" s="1318"/>
      <c r="N251" s="1321">
        <f t="shared" si="27"/>
        <v>0</v>
      </c>
      <c r="O251" s="1322">
        <f t="shared" si="28"/>
        <v>0</v>
      </c>
      <c r="P251" s="2369">
        <f t="shared" si="29"/>
        <v>1900</v>
      </c>
      <c r="Q251" s="2369">
        <f t="shared" si="30"/>
        <v>1900</v>
      </c>
      <c r="R251" s="654"/>
      <c r="S251" s="654"/>
      <c r="T251" s="654"/>
      <c r="U251" s="654"/>
    </row>
    <row r="252" spans="1:21" ht="14.25" customHeight="1">
      <c r="A252" s="1316"/>
      <c r="B252" s="1317"/>
      <c r="C252" s="1318"/>
      <c r="D252" s="1319"/>
      <c r="E252" s="1318"/>
      <c r="F252" s="1320">
        <f t="shared" si="31"/>
        <v>0</v>
      </c>
      <c r="G252" s="1319"/>
      <c r="H252" s="1318"/>
      <c r="I252" s="1320">
        <f t="shared" si="32"/>
        <v>0</v>
      </c>
      <c r="J252" s="1320">
        <f t="shared" si="25"/>
        <v>0</v>
      </c>
      <c r="K252" s="1320">
        <f t="shared" si="26"/>
        <v>0</v>
      </c>
      <c r="L252" s="1318"/>
      <c r="M252" s="1318"/>
      <c r="N252" s="1321">
        <f t="shared" si="27"/>
        <v>0</v>
      </c>
      <c r="O252" s="1322">
        <f t="shared" si="28"/>
        <v>0</v>
      </c>
      <c r="P252" s="2369">
        <f t="shared" si="29"/>
        <v>1900</v>
      </c>
      <c r="Q252" s="2369">
        <f t="shared" si="30"/>
        <v>1900</v>
      </c>
      <c r="R252" s="654"/>
      <c r="S252" s="654"/>
      <c r="T252" s="654"/>
      <c r="U252" s="654"/>
    </row>
    <row r="253" spans="1:21" ht="14.25" customHeight="1">
      <c r="A253" s="1316"/>
      <c r="B253" s="1317"/>
      <c r="C253" s="1318"/>
      <c r="D253" s="1319"/>
      <c r="E253" s="1318"/>
      <c r="F253" s="1320">
        <f t="shared" si="31"/>
        <v>0</v>
      </c>
      <c r="G253" s="1319"/>
      <c r="H253" s="1318"/>
      <c r="I253" s="1320">
        <f t="shared" si="32"/>
        <v>0</v>
      </c>
      <c r="J253" s="1320">
        <f t="shared" si="25"/>
        <v>0</v>
      </c>
      <c r="K253" s="1320">
        <f t="shared" si="26"/>
        <v>0</v>
      </c>
      <c r="L253" s="1318"/>
      <c r="M253" s="1318"/>
      <c r="N253" s="1321">
        <f t="shared" si="27"/>
        <v>0</v>
      </c>
      <c r="O253" s="1322">
        <f t="shared" si="28"/>
        <v>0</v>
      </c>
      <c r="P253" s="2369">
        <f t="shared" si="29"/>
        <v>1900</v>
      </c>
      <c r="Q253" s="2369">
        <f t="shared" si="30"/>
        <v>1900</v>
      </c>
      <c r="R253" s="654"/>
      <c r="S253" s="654"/>
      <c r="T253" s="654"/>
      <c r="U253" s="654"/>
    </row>
    <row r="254" spans="1:21" ht="14.25" customHeight="1">
      <c r="A254" s="1316"/>
      <c r="B254" s="1317"/>
      <c r="C254" s="1318"/>
      <c r="D254" s="1319"/>
      <c r="E254" s="1318"/>
      <c r="F254" s="1320">
        <f t="shared" si="31"/>
        <v>0</v>
      </c>
      <c r="G254" s="1319"/>
      <c r="H254" s="1318"/>
      <c r="I254" s="1320">
        <f t="shared" si="32"/>
        <v>0</v>
      </c>
      <c r="J254" s="1320">
        <f t="shared" si="25"/>
        <v>0</v>
      </c>
      <c r="K254" s="1320">
        <f t="shared" si="26"/>
        <v>0</v>
      </c>
      <c r="L254" s="1318"/>
      <c r="M254" s="1318"/>
      <c r="N254" s="1321">
        <f t="shared" si="27"/>
        <v>0</v>
      </c>
      <c r="O254" s="1322">
        <f t="shared" si="28"/>
        <v>0</v>
      </c>
      <c r="P254" s="2369">
        <f t="shared" si="29"/>
        <v>1900</v>
      </c>
      <c r="Q254" s="2369">
        <f t="shared" si="30"/>
        <v>1900</v>
      </c>
      <c r="R254" s="654"/>
      <c r="S254" s="654"/>
      <c r="T254" s="654"/>
      <c r="U254" s="654"/>
    </row>
    <row r="255" spans="1:21" ht="14.25" customHeight="1">
      <c r="A255" s="1316"/>
      <c r="B255" s="1317"/>
      <c r="C255" s="1318"/>
      <c r="D255" s="1319"/>
      <c r="E255" s="1318"/>
      <c r="F255" s="1320">
        <f t="shared" si="31"/>
        <v>0</v>
      </c>
      <c r="G255" s="1319"/>
      <c r="H255" s="1318"/>
      <c r="I255" s="1320">
        <f t="shared" si="32"/>
        <v>0</v>
      </c>
      <c r="J255" s="1320">
        <f t="shared" si="25"/>
        <v>0</v>
      </c>
      <c r="K255" s="1320">
        <f t="shared" si="26"/>
        <v>0</v>
      </c>
      <c r="L255" s="1318"/>
      <c r="M255" s="1318"/>
      <c r="N255" s="1321">
        <f t="shared" si="27"/>
        <v>0</v>
      </c>
      <c r="O255" s="1322">
        <f t="shared" si="28"/>
        <v>0</v>
      </c>
      <c r="P255" s="2369">
        <f t="shared" si="29"/>
        <v>1900</v>
      </c>
      <c r="Q255" s="2369">
        <f t="shared" si="30"/>
        <v>1900</v>
      </c>
      <c r="R255" s="654"/>
      <c r="S255" s="654"/>
      <c r="T255" s="654"/>
      <c r="U255" s="654"/>
    </row>
    <row r="256" spans="1:21" ht="14.25" customHeight="1">
      <c r="A256" s="1316"/>
      <c r="B256" s="1317"/>
      <c r="C256" s="1318"/>
      <c r="D256" s="1319"/>
      <c r="E256" s="1318"/>
      <c r="F256" s="1320">
        <f t="shared" si="31"/>
        <v>0</v>
      </c>
      <c r="G256" s="1319"/>
      <c r="H256" s="1318"/>
      <c r="I256" s="1320">
        <f t="shared" si="32"/>
        <v>0</v>
      </c>
      <c r="J256" s="1320">
        <f t="shared" si="25"/>
        <v>0</v>
      </c>
      <c r="K256" s="1320">
        <f t="shared" si="26"/>
        <v>0</v>
      </c>
      <c r="L256" s="1318"/>
      <c r="M256" s="1318"/>
      <c r="N256" s="1321">
        <f t="shared" si="27"/>
        <v>0</v>
      </c>
      <c r="O256" s="1322">
        <f t="shared" si="28"/>
        <v>0</v>
      </c>
      <c r="P256" s="2369">
        <f t="shared" si="29"/>
        <v>1900</v>
      </c>
      <c r="Q256" s="2369">
        <f t="shared" si="30"/>
        <v>1900</v>
      </c>
      <c r="R256" s="654"/>
      <c r="S256" s="654"/>
      <c r="T256" s="654"/>
      <c r="U256" s="654"/>
    </row>
    <row r="257" spans="1:21" ht="14.25" customHeight="1">
      <c r="A257" s="1316"/>
      <c r="B257" s="1317"/>
      <c r="C257" s="1318"/>
      <c r="D257" s="1319"/>
      <c r="E257" s="1318"/>
      <c r="F257" s="1320">
        <f t="shared" si="31"/>
        <v>0</v>
      </c>
      <c r="G257" s="1319"/>
      <c r="H257" s="1318"/>
      <c r="I257" s="1320">
        <f t="shared" si="32"/>
        <v>0</v>
      </c>
      <c r="J257" s="1320">
        <f t="shared" si="25"/>
        <v>0</v>
      </c>
      <c r="K257" s="1320">
        <f t="shared" si="26"/>
        <v>0</v>
      </c>
      <c r="L257" s="1318"/>
      <c r="M257" s="1318"/>
      <c r="N257" s="1321">
        <f t="shared" si="27"/>
        <v>0</v>
      </c>
      <c r="O257" s="1322">
        <f t="shared" si="28"/>
        <v>0</v>
      </c>
      <c r="P257" s="2369">
        <f t="shared" si="29"/>
        <v>1900</v>
      </c>
      <c r="Q257" s="2369">
        <f t="shared" si="30"/>
        <v>1900</v>
      </c>
      <c r="R257" s="654"/>
      <c r="S257" s="654"/>
      <c r="T257" s="654"/>
      <c r="U257" s="654"/>
    </row>
    <row r="258" spans="1:21" ht="14.25" customHeight="1">
      <c r="A258" s="1316"/>
      <c r="B258" s="1317"/>
      <c r="C258" s="1318"/>
      <c r="D258" s="1319"/>
      <c r="E258" s="1318"/>
      <c r="F258" s="1320">
        <f t="shared" si="31"/>
        <v>0</v>
      </c>
      <c r="G258" s="1319"/>
      <c r="H258" s="1318"/>
      <c r="I258" s="1320">
        <f t="shared" si="32"/>
        <v>0</v>
      </c>
      <c r="J258" s="1320">
        <f t="shared" si="25"/>
        <v>0</v>
      </c>
      <c r="K258" s="1320">
        <f t="shared" si="26"/>
        <v>0</v>
      </c>
      <c r="L258" s="1318"/>
      <c r="M258" s="1318"/>
      <c r="N258" s="1321">
        <f t="shared" si="27"/>
        <v>0</v>
      </c>
      <c r="O258" s="1322">
        <f t="shared" si="28"/>
        <v>0</v>
      </c>
      <c r="P258" s="2369">
        <f t="shared" si="29"/>
        <v>1900</v>
      </c>
      <c r="Q258" s="2369">
        <f t="shared" si="30"/>
        <v>1900</v>
      </c>
      <c r="R258" s="654"/>
      <c r="S258" s="654"/>
      <c r="T258" s="654"/>
      <c r="U258" s="654"/>
    </row>
    <row r="259" spans="1:21" ht="14.25" customHeight="1">
      <c r="A259" s="1316"/>
      <c r="B259" s="1317"/>
      <c r="C259" s="1318"/>
      <c r="D259" s="1319"/>
      <c r="E259" s="1318"/>
      <c r="F259" s="1320">
        <f t="shared" si="31"/>
        <v>0</v>
      </c>
      <c r="G259" s="1319"/>
      <c r="H259" s="1318"/>
      <c r="I259" s="1320">
        <f t="shared" si="32"/>
        <v>0</v>
      </c>
      <c r="J259" s="1320">
        <f t="shared" si="25"/>
        <v>0</v>
      </c>
      <c r="K259" s="1320">
        <f t="shared" si="26"/>
        <v>0</v>
      </c>
      <c r="L259" s="1318"/>
      <c r="M259" s="1318"/>
      <c r="N259" s="1321">
        <f t="shared" si="27"/>
        <v>0</v>
      </c>
      <c r="O259" s="1322">
        <f t="shared" si="28"/>
        <v>0</v>
      </c>
      <c r="P259" s="2369">
        <f t="shared" si="29"/>
        <v>1900</v>
      </c>
      <c r="Q259" s="2369">
        <f t="shared" si="30"/>
        <v>1900</v>
      </c>
      <c r="R259" s="654"/>
      <c r="S259" s="654"/>
      <c r="T259" s="654"/>
      <c r="U259" s="654"/>
    </row>
    <row r="260" spans="1:21" ht="14.25" customHeight="1">
      <c r="A260" s="1316"/>
      <c r="B260" s="1317"/>
      <c r="C260" s="1318"/>
      <c r="D260" s="1319"/>
      <c r="E260" s="1318"/>
      <c r="F260" s="1320">
        <f t="shared" si="31"/>
        <v>0</v>
      </c>
      <c r="G260" s="1319"/>
      <c r="H260" s="1318"/>
      <c r="I260" s="1320">
        <f t="shared" si="32"/>
        <v>0</v>
      </c>
      <c r="J260" s="1320">
        <f t="shared" si="25"/>
        <v>0</v>
      </c>
      <c r="K260" s="1320">
        <f t="shared" si="26"/>
        <v>0</v>
      </c>
      <c r="L260" s="1318"/>
      <c r="M260" s="1318"/>
      <c r="N260" s="1321">
        <f t="shared" si="27"/>
        <v>0</v>
      </c>
      <c r="O260" s="1322">
        <f t="shared" si="28"/>
        <v>0</v>
      </c>
      <c r="P260" s="2369">
        <f t="shared" si="29"/>
        <v>1900</v>
      </c>
      <c r="Q260" s="2369">
        <f t="shared" si="30"/>
        <v>1900</v>
      </c>
      <c r="R260" s="654"/>
      <c r="S260" s="654"/>
      <c r="T260" s="654"/>
      <c r="U260" s="654"/>
    </row>
    <row r="261" spans="1:21" ht="14.25" customHeight="1">
      <c r="A261" s="1316"/>
      <c r="B261" s="1317"/>
      <c r="C261" s="1318"/>
      <c r="D261" s="1319"/>
      <c r="E261" s="1318"/>
      <c r="F261" s="1320">
        <f t="shared" si="31"/>
        <v>0</v>
      </c>
      <c r="G261" s="1319"/>
      <c r="H261" s="1318"/>
      <c r="I261" s="1320">
        <f t="shared" si="32"/>
        <v>0</v>
      </c>
      <c r="J261" s="1320">
        <f t="shared" si="25"/>
        <v>0</v>
      </c>
      <c r="K261" s="1320">
        <f t="shared" si="26"/>
        <v>0</v>
      </c>
      <c r="L261" s="1318"/>
      <c r="M261" s="1318"/>
      <c r="N261" s="1321">
        <f t="shared" si="27"/>
        <v>0</v>
      </c>
      <c r="O261" s="1322">
        <f t="shared" si="28"/>
        <v>0</v>
      </c>
      <c r="P261" s="2369">
        <f t="shared" si="29"/>
        <v>1900</v>
      </c>
      <c r="Q261" s="2369">
        <f t="shared" si="30"/>
        <v>1900</v>
      </c>
      <c r="R261" s="654"/>
      <c r="S261" s="654"/>
      <c r="T261" s="654"/>
      <c r="U261" s="654"/>
    </row>
    <row r="262" spans="1:21" ht="14.25" customHeight="1">
      <c r="A262" s="1316"/>
      <c r="B262" s="1317"/>
      <c r="C262" s="1318"/>
      <c r="D262" s="1319"/>
      <c r="E262" s="1318"/>
      <c r="F262" s="1320">
        <f t="shared" si="31"/>
        <v>0</v>
      </c>
      <c r="G262" s="1319"/>
      <c r="H262" s="1318"/>
      <c r="I262" s="1320">
        <f t="shared" si="32"/>
        <v>0</v>
      </c>
      <c r="J262" s="1320">
        <f t="shared" si="25"/>
        <v>0</v>
      </c>
      <c r="K262" s="1320">
        <f t="shared" si="26"/>
        <v>0</v>
      </c>
      <c r="L262" s="1318"/>
      <c r="M262" s="1318"/>
      <c r="N262" s="1321">
        <f t="shared" si="27"/>
        <v>0</v>
      </c>
      <c r="O262" s="1322">
        <f t="shared" si="28"/>
        <v>0</v>
      </c>
      <c r="P262" s="2369">
        <f t="shared" si="29"/>
        <v>1900</v>
      </c>
      <c r="Q262" s="2369">
        <f t="shared" si="30"/>
        <v>1900</v>
      </c>
      <c r="R262" s="654"/>
      <c r="S262" s="654"/>
      <c r="T262" s="654"/>
      <c r="U262" s="654"/>
    </row>
    <row r="263" spans="1:21" ht="14.25" customHeight="1">
      <c r="A263" s="1316"/>
      <c r="B263" s="1317"/>
      <c r="C263" s="1318"/>
      <c r="D263" s="1319"/>
      <c r="E263" s="1318"/>
      <c r="F263" s="1320">
        <f t="shared" si="31"/>
        <v>0</v>
      </c>
      <c r="G263" s="1319"/>
      <c r="H263" s="1318"/>
      <c r="I263" s="1320">
        <f t="shared" si="32"/>
        <v>0</v>
      </c>
      <c r="J263" s="1320">
        <f t="shared" si="25"/>
        <v>0</v>
      </c>
      <c r="K263" s="1320">
        <f t="shared" si="26"/>
        <v>0</v>
      </c>
      <c r="L263" s="1318"/>
      <c r="M263" s="1318"/>
      <c r="N263" s="1321">
        <f t="shared" si="27"/>
        <v>0</v>
      </c>
      <c r="O263" s="1322">
        <f t="shared" si="28"/>
        <v>0</v>
      </c>
      <c r="P263" s="2369">
        <f t="shared" si="29"/>
        <v>1900</v>
      </c>
      <c r="Q263" s="2369">
        <f t="shared" si="30"/>
        <v>1900</v>
      </c>
      <c r="R263" s="654"/>
      <c r="S263" s="654"/>
      <c r="T263" s="654"/>
      <c r="U263" s="654"/>
    </row>
    <row r="264" spans="1:21" ht="14.25" customHeight="1">
      <c r="A264" s="1316"/>
      <c r="B264" s="1317"/>
      <c r="C264" s="1318"/>
      <c r="D264" s="1319"/>
      <c r="E264" s="1318"/>
      <c r="F264" s="1320">
        <f t="shared" si="31"/>
        <v>0</v>
      </c>
      <c r="G264" s="1319"/>
      <c r="H264" s="1318"/>
      <c r="I264" s="1320">
        <f t="shared" si="32"/>
        <v>0</v>
      </c>
      <c r="J264" s="1320">
        <f t="shared" si="25"/>
        <v>0</v>
      </c>
      <c r="K264" s="1320">
        <f t="shared" si="26"/>
        <v>0</v>
      </c>
      <c r="L264" s="1318"/>
      <c r="M264" s="1318"/>
      <c r="N264" s="1321">
        <f t="shared" si="27"/>
        <v>0</v>
      </c>
      <c r="O264" s="1322">
        <f t="shared" si="28"/>
        <v>0</v>
      </c>
      <c r="P264" s="2369">
        <f t="shared" si="29"/>
        <v>1900</v>
      </c>
      <c r="Q264" s="2369">
        <f t="shared" si="30"/>
        <v>1900</v>
      </c>
      <c r="R264" s="654"/>
      <c r="S264" s="654"/>
      <c r="T264" s="654"/>
      <c r="U264" s="654"/>
    </row>
    <row r="265" spans="1:21" ht="14.25" customHeight="1">
      <c r="A265" s="1316"/>
      <c r="B265" s="1317"/>
      <c r="C265" s="1318"/>
      <c r="D265" s="1319"/>
      <c r="E265" s="1318"/>
      <c r="F265" s="1320">
        <f t="shared" si="31"/>
        <v>0</v>
      </c>
      <c r="G265" s="1319"/>
      <c r="H265" s="1318"/>
      <c r="I265" s="1320">
        <f t="shared" si="32"/>
        <v>0</v>
      </c>
      <c r="J265" s="1320">
        <f t="shared" ref="J265:J328" si="33">C265+E265-H265</f>
        <v>0</v>
      </c>
      <c r="K265" s="1320">
        <f t="shared" ref="K265:K328" si="34">C265+F265-I265</f>
        <v>0</v>
      </c>
      <c r="L265" s="1318"/>
      <c r="M265" s="1318"/>
      <c r="N265" s="1321">
        <f t="shared" si="27"/>
        <v>0</v>
      </c>
      <c r="O265" s="1322">
        <f t="shared" si="28"/>
        <v>0</v>
      </c>
      <c r="P265" s="2369">
        <f t="shared" si="29"/>
        <v>1900</v>
      </c>
      <c r="Q265" s="2369">
        <f t="shared" si="30"/>
        <v>1900</v>
      </c>
      <c r="R265" s="654"/>
      <c r="S265" s="654"/>
      <c r="T265" s="654"/>
      <c r="U265" s="654"/>
    </row>
    <row r="266" spans="1:21" ht="14.25" customHeight="1">
      <c r="A266" s="1316"/>
      <c r="B266" s="1317"/>
      <c r="C266" s="1318"/>
      <c r="D266" s="1319"/>
      <c r="E266" s="1318"/>
      <c r="F266" s="1320">
        <f t="shared" si="31"/>
        <v>0</v>
      </c>
      <c r="G266" s="1319"/>
      <c r="H266" s="1318"/>
      <c r="I266" s="1320">
        <f t="shared" si="32"/>
        <v>0</v>
      </c>
      <c r="J266" s="1320">
        <f t="shared" si="33"/>
        <v>0</v>
      </c>
      <c r="K266" s="1320">
        <f t="shared" si="34"/>
        <v>0</v>
      </c>
      <c r="L266" s="1318"/>
      <c r="M266" s="1318"/>
      <c r="N266" s="1321">
        <f t="shared" ref="N266:N329" si="35">IF(M266&lt;&gt;0,ROUND(B266*K266,2)+M266,IF(ABS(ROUND(K266*B266,2)-L266)&lt;3,L266,MIN(ROUND(K266*B266,2),L266)))</f>
        <v>0</v>
      </c>
      <c r="O266" s="1322">
        <f t="shared" ref="O266:O329" si="36">IF(ISERROR(L266-N266),"",IF(ABS(L266-N266)&lt;3,0,L266-N266))</f>
        <v>0</v>
      </c>
      <c r="P266" s="2369">
        <f t="shared" ref="P266:P329" si="37">IFERROR(YEAR(D266),0)</f>
        <v>1900</v>
      </c>
      <c r="Q266" s="2369">
        <f t="shared" ref="Q266:Q329" si="38">IFERROR(YEAR(G266),0)</f>
        <v>1900</v>
      </c>
      <c r="R266" s="654"/>
      <c r="S266" s="654"/>
      <c r="T266" s="654"/>
      <c r="U266" s="654"/>
    </row>
    <row r="267" spans="1:21" ht="14.25" customHeight="1">
      <c r="A267" s="1316"/>
      <c r="B267" s="1317"/>
      <c r="C267" s="1318"/>
      <c r="D267" s="1319"/>
      <c r="E267" s="1318"/>
      <c r="F267" s="1320">
        <f t="shared" ref="F267:F330" si="39">E267*(12-MONTH(D267))/12</f>
        <v>0</v>
      </c>
      <c r="G267" s="1319"/>
      <c r="H267" s="1318"/>
      <c r="I267" s="1320">
        <f t="shared" ref="I267:I330" si="40">H267*(12-MONTH(G267))/12</f>
        <v>0</v>
      </c>
      <c r="J267" s="1320">
        <f t="shared" si="33"/>
        <v>0</v>
      </c>
      <c r="K267" s="1320">
        <f t="shared" si="34"/>
        <v>0</v>
      </c>
      <c r="L267" s="1318"/>
      <c r="M267" s="1318"/>
      <c r="N267" s="1321">
        <f t="shared" si="35"/>
        <v>0</v>
      </c>
      <c r="O267" s="1322">
        <f t="shared" si="36"/>
        <v>0</v>
      </c>
      <c r="P267" s="2369">
        <f t="shared" si="37"/>
        <v>1900</v>
      </c>
      <c r="Q267" s="2369">
        <f t="shared" si="38"/>
        <v>1900</v>
      </c>
      <c r="R267" s="654"/>
      <c r="S267" s="654"/>
      <c r="T267" s="654"/>
      <c r="U267" s="654"/>
    </row>
    <row r="268" spans="1:21" ht="14.25" customHeight="1">
      <c r="A268" s="1316"/>
      <c r="B268" s="1317"/>
      <c r="C268" s="1318"/>
      <c r="D268" s="1319"/>
      <c r="E268" s="1318"/>
      <c r="F268" s="1320">
        <f t="shared" si="39"/>
        <v>0</v>
      </c>
      <c r="G268" s="1319"/>
      <c r="H268" s="1318"/>
      <c r="I268" s="1320">
        <f t="shared" si="40"/>
        <v>0</v>
      </c>
      <c r="J268" s="1320">
        <f t="shared" si="33"/>
        <v>0</v>
      </c>
      <c r="K268" s="1320">
        <f t="shared" si="34"/>
        <v>0</v>
      </c>
      <c r="L268" s="1318"/>
      <c r="M268" s="1318"/>
      <c r="N268" s="1321">
        <f t="shared" si="35"/>
        <v>0</v>
      </c>
      <c r="O268" s="1322">
        <f t="shared" si="36"/>
        <v>0</v>
      </c>
      <c r="P268" s="2369">
        <f t="shared" si="37"/>
        <v>1900</v>
      </c>
      <c r="Q268" s="2369">
        <f t="shared" si="38"/>
        <v>1900</v>
      </c>
      <c r="R268" s="654"/>
      <c r="S268" s="654"/>
      <c r="T268" s="654"/>
      <c r="U268" s="654"/>
    </row>
    <row r="269" spans="1:21" ht="14.25" customHeight="1">
      <c r="A269" s="1316"/>
      <c r="B269" s="1317"/>
      <c r="C269" s="1318"/>
      <c r="D269" s="1319"/>
      <c r="E269" s="1318"/>
      <c r="F269" s="1320">
        <f t="shared" si="39"/>
        <v>0</v>
      </c>
      <c r="G269" s="1319"/>
      <c r="H269" s="1318"/>
      <c r="I269" s="1320">
        <f t="shared" si="40"/>
        <v>0</v>
      </c>
      <c r="J269" s="1320">
        <f t="shared" si="33"/>
        <v>0</v>
      </c>
      <c r="K269" s="1320">
        <f t="shared" si="34"/>
        <v>0</v>
      </c>
      <c r="L269" s="1318"/>
      <c r="M269" s="1318"/>
      <c r="N269" s="1321">
        <f t="shared" si="35"/>
        <v>0</v>
      </c>
      <c r="O269" s="1322">
        <f t="shared" si="36"/>
        <v>0</v>
      </c>
      <c r="P269" s="2369">
        <f t="shared" si="37"/>
        <v>1900</v>
      </c>
      <c r="Q269" s="2369">
        <f t="shared" si="38"/>
        <v>1900</v>
      </c>
      <c r="R269" s="654"/>
      <c r="S269" s="654"/>
      <c r="T269" s="654"/>
      <c r="U269" s="654"/>
    </row>
    <row r="270" spans="1:21" ht="14.25" customHeight="1">
      <c r="A270" s="1316"/>
      <c r="B270" s="1317"/>
      <c r="C270" s="1318"/>
      <c r="D270" s="1319"/>
      <c r="E270" s="1318"/>
      <c r="F270" s="1320">
        <f t="shared" si="39"/>
        <v>0</v>
      </c>
      <c r="G270" s="1319"/>
      <c r="H270" s="1318"/>
      <c r="I270" s="1320">
        <f t="shared" si="40"/>
        <v>0</v>
      </c>
      <c r="J270" s="1320">
        <f t="shared" si="33"/>
        <v>0</v>
      </c>
      <c r="K270" s="1320">
        <f t="shared" si="34"/>
        <v>0</v>
      </c>
      <c r="L270" s="1318"/>
      <c r="M270" s="1318"/>
      <c r="N270" s="1321">
        <f t="shared" si="35"/>
        <v>0</v>
      </c>
      <c r="O270" s="1322">
        <f t="shared" si="36"/>
        <v>0</v>
      </c>
      <c r="P270" s="2369">
        <f t="shared" si="37"/>
        <v>1900</v>
      </c>
      <c r="Q270" s="2369">
        <f t="shared" si="38"/>
        <v>1900</v>
      </c>
      <c r="R270" s="654"/>
      <c r="S270" s="654"/>
      <c r="T270" s="654"/>
      <c r="U270" s="654"/>
    </row>
    <row r="271" spans="1:21" ht="14.25" customHeight="1">
      <c r="A271" s="1316"/>
      <c r="B271" s="1317"/>
      <c r="C271" s="1318"/>
      <c r="D271" s="1319"/>
      <c r="E271" s="1318"/>
      <c r="F271" s="1320">
        <f t="shared" si="39"/>
        <v>0</v>
      </c>
      <c r="G271" s="1319"/>
      <c r="H271" s="1318"/>
      <c r="I271" s="1320">
        <f t="shared" si="40"/>
        <v>0</v>
      </c>
      <c r="J271" s="1320">
        <f t="shared" si="33"/>
        <v>0</v>
      </c>
      <c r="K271" s="1320">
        <f t="shared" si="34"/>
        <v>0</v>
      </c>
      <c r="L271" s="1318"/>
      <c r="M271" s="1318"/>
      <c r="N271" s="1321">
        <f t="shared" si="35"/>
        <v>0</v>
      </c>
      <c r="O271" s="1322">
        <f t="shared" si="36"/>
        <v>0</v>
      </c>
      <c r="P271" s="2369">
        <f t="shared" si="37"/>
        <v>1900</v>
      </c>
      <c r="Q271" s="2369">
        <f t="shared" si="38"/>
        <v>1900</v>
      </c>
      <c r="R271" s="654"/>
      <c r="S271" s="654"/>
      <c r="T271" s="654"/>
      <c r="U271" s="654"/>
    </row>
    <row r="272" spans="1:21" ht="14.25" customHeight="1">
      <c r="A272" s="1316"/>
      <c r="B272" s="1317"/>
      <c r="C272" s="1318"/>
      <c r="D272" s="1319"/>
      <c r="E272" s="1318"/>
      <c r="F272" s="1320">
        <f t="shared" si="39"/>
        <v>0</v>
      </c>
      <c r="G272" s="1319"/>
      <c r="H272" s="1318"/>
      <c r="I272" s="1320">
        <f t="shared" si="40"/>
        <v>0</v>
      </c>
      <c r="J272" s="1320">
        <f t="shared" si="33"/>
        <v>0</v>
      </c>
      <c r="K272" s="1320">
        <f t="shared" si="34"/>
        <v>0</v>
      </c>
      <c r="L272" s="1318"/>
      <c r="M272" s="1318"/>
      <c r="N272" s="1321">
        <f t="shared" si="35"/>
        <v>0</v>
      </c>
      <c r="O272" s="1322">
        <f t="shared" si="36"/>
        <v>0</v>
      </c>
      <c r="P272" s="2369">
        <f t="shared" si="37"/>
        <v>1900</v>
      </c>
      <c r="Q272" s="2369">
        <f t="shared" si="38"/>
        <v>1900</v>
      </c>
      <c r="R272" s="654"/>
      <c r="S272" s="654"/>
      <c r="T272" s="654"/>
      <c r="U272" s="654"/>
    </row>
    <row r="273" spans="1:21" ht="14.25" customHeight="1">
      <c r="A273" s="1316"/>
      <c r="B273" s="1317"/>
      <c r="C273" s="1318"/>
      <c r="D273" s="1319"/>
      <c r="E273" s="1318"/>
      <c r="F273" s="1320">
        <f t="shared" si="39"/>
        <v>0</v>
      </c>
      <c r="G273" s="1319"/>
      <c r="H273" s="1318"/>
      <c r="I273" s="1320">
        <f t="shared" si="40"/>
        <v>0</v>
      </c>
      <c r="J273" s="1320">
        <f t="shared" si="33"/>
        <v>0</v>
      </c>
      <c r="K273" s="1320">
        <f t="shared" si="34"/>
        <v>0</v>
      </c>
      <c r="L273" s="1318"/>
      <c r="M273" s="1318"/>
      <c r="N273" s="1321">
        <f t="shared" si="35"/>
        <v>0</v>
      </c>
      <c r="O273" s="1322">
        <f t="shared" si="36"/>
        <v>0</v>
      </c>
      <c r="P273" s="2369">
        <f t="shared" si="37"/>
        <v>1900</v>
      </c>
      <c r="Q273" s="2369">
        <f t="shared" si="38"/>
        <v>1900</v>
      </c>
      <c r="R273" s="654"/>
      <c r="S273" s="654"/>
      <c r="T273" s="654"/>
      <c r="U273" s="654"/>
    </row>
    <row r="274" spans="1:21" ht="14.25" customHeight="1">
      <c r="A274" s="1316"/>
      <c r="B274" s="1317"/>
      <c r="C274" s="1318"/>
      <c r="D274" s="1319"/>
      <c r="E274" s="1318"/>
      <c r="F274" s="1320">
        <f t="shared" si="39"/>
        <v>0</v>
      </c>
      <c r="G274" s="1319"/>
      <c r="H274" s="1318"/>
      <c r="I274" s="1320">
        <f t="shared" si="40"/>
        <v>0</v>
      </c>
      <c r="J274" s="1320">
        <f t="shared" si="33"/>
        <v>0</v>
      </c>
      <c r="K274" s="1320">
        <f t="shared" si="34"/>
        <v>0</v>
      </c>
      <c r="L274" s="1318"/>
      <c r="M274" s="1318"/>
      <c r="N274" s="1321">
        <f t="shared" si="35"/>
        <v>0</v>
      </c>
      <c r="O274" s="1322">
        <f t="shared" si="36"/>
        <v>0</v>
      </c>
      <c r="P274" s="2369">
        <f t="shared" si="37"/>
        <v>1900</v>
      </c>
      <c r="Q274" s="2369">
        <f t="shared" si="38"/>
        <v>1900</v>
      </c>
      <c r="R274" s="654"/>
      <c r="S274" s="654"/>
      <c r="T274" s="654"/>
      <c r="U274" s="654"/>
    </row>
    <row r="275" spans="1:21" ht="14.25" customHeight="1">
      <c r="A275" s="1316"/>
      <c r="B275" s="1317"/>
      <c r="C275" s="1318"/>
      <c r="D275" s="1319"/>
      <c r="E275" s="1318"/>
      <c r="F275" s="1320">
        <f t="shared" si="39"/>
        <v>0</v>
      </c>
      <c r="G275" s="1319"/>
      <c r="H275" s="1318"/>
      <c r="I275" s="1320">
        <f t="shared" si="40"/>
        <v>0</v>
      </c>
      <c r="J275" s="1320">
        <f t="shared" si="33"/>
        <v>0</v>
      </c>
      <c r="K275" s="1320">
        <f t="shared" si="34"/>
        <v>0</v>
      </c>
      <c r="L275" s="1318"/>
      <c r="M275" s="1318"/>
      <c r="N275" s="1321">
        <f t="shared" si="35"/>
        <v>0</v>
      </c>
      <c r="O275" s="1322">
        <f t="shared" si="36"/>
        <v>0</v>
      </c>
      <c r="P275" s="2369">
        <f t="shared" si="37"/>
        <v>1900</v>
      </c>
      <c r="Q275" s="2369">
        <f t="shared" si="38"/>
        <v>1900</v>
      </c>
      <c r="R275" s="654"/>
      <c r="S275" s="654"/>
      <c r="T275" s="654"/>
      <c r="U275" s="654"/>
    </row>
    <row r="276" spans="1:21" ht="14.25" customHeight="1">
      <c r="A276" s="1316"/>
      <c r="B276" s="1317"/>
      <c r="C276" s="1318"/>
      <c r="D276" s="1319"/>
      <c r="E276" s="1318"/>
      <c r="F276" s="1320">
        <f t="shared" si="39"/>
        <v>0</v>
      </c>
      <c r="G276" s="1319"/>
      <c r="H276" s="1318"/>
      <c r="I276" s="1320">
        <f t="shared" si="40"/>
        <v>0</v>
      </c>
      <c r="J276" s="1320">
        <f t="shared" si="33"/>
        <v>0</v>
      </c>
      <c r="K276" s="1320">
        <f t="shared" si="34"/>
        <v>0</v>
      </c>
      <c r="L276" s="1318"/>
      <c r="M276" s="1318"/>
      <c r="N276" s="1321">
        <f t="shared" si="35"/>
        <v>0</v>
      </c>
      <c r="O276" s="1322">
        <f t="shared" si="36"/>
        <v>0</v>
      </c>
      <c r="P276" s="2369">
        <f t="shared" si="37"/>
        <v>1900</v>
      </c>
      <c r="Q276" s="2369">
        <f t="shared" si="38"/>
        <v>1900</v>
      </c>
      <c r="R276" s="654"/>
      <c r="S276" s="654"/>
      <c r="T276" s="654"/>
      <c r="U276" s="654"/>
    </row>
    <row r="277" spans="1:21" ht="14.25" customHeight="1">
      <c r="A277" s="1316"/>
      <c r="B277" s="1317"/>
      <c r="C277" s="1318"/>
      <c r="D277" s="1319"/>
      <c r="E277" s="1318"/>
      <c r="F277" s="1320">
        <f t="shared" si="39"/>
        <v>0</v>
      </c>
      <c r="G277" s="1319"/>
      <c r="H277" s="1318"/>
      <c r="I277" s="1320">
        <f t="shared" si="40"/>
        <v>0</v>
      </c>
      <c r="J277" s="1320">
        <f t="shared" si="33"/>
        <v>0</v>
      </c>
      <c r="K277" s="1320">
        <f t="shared" si="34"/>
        <v>0</v>
      </c>
      <c r="L277" s="1318"/>
      <c r="M277" s="1318"/>
      <c r="N277" s="1321">
        <f t="shared" si="35"/>
        <v>0</v>
      </c>
      <c r="O277" s="1322">
        <f t="shared" si="36"/>
        <v>0</v>
      </c>
      <c r="P277" s="2369">
        <f t="shared" si="37"/>
        <v>1900</v>
      </c>
      <c r="Q277" s="2369">
        <f t="shared" si="38"/>
        <v>1900</v>
      </c>
      <c r="R277" s="654"/>
      <c r="S277" s="654"/>
      <c r="T277" s="654"/>
      <c r="U277" s="654"/>
    </row>
    <row r="278" spans="1:21" ht="14.25" customHeight="1">
      <c r="A278" s="1316"/>
      <c r="B278" s="1317"/>
      <c r="C278" s="1318"/>
      <c r="D278" s="1319"/>
      <c r="E278" s="1318"/>
      <c r="F278" s="1320">
        <f t="shared" si="39"/>
        <v>0</v>
      </c>
      <c r="G278" s="1319"/>
      <c r="H278" s="1318"/>
      <c r="I278" s="1320">
        <f t="shared" si="40"/>
        <v>0</v>
      </c>
      <c r="J278" s="1320">
        <f t="shared" si="33"/>
        <v>0</v>
      </c>
      <c r="K278" s="1320">
        <f t="shared" si="34"/>
        <v>0</v>
      </c>
      <c r="L278" s="1318"/>
      <c r="M278" s="1318"/>
      <c r="N278" s="1321">
        <f t="shared" si="35"/>
        <v>0</v>
      </c>
      <c r="O278" s="1322">
        <f t="shared" si="36"/>
        <v>0</v>
      </c>
      <c r="P278" s="2369">
        <f t="shared" si="37"/>
        <v>1900</v>
      </c>
      <c r="Q278" s="2369">
        <f t="shared" si="38"/>
        <v>1900</v>
      </c>
      <c r="R278" s="654"/>
      <c r="S278" s="654"/>
      <c r="T278" s="654"/>
      <c r="U278" s="654"/>
    </row>
    <row r="279" spans="1:21" ht="14.25" customHeight="1">
      <c r="A279" s="1316"/>
      <c r="B279" s="1317"/>
      <c r="C279" s="1318"/>
      <c r="D279" s="1319"/>
      <c r="E279" s="1318"/>
      <c r="F279" s="1320">
        <f t="shared" si="39"/>
        <v>0</v>
      </c>
      <c r="G279" s="1319"/>
      <c r="H279" s="1318"/>
      <c r="I279" s="1320">
        <f t="shared" si="40"/>
        <v>0</v>
      </c>
      <c r="J279" s="1320">
        <f t="shared" si="33"/>
        <v>0</v>
      </c>
      <c r="K279" s="1320">
        <f t="shared" si="34"/>
        <v>0</v>
      </c>
      <c r="L279" s="1318"/>
      <c r="M279" s="1318"/>
      <c r="N279" s="1321">
        <f t="shared" si="35"/>
        <v>0</v>
      </c>
      <c r="O279" s="1322">
        <f t="shared" si="36"/>
        <v>0</v>
      </c>
      <c r="P279" s="2369">
        <f t="shared" si="37"/>
        <v>1900</v>
      </c>
      <c r="Q279" s="2369">
        <f t="shared" si="38"/>
        <v>1900</v>
      </c>
      <c r="R279" s="654"/>
      <c r="S279" s="654"/>
      <c r="T279" s="654"/>
      <c r="U279" s="654"/>
    </row>
    <row r="280" spans="1:21" ht="14.25" customHeight="1">
      <c r="A280" s="1316"/>
      <c r="B280" s="1317"/>
      <c r="C280" s="1318"/>
      <c r="D280" s="1319"/>
      <c r="E280" s="1318"/>
      <c r="F280" s="1320">
        <f t="shared" si="39"/>
        <v>0</v>
      </c>
      <c r="G280" s="1319"/>
      <c r="H280" s="1318"/>
      <c r="I280" s="1320">
        <f t="shared" si="40"/>
        <v>0</v>
      </c>
      <c r="J280" s="1320">
        <f t="shared" si="33"/>
        <v>0</v>
      </c>
      <c r="K280" s="1320">
        <f t="shared" si="34"/>
        <v>0</v>
      </c>
      <c r="L280" s="1318"/>
      <c r="M280" s="1318"/>
      <c r="N280" s="1321">
        <f t="shared" si="35"/>
        <v>0</v>
      </c>
      <c r="O280" s="1322">
        <f t="shared" si="36"/>
        <v>0</v>
      </c>
      <c r="P280" s="2369">
        <f t="shared" si="37"/>
        <v>1900</v>
      </c>
      <c r="Q280" s="2369">
        <f t="shared" si="38"/>
        <v>1900</v>
      </c>
      <c r="R280" s="654"/>
      <c r="S280" s="654"/>
      <c r="T280" s="654"/>
      <c r="U280" s="654"/>
    </row>
    <row r="281" spans="1:21" ht="14.25" customHeight="1">
      <c r="A281" s="1316"/>
      <c r="B281" s="1317"/>
      <c r="C281" s="1318"/>
      <c r="D281" s="1319"/>
      <c r="E281" s="1318"/>
      <c r="F281" s="1320">
        <f t="shared" si="39"/>
        <v>0</v>
      </c>
      <c r="G281" s="1319"/>
      <c r="H281" s="1318"/>
      <c r="I281" s="1320">
        <f t="shared" si="40"/>
        <v>0</v>
      </c>
      <c r="J281" s="1320">
        <f t="shared" si="33"/>
        <v>0</v>
      </c>
      <c r="K281" s="1320">
        <f t="shared" si="34"/>
        <v>0</v>
      </c>
      <c r="L281" s="1318"/>
      <c r="M281" s="1318"/>
      <c r="N281" s="1321">
        <f t="shared" si="35"/>
        <v>0</v>
      </c>
      <c r="O281" s="1322">
        <f t="shared" si="36"/>
        <v>0</v>
      </c>
      <c r="P281" s="2369">
        <f t="shared" si="37"/>
        <v>1900</v>
      </c>
      <c r="Q281" s="2369">
        <f t="shared" si="38"/>
        <v>1900</v>
      </c>
      <c r="R281" s="654"/>
      <c r="S281" s="654"/>
      <c r="T281" s="654"/>
      <c r="U281" s="654"/>
    </row>
    <row r="282" spans="1:21" ht="14.25" customHeight="1">
      <c r="A282" s="1316"/>
      <c r="B282" s="1317"/>
      <c r="C282" s="1318"/>
      <c r="D282" s="1319"/>
      <c r="E282" s="1318"/>
      <c r="F282" s="1320">
        <f t="shared" si="39"/>
        <v>0</v>
      </c>
      <c r="G282" s="1319"/>
      <c r="H282" s="1318"/>
      <c r="I282" s="1320">
        <f t="shared" si="40"/>
        <v>0</v>
      </c>
      <c r="J282" s="1320">
        <f t="shared" si="33"/>
        <v>0</v>
      </c>
      <c r="K282" s="1320">
        <f t="shared" si="34"/>
        <v>0</v>
      </c>
      <c r="L282" s="1318"/>
      <c r="M282" s="1318"/>
      <c r="N282" s="1321">
        <f t="shared" si="35"/>
        <v>0</v>
      </c>
      <c r="O282" s="1322">
        <f t="shared" si="36"/>
        <v>0</v>
      </c>
      <c r="P282" s="2369">
        <f t="shared" si="37"/>
        <v>1900</v>
      </c>
      <c r="Q282" s="2369">
        <f t="shared" si="38"/>
        <v>1900</v>
      </c>
      <c r="R282" s="654"/>
      <c r="S282" s="654"/>
      <c r="T282" s="654"/>
      <c r="U282" s="654"/>
    </row>
    <row r="283" spans="1:21" ht="14.25" customHeight="1">
      <c r="A283" s="1316"/>
      <c r="B283" s="1317"/>
      <c r="C283" s="1318"/>
      <c r="D283" s="1319"/>
      <c r="E283" s="1318"/>
      <c r="F283" s="1320">
        <f t="shared" si="39"/>
        <v>0</v>
      </c>
      <c r="G283" s="1319"/>
      <c r="H283" s="1318"/>
      <c r="I283" s="1320">
        <f t="shared" si="40"/>
        <v>0</v>
      </c>
      <c r="J283" s="1320">
        <f t="shared" si="33"/>
        <v>0</v>
      </c>
      <c r="K283" s="1320">
        <f t="shared" si="34"/>
        <v>0</v>
      </c>
      <c r="L283" s="1318"/>
      <c r="M283" s="1318"/>
      <c r="N283" s="1321">
        <f t="shared" si="35"/>
        <v>0</v>
      </c>
      <c r="O283" s="1322">
        <f t="shared" si="36"/>
        <v>0</v>
      </c>
      <c r="P283" s="2369">
        <f t="shared" si="37"/>
        <v>1900</v>
      </c>
      <c r="Q283" s="2369">
        <f t="shared" si="38"/>
        <v>1900</v>
      </c>
      <c r="R283" s="654"/>
      <c r="S283" s="654"/>
      <c r="T283" s="654"/>
      <c r="U283" s="654"/>
    </row>
    <row r="284" spans="1:21" ht="14.25" customHeight="1">
      <c r="A284" s="1316"/>
      <c r="B284" s="1317"/>
      <c r="C284" s="1318"/>
      <c r="D284" s="1319"/>
      <c r="E284" s="1318"/>
      <c r="F284" s="1320">
        <f t="shared" si="39"/>
        <v>0</v>
      </c>
      <c r="G284" s="1319"/>
      <c r="H284" s="1318"/>
      <c r="I284" s="1320">
        <f t="shared" si="40"/>
        <v>0</v>
      </c>
      <c r="J284" s="1320">
        <f t="shared" si="33"/>
        <v>0</v>
      </c>
      <c r="K284" s="1320">
        <f t="shared" si="34"/>
        <v>0</v>
      </c>
      <c r="L284" s="1318"/>
      <c r="M284" s="1318"/>
      <c r="N284" s="1321">
        <f t="shared" si="35"/>
        <v>0</v>
      </c>
      <c r="O284" s="1322">
        <f t="shared" si="36"/>
        <v>0</v>
      </c>
      <c r="P284" s="2369">
        <f t="shared" si="37"/>
        <v>1900</v>
      </c>
      <c r="Q284" s="2369">
        <f t="shared" si="38"/>
        <v>1900</v>
      </c>
      <c r="R284" s="654"/>
      <c r="S284" s="654"/>
      <c r="T284" s="654"/>
      <c r="U284" s="654"/>
    </row>
    <row r="285" spans="1:21" ht="14.25" customHeight="1">
      <c r="A285" s="1316"/>
      <c r="B285" s="1317"/>
      <c r="C285" s="1318"/>
      <c r="D285" s="1319"/>
      <c r="E285" s="1318"/>
      <c r="F285" s="1320">
        <f t="shared" si="39"/>
        <v>0</v>
      </c>
      <c r="G285" s="1319"/>
      <c r="H285" s="1318"/>
      <c r="I285" s="1320">
        <f t="shared" si="40"/>
        <v>0</v>
      </c>
      <c r="J285" s="1320">
        <f t="shared" si="33"/>
        <v>0</v>
      </c>
      <c r="K285" s="1320">
        <f t="shared" si="34"/>
        <v>0</v>
      </c>
      <c r="L285" s="1318"/>
      <c r="M285" s="1318"/>
      <c r="N285" s="1321">
        <f t="shared" si="35"/>
        <v>0</v>
      </c>
      <c r="O285" s="1322">
        <f t="shared" si="36"/>
        <v>0</v>
      </c>
      <c r="P285" s="2369">
        <f t="shared" si="37"/>
        <v>1900</v>
      </c>
      <c r="Q285" s="2369">
        <f t="shared" si="38"/>
        <v>1900</v>
      </c>
      <c r="R285" s="654"/>
      <c r="S285" s="654"/>
      <c r="T285" s="654"/>
      <c r="U285" s="654"/>
    </row>
    <row r="286" spans="1:21" ht="14.25" customHeight="1">
      <c r="A286" s="1316"/>
      <c r="B286" s="1317"/>
      <c r="C286" s="1318"/>
      <c r="D286" s="1319"/>
      <c r="E286" s="1318"/>
      <c r="F286" s="1320">
        <f t="shared" si="39"/>
        <v>0</v>
      </c>
      <c r="G286" s="1319"/>
      <c r="H286" s="1318"/>
      <c r="I286" s="1320">
        <f t="shared" si="40"/>
        <v>0</v>
      </c>
      <c r="J286" s="1320">
        <f t="shared" si="33"/>
        <v>0</v>
      </c>
      <c r="K286" s="1320">
        <f t="shared" si="34"/>
        <v>0</v>
      </c>
      <c r="L286" s="1318"/>
      <c r="M286" s="1318"/>
      <c r="N286" s="1321">
        <f t="shared" si="35"/>
        <v>0</v>
      </c>
      <c r="O286" s="1322">
        <f t="shared" si="36"/>
        <v>0</v>
      </c>
      <c r="P286" s="2369">
        <f t="shared" si="37"/>
        <v>1900</v>
      </c>
      <c r="Q286" s="2369">
        <f t="shared" si="38"/>
        <v>1900</v>
      </c>
      <c r="R286" s="654"/>
      <c r="S286" s="654"/>
      <c r="T286" s="654"/>
      <c r="U286" s="654"/>
    </row>
    <row r="287" spans="1:21" ht="14.25" customHeight="1">
      <c r="A287" s="1316"/>
      <c r="B287" s="1317"/>
      <c r="C287" s="1318"/>
      <c r="D287" s="1319"/>
      <c r="E287" s="1318"/>
      <c r="F287" s="1320">
        <f t="shared" si="39"/>
        <v>0</v>
      </c>
      <c r="G287" s="1319"/>
      <c r="H287" s="1318"/>
      <c r="I287" s="1320">
        <f t="shared" si="40"/>
        <v>0</v>
      </c>
      <c r="J287" s="1320">
        <f t="shared" si="33"/>
        <v>0</v>
      </c>
      <c r="K287" s="1320">
        <f t="shared" si="34"/>
        <v>0</v>
      </c>
      <c r="L287" s="1318"/>
      <c r="M287" s="1318"/>
      <c r="N287" s="1321">
        <f t="shared" si="35"/>
        <v>0</v>
      </c>
      <c r="O287" s="1322">
        <f t="shared" si="36"/>
        <v>0</v>
      </c>
      <c r="P287" s="2369">
        <f t="shared" si="37"/>
        <v>1900</v>
      </c>
      <c r="Q287" s="2369">
        <f t="shared" si="38"/>
        <v>1900</v>
      </c>
      <c r="R287" s="654"/>
      <c r="S287" s="654"/>
      <c r="T287" s="654"/>
      <c r="U287" s="654"/>
    </row>
    <row r="288" spans="1:21" ht="14.25" customHeight="1">
      <c r="A288" s="1316"/>
      <c r="B288" s="1317"/>
      <c r="C288" s="1318"/>
      <c r="D288" s="1319"/>
      <c r="E288" s="1318"/>
      <c r="F288" s="1320">
        <f t="shared" si="39"/>
        <v>0</v>
      </c>
      <c r="G288" s="1319"/>
      <c r="H288" s="1318"/>
      <c r="I288" s="1320">
        <f t="shared" si="40"/>
        <v>0</v>
      </c>
      <c r="J288" s="1320">
        <f t="shared" si="33"/>
        <v>0</v>
      </c>
      <c r="K288" s="1320">
        <f t="shared" si="34"/>
        <v>0</v>
      </c>
      <c r="L288" s="1318"/>
      <c r="M288" s="1318"/>
      <c r="N288" s="1321">
        <f t="shared" si="35"/>
        <v>0</v>
      </c>
      <c r="O288" s="1322">
        <f t="shared" si="36"/>
        <v>0</v>
      </c>
      <c r="P288" s="2369">
        <f t="shared" si="37"/>
        <v>1900</v>
      </c>
      <c r="Q288" s="2369">
        <f t="shared" si="38"/>
        <v>1900</v>
      </c>
      <c r="R288" s="654"/>
      <c r="S288" s="654"/>
      <c r="T288" s="654"/>
      <c r="U288" s="654"/>
    </row>
    <row r="289" spans="1:21" ht="14.25" customHeight="1">
      <c r="A289" s="1316"/>
      <c r="B289" s="1317"/>
      <c r="C289" s="1318"/>
      <c r="D289" s="1319"/>
      <c r="E289" s="1318"/>
      <c r="F289" s="1320">
        <f t="shared" si="39"/>
        <v>0</v>
      </c>
      <c r="G289" s="1319"/>
      <c r="H289" s="1318"/>
      <c r="I289" s="1320">
        <f t="shared" si="40"/>
        <v>0</v>
      </c>
      <c r="J289" s="1320">
        <f t="shared" si="33"/>
        <v>0</v>
      </c>
      <c r="K289" s="1320">
        <f t="shared" si="34"/>
        <v>0</v>
      </c>
      <c r="L289" s="1318"/>
      <c r="M289" s="1318"/>
      <c r="N289" s="1321">
        <f t="shared" si="35"/>
        <v>0</v>
      </c>
      <c r="O289" s="1322">
        <f t="shared" si="36"/>
        <v>0</v>
      </c>
      <c r="P289" s="2369">
        <f t="shared" si="37"/>
        <v>1900</v>
      </c>
      <c r="Q289" s="2369">
        <f t="shared" si="38"/>
        <v>1900</v>
      </c>
      <c r="R289" s="654"/>
      <c r="S289" s="654"/>
      <c r="T289" s="654"/>
      <c r="U289" s="654"/>
    </row>
    <row r="290" spans="1:21" ht="14.25" customHeight="1">
      <c r="A290" s="1316"/>
      <c r="B290" s="1317"/>
      <c r="C290" s="1318"/>
      <c r="D290" s="1319"/>
      <c r="E290" s="1318"/>
      <c r="F290" s="1320">
        <f t="shared" si="39"/>
        <v>0</v>
      </c>
      <c r="G290" s="1319"/>
      <c r="H290" s="1318"/>
      <c r="I290" s="1320">
        <f t="shared" si="40"/>
        <v>0</v>
      </c>
      <c r="J290" s="1320">
        <f t="shared" si="33"/>
        <v>0</v>
      </c>
      <c r="K290" s="1320">
        <f t="shared" si="34"/>
        <v>0</v>
      </c>
      <c r="L290" s="1318"/>
      <c r="M290" s="1318"/>
      <c r="N290" s="1321">
        <f t="shared" si="35"/>
        <v>0</v>
      </c>
      <c r="O290" s="1322">
        <f t="shared" si="36"/>
        <v>0</v>
      </c>
      <c r="P290" s="2369">
        <f t="shared" si="37"/>
        <v>1900</v>
      </c>
      <c r="Q290" s="2369">
        <f t="shared" si="38"/>
        <v>1900</v>
      </c>
      <c r="R290" s="654"/>
      <c r="S290" s="654"/>
      <c r="T290" s="654"/>
      <c r="U290" s="654"/>
    </row>
    <row r="291" spans="1:21" ht="14.25" customHeight="1">
      <c r="A291" s="1316"/>
      <c r="B291" s="1317"/>
      <c r="C291" s="1318"/>
      <c r="D291" s="1319"/>
      <c r="E291" s="1318"/>
      <c r="F291" s="1320">
        <f t="shared" si="39"/>
        <v>0</v>
      </c>
      <c r="G291" s="1319"/>
      <c r="H291" s="1318"/>
      <c r="I291" s="1320">
        <f t="shared" si="40"/>
        <v>0</v>
      </c>
      <c r="J291" s="1320">
        <f t="shared" si="33"/>
        <v>0</v>
      </c>
      <c r="K291" s="1320">
        <f t="shared" si="34"/>
        <v>0</v>
      </c>
      <c r="L291" s="1318"/>
      <c r="M291" s="1318"/>
      <c r="N291" s="1321">
        <f t="shared" si="35"/>
        <v>0</v>
      </c>
      <c r="O291" s="1322">
        <f t="shared" si="36"/>
        <v>0</v>
      </c>
      <c r="P291" s="2369">
        <f t="shared" si="37"/>
        <v>1900</v>
      </c>
      <c r="Q291" s="2369">
        <f t="shared" si="38"/>
        <v>1900</v>
      </c>
      <c r="R291" s="654"/>
      <c r="S291" s="654"/>
      <c r="T291" s="654"/>
      <c r="U291" s="654"/>
    </row>
    <row r="292" spans="1:21" ht="14.25" customHeight="1">
      <c r="A292" s="1316"/>
      <c r="B292" s="1317"/>
      <c r="C292" s="1318"/>
      <c r="D292" s="1319"/>
      <c r="E292" s="1318"/>
      <c r="F292" s="1320">
        <f t="shared" si="39"/>
        <v>0</v>
      </c>
      <c r="G292" s="1319"/>
      <c r="H292" s="1318"/>
      <c r="I292" s="1320">
        <f t="shared" si="40"/>
        <v>0</v>
      </c>
      <c r="J292" s="1320">
        <f t="shared" si="33"/>
        <v>0</v>
      </c>
      <c r="K292" s="1320">
        <f t="shared" si="34"/>
        <v>0</v>
      </c>
      <c r="L292" s="1318"/>
      <c r="M292" s="1318"/>
      <c r="N292" s="1321">
        <f t="shared" si="35"/>
        <v>0</v>
      </c>
      <c r="O292" s="1322">
        <f t="shared" si="36"/>
        <v>0</v>
      </c>
      <c r="P292" s="2369">
        <f t="shared" si="37"/>
        <v>1900</v>
      </c>
      <c r="Q292" s="2369">
        <f t="shared" si="38"/>
        <v>1900</v>
      </c>
      <c r="R292" s="654"/>
      <c r="S292" s="654"/>
      <c r="T292" s="654"/>
      <c r="U292" s="654"/>
    </row>
    <row r="293" spans="1:21" ht="14.25" customHeight="1">
      <c r="A293" s="1316"/>
      <c r="B293" s="1317"/>
      <c r="C293" s="1318"/>
      <c r="D293" s="1319"/>
      <c r="E293" s="1318"/>
      <c r="F293" s="1320">
        <f t="shared" si="39"/>
        <v>0</v>
      </c>
      <c r="G293" s="1319"/>
      <c r="H293" s="1318"/>
      <c r="I293" s="1320">
        <f t="shared" si="40"/>
        <v>0</v>
      </c>
      <c r="J293" s="1320">
        <f t="shared" si="33"/>
        <v>0</v>
      </c>
      <c r="K293" s="1320">
        <f t="shared" si="34"/>
        <v>0</v>
      </c>
      <c r="L293" s="1318"/>
      <c r="M293" s="1318"/>
      <c r="N293" s="1321">
        <f t="shared" si="35"/>
        <v>0</v>
      </c>
      <c r="O293" s="1322">
        <f t="shared" si="36"/>
        <v>0</v>
      </c>
      <c r="P293" s="2369">
        <f t="shared" si="37"/>
        <v>1900</v>
      </c>
      <c r="Q293" s="2369">
        <f t="shared" si="38"/>
        <v>1900</v>
      </c>
      <c r="R293" s="654"/>
      <c r="S293" s="654"/>
      <c r="T293" s="654"/>
      <c r="U293" s="654"/>
    </row>
    <row r="294" spans="1:21" ht="14.25" customHeight="1">
      <c r="A294" s="1316"/>
      <c r="B294" s="1317"/>
      <c r="C294" s="1318"/>
      <c r="D294" s="1319"/>
      <c r="E294" s="1318"/>
      <c r="F294" s="1320">
        <f t="shared" si="39"/>
        <v>0</v>
      </c>
      <c r="G294" s="1319"/>
      <c r="H294" s="1318"/>
      <c r="I294" s="1320">
        <f t="shared" si="40"/>
        <v>0</v>
      </c>
      <c r="J294" s="1320">
        <f t="shared" si="33"/>
        <v>0</v>
      </c>
      <c r="K294" s="1320">
        <f t="shared" si="34"/>
        <v>0</v>
      </c>
      <c r="L294" s="1318"/>
      <c r="M294" s="1318"/>
      <c r="N294" s="1321">
        <f t="shared" si="35"/>
        <v>0</v>
      </c>
      <c r="O294" s="1322">
        <f t="shared" si="36"/>
        <v>0</v>
      </c>
      <c r="P294" s="2369">
        <f t="shared" si="37"/>
        <v>1900</v>
      </c>
      <c r="Q294" s="2369">
        <f t="shared" si="38"/>
        <v>1900</v>
      </c>
      <c r="R294" s="654"/>
      <c r="S294" s="654"/>
      <c r="T294" s="654"/>
      <c r="U294" s="654"/>
    </row>
    <row r="295" spans="1:21" ht="14.25" customHeight="1">
      <c r="A295" s="1316"/>
      <c r="B295" s="1317"/>
      <c r="C295" s="1318"/>
      <c r="D295" s="1319"/>
      <c r="E295" s="1318"/>
      <c r="F295" s="1320">
        <f t="shared" si="39"/>
        <v>0</v>
      </c>
      <c r="G295" s="1319"/>
      <c r="H295" s="1318"/>
      <c r="I295" s="1320">
        <f t="shared" si="40"/>
        <v>0</v>
      </c>
      <c r="J295" s="1320">
        <f t="shared" si="33"/>
        <v>0</v>
      </c>
      <c r="K295" s="1320">
        <f t="shared" si="34"/>
        <v>0</v>
      </c>
      <c r="L295" s="1318"/>
      <c r="M295" s="1318"/>
      <c r="N295" s="1321">
        <f t="shared" si="35"/>
        <v>0</v>
      </c>
      <c r="O295" s="1322">
        <f t="shared" si="36"/>
        <v>0</v>
      </c>
      <c r="P295" s="2369">
        <f t="shared" si="37"/>
        <v>1900</v>
      </c>
      <c r="Q295" s="2369">
        <f t="shared" si="38"/>
        <v>1900</v>
      </c>
      <c r="R295" s="654"/>
      <c r="S295" s="654"/>
      <c r="T295" s="654"/>
      <c r="U295" s="654"/>
    </row>
    <row r="296" spans="1:21" ht="14.25" customHeight="1">
      <c r="A296" s="1316"/>
      <c r="B296" s="1317"/>
      <c r="C296" s="1318"/>
      <c r="D296" s="1319"/>
      <c r="E296" s="1318"/>
      <c r="F296" s="1320">
        <f t="shared" si="39"/>
        <v>0</v>
      </c>
      <c r="G296" s="1319"/>
      <c r="H296" s="1318"/>
      <c r="I296" s="1320">
        <f t="shared" si="40"/>
        <v>0</v>
      </c>
      <c r="J296" s="1320">
        <f t="shared" si="33"/>
        <v>0</v>
      </c>
      <c r="K296" s="1320">
        <f t="shared" si="34"/>
        <v>0</v>
      </c>
      <c r="L296" s="1318"/>
      <c r="M296" s="1318"/>
      <c r="N296" s="1321">
        <f t="shared" si="35"/>
        <v>0</v>
      </c>
      <c r="O296" s="1322">
        <f t="shared" si="36"/>
        <v>0</v>
      </c>
      <c r="P296" s="2369">
        <f t="shared" si="37"/>
        <v>1900</v>
      </c>
      <c r="Q296" s="2369">
        <f t="shared" si="38"/>
        <v>1900</v>
      </c>
      <c r="R296" s="654"/>
      <c r="S296" s="654"/>
      <c r="T296" s="654"/>
      <c r="U296" s="654"/>
    </row>
    <row r="297" spans="1:21" ht="14.25" customHeight="1">
      <c r="A297" s="1316"/>
      <c r="B297" s="1317"/>
      <c r="C297" s="1318"/>
      <c r="D297" s="1319"/>
      <c r="E297" s="1318"/>
      <c r="F297" s="1320">
        <f t="shared" si="39"/>
        <v>0</v>
      </c>
      <c r="G297" s="1319"/>
      <c r="H297" s="1318"/>
      <c r="I297" s="1320">
        <f t="shared" si="40"/>
        <v>0</v>
      </c>
      <c r="J297" s="1320">
        <f t="shared" si="33"/>
        <v>0</v>
      </c>
      <c r="K297" s="1320">
        <f t="shared" si="34"/>
        <v>0</v>
      </c>
      <c r="L297" s="1318"/>
      <c r="M297" s="1318"/>
      <c r="N297" s="1321">
        <f t="shared" si="35"/>
        <v>0</v>
      </c>
      <c r="O297" s="1322">
        <f t="shared" si="36"/>
        <v>0</v>
      </c>
      <c r="P297" s="2369">
        <f t="shared" si="37"/>
        <v>1900</v>
      </c>
      <c r="Q297" s="2369">
        <f t="shared" si="38"/>
        <v>1900</v>
      </c>
      <c r="R297" s="654"/>
      <c r="S297" s="654"/>
      <c r="T297" s="654"/>
      <c r="U297" s="654"/>
    </row>
    <row r="298" spans="1:21" ht="14.25" customHeight="1">
      <c r="A298" s="1316"/>
      <c r="B298" s="1317"/>
      <c r="C298" s="1318"/>
      <c r="D298" s="1319"/>
      <c r="E298" s="1318"/>
      <c r="F298" s="1320">
        <f t="shared" si="39"/>
        <v>0</v>
      </c>
      <c r="G298" s="1319"/>
      <c r="H298" s="1318"/>
      <c r="I298" s="1320">
        <f t="shared" si="40"/>
        <v>0</v>
      </c>
      <c r="J298" s="1320">
        <f t="shared" si="33"/>
        <v>0</v>
      </c>
      <c r="K298" s="1320">
        <f t="shared" si="34"/>
        <v>0</v>
      </c>
      <c r="L298" s="1318"/>
      <c r="M298" s="1318"/>
      <c r="N298" s="1321">
        <f t="shared" si="35"/>
        <v>0</v>
      </c>
      <c r="O298" s="1322">
        <f t="shared" si="36"/>
        <v>0</v>
      </c>
      <c r="P298" s="2369">
        <f t="shared" si="37"/>
        <v>1900</v>
      </c>
      <c r="Q298" s="2369">
        <f t="shared" si="38"/>
        <v>1900</v>
      </c>
      <c r="R298" s="654"/>
      <c r="S298" s="654"/>
      <c r="T298" s="654"/>
      <c r="U298" s="654"/>
    </row>
    <row r="299" spans="1:21" ht="14.25" customHeight="1">
      <c r="A299" s="1316"/>
      <c r="B299" s="1317"/>
      <c r="C299" s="1318"/>
      <c r="D299" s="1319"/>
      <c r="E299" s="1318"/>
      <c r="F299" s="1320">
        <f t="shared" si="39"/>
        <v>0</v>
      </c>
      <c r="G299" s="1319"/>
      <c r="H299" s="1318"/>
      <c r="I299" s="1320">
        <f t="shared" si="40"/>
        <v>0</v>
      </c>
      <c r="J299" s="1320">
        <f t="shared" si="33"/>
        <v>0</v>
      </c>
      <c r="K299" s="1320">
        <f t="shared" si="34"/>
        <v>0</v>
      </c>
      <c r="L299" s="1318"/>
      <c r="M299" s="1318"/>
      <c r="N299" s="1321">
        <f t="shared" si="35"/>
        <v>0</v>
      </c>
      <c r="O299" s="1322">
        <f t="shared" si="36"/>
        <v>0</v>
      </c>
      <c r="P299" s="2369">
        <f t="shared" si="37"/>
        <v>1900</v>
      </c>
      <c r="Q299" s="2369">
        <f t="shared" si="38"/>
        <v>1900</v>
      </c>
      <c r="R299" s="654"/>
      <c r="S299" s="654"/>
      <c r="T299" s="654"/>
      <c r="U299" s="654"/>
    </row>
    <row r="300" spans="1:21" ht="14.25" customHeight="1">
      <c r="A300" s="1316"/>
      <c r="B300" s="1317"/>
      <c r="C300" s="1318"/>
      <c r="D300" s="1319"/>
      <c r="E300" s="1318"/>
      <c r="F300" s="1320">
        <f t="shared" si="39"/>
        <v>0</v>
      </c>
      <c r="G300" s="1319"/>
      <c r="H300" s="1318"/>
      <c r="I300" s="1320">
        <f t="shared" si="40"/>
        <v>0</v>
      </c>
      <c r="J300" s="1320">
        <f t="shared" si="33"/>
        <v>0</v>
      </c>
      <c r="K300" s="1320">
        <f t="shared" si="34"/>
        <v>0</v>
      </c>
      <c r="L300" s="1318"/>
      <c r="M300" s="1318"/>
      <c r="N300" s="1321">
        <f t="shared" si="35"/>
        <v>0</v>
      </c>
      <c r="O300" s="1322">
        <f t="shared" si="36"/>
        <v>0</v>
      </c>
      <c r="P300" s="2369">
        <f t="shared" si="37"/>
        <v>1900</v>
      </c>
      <c r="Q300" s="2369">
        <f t="shared" si="38"/>
        <v>1900</v>
      </c>
      <c r="R300" s="654"/>
      <c r="S300" s="654"/>
      <c r="T300" s="654"/>
      <c r="U300" s="654"/>
    </row>
    <row r="301" spans="1:21" ht="14.25" customHeight="1">
      <c r="A301" s="1316"/>
      <c r="B301" s="1317"/>
      <c r="C301" s="1318"/>
      <c r="D301" s="1319"/>
      <c r="E301" s="1318"/>
      <c r="F301" s="1320">
        <f t="shared" si="39"/>
        <v>0</v>
      </c>
      <c r="G301" s="1319"/>
      <c r="H301" s="1318"/>
      <c r="I301" s="1320">
        <f t="shared" si="40"/>
        <v>0</v>
      </c>
      <c r="J301" s="1320">
        <f t="shared" si="33"/>
        <v>0</v>
      </c>
      <c r="K301" s="1320">
        <f t="shared" si="34"/>
        <v>0</v>
      </c>
      <c r="L301" s="1318"/>
      <c r="M301" s="1318"/>
      <c r="N301" s="1321">
        <f t="shared" si="35"/>
        <v>0</v>
      </c>
      <c r="O301" s="1322">
        <f t="shared" si="36"/>
        <v>0</v>
      </c>
      <c r="P301" s="2369">
        <f t="shared" si="37"/>
        <v>1900</v>
      </c>
      <c r="Q301" s="2369">
        <f t="shared" si="38"/>
        <v>1900</v>
      </c>
      <c r="R301" s="654"/>
      <c r="S301" s="654"/>
      <c r="T301" s="654"/>
      <c r="U301" s="654"/>
    </row>
    <row r="302" spans="1:21" ht="14.25" customHeight="1">
      <c r="A302" s="1316"/>
      <c r="B302" s="1317"/>
      <c r="C302" s="1318"/>
      <c r="D302" s="1319"/>
      <c r="E302" s="1318"/>
      <c r="F302" s="1320">
        <f t="shared" si="39"/>
        <v>0</v>
      </c>
      <c r="G302" s="1319"/>
      <c r="H302" s="1318"/>
      <c r="I302" s="1320">
        <f t="shared" si="40"/>
        <v>0</v>
      </c>
      <c r="J302" s="1320">
        <f t="shared" si="33"/>
        <v>0</v>
      </c>
      <c r="K302" s="1320">
        <f t="shared" si="34"/>
        <v>0</v>
      </c>
      <c r="L302" s="1318"/>
      <c r="M302" s="1318"/>
      <c r="N302" s="1321">
        <f t="shared" si="35"/>
        <v>0</v>
      </c>
      <c r="O302" s="1322">
        <f t="shared" si="36"/>
        <v>0</v>
      </c>
      <c r="P302" s="2369">
        <f t="shared" si="37"/>
        <v>1900</v>
      </c>
      <c r="Q302" s="2369">
        <f t="shared" si="38"/>
        <v>1900</v>
      </c>
      <c r="R302" s="654"/>
      <c r="S302" s="654"/>
      <c r="T302" s="654"/>
      <c r="U302" s="654"/>
    </row>
    <row r="303" spans="1:21" ht="14.25" customHeight="1">
      <c r="A303" s="1316"/>
      <c r="B303" s="1317"/>
      <c r="C303" s="1318"/>
      <c r="D303" s="1319"/>
      <c r="E303" s="1318"/>
      <c r="F303" s="1320">
        <f t="shared" si="39"/>
        <v>0</v>
      </c>
      <c r="G303" s="1319"/>
      <c r="H303" s="1318"/>
      <c r="I303" s="1320">
        <f t="shared" si="40"/>
        <v>0</v>
      </c>
      <c r="J303" s="1320">
        <f t="shared" si="33"/>
        <v>0</v>
      </c>
      <c r="K303" s="1320">
        <f t="shared" si="34"/>
        <v>0</v>
      </c>
      <c r="L303" s="1318"/>
      <c r="M303" s="1318"/>
      <c r="N303" s="1321">
        <f t="shared" si="35"/>
        <v>0</v>
      </c>
      <c r="O303" s="1322">
        <f t="shared" si="36"/>
        <v>0</v>
      </c>
      <c r="P303" s="2369">
        <f t="shared" si="37"/>
        <v>1900</v>
      </c>
      <c r="Q303" s="2369">
        <f t="shared" si="38"/>
        <v>1900</v>
      </c>
      <c r="R303" s="654"/>
      <c r="S303" s="654"/>
      <c r="T303" s="654"/>
      <c r="U303" s="654"/>
    </row>
    <row r="304" spans="1:21" ht="14.25" customHeight="1">
      <c r="A304" s="1316"/>
      <c r="B304" s="1317"/>
      <c r="C304" s="1318"/>
      <c r="D304" s="1319"/>
      <c r="E304" s="1318"/>
      <c r="F304" s="1320">
        <f t="shared" si="39"/>
        <v>0</v>
      </c>
      <c r="G304" s="1319"/>
      <c r="H304" s="1318"/>
      <c r="I304" s="1320">
        <f t="shared" si="40"/>
        <v>0</v>
      </c>
      <c r="J304" s="1320">
        <f t="shared" si="33"/>
        <v>0</v>
      </c>
      <c r="K304" s="1320">
        <f t="shared" si="34"/>
        <v>0</v>
      </c>
      <c r="L304" s="1318"/>
      <c r="M304" s="1318"/>
      <c r="N304" s="1321">
        <f t="shared" si="35"/>
        <v>0</v>
      </c>
      <c r="O304" s="1322">
        <f t="shared" si="36"/>
        <v>0</v>
      </c>
      <c r="P304" s="2369">
        <f t="shared" si="37"/>
        <v>1900</v>
      </c>
      <c r="Q304" s="2369">
        <f t="shared" si="38"/>
        <v>1900</v>
      </c>
      <c r="R304" s="654"/>
      <c r="S304" s="654"/>
      <c r="T304" s="654"/>
      <c r="U304" s="654"/>
    </row>
    <row r="305" spans="1:21" ht="14.25" customHeight="1">
      <c r="A305" s="1316"/>
      <c r="B305" s="1317"/>
      <c r="C305" s="1318"/>
      <c r="D305" s="1319"/>
      <c r="E305" s="1318"/>
      <c r="F305" s="1320">
        <f t="shared" si="39"/>
        <v>0</v>
      </c>
      <c r="G305" s="1319"/>
      <c r="H305" s="1318"/>
      <c r="I305" s="1320">
        <f t="shared" si="40"/>
        <v>0</v>
      </c>
      <c r="J305" s="1320">
        <f t="shared" si="33"/>
        <v>0</v>
      </c>
      <c r="K305" s="1320">
        <f t="shared" si="34"/>
        <v>0</v>
      </c>
      <c r="L305" s="1318"/>
      <c r="M305" s="1318"/>
      <c r="N305" s="1321">
        <f t="shared" si="35"/>
        <v>0</v>
      </c>
      <c r="O305" s="1322">
        <f t="shared" si="36"/>
        <v>0</v>
      </c>
      <c r="P305" s="2369">
        <f t="shared" si="37"/>
        <v>1900</v>
      </c>
      <c r="Q305" s="2369">
        <f t="shared" si="38"/>
        <v>1900</v>
      </c>
      <c r="R305" s="654"/>
      <c r="S305" s="654"/>
      <c r="T305" s="654"/>
      <c r="U305" s="654"/>
    </row>
    <row r="306" spans="1:21" ht="14.25" customHeight="1">
      <c r="A306" s="1316"/>
      <c r="B306" s="1317"/>
      <c r="C306" s="1318"/>
      <c r="D306" s="1319"/>
      <c r="E306" s="1318"/>
      <c r="F306" s="1320">
        <f t="shared" si="39"/>
        <v>0</v>
      </c>
      <c r="G306" s="1319"/>
      <c r="H306" s="1318"/>
      <c r="I306" s="1320">
        <f t="shared" si="40"/>
        <v>0</v>
      </c>
      <c r="J306" s="1320">
        <f t="shared" si="33"/>
        <v>0</v>
      </c>
      <c r="K306" s="1320">
        <f t="shared" si="34"/>
        <v>0</v>
      </c>
      <c r="L306" s="1318"/>
      <c r="M306" s="1318"/>
      <c r="N306" s="1321">
        <f t="shared" si="35"/>
        <v>0</v>
      </c>
      <c r="O306" s="1322">
        <f t="shared" si="36"/>
        <v>0</v>
      </c>
      <c r="P306" s="2369">
        <f t="shared" si="37"/>
        <v>1900</v>
      </c>
      <c r="Q306" s="2369">
        <f t="shared" si="38"/>
        <v>1900</v>
      </c>
      <c r="R306" s="654"/>
      <c r="S306" s="654"/>
      <c r="T306" s="654"/>
      <c r="U306" s="654"/>
    </row>
    <row r="307" spans="1:21" ht="14.25" customHeight="1">
      <c r="A307" s="1316"/>
      <c r="B307" s="1317"/>
      <c r="C307" s="1318"/>
      <c r="D307" s="1319"/>
      <c r="E307" s="1318"/>
      <c r="F307" s="1320">
        <f t="shared" si="39"/>
        <v>0</v>
      </c>
      <c r="G307" s="1319"/>
      <c r="H307" s="1318"/>
      <c r="I307" s="1320">
        <f t="shared" si="40"/>
        <v>0</v>
      </c>
      <c r="J307" s="1320">
        <f t="shared" si="33"/>
        <v>0</v>
      </c>
      <c r="K307" s="1320">
        <f t="shared" si="34"/>
        <v>0</v>
      </c>
      <c r="L307" s="1318"/>
      <c r="M307" s="1318"/>
      <c r="N307" s="1321">
        <f t="shared" si="35"/>
        <v>0</v>
      </c>
      <c r="O307" s="1322">
        <f t="shared" si="36"/>
        <v>0</v>
      </c>
      <c r="P307" s="2369">
        <f t="shared" si="37"/>
        <v>1900</v>
      </c>
      <c r="Q307" s="2369">
        <f t="shared" si="38"/>
        <v>1900</v>
      </c>
      <c r="R307" s="654"/>
      <c r="S307" s="654"/>
      <c r="T307" s="654"/>
      <c r="U307" s="654"/>
    </row>
    <row r="308" spans="1:21" ht="14.25" customHeight="1">
      <c r="A308" s="1316"/>
      <c r="B308" s="1317"/>
      <c r="C308" s="1318"/>
      <c r="D308" s="1319"/>
      <c r="E308" s="1318"/>
      <c r="F308" s="1320">
        <f t="shared" si="39"/>
        <v>0</v>
      </c>
      <c r="G308" s="1319"/>
      <c r="H308" s="1318"/>
      <c r="I308" s="1320">
        <f t="shared" si="40"/>
        <v>0</v>
      </c>
      <c r="J308" s="1320">
        <f t="shared" si="33"/>
        <v>0</v>
      </c>
      <c r="K308" s="1320">
        <f t="shared" si="34"/>
        <v>0</v>
      </c>
      <c r="L308" s="1318"/>
      <c r="M308" s="1318"/>
      <c r="N308" s="1321">
        <f t="shared" si="35"/>
        <v>0</v>
      </c>
      <c r="O308" s="1322">
        <f t="shared" si="36"/>
        <v>0</v>
      </c>
      <c r="P308" s="2369">
        <f t="shared" si="37"/>
        <v>1900</v>
      </c>
      <c r="Q308" s="2369">
        <f t="shared" si="38"/>
        <v>1900</v>
      </c>
      <c r="R308" s="654"/>
      <c r="S308" s="654"/>
      <c r="T308" s="654"/>
      <c r="U308" s="654"/>
    </row>
    <row r="309" spans="1:21" ht="14.25" customHeight="1">
      <c r="A309" s="1316"/>
      <c r="B309" s="1317"/>
      <c r="C309" s="1318"/>
      <c r="D309" s="1319"/>
      <c r="E309" s="1318"/>
      <c r="F309" s="1320">
        <f t="shared" si="39"/>
        <v>0</v>
      </c>
      <c r="G309" s="1319"/>
      <c r="H309" s="1318"/>
      <c r="I309" s="1320">
        <f t="shared" si="40"/>
        <v>0</v>
      </c>
      <c r="J309" s="1320">
        <f t="shared" si="33"/>
        <v>0</v>
      </c>
      <c r="K309" s="1320">
        <f t="shared" si="34"/>
        <v>0</v>
      </c>
      <c r="L309" s="1318"/>
      <c r="M309" s="1318"/>
      <c r="N309" s="1321">
        <f t="shared" si="35"/>
        <v>0</v>
      </c>
      <c r="O309" s="1322">
        <f t="shared" si="36"/>
        <v>0</v>
      </c>
      <c r="P309" s="2369">
        <f t="shared" si="37"/>
        <v>1900</v>
      </c>
      <c r="Q309" s="2369">
        <f t="shared" si="38"/>
        <v>1900</v>
      </c>
      <c r="R309" s="654"/>
      <c r="S309" s="654"/>
      <c r="T309" s="654"/>
      <c r="U309" s="654"/>
    </row>
    <row r="310" spans="1:21" ht="14.25" customHeight="1">
      <c r="A310" s="1316"/>
      <c r="B310" s="1317"/>
      <c r="C310" s="1318"/>
      <c r="D310" s="1319"/>
      <c r="E310" s="1318"/>
      <c r="F310" s="1320">
        <f t="shared" si="39"/>
        <v>0</v>
      </c>
      <c r="G310" s="1319"/>
      <c r="H310" s="1318"/>
      <c r="I310" s="1320">
        <f t="shared" si="40"/>
        <v>0</v>
      </c>
      <c r="J310" s="1320">
        <f t="shared" si="33"/>
        <v>0</v>
      </c>
      <c r="K310" s="1320">
        <f t="shared" si="34"/>
        <v>0</v>
      </c>
      <c r="L310" s="1318"/>
      <c r="M310" s="1318"/>
      <c r="N310" s="1321">
        <f t="shared" si="35"/>
        <v>0</v>
      </c>
      <c r="O310" s="1322">
        <f t="shared" si="36"/>
        <v>0</v>
      </c>
      <c r="P310" s="2369">
        <f t="shared" si="37"/>
        <v>1900</v>
      </c>
      <c r="Q310" s="2369">
        <f t="shared" si="38"/>
        <v>1900</v>
      </c>
      <c r="R310" s="654"/>
      <c r="S310" s="654"/>
      <c r="T310" s="654"/>
      <c r="U310" s="654"/>
    </row>
    <row r="311" spans="1:21" ht="14.25" customHeight="1">
      <c r="A311" s="1316"/>
      <c r="B311" s="1317"/>
      <c r="C311" s="1318"/>
      <c r="D311" s="1319"/>
      <c r="E311" s="1318"/>
      <c r="F311" s="1320">
        <f t="shared" si="39"/>
        <v>0</v>
      </c>
      <c r="G311" s="1319"/>
      <c r="H311" s="1318"/>
      <c r="I311" s="1320">
        <f t="shared" si="40"/>
        <v>0</v>
      </c>
      <c r="J311" s="1320">
        <f t="shared" si="33"/>
        <v>0</v>
      </c>
      <c r="K311" s="1320">
        <f t="shared" si="34"/>
        <v>0</v>
      </c>
      <c r="L311" s="1318"/>
      <c r="M311" s="1318"/>
      <c r="N311" s="1321">
        <f t="shared" si="35"/>
        <v>0</v>
      </c>
      <c r="O311" s="1322">
        <f t="shared" si="36"/>
        <v>0</v>
      </c>
      <c r="P311" s="2369">
        <f t="shared" si="37"/>
        <v>1900</v>
      </c>
      <c r="Q311" s="2369">
        <f t="shared" si="38"/>
        <v>1900</v>
      </c>
      <c r="R311" s="654"/>
      <c r="S311" s="654"/>
      <c r="T311" s="654"/>
      <c r="U311" s="654"/>
    </row>
    <row r="312" spans="1:21" ht="14.25" customHeight="1">
      <c r="A312" s="1316"/>
      <c r="B312" s="1317"/>
      <c r="C312" s="1318"/>
      <c r="D312" s="1319"/>
      <c r="E312" s="1318"/>
      <c r="F312" s="1320">
        <f t="shared" si="39"/>
        <v>0</v>
      </c>
      <c r="G312" s="1319"/>
      <c r="H312" s="1318"/>
      <c r="I312" s="1320">
        <f t="shared" si="40"/>
        <v>0</v>
      </c>
      <c r="J312" s="1320">
        <f t="shared" si="33"/>
        <v>0</v>
      </c>
      <c r="K312" s="1320">
        <f t="shared" si="34"/>
        <v>0</v>
      </c>
      <c r="L312" s="1318"/>
      <c r="M312" s="1318"/>
      <c r="N312" s="1321">
        <f t="shared" si="35"/>
        <v>0</v>
      </c>
      <c r="O312" s="1322">
        <f t="shared" si="36"/>
        <v>0</v>
      </c>
      <c r="P312" s="2369">
        <f t="shared" si="37"/>
        <v>1900</v>
      </c>
      <c r="Q312" s="2369">
        <f t="shared" si="38"/>
        <v>1900</v>
      </c>
      <c r="R312" s="654"/>
      <c r="S312" s="654"/>
      <c r="T312" s="654"/>
      <c r="U312" s="654"/>
    </row>
    <row r="313" spans="1:21" ht="14.25" customHeight="1">
      <c r="A313" s="1316"/>
      <c r="B313" s="1317"/>
      <c r="C313" s="1318"/>
      <c r="D313" s="1319"/>
      <c r="E313" s="1318"/>
      <c r="F313" s="1320">
        <f t="shared" si="39"/>
        <v>0</v>
      </c>
      <c r="G313" s="1319"/>
      <c r="H313" s="1318"/>
      <c r="I313" s="1320">
        <f t="shared" si="40"/>
        <v>0</v>
      </c>
      <c r="J313" s="1320">
        <f t="shared" si="33"/>
        <v>0</v>
      </c>
      <c r="K313" s="1320">
        <f t="shared" si="34"/>
        <v>0</v>
      </c>
      <c r="L313" s="1318"/>
      <c r="M313" s="1318"/>
      <c r="N313" s="1321">
        <f t="shared" si="35"/>
        <v>0</v>
      </c>
      <c r="O313" s="1322">
        <f t="shared" si="36"/>
        <v>0</v>
      </c>
      <c r="P313" s="2369">
        <f t="shared" si="37"/>
        <v>1900</v>
      </c>
      <c r="Q313" s="2369">
        <f t="shared" si="38"/>
        <v>1900</v>
      </c>
      <c r="R313" s="654"/>
      <c r="S313" s="654"/>
      <c r="T313" s="654"/>
      <c r="U313" s="654"/>
    </row>
    <row r="314" spans="1:21" ht="14.25" customHeight="1">
      <c r="A314" s="1316"/>
      <c r="B314" s="1317"/>
      <c r="C314" s="1318"/>
      <c r="D314" s="1319"/>
      <c r="E314" s="1318"/>
      <c r="F314" s="1320">
        <f t="shared" si="39"/>
        <v>0</v>
      </c>
      <c r="G314" s="1319"/>
      <c r="H314" s="1318"/>
      <c r="I314" s="1320">
        <f t="shared" si="40"/>
        <v>0</v>
      </c>
      <c r="J314" s="1320">
        <f t="shared" si="33"/>
        <v>0</v>
      </c>
      <c r="K314" s="1320">
        <f t="shared" si="34"/>
        <v>0</v>
      </c>
      <c r="L314" s="1318"/>
      <c r="M314" s="1318"/>
      <c r="N314" s="1321">
        <f t="shared" si="35"/>
        <v>0</v>
      </c>
      <c r="O314" s="1322">
        <f t="shared" si="36"/>
        <v>0</v>
      </c>
      <c r="P314" s="2369">
        <f t="shared" si="37"/>
        <v>1900</v>
      </c>
      <c r="Q314" s="2369">
        <f t="shared" si="38"/>
        <v>1900</v>
      </c>
      <c r="R314" s="654"/>
      <c r="S314" s="654"/>
      <c r="T314" s="654"/>
      <c r="U314" s="654"/>
    </row>
    <row r="315" spans="1:21" ht="14.25" customHeight="1">
      <c r="A315" s="1316"/>
      <c r="B315" s="1317"/>
      <c r="C315" s="1318"/>
      <c r="D315" s="1319"/>
      <c r="E315" s="1318"/>
      <c r="F315" s="1320">
        <f t="shared" si="39"/>
        <v>0</v>
      </c>
      <c r="G315" s="1319"/>
      <c r="H315" s="1318"/>
      <c r="I315" s="1320">
        <f t="shared" si="40"/>
        <v>0</v>
      </c>
      <c r="J315" s="1320">
        <f t="shared" si="33"/>
        <v>0</v>
      </c>
      <c r="K315" s="1320">
        <f t="shared" si="34"/>
        <v>0</v>
      </c>
      <c r="L315" s="1318"/>
      <c r="M315" s="1318"/>
      <c r="N315" s="1321">
        <f t="shared" si="35"/>
        <v>0</v>
      </c>
      <c r="O315" s="1322">
        <f t="shared" si="36"/>
        <v>0</v>
      </c>
      <c r="P315" s="2369">
        <f t="shared" si="37"/>
        <v>1900</v>
      </c>
      <c r="Q315" s="2369">
        <f t="shared" si="38"/>
        <v>1900</v>
      </c>
      <c r="R315" s="654"/>
      <c r="S315" s="654"/>
      <c r="T315" s="654"/>
      <c r="U315" s="654"/>
    </row>
    <row r="316" spans="1:21" ht="14.25" customHeight="1">
      <c r="A316" s="1316"/>
      <c r="B316" s="1317"/>
      <c r="C316" s="1318"/>
      <c r="D316" s="1319"/>
      <c r="E316" s="1318"/>
      <c r="F316" s="1320">
        <f t="shared" si="39"/>
        <v>0</v>
      </c>
      <c r="G316" s="1319"/>
      <c r="H316" s="1318"/>
      <c r="I316" s="1320">
        <f t="shared" si="40"/>
        <v>0</v>
      </c>
      <c r="J316" s="1320">
        <f t="shared" si="33"/>
        <v>0</v>
      </c>
      <c r="K316" s="1320">
        <f t="shared" si="34"/>
        <v>0</v>
      </c>
      <c r="L316" s="1318"/>
      <c r="M316" s="1318"/>
      <c r="N316" s="1321">
        <f t="shared" si="35"/>
        <v>0</v>
      </c>
      <c r="O316" s="1322">
        <f t="shared" si="36"/>
        <v>0</v>
      </c>
      <c r="P316" s="2369">
        <f t="shared" si="37"/>
        <v>1900</v>
      </c>
      <c r="Q316" s="2369">
        <f t="shared" si="38"/>
        <v>1900</v>
      </c>
      <c r="R316" s="654"/>
      <c r="S316" s="654"/>
      <c r="T316" s="654"/>
      <c r="U316" s="654"/>
    </row>
    <row r="317" spans="1:21" ht="14.25" customHeight="1">
      <c r="A317" s="1316"/>
      <c r="B317" s="1317"/>
      <c r="C317" s="1318"/>
      <c r="D317" s="1319"/>
      <c r="E317" s="1318"/>
      <c r="F317" s="1320">
        <f t="shared" si="39"/>
        <v>0</v>
      </c>
      <c r="G317" s="1319"/>
      <c r="H317" s="1318"/>
      <c r="I317" s="1320">
        <f t="shared" si="40"/>
        <v>0</v>
      </c>
      <c r="J317" s="1320">
        <f t="shared" si="33"/>
        <v>0</v>
      </c>
      <c r="K317" s="1320">
        <f t="shared" si="34"/>
        <v>0</v>
      </c>
      <c r="L317" s="1318"/>
      <c r="M317" s="1318"/>
      <c r="N317" s="1321">
        <f t="shared" si="35"/>
        <v>0</v>
      </c>
      <c r="O317" s="1322">
        <f t="shared" si="36"/>
        <v>0</v>
      </c>
      <c r="P317" s="2369">
        <f t="shared" si="37"/>
        <v>1900</v>
      </c>
      <c r="Q317" s="2369">
        <f t="shared" si="38"/>
        <v>1900</v>
      </c>
      <c r="R317" s="654"/>
      <c r="S317" s="654"/>
      <c r="T317" s="654"/>
      <c r="U317" s="654"/>
    </row>
    <row r="318" spans="1:21" ht="14.25" customHeight="1">
      <c r="A318" s="1316"/>
      <c r="B318" s="1317"/>
      <c r="C318" s="1318"/>
      <c r="D318" s="1319"/>
      <c r="E318" s="1318"/>
      <c r="F318" s="1320">
        <f t="shared" si="39"/>
        <v>0</v>
      </c>
      <c r="G318" s="1319"/>
      <c r="H318" s="1318"/>
      <c r="I318" s="1320">
        <f t="shared" si="40"/>
        <v>0</v>
      </c>
      <c r="J318" s="1320">
        <f t="shared" si="33"/>
        <v>0</v>
      </c>
      <c r="K318" s="1320">
        <f t="shared" si="34"/>
        <v>0</v>
      </c>
      <c r="L318" s="1318"/>
      <c r="M318" s="1318"/>
      <c r="N318" s="1321">
        <f t="shared" si="35"/>
        <v>0</v>
      </c>
      <c r="O318" s="1322">
        <f t="shared" si="36"/>
        <v>0</v>
      </c>
      <c r="P318" s="2369">
        <f t="shared" si="37"/>
        <v>1900</v>
      </c>
      <c r="Q318" s="2369">
        <f t="shared" si="38"/>
        <v>1900</v>
      </c>
      <c r="R318" s="654"/>
      <c r="S318" s="654"/>
      <c r="T318" s="654"/>
      <c r="U318" s="654"/>
    </row>
    <row r="319" spans="1:21" ht="14.25" customHeight="1">
      <c r="A319" s="1316"/>
      <c r="B319" s="1317"/>
      <c r="C319" s="1318"/>
      <c r="D319" s="1319"/>
      <c r="E319" s="1318"/>
      <c r="F319" s="1320">
        <f t="shared" si="39"/>
        <v>0</v>
      </c>
      <c r="G319" s="1319"/>
      <c r="H319" s="1318"/>
      <c r="I319" s="1320">
        <f t="shared" si="40"/>
        <v>0</v>
      </c>
      <c r="J319" s="1320">
        <f t="shared" si="33"/>
        <v>0</v>
      </c>
      <c r="K319" s="1320">
        <f t="shared" si="34"/>
        <v>0</v>
      </c>
      <c r="L319" s="1318"/>
      <c r="M319" s="1318"/>
      <c r="N319" s="1321">
        <f t="shared" si="35"/>
        <v>0</v>
      </c>
      <c r="O319" s="1322">
        <f t="shared" si="36"/>
        <v>0</v>
      </c>
      <c r="P319" s="2369">
        <f t="shared" si="37"/>
        <v>1900</v>
      </c>
      <c r="Q319" s="2369">
        <f t="shared" si="38"/>
        <v>1900</v>
      </c>
      <c r="R319" s="654"/>
      <c r="S319" s="654"/>
      <c r="T319" s="654"/>
      <c r="U319" s="654"/>
    </row>
    <row r="320" spans="1:21" ht="14.25" customHeight="1">
      <c r="A320" s="1316"/>
      <c r="B320" s="1317"/>
      <c r="C320" s="1318"/>
      <c r="D320" s="1319"/>
      <c r="E320" s="1318"/>
      <c r="F320" s="1320">
        <f t="shared" si="39"/>
        <v>0</v>
      </c>
      <c r="G320" s="1319"/>
      <c r="H320" s="1318"/>
      <c r="I320" s="1320">
        <f t="shared" si="40"/>
        <v>0</v>
      </c>
      <c r="J320" s="1320">
        <f t="shared" si="33"/>
        <v>0</v>
      </c>
      <c r="K320" s="1320">
        <f t="shared" si="34"/>
        <v>0</v>
      </c>
      <c r="L320" s="1318"/>
      <c r="M320" s="1318"/>
      <c r="N320" s="1321">
        <f t="shared" si="35"/>
        <v>0</v>
      </c>
      <c r="O320" s="1322">
        <f t="shared" si="36"/>
        <v>0</v>
      </c>
      <c r="P320" s="2369">
        <f t="shared" si="37"/>
        <v>1900</v>
      </c>
      <c r="Q320" s="2369">
        <f t="shared" si="38"/>
        <v>1900</v>
      </c>
      <c r="R320" s="654"/>
      <c r="S320" s="654"/>
      <c r="T320" s="654"/>
      <c r="U320" s="654"/>
    </row>
    <row r="321" spans="1:21" ht="14.25" customHeight="1">
      <c r="A321" s="1316"/>
      <c r="B321" s="1317"/>
      <c r="C321" s="1318"/>
      <c r="D321" s="1319"/>
      <c r="E321" s="1318"/>
      <c r="F321" s="1320">
        <f t="shared" si="39"/>
        <v>0</v>
      </c>
      <c r="G321" s="1319"/>
      <c r="H321" s="1318"/>
      <c r="I321" s="1320">
        <f t="shared" si="40"/>
        <v>0</v>
      </c>
      <c r="J321" s="1320">
        <f t="shared" si="33"/>
        <v>0</v>
      </c>
      <c r="K321" s="1320">
        <f t="shared" si="34"/>
        <v>0</v>
      </c>
      <c r="L321" s="1318"/>
      <c r="M321" s="1318"/>
      <c r="N321" s="1321">
        <f t="shared" si="35"/>
        <v>0</v>
      </c>
      <c r="O321" s="1322">
        <f t="shared" si="36"/>
        <v>0</v>
      </c>
      <c r="P321" s="2369">
        <f t="shared" si="37"/>
        <v>1900</v>
      </c>
      <c r="Q321" s="2369">
        <f t="shared" si="38"/>
        <v>1900</v>
      </c>
      <c r="R321" s="654"/>
      <c r="S321" s="654"/>
      <c r="T321" s="654"/>
      <c r="U321" s="654"/>
    </row>
    <row r="322" spans="1:21" ht="14.25" customHeight="1">
      <c r="A322" s="1316"/>
      <c r="B322" s="1317"/>
      <c r="C322" s="1318"/>
      <c r="D322" s="1319"/>
      <c r="E322" s="1318"/>
      <c r="F322" s="1320">
        <f t="shared" si="39"/>
        <v>0</v>
      </c>
      <c r="G322" s="1319"/>
      <c r="H322" s="1318"/>
      <c r="I322" s="1320">
        <f t="shared" si="40"/>
        <v>0</v>
      </c>
      <c r="J322" s="1320">
        <f t="shared" si="33"/>
        <v>0</v>
      </c>
      <c r="K322" s="1320">
        <f t="shared" si="34"/>
        <v>0</v>
      </c>
      <c r="L322" s="1318"/>
      <c r="M322" s="1318"/>
      <c r="N322" s="1321">
        <f t="shared" si="35"/>
        <v>0</v>
      </c>
      <c r="O322" s="1322">
        <f t="shared" si="36"/>
        <v>0</v>
      </c>
      <c r="P322" s="2369">
        <f t="shared" si="37"/>
        <v>1900</v>
      </c>
      <c r="Q322" s="2369">
        <f t="shared" si="38"/>
        <v>1900</v>
      </c>
      <c r="R322" s="654"/>
      <c r="S322" s="654"/>
      <c r="T322" s="654"/>
      <c r="U322" s="654"/>
    </row>
    <row r="323" spans="1:21" ht="14.25" customHeight="1">
      <c r="A323" s="1316"/>
      <c r="B323" s="1317"/>
      <c r="C323" s="1318"/>
      <c r="D323" s="1319"/>
      <c r="E323" s="1318"/>
      <c r="F323" s="1320">
        <f t="shared" si="39"/>
        <v>0</v>
      </c>
      <c r="G323" s="1319"/>
      <c r="H323" s="1318"/>
      <c r="I323" s="1320">
        <f t="shared" si="40"/>
        <v>0</v>
      </c>
      <c r="J323" s="1320">
        <f t="shared" si="33"/>
        <v>0</v>
      </c>
      <c r="K323" s="1320">
        <f t="shared" si="34"/>
        <v>0</v>
      </c>
      <c r="L323" s="1318"/>
      <c r="M323" s="1318"/>
      <c r="N323" s="1321">
        <f t="shared" si="35"/>
        <v>0</v>
      </c>
      <c r="O323" s="1322">
        <f t="shared" si="36"/>
        <v>0</v>
      </c>
      <c r="P323" s="2369">
        <f t="shared" si="37"/>
        <v>1900</v>
      </c>
      <c r="Q323" s="2369">
        <f t="shared" si="38"/>
        <v>1900</v>
      </c>
      <c r="R323" s="654"/>
      <c r="S323" s="654"/>
      <c r="T323" s="654"/>
      <c r="U323" s="654"/>
    </row>
    <row r="324" spans="1:21" ht="14.25" customHeight="1">
      <c r="A324" s="1316"/>
      <c r="B324" s="1317"/>
      <c r="C324" s="1318"/>
      <c r="D324" s="1319"/>
      <c r="E324" s="1318"/>
      <c r="F324" s="1320">
        <f t="shared" si="39"/>
        <v>0</v>
      </c>
      <c r="G324" s="1319"/>
      <c r="H324" s="1318"/>
      <c r="I324" s="1320">
        <f t="shared" si="40"/>
        <v>0</v>
      </c>
      <c r="J324" s="1320">
        <f t="shared" si="33"/>
        <v>0</v>
      </c>
      <c r="K324" s="1320">
        <f t="shared" si="34"/>
        <v>0</v>
      </c>
      <c r="L324" s="1318"/>
      <c r="M324" s="1318"/>
      <c r="N324" s="1321">
        <f t="shared" si="35"/>
        <v>0</v>
      </c>
      <c r="O324" s="1322">
        <f t="shared" si="36"/>
        <v>0</v>
      </c>
      <c r="P324" s="2369">
        <f t="shared" si="37"/>
        <v>1900</v>
      </c>
      <c r="Q324" s="2369">
        <f t="shared" si="38"/>
        <v>1900</v>
      </c>
      <c r="R324" s="654"/>
      <c r="S324" s="654"/>
      <c r="T324" s="654"/>
      <c r="U324" s="654"/>
    </row>
    <row r="325" spans="1:21" ht="14.25" customHeight="1">
      <c r="A325" s="1316"/>
      <c r="B325" s="1317"/>
      <c r="C325" s="1318"/>
      <c r="D325" s="1319"/>
      <c r="E325" s="1318"/>
      <c r="F325" s="1320">
        <f t="shared" si="39"/>
        <v>0</v>
      </c>
      <c r="G325" s="1319"/>
      <c r="H325" s="1318"/>
      <c r="I325" s="1320">
        <f t="shared" si="40"/>
        <v>0</v>
      </c>
      <c r="J325" s="1320">
        <f t="shared" si="33"/>
        <v>0</v>
      </c>
      <c r="K325" s="1320">
        <f t="shared" si="34"/>
        <v>0</v>
      </c>
      <c r="L325" s="1318"/>
      <c r="M325" s="1318"/>
      <c r="N325" s="1321">
        <f t="shared" si="35"/>
        <v>0</v>
      </c>
      <c r="O325" s="1322">
        <f t="shared" si="36"/>
        <v>0</v>
      </c>
      <c r="P325" s="2369">
        <f t="shared" si="37"/>
        <v>1900</v>
      </c>
      <c r="Q325" s="2369">
        <f t="shared" si="38"/>
        <v>1900</v>
      </c>
      <c r="R325" s="654"/>
      <c r="S325" s="654"/>
      <c r="T325" s="654"/>
      <c r="U325" s="654"/>
    </row>
    <row r="326" spans="1:21" ht="14.25" customHeight="1">
      <c r="A326" s="1316"/>
      <c r="B326" s="1317"/>
      <c r="C326" s="1318"/>
      <c r="D326" s="1319"/>
      <c r="E326" s="1318"/>
      <c r="F326" s="1320">
        <f t="shared" si="39"/>
        <v>0</v>
      </c>
      <c r="G326" s="1319"/>
      <c r="H326" s="1318"/>
      <c r="I326" s="1320">
        <f t="shared" si="40"/>
        <v>0</v>
      </c>
      <c r="J326" s="1320">
        <f t="shared" si="33"/>
        <v>0</v>
      </c>
      <c r="K326" s="1320">
        <f t="shared" si="34"/>
        <v>0</v>
      </c>
      <c r="L326" s="1318"/>
      <c r="M326" s="1318"/>
      <c r="N326" s="1321">
        <f t="shared" si="35"/>
        <v>0</v>
      </c>
      <c r="O326" s="1322">
        <f t="shared" si="36"/>
        <v>0</v>
      </c>
      <c r="P326" s="2369">
        <f t="shared" si="37"/>
        <v>1900</v>
      </c>
      <c r="Q326" s="2369">
        <f t="shared" si="38"/>
        <v>1900</v>
      </c>
      <c r="R326" s="654"/>
      <c r="S326" s="654"/>
      <c r="T326" s="654"/>
      <c r="U326" s="654"/>
    </row>
    <row r="327" spans="1:21" ht="14.25" customHeight="1">
      <c r="A327" s="1316"/>
      <c r="B327" s="1317"/>
      <c r="C327" s="1318"/>
      <c r="D327" s="1319"/>
      <c r="E327" s="1318"/>
      <c r="F327" s="1320">
        <f t="shared" si="39"/>
        <v>0</v>
      </c>
      <c r="G327" s="1319"/>
      <c r="H327" s="1318"/>
      <c r="I327" s="1320">
        <f t="shared" si="40"/>
        <v>0</v>
      </c>
      <c r="J327" s="1320">
        <f t="shared" si="33"/>
        <v>0</v>
      </c>
      <c r="K327" s="1320">
        <f t="shared" si="34"/>
        <v>0</v>
      </c>
      <c r="L327" s="1318"/>
      <c r="M327" s="1318"/>
      <c r="N327" s="1321">
        <f t="shared" si="35"/>
        <v>0</v>
      </c>
      <c r="O327" s="1322">
        <f t="shared" si="36"/>
        <v>0</v>
      </c>
      <c r="P327" s="2369">
        <f t="shared" si="37"/>
        <v>1900</v>
      </c>
      <c r="Q327" s="2369">
        <f t="shared" si="38"/>
        <v>1900</v>
      </c>
      <c r="R327" s="654"/>
      <c r="S327" s="654"/>
      <c r="T327" s="654"/>
      <c r="U327" s="654"/>
    </row>
    <row r="328" spans="1:21" ht="14.25" customHeight="1">
      <c r="A328" s="1316"/>
      <c r="B328" s="1317"/>
      <c r="C328" s="1318"/>
      <c r="D328" s="1319"/>
      <c r="E328" s="1318"/>
      <c r="F328" s="1320">
        <f t="shared" si="39"/>
        <v>0</v>
      </c>
      <c r="G328" s="1319"/>
      <c r="H328" s="1318"/>
      <c r="I328" s="1320">
        <f t="shared" si="40"/>
        <v>0</v>
      </c>
      <c r="J328" s="1320">
        <f t="shared" si="33"/>
        <v>0</v>
      </c>
      <c r="K328" s="1320">
        <f t="shared" si="34"/>
        <v>0</v>
      </c>
      <c r="L328" s="1318"/>
      <c r="M328" s="1318"/>
      <c r="N328" s="1321">
        <f t="shared" si="35"/>
        <v>0</v>
      </c>
      <c r="O328" s="1322">
        <f t="shared" si="36"/>
        <v>0</v>
      </c>
      <c r="P328" s="2369">
        <f t="shared" si="37"/>
        <v>1900</v>
      </c>
      <c r="Q328" s="2369">
        <f t="shared" si="38"/>
        <v>1900</v>
      </c>
      <c r="R328" s="654"/>
      <c r="S328" s="654"/>
      <c r="T328" s="654"/>
      <c r="U328" s="654"/>
    </row>
    <row r="329" spans="1:21" ht="14.25" customHeight="1">
      <c r="A329" s="1316"/>
      <c r="B329" s="1317"/>
      <c r="C329" s="1318"/>
      <c r="D329" s="1319"/>
      <c r="E329" s="1318"/>
      <c r="F329" s="1320">
        <f t="shared" si="39"/>
        <v>0</v>
      </c>
      <c r="G329" s="1319"/>
      <c r="H329" s="1318"/>
      <c r="I329" s="1320">
        <f t="shared" si="40"/>
        <v>0</v>
      </c>
      <c r="J329" s="1320">
        <f t="shared" ref="J329:J392" si="41">C329+E329-H329</f>
        <v>0</v>
      </c>
      <c r="K329" s="1320">
        <f t="shared" ref="K329:K392" si="42">C329+F329-I329</f>
        <v>0</v>
      </c>
      <c r="L329" s="1318"/>
      <c r="M329" s="1318"/>
      <c r="N329" s="1321">
        <f t="shared" si="35"/>
        <v>0</v>
      </c>
      <c r="O329" s="1322">
        <f t="shared" si="36"/>
        <v>0</v>
      </c>
      <c r="P329" s="2369">
        <f t="shared" si="37"/>
        <v>1900</v>
      </c>
      <c r="Q329" s="2369">
        <f t="shared" si="38"/>
        <v>1900</v>
      </c>
      <c r="R329" s="654"/>
      <c r="S329" s="654"/>
      <c r="T329" s="654"/>
      <c r="U329" s="654"/>
    </row>
    <row r="330" spans="1:21" ht="14.25" customHeight="1">
      <c r="A330" s="1316"/>
      <c r="B330" s="1317"/>
      <c r="C330" s="1318"/>
      <c r="D330" s="1319"/>
      <c r="E330" s="1318"/>
      <c r="F330" s="1320">
        <f t="shared" si="39"/>
        <v>0</v>
      </c>
      <c r="G330" s="1319"/>
      <c r="H330" s="1318"/>
      <c r="I330" s="1320">
        <f t="shared" si="40"/>
        <v>0</v>
      </c>
      <c r="J330" s="1320">
        <f t="shared" si="41"/>
        <v>0</v>
      </c>
      <c r="K330" s="1320">
        <f t="shared" si="42"/>
        <v>0</v>
      </c>
      <c r="L330" s="1318"/>
      <c r="M330" s="1318"/>
      <c r="N330" s="1321">
        <f t="shared" ref="N330:N393" si="43">IF(M330&lt;&gt;0,ROUND(B330*K330,2)+M330,IF(ABS(ROUND(K330*B330,2)-L330)&lt;3,L330,MIN(ROUND(K330*B330,2),L330)))</f>
        <v>0</v>
      </c>
      <c r="O330" s="1322">
        <f t="shared" ref="O330:O393" si="44">IF(ISERROR(L330-N330),"",IF(ABS(L330-N330)&lt;3,0,L330-N330))</f>
        <v>0</v>
      </c>
      <c r="P330" s="2369">
        <f t="shared" ref="P330:P393" si="45">IFERROR(YEAR(D330),0)</f>
        <v>1900</v>
      </c>
      <c r="Q330" s="2369">
        <f t="shared" ref="Q330:Q393" si="46">IFERROR(YEAR(G330),0)</f>
        <v>1900</v>
      </c>
      <c r="R330" s="654"/>
      <c r="S330" s="654"/>
      <c r="T330" s="654"/>
      <c r="U330" s="654"/>
    </row>
    <row r="331" spans="1:21" ht="14.25" customHeight="1">
      <c r="A331" s="1316"/>
      <c r="B331" s="1317"/>
      <c r="C331" s="1318"/>
      <c r="D331" s="1319"/>
      <c r="E331" s="1318"/>
      <c r="F331" s="1320">
        <f t="shared" ref="F331:F394" si="47">E331*(12-MONTH(D331))/12</f>
        <v>0</v>
      </c>
      <c r="G331" s="1319"/>
      <c r="H331" s="1318"/>
      <c r="I331" s="1320">
        <f t="shared" ref="I331:I394" si="48">H331*(12-MONTH(G331))/12</f>
        <v>0</v>
      </c>
      <c r="J331" s="1320">
        <f t="shared" si="41"/>
        <v>0</v>
      </c>
      <c r="K331" s="1320">
        <f t="shared" si="42"/>
        <v>0</v>
      </c>
      <c r="L331" s="1318"/>
      <c r="M331" s="1318"/>
      <c r="N331" s="1321">
        <f t="shared" si="43"/>
        <v>0</v>
      </c>
      <c r="O331" s="1322">
        <f t="shared" si="44"/>
        <v>0</v>
      </c>
      <c r="P331" s="2369">
        <f t="shared" si="45"/>
        <v>1900</v>
      </c>
      <c r="Q331" s="2369">
        <f t="shared" si="46"/>
        <v>1900</v>
      </c>
      <c r="R331" s="654"/>
      <c r="S331" s="654"/>
      <c r="T331" s="654"/>
      <c r="U331" s="654"/>
    </row>
    <row r="332" spans="1:21" ht="14.25" customHeight="1">
      <c r="A332" s="1316"/>
      <c r="B332" s="1317"/>
      <c r="C332" s="1318"/>
      <c r="D332" s="1319"/>
      <c r="E332" s="1318"/>
      <c r="F332" s="1320">
        <f t="shared" si="47"/>
        <v>0</v>
      </c>
      <c r="G332" s="1319"/>
      <c r="H332" s="1318"/>
      <c r="I332" s="1320">
        <f t="shared" si="48"/>
        <v>0</v>
      </c>
      <c r="J332" s="1320">
        <f t="shared" si="41"/>
        <v>0</v>
      </c>
      <c r="K332" s="1320">
        <f t="shared" si="42"/>
        <v>0</v>
      </c>
      <c r="L332" s="1318"/>
      <c r="M332" s="1318"/>
      <c r="N332" s="1321">
        <f t="shared" si="43"/>
        <v>0</v>
      </c>
      <c r="O332" s="1322">
        <f t="shared" si="44"/>
        <v>0</v>
      </c>
      <c r="P332" s="2369">
        <f t="shared" si="45"/>
        <v>1900</v>
      </c>
      <c r="Q332" s="2369">
        <f t="shared" si="46"/>
        <v>1900</v>
      </c>
      <c r="R332" s="654"/>
      <c r="S332" s="654"/>
      <c r="T332" s="654"/>
      <c r="U332" s="654"/>
    </row>
    <row r="333" spans="1:21" ht="14.25" customHeight="1">
      <c r="A333" s="1316"/>
      <c r="B333" s="1317"/>
      <c r="C333" s="1318"/>
      <c r="D333" s="1319"/>
      <c r="E333" s="1318"/>
      <c r="F333" s="1320">
        <f t="shared" si="47"/>
        <v>0</v>
      </c>
      <c r="G333" s="1319"/>
      <c r="H333" s="1318"/>
      <c r="I333" s="1320">
        <f t="shared" si="48"/>
        <v>0</v>
      </c>
      <c r="J333" s="1320">
        <f t="shared" si="41"/>
        <v>0</v>
      </c>
      <c r="K333" s="1320">
        <f t="shared" si="42"/>
        <v>0</v>
      </c>
      <c r="L333" s="1318"/>
      <c r="M333" s="1318"/>
      <c r="N333" s="1321">
        <f t="shared" si="43"/>
        <v>0</v>
      </c>
      <c r="O333" s="1322">
        <f t="shared" si="44"/>
        <v>0</v>
      </c>
      <c r="P333" s="2369">
        <f t="shared" si="45"/>
        <v>1900</v>
      </c>
      <c r="Q333" s="2369">
        <f t="shared" si="46"/>
        <v>1900</v>
      </c>
      <c r="R333" s="654"/>
      <c r="S333" s="654"/>
      <c r="T333" s="654"/>
      <c r="U333" s="654"/>
    </row>
    <row r="334" spans="1:21" ht="14.25" customHeight="1">
      <c r="A334" s="1316"/>
      <c r="B334" s="1317"/>
      <c r="C334" s="1318"/>
      <c r="D334" s="1319"/>
      <c r="E334" s="1318"/>
      <c r="F334" s="1320">
        <f t="shared" si="47"/>
        <v>0</v>
      </c>
      <c r="G334" s="1319"/>
      <c r="H334" s="1318"/>
      <c r="I334" s="1320">
        <f t="shared" si="48"/>
        <v>0</v>
      </c>
      <c r="J334" s="1320">
        <f t="shared" si="41"/>
        <v>0</v>
      </c>
      <c r="K334" s="1320">
        <f t="shared" si="42"/>
        <v>0</v>
      </c>
      <c r="L334" s="1318"/>
      <c r="M334" s="1318"/>
      <c r="N334" s="1321">
        <f t="shared" si="43"/>
        <v>0</v>
      </c>
      <c r="O334" s="1322">
        <f t="shared" si="44"/>
        <v>0</v>
      </c>
      <c r="P334" s="2369">
        <f t="shared" si="45"/>
        <v>1900</v>
      </c>
      <c r="Q334" s="2369">
        <f t="shared" si="46"/>
        <v>1900</v>
      </c>
      <c r="R334" s="654"/>
      <c r="S334" s="654"/>
      <c r="T334" s="654"/>
      <c r="U334" s="654"/>
    </row>
    <row r="335" spans="1:21" ht="14.25" customHeight="1">
      <c r="A335" s="1316"/>
      <c r="B335" s="1317"/>
      <c r="C335" s="1318"/>
      <c r="D335" s="1319"/>
      <c r="E335" s="1318"/>
      <c r="F335" s="1320">
        <f t="shared" si="47"/>
        <v>0</v>
      </c>
      <c r="G335" s="1319"/>
      <c r="H335" s="1318"/>
      <c r="I335" s="1320">
        <f t="shared" si="48"/>
        <v>0</v>
      </c>
      <c r="J335" s="1320">
        <f t="shared" si="41"/>
        <v>0</v>
      </c>
      <c r="K335" s="1320">
        <f t="shared" si="42"/>
        <v>0</v>
      </c>
      <c r="L335" s="1318"/>
      <c r="M335" s="1318"/>
      <c r="N335" s="1321">
        <f t="shared" si="43"/>
        <v>0</v>
      </c>
      <c r="O335" s="1322">
        <f t="shared" si="44"/>
        <v>0</v>
      </c>
      <c r="P335" s="2369">
        <f t="shared" si="45"/>
        <v>1900</v>
      </c>
      <c r="Q335" s="2369">
        <f t="shared" si="46"/>
        <v>1900</v>
      </c>
      <c r="R335" s="654"/>
      <c r="S335" s="654"/>
      <c r="T335" s="654"/>
      <c r="U335" s="654"/>
    </row>
    <row r="336" spans="1:21" ht="14.25" customHeight="1">
      <c r="A336" s="1316"/>
      <c r="B336" s="1317"/>
      <c r="C336" s="1318"/>
      <c r="D336" s="1319"/>
      <c r="E336" s="1318"/>
      <c r="F336" s="1320">
        <f t="shared" si="47"/>
        <v>0</v>
      </c>
      <c r="G336" s="1319"/>
      <c r="H336" s="1318"/>
      <c r="I336" s="1320">
        <f t="shared" si="48"/>
        <v>0</v>
      </c>
      <c r="J336" s="1320">
        <f t="shared" si="41"/>
        <v>0</v>
      </c>
      <c r="K336" s="1320">
        <f t="shared" si="42"/>
        <v>0</v>
      </c>
      <c r="L336" s="1318"/>
      <c r="M336" s="1318"/>
      <c r="N336" s="1321">
        <f t="shared" si="43"/>
        <v>0</v>
      </c>
      <c r="O336" s="1322">
        <f t="shared" si="44"/>
        <v>0</v>
      </c>
      <c r="P336" s="2369">
        <f t="shared" si="45"/>
        <v>1900</v>
      </c>
      <c r="Q336" s="2369">
        <f t="shared" si="46"/>
        <v>1900</v>
      </c>
      <c r="R336" s="654"/>
      <c r="S336" s="654"/>
      <c r="T336" s="654"/>
      <c r="U336" s="654"/>
    </row>
    <row r="337" spans="1:21" ht="14.25" customHeight="1">
      <c r="A337" s="1316"/>
      <c r="B337" s="1317"/>
      <c r="C337" s="1318"/>
      <c r="D337" s="1319"/>
      <c r="E337" s="1318"/>
      <c r="F337" s="1320">
        <f t="shared" si="47"/>
        <v>0</v>
      </c>
      <c r="G337" s="1319"/>
      <c r="H337" s="1318"/>
      <c r="I337" s="1320">
        <f t="shared" si="48"/>
        <v>0</v>
      </c>
      <c r="J337" s="1320">
        <f t="shared" si="41"/>
        <v>0</v>
      </c>
      <c r="K337" s="1320">
        <f t="shared" si="42"/>
        <v>0</v>
      </c>
      <c r="L337" s="1318"/>
      <c r="M337" s="1318"/>
      <c r="N337" s="1321">
        <f t="shared" si="43"/>
        <v>0</v>
      </c>
      <c r="O337" s="1322">
        <f t="shared" si="44"/>
        <v>0</v>
      </c>
      <c r="P337" s="2369">
        <f t="shared" si="45"/>
        <v>1900</v>
      </c>
      <c r="Q337" s="2369">
        <f t="shared" si="46"/>
        <v>1900</v>
      </c>
      <c r="R337" s="654"/>
      <c r="S337" s="654"/>
      <c r="T337" s="654"/>
      <c r="U337" s="654"/>
    </row>
    <row r="338" spans="1:21" ht="14.25" customHeight="1">
      <c r="A338" s="1316"/>
      <c r="B338" s="1317"/>
      <c r="C338" s="1318"/>
      <c r="D338" s="1319"/>
      <c r="E338" s="1318"/>
      <c r="F338" s="1320">
        <f t="shared" si="47"/>
        <v>0</v>
      </c>
      <c r="G338" s="1319"/>
      <c r="H338" s="1318"/>
      <c r="I338" s="1320">
        <f t="shared" si="48"/>
        <v>0</v>
      </c>
      <c r="J338" s="1320">
        <f t="shared" si="41"/>
        <v>0</v>
      </c>
      <c r="K338" s="1320">
        <f t="shared" si="42"/>
        <v>0</v>
      </c>
      <c r="L338" s="1318"/>
      <c r="M338" s="1318"/>
      <c r="N338" s="1321">
        <f t="shared" si="43"/>
        <v>0</v>
      </c>
      <c r="O338" s="1322">
        <f t="shared" si="44"/>
        <v>0</v>
      </c>
      <c r="P338" s="2369">
        <f t="shared" si="45"/>
        <v>1900</v>
      </c>
      <c r="Q338" s="2369">
        <f t="shared" si="46"/>
        <v>1900</v>
      </c>
      <c r="R338" s="654"/>
      <c r="S338" s="654"/>
      <c r="T338" s="654"/>
      <c r="U338" s="654"/>
    </row>
    <row r="339" spans="1:21" ht="14.25" customHeight="1">
      <c r="A339" s="1316"/>
      <c r="B339" s="1317"/>
      <c r="C339" s="1318"/>
      <c r="D339" s="1319"/>
      <c r="E339" s="1318"/>
      <c r="F339" s="1320">
        <f t="shared" si="47"/>
        <v>0</v>
      </c>
      <c r="G339" s="1319"/>
      <c r="H339" s="1318"/>
      <c r="I339" s="1320">
        <f t="shared" si="48"/>
        <v>0</v>
      </c>
      <c r="J339" s="1320">
        <f t="shared" si="41"/>
        <v>0</v>
      </c>
      <c r="K339" s="1320">
        <f t="shared" si="42"/>
        <v>0</v>
      </c>
      <c r="L339" s="1318"/>
      <c r="M339" s="1318"/>
      <c r="N339" s="1321">
        <f t="shared" si="43"/>
        <v>0</v>
      </c>
      <c r="O339" s="1322">
        <f t="shared" si="44"/>
        <v>0</v>
      </c>
      <c r="P339" s="2369">
        <f t="shared" si="45"/>
        <v>1900</v>
      </c>
      <c r="Q339" s="2369">
        <f t="shared" si="46"/>
        <v>1900</v>
      </c>
      <c r="R339" s="654"/>
      <c r="S339" s="654"/>
      <c r="T339" s="654"/>
      <c r="U339" s="654"/>
    </row>
    <row r="340" spans="1:21" ht="14.25" customHeight="1">
      <c r="A340" s="1316"/>
      <c r="B340" s="1317"/>
      <c r="C340" s="1318"/>
      <c r="D340" s="1319"/>
      <c r="E340" s="1318"/>
      <c r="F340" s="1320">
        <f t="shared" si="47"/>
        <v>0</v>
      </c>
      <c r="G340" s="1319"/>
      <c r="H340" s="1318"/>
      <c r="I340" s="1320">
        <f t="shared" si="48"/>
        <v>0</v>
      </c>
      <c r="J340" s="1320">
        <f t="shared" si="41"/>
        <v>0</v>
      </c>
      <c r="K340" s="1320">
        <f t="shared" si="42"/>
        <v>0</v>
      </c>
      <c r="L340" s="1318"/>
      <c r="M340" s="1318"/>
      <c r="N340" s="1321">
        <f t="shared" si="43"/>
        <v>0</v>
      </c>
      <c r="O340" s="1322">
        <f t="shared" si="44"/>
        <v>0</v>
      </c>
      <c r="P340" s="2369">
        <f t="shared" si="45"/>
        <v>1900</v>
      </c>
      <c r="Q340" s="2369">
        <f t="shared" si="46"/>
        <v>1900</v>
      </c>
      <c r="R340" s="654"/>
      <c r="S340" s="654"/>
      <c r="T340" s="654"/>
      <c r="U340" s="654"/>
    </row>
    <row r="341" spans="1:21" ht="14.25" customHeight="1">
      <c r="A341" s="1316"/>
      <c r="B341" s="1317"/>
      <c r="C341" s="1318"/>
      <c r="D341" s="1319"/>
      <c r="E341" s="1318"/>
      <c r="F341" s="1320">
        <f t="shared" si="47"/>
        <v>0</v>
      </c>
      <c r="G341" s="1319"/>
      <c r="H341" s="1318"/>
      <c r="I341" s="1320">
        <f t="shared" si="48"/>
        <v>0</v>
      </c>
      <c r="J341" s="1320">
        <f t="shared" si="41"/>
        <v>0</v>
      </c>
      <c r="K341" s="1320">
        <f t="shared" si="42"/>
        <v>0</v>
      </c>
      <c r="L341" s="1318"/>
      <c r="M341" s="1318"/>
      <c r="N341" s="1321">
        <f t="shared" si="43"/>
        <v>0</v>
      </c>
      <c r="O341" s="1322">
        <f t="shared" si="44"/>
        <v>0</v>
      </c>
      <c r="P341" s="2369">
        <f t="shared" si="45"/>
        <v>1900</v>
      </c>
      <c r="Q341" s="2369">
        <f t="shared" si="46"/>
        <v>1900</v>
      </c>
      <c r="R341" s="654"/>
      <c r="S341" s="654"/>
      <c r="T341" s="654"/>
      <c r="U341" s="654"/>
    </row>
    <row r="342" spans="1:21" ht="14.25" customHeight="1">
      <c r="A342" s="1316"/>
      <c r="B342" s="1317"/>
      <c r="C342" s="1318"/>
      <c r="D342" s="1319"/>
      <c r="E342" s="1318"/>
      <c r="F342" s="1320">
        <f t="shared" si="47"/>
        <v>0</v>
      </c>
      <c r="G342" s="1319"/>
      <c r="H342" s="1318"/>
      <c r="I342" s="1320">
        <f t="shared" si="48"/>
        <v>0</v>
      </c>
      <c r="J342" s="1320">
        <f t="shared" si="41"/>
        <v>0</v>
      </c>
      <c r="K342" s="1320">
        <f t="shared" si="42"/>
        <v>0</v>
      </c>
      <c r="L342" s="1318"/>
      <c r="M342" s="1318"/>
      <c r="N342" s="1321">
        <f t="shared" si="43"/>
        <v>0</v>
      </c>
      <c r="O342" s="1322">
        <f t="shared" si="44"/>
        <v>0</v>
      </c>
      <c r="P342" s="2369">
        <f t="shared" si="45"/>
        <v>1900</v>
      </c>
      <c r="Q342" s="2369">
        <f t="shared" si="46"/>
        <v>1900</v>
      </c>
      <c r="R342" s="654"/>
      <c r="S342" s="654"/>
      <c r="T342" s="654"/>
      <c r="U342" s="654"/>
    </row>
    <row r="343" spans="1:21" ht="14.25" customHeight="1">
      <c r="A343" s="1316"/>
      <c r="B343" s="1317"/>
      <c r="C343" s="1318"/>
      <c r="D343" s="1319"/>
      <c r="E343" s="1318"/>
      <c r="F343" s="1320">
        <f t="shared" si="47"/>
        <v>0</v>
      </c>
      <c r="G343" s="1319"/>
      <c r="H343" s="1318"/>
      <c r="I343" s="1320">
        <f t="shared" si="48"/>
        <v>0</v>
      </c>
      <c r="J343" s="1320">
        <f t="shared" si="41"/>
        <v>0</v>
      </c>
      <c r="K343" s="1320">
        <f t="shared" si="42"/>
        <v>0</v>
      </c>
      <c r="L343" s="1318"/>
      <c r="M343" s="1318"/>
      <c r="N343" s="1321">
        <f t="shared" si="43"/>
        <v>0</v>
      </c>
      <c r="O343" s="1322">
        <f t="shared" si="44"/>
        <v>0</v>
      </c>
      <c r="P343" s="2369">
        <f t="shared" si="45"/>
        <v>1900</v>
      </c>
      <c r="Q343" s="2369">
        <f t="shared" si="46"/>
        <v>1900</v>
      </c>
      <c r="R343" s="654"/>
      <c r="S343" s="654"/>
      <c r="T343" s="654"/>
      <c r="U343" s="654"/>
    </row>
    <row r="344" spans="1:21" ht="14.25" customHeight="1">
      <c r="A344" s="1316"/>
      <c r="B344" s="1317"/>
      <c r="C344" s="1318"/>
      <c r="D344" s="1319"/>
      <c r="E344" s="1318"/>
      <c r="F344" s="1320">
        <f t="shared" si="47"/>
        <v>0</v>
      </c>
      <c r="G344" s="1319"/>
      <c r="H344" s="1318"/>
      <c r="I344" s="1320">
        <f t="shared" si="48"/>
        <v>0</v>
      </c>
      <c r="J344" s="1320">
        <f t="shared" si="41"/>
        <v>0</v>
      </c>
      <c r="K344" s="1320">
        <f t="shared" si="42"/>
        <v>0</v>
      </c>
      <c r="L344" s="1318"/>
      <c r="M344" s="1318"/>
      <c r="N344" s="1321">
        <f t="shared" si="43"/>
        <v>0</v>
      </c>
      <c r="O344" s="1322">
        <f t="shared" si="44"/>
        <v>0</v>
      </c>
      <c r="P344" s="2369">
        <f t="shared" si="45"/>
        <v>1900</v>
      </c>
      <c r="Q344" s="2369">
        <f t="shared" si="46"/>
        <v>1900</v>
      </c>
      <c r="R344" s="654"/>
      <c r="S344" s="654"/>
      <c r="T344" s="654"/>
      <c r="U344" s="654"/>
    </row>
    <row r="345" spans="1:21" ht="14.25" customHeight="1">
      <c r="A345" s="1316"/>
      <c r="B345" s="1317"/>
      <c r="C345" s="1318"/>
      <c r="D345" s="1319"/>
      <c r="E345" s="1318"/>
      <c r="F345" s="1320">
        <f t="shared" si="47"/>
        <v>0</v>
      </c>
      <c r="G345" s="1319"/>
      <c r="H345" s="1318"/>
      <c r="I345" s="1320">
        <f t="shared" si="48"/>
        <v>0</v>
      </c>
      <c r="J345" s="1320">
        <f t="shared" si="41"/>
        <v>0</v>
      </c>
      <c r="K345" s="1320">
        <f t="shared" si="42"/>
        <v>0</v>
      </c>
      <c r="L345" s="1318"/>
      <c r="M345" s="1318"/>
      <c r="N345" s="1321">
        <f t="shared" si="43"/>
        <v>0</v>
      </c>
      <c r="O345" s="1322">
        <f t="shared" si="44"/>
        <v>0</v>
      </c>
      <c r="P345" s="2369">
        <f t="shared" si="45"/>
        <v>1900</v>
      </c>
      <c r="Q345" s="2369">
        <f t="shared" si="46"/>
        <v>1900</v>
      </c>
      <c r="R345" s="654"/>
      <c r="S345" s="654"/>
      <c r="T345" s="654"/>
      <c r="U345" s="654"/>
    </row>
    <row r="346" spans="1:21" ht="14.25" customHeight="1">
      <c r="A346" s="1316"/>
      <c r="B346" s="1317"/>
      <c r="C346" s="1318"/>
      <c r="D346" s="1319"/>
      <c r="E346" s="1318"/>
      <c r="F346" s="1320">
        <f t="shared" si="47"/>
        <v>0</v>
      </c>
      <c r="G346" s="1319"/>
      <c r="H346" s="1318"/>
      <c r="I346" s="1320">
        <f t="shared" si="48"/>
        <v>0</v>
      </c>
      <c r="J346" s="1320">
        <f t="shared" si="41"/>
        <v>0</v>
      </c>
      <c r="K346" s="1320">
        <f t="shared" si="42"/>
        <v>0</v>
      </c>
      <c r="L346" s="1318"/>
      <c r="M346" s="1318"/>
      <c r="N346" s="1321">
        <f t="shared" si="43"/>
        <v>0</v>
      </c>
      <c r="O346" s="1322">
        <f t="shared" si="44"/>
        <v>0</v>
      </c>
      <c r="P346" s="2369">
        <f t="shared" si="45"/>
        <v>1900</v>
      </c>
      <c r="Q346" s="2369">
        <f t="shared" si="46"/>
        <v>1900</v>
      </c>
      <c r="R346" s="654"/>
      <c r="S346" s="654"/>
      <c r="T346" s="654"/>
      <c r="U346" s="654"/>
    </row>
    <row r="347" spans="1:21" ht="14.25" customHeight="1">
      <c r="A347" s="1316"/>
      <c r="B347" s="1317"/>
      <c r="C347" s="1318"/>
      <c r="D347" s="1319"/>
      <c r="E347" s="1318"/>
      <c r="F347" s="1320">
        <f t="shared" si="47"/>
        <v>0</v>
      </c>
      <c r="G347" s="1319"/>
      <c r="H347" s="1318"/>
      <c r="I347" s="1320">
        <f t="shared" si="48"/>
        <v>0</v>
      </c>
      <c r="J347" s="1320">
        <f t="shared" si="41"/>
        <v>0</v>
      </c>
      <c r="K347" s="1320">
        <f t="shared" si="42"/>
        <v>0</v>
      </c>
      <c r="L347" s="1318"/>
      <c r="M347" s="1318"/>
      <c r="N347" s="1321">
        <f t="shared" si="43"/>
        <v>0</v>
      </c>
      <c r="O347" s="1322">
        <f t="shared" si="44"/>
        <v>0</v>
      </c>
      <c r="P347" s="2369">
        <f t="shared" si="45"/>
        <v>1900</v>
      </c>
      <c r="Q347" s="2369">
        <f t="shared" si="46"/>
        <v>1900</v>
      </c>
      <c r="R347" s="654"/>
      <c r="S347" s="654"/>
      <c r="T347" s="654"/>
      <c r="U347" s="654"/>
    </row>
    <row r="348" spans="1:21" ht="14.25" customHeight="1">
      <c r="A348" s="1316"/>
      <c r="B348" s="1317"/>
      <c r="C348" s="1318"/>
      <c r="D348" s="1319"/>
      <c r="E348" s="1318"/>
      <c r="F348" s="1320">
        <f t="shared" si="47"/>
        <v>0</v>
      </c>
      <c r="G348" s="1319"/>
      <c r="H348" s="1318"/>
      <c r="I348" s="1320">
        <f t="shared" si="48"/>
        <v>0</v>
      </c>
      <c r="J348" s="1320">
        <f t="shared" si="41"/>
        <v>0</v>
      </c>
      <c r="K348" s="1320">
        <f t="shared" si="42"/>
        <v>0</v>
      </c>
      <c r="L348" s="1318"/>
      <c r="M348" s="1318"/>
      <c r="N348" s="1321">
        <f t="shared" si="43"/>
        <v>0</v>
      </c>
      <c r="O348" s="1322">
        <f t="shared" si="44"/>
        <v>0</v>
      </c>
      <c r="P348" s="2369">
        <f t="shared" si="45"/>
        <v>1900</v>
      </c>
      <c r="Q348" s="2369">
        <f t="shared" si="46"/>
        <v>1900</v>
      </c>
      <c r="R348" s="654"/>
      <c r="S348" s="654"/>
      <c r="T348" s="654"/>
      <c r="U348" s="654"/>
    </row>
    <row r="349" spans="1:21" ht="14.25" customHeight="1">
      <c r="A349" s="1316"/>
      <c r="B349" s="1317"/>
      <c r="C349" s="1318"/>
      <c r="D349" s="1319"/>
      <c r="E349" s="1318"/>
      <c r="F349" s="1320">
        <f t="shared" si="47"/>
        <v>0</v>
      </c>
      <c r="G349" s="1319"/>
      <c r="H349" s="1318"/>
      <c r="I349" s="1320">
        <f t="shared" si="48"/>
        <v>0</v>
      </c>
      <c r="J349" s="1320">
        <f t="shared" si="41"/>
        <v>0</v>
      </c>
      <c r="K349" s="1320">
        <f t="shared" si="42"/>
        <v>0</v>
      </c>
      <c r="L349" s="1318"/>
      <c r="M349" s="1318"/>
      <c r="N349" s="1321">
        <f t="shared" si="43"/>
        <v>0</v>
      </c>
      <c r="O349" s="1322">
        <f t="shared" si="44"/>
        <v>0</v>
      </c>
      <c r="P349" s="2369">
        <f t="shared" si="45"/>
        <v>1900</v>
      </c>
      <c r="Q349" s="2369">
        <f t="shared" si="46"/>
        <v>1900</v>
      </c>
      <c r="R349" s="654"/>
      <c r="S349" s="654"/>
      <c r="T349" s="654"/>
      <c r="U349" s="654"/>
    </row>
    <row r="350" spans="1:21" ht="14.25" customHeight="1">
      <c r="A350" s="1316"/>
      <c r="B350" s="1317"/>
      <c r="C350" s="1318"/>
      <c r="D350" s="1319"/>
      <c r="E350" s="1318"/>
      <c r="F350" s="1320">
        <f t="shared" si="47"/>
        <v>0</v>
      </c>
      <c r="G350" s="1319"/>
      <c r="H350" s="1318"/>
      <c r="I350" s="1320">
        <f t="shared" si="48"/>
        <v>0</v>
      </c>
      <c r="J350" s="1320">
        <f t="shared" si="41"/>
        <v>0</v>
      </c>
      <c r="K350" s="1320">
        <f t="shared" si="42"/>
        <v>0</v>
      </c>
      <c r="L350" s="1318"/>
      <c r="M350" s="1318"/>
      <c r="N350" s="1321">
        <f t="shared" si="43"/>
        <v>0</v>
      </c>
      <c r="O350" s="1322">
        <f t="shared" si="44"/>
        <v>0</v>
      </c>
      <c r="P350" s="2369">
        <f t="shared" si="45"/>
        <v>1900</v>
      </c>
      <c r="Q350" s="2369">
        <f t="shared" si="46"/>
        <v>1900</v>
      </c>
      <c r="R350" s="654"/>
      <c r="S350" s="654"/>
      <c r="T350" s="654"/>
      <c r="U350" s="654"/>
    </row>
    <row r="351" spans="1:21" ht="14.25" customHeight="1">
      <c r="A351" s="1316"/>
      <c r="B351" s="1317"/>
      <c r="C351" s="1318"/>
      <c r="D351" s="1319"/>
      <c r="E351" s="1318"/>
      <c r="F351" s="1320">
        <f t="shared" si="47"/>
        <v>0</v>
      </c>
      <c r="G351" s="1319"/>
      <c r="H351" s="1318"/>
      <c r="I351" s="1320">
        <f t="shared" si="48"/>
        <v>0</v>
      </c>
      <c r="J351" s="1320">
        <f t="shared" si="41"/>
        <v>0</v>
      </c>
      <c r="K351" s="1320">
        <f t="shared" si="42"/>
        <v>0</v>
      </c>
      <c r="L351" s="1318"/>
      <c r="M351" s="1318"/>
      <c r="N351" s="1321">
        <f t="shared" si="43"/>
        <v>0</v>
      </c>
      <c r="O351" s="1322">
        <f t="shared" si="44"/>
        <v>0</v>
      </c>
      <c r="P351" s="2369">
        <f t="shared" si="45"/>
        <v>1900</v>
      </c>
      <c r="Q351" s="2369">
        <f t="shared" si="46"/>
        <v>1900</v>
      </c>
      <c r="R351" s="654"/>
      <c r="S351" s="654"/>
      <c r="T351" s="654"/>
      <c r="U351" s="654"/>
    </row>
    <row r="352" spans="1:21" ht="14.25" customHeight="1">
      <c r="A352" s="1316"/>
      <c r="B352" s="1317"/>
      <c r="C352" s="1318"/>
      <c r="D352" s="1319"/>
      <c r="E352" s="1318"/>
      <c r="F352" s="1320">
        <f t="shared" si="47"/>
        <v>0</v>
      </c>
      <c r="G352" s="1319"/>
      <c r="H352" s="1318"/>
      <c r="I352" s="1320">
        <f t="shared" si="48"/>
        <v>0</v>
      </c>
      <c r="J352" s="1320">
        <f t="shared" si="41"/>
        <v>0</v>
      </c>
      <c r="K352" s="1320">
        <f t="shared" si="42"/>
        <v>0</v>
      </c>
      <c r="L352" s="1318"/>
      <c r="M352" s="1318"/>
      <c r="N352" s="1321">
        <f t="shared" si="43"/>
        <v>0</v>
      </c>
      <c r="O352" s="1322">
        <f t="shared" si="44"/>
        <v>0</v>
      </c>
      <c r="P352" s="2369">
        <f t="shared" si="45"/>
        <v>1900</v>
      </c>
      <c r="Q352" s="2369">
        <f t="shared" si="46"/>
        <v>1900</v>
      </c>
      <c r="R352" s="654"/>
      <c r="S352" s="654"/>
      <c r="T352" s="654"/>
      <c r="U352" s="654"/>
    </row>
    <row r="353" spans="1:21" ht="14.25" customHeight="1">
      <c r="A353" s="1316"/>
      <c r="B353" s="1317"/>
      <c r="C353" s="1318"/>
      <c r="D353" s="1319"/>
      <c r="E353" s="1318"/>
      <c r="F353" s="1320">
        <f t="shared" si="47"/>
        <v>0</v>
      </c>
      <c r="G353" s="1319"/>
      <c r="H353" s="1318"/>
      <c r="I353" s="1320">
        <f t="shared" si="48"/>
        <v>0</v>
      </c>
      <c r="J353" s="1320">
        <f t="shared" si="41"/>
        <v>0</v>
      </c>
      <c r="K353" s="1320">
        <f t="shared" si="42"/>
        <v>0</v>
      </c>
      <c r="L353" s="1318"/>
      <c r="M353" s="1318"/>
      <c r="N353" s="1321">
        <f t="shared" si="43"/>
        <v>0</v>
      </c>
      <c r="O353" s="1322">
        <f t="shared" si="44"/>
        <v>0</v>
      </c>
      <c r="P353" s="2369">
        <f t="shared" si="45"/>
        <v>1900</v>
      </c>
      <c r="Q353" s="2369">
        <f t="shared" si="46"/>
        <v>1900</v>
      </c>
      <c r="R353" s="654"/>
      <c r="S353" s="654"/>
      <c r="T353" s="654"/>
      <c r="U353" s="654"/>
    </row>
    <row r="354" spans="1:21" ht="14.25" customHeight="1">
      <c r="A354" s="1316"/>
      <c r="B354" s="1317"/>
      <c r="C354" s="1318"/>
      <c r="D354" s="1319"/>
      <c r="E354" s="1318"/>
      <c r="F354" s="1320">
        <f t="shared" si="47"/>
        <v>0</v>
      </c>
      <c r="G354" s="1319"/>
      <c r="H354" s="1318"/>
      <c r="I354" s="1320">
        <f t="shared" si="48"/>
        <v>0</v>
      </c>
      <c r="J354" s="1320">
        <f t="shared" si="41"/>
        <v>0</v>
      </c>
      <c r="K354" s="1320">
        <f t="shared" si="42"/>
        <v>0</v>
      </c>
      <c r="L354" s="1318"/>
      <c r="M354" s="1318"/>
      <c r="N354" s="1321">
        <f t="shared" si="43"/>
        <v>0</v>
      </c>
      <c r="O354" s="1322">
        <f t="shared" si="44"/>
        <v>0</v>
      </c>
      <c r="P354" s="2369">
        <f t="shared" si="45"/>
        <v>1900</v>
      </c>
      <c r="Q354" s="2369">
        <f t="shared" si="46"/>
        <v>1900</v>
      </c>
      <c r="R354" s="654"/>
      <c r="S354" s="654"/>
      <c r="T354" s="654"/>
      <c r="U354" s="654"/>
    </row>
    <row r="355" spans="1:21" ht="14.25" customHeight="1">
      <c r="A355" s="1316"/>
      <c r="B355" s="1317"/>
      <c r="C355" s="1318"/>
      <c r="D355" s="1319"/>
      <c r="E355" s="1318"/>
      <c r="F355" s="1320">
        <f t="shared" si="47"/>
        <v>0</v>
      </c>
      <c r="G355" s="1319"/>
      <c r="H355" s="1318"/>
      <c r="I355" s="1320">
        <f t="shared" si="48"/>
        <v>0</v>
      </c>
      <c r="J355" s="1320">
        <f t="shared" si="41"/>
        <v>0</v>
      </c>
      <c r="K355" s="1320">
        <f t="shared" si="42"/>
        <v>0</v>
      </c>
      <c r="L355" s="1318"/>
      <c r="M355" s="1318"/>
      <c r="N355" s="1321">
        <f t="shared" si="43"/>
        <v>0</v>
      </c>
      <c r="O355" s="1322">
        <f t="shared" si="44"/>
        <v>0</v>
      </c>
      <c r="P355" s="2369">
        <f t="shared" si="45"/>
        <v>1900</v>
      </c>
      <c r="Q355" s="2369">
        <f t="shared" si="46"/>
        <v>1900</v>
      </c>
      <c r="R355" s="654"/>
      <c r="S355" s="654"/>
      <c r="T355" s="654"/>
      <c r="U355" s="654"/>
    </row>
    <row r="356" spans="1:21" ht="14.25" customHeight="1">
      <c r="A356" s="1316"/>
      <c r="B356" s="1317"/>
      <c r="C356" s="1318"/>
      <c r="D356" s="1319"/>
      <c r="E356" s="1318"/>
      <c r="F356" s="1320">
        <f t="shared" si="47"/>
        <v>0</v>
      </c>
      <c r="G356" s="1319"/>
      <c r="H356" s="1318"/>
      <c r="I356" s="1320">
        <f t="shared" si="48"/>
        <v>0</v>
      </c>
      <c r="J356" s="1320">
        <f t="shared" si="41"/>
        <v>0</v>
      </c>
      <c r="K356" s="1320">
        <f t="shared" si="42"/>
        <v>0</v>
      </c>
      <c r="L356" s="1318"/>
      <c r="M356" s="1318"/>
      <c r="N356" s="1321">
        <f t="shared" si="43"/>
        <v>0</v>
      </c>
      <c r="O356" s="1322">
        <f t="shared" si="44"/>
        <v>0</v>
      </c>
      <c r="P356" s="2369">
        <f t="shared" si="45"/>
        <v>1900</v>
      </c>
      <c r="Q356" s="2369">
        <f t="shared" si="46"/>
        <v>1900</v>
      </c>
      <c r="R356" s="654"/>
      <c r="S356" s="654"/>
      <c r="T356" s="654"/>
      <c r="U356" s="654"/>
    </row>
    <row r="357" spans="1:21" ht="14.25" customHeight="1">
      <c r="A357" s="1316"/>
      <c r="B357" s="1317"/>
      <c r="C357" s="1318"/>
      <c r="D357" s="1319"/>
      <c r="E357" s="1318"/>
      <c r="F357" s="1320">
        <f t="shared" si="47"/>
        <v>0</v>
      </c>
      <c r="G357" s="1319"/>
      <c r="H357" s="1318"/>
      <c r="I357" s="1320">
        <f t="shared" si="48"/>
        <v>0</v>
      </c>
      <c r="J357" s="1320">
        <f t="shared" si="41"/>
        <v>0</v>
      </c>
      <c r="K357" s="1320">
        <f t="shared" si="42"/>
        <v>0</v>
      </c>
      <c r="L357" s="1318"/>
      <c r="M357" s="1318"/>
      <c r="N357" s="1321">
        <f t="shared" si="43"/>
        <v>0</v>
      </c>
      <c r="O357" s="1322">
        <f t="shared" si="44"/>
        <v>0</v>
      </c>
      <c r="P357" s="2369">
        <f t="shared" si="45"/>
        <v>1900</v>
      </c>
      <c r="Q357" s="2369">
        <f t="shared" si="46"/>
        <v>1900</v>
      </c>
      <c r="R357" s="654"/>
      <c r="S357" s="654"/>
      <c r="T357" s="654"/>
      <c r="U357" s="654"/>
    </row>
    <row r="358" spans="1:21" ht="14.25" customHeight="1">
      <c r="A358" s="1316"/>
      <c r="B358" s="1317"/>
      <c r="C358" s="1318"/>
      <c r="D358" s="1319"/>
      <c r="E358" s="1318"/>
      <c r="F358" s="1320">
        <f t="shared" si="47"/>
        <v>0</v>
      </c>
      <c r="G358" s="1319"/>
      <c r="H358" s="1318"/>
      <c r="I358" s="1320">
        <f t="shared" si="48"/>
        <v>0</v>
      </c>
      <c r="J358" s="1320">
        <f t="shared" si="41"/>
        <v>0</v>
      </c>
      <c r="K358" s="1320">
        <f t="shared" si="42"/>
        <v>0</v>
      </c>
      <c r="L358" s="1318"/>
      <c r="M358" s="1318"/>
      <c r="N358" s="1321">
        <f t="shared" si="43"/>
        <v>0</v>
      </c>
      <c r="O358" s="1322">
        <f t="shared" si="44"/>
        <v>0</v>
      </c>
      <c r="P358" s="2369">
        <f t="shared" si="45"/>
        <v>1900</v>
      </c>
      <c r="Q358" s="2369">
        <f t="shared" si="46"/>
        <v>1900</v>
      </c>
      <c r="R358" s="654"/>
      <c r="S358" s="654"/>
      <c r="T358" s="654"/>
      <c r="U358" s="654"/>
    </row>
    <row r="359" spans="1:21" ht="14.25" customHeight="1">
      <c r="A359" s="1316"/>
      <c r="B359" s="1317"/>
      <c r="C359" s="1318"/>
      <c r="D359" s="1319"/>
      <c r="E359" s="1318"/>
      <c r="F359" s="1320">
        <f t="shared" si="47"/>
        <v>0</v>
      </c>
      <c r="G359" s="1319"/>
      <c r="H359" s="1318"/>
      <c r="I359" s="1320">
        <f t="shared" si="48"/>
        <v>0</v>
      </c>
      <c r="J359" s="1320">
        <f t="shared" si="41"/>
        <v>0</v>
      </c>
      <c r="K359" s="1320">
        <f t="shared" si="42"/>
        <v>0</v>
      </c>
      <c r="L359" s="1318"/>
      <c r="M359" s="1318"/>
      <c r="N359" s="1321">
        <f t="shared" si="43"/>
        <v>0</v>
      </c>
      <c r="O359" s="1322">
        <f t="shared" si="44"/>
        <v>0</v>
      </c>
      <c r="P359" s="2369">
        <f t="shared" si="45"/>
        <v>1900</v>
      </c>
      <c r="Q359" s="2369">
        <f t="shared" si="46"/>
        <v>1900</v>
      </c>
      <c r="R359" s="654"/>
      <c r="S359" s="654"/>
      <c r="T359" s="654"/>
      <c r="U359" s="654"/>
    </row>
    <row r="360" spans="1:21" ht="14.25" customHeight="1">
      <c r="A360" s="1316"/>
      <c r="B360" s="1317"/>
      <c r="C360" s="1318"/>
      <c r="D360" s="1319"/>
      <c r="E360" s="1318"/>
      <c r="F360" s="1320">
        <f t="shared" si="47"/>
        <v>0</v>
      </c>
      <c r="G360" s="1319"/>
      <c r="H360" s="1318"/>
      <c r="I360" s="1320">
        <f t="shared" si="48"/>
        <v>0</v>
      </c>
      <c r="J360" s="1320">
        <f t="shared" si="41"/>
        <v>0</v>
      </c>
      <c r="K360" s="1320">
        <f t="shared" si="42"/>
        <v>0</v>
      </c>
      <c r="L360" s="1318"/>
      <c r="M360" s="1318"/>
      <c r="N360" s="1321">
        <f t="shared" si="43"/>
        <v>0</v>
      </c>
      <c r="O360" s="1322">
        <f t="shared" si="44"/>
        <v>0</v>
      </c>
      <c r="P360" s="2369">
        <f t="shared" si="45"/>
        <v>1900</v>
      </c>
      <c r="Q360" s="2369">
        <f t="shared" si="46"/>
        <v>1900</v>
      </c>
      <c r="R360" s="654"/>
      <c r="S360" s="654"/>
      <c r="T360" s="654"/>
      <c r="U360" s="654"/>
    </row>
    <row r="361" spans="1:21" ht="14.25" customHeight="1">
      <c r="A361" s="1316"/>
      <c r="B361" s="1317"/>
      <c r="C361" s="1318"/>
      <c r="D361" s="1319"/>
      <c r="E361" s="1318"/>
      <c r="F361" s="1320">
        <f t="shared" si="47"/>
        <v>0</v>
      </c>
      <c r="G361" s="1319"/>
      <c r="H361" s="1318"/>
      <c r="I361" s="1320">
        <f t="shared" si="48"/>
        <v>0</v>
      </c>
      <c r="J361" s="1320">
        <f t="shared" si="41"/>
        <v>0</v>
      </c>
      <c r="K361" s="1320">
        <f t="shared" si="42"/>
        <v>0</v>
      </c>
      <c r="L361" s="1318"/>
      <c r="M361" s="1318"/>
      <c r="N361" s="1321">
        <f t="shared" si="43"/>
        <v>0</v>
      </c>
      <c r="O361" s="1322">
        <f t="shared" si="44"/>
        <v>0</v>
      </c>
      <c r="P361" s="2369">
        <f t="shared" si="45"/>
        <v>1900</v>
      </c>
      <c r="Q361" s="2369">
        <f t="shared" si="46"/>
        <v>1900</v>
      </c>
      <c r="R361" s="654"/>
      <c r="S361" s="654"/>
      <c r="T361" s="654"/>
      <c r="U361" s="654"/>
    </row>
    <row r="362" spans="1:21" ht="14.25" customHeight="1">
      <c r="A362" s="1316"/>
      <c r="B362" s="1317"/>
      <c r="C362" s="1318"/>
      <c r="D362" s="1319"/>
      <c r="E362" s="1318"/>
      <c r="F362" s="1320">
        <f t="shared" si="47"/>
        <v>0</v>
      </c>
      <c r="G362" s="1319"/>
      <c r="H362" s="1318"/>
      <c r="I362" s="1320">
        <f t="shared" si="48"/>
        <v>0</v>
      </c>
      <c r="J362" s="1320">
        <f t="shared" si="41"/>
        <v>0</v>
      </c>
      <c r="K362" s="1320">
        <f t="shared" si="42"/>
        <v>0</v>
      </c>
      <c r="L362" s="1318"/>
      <c r="M362" s="1318"/>
      <c r="N362" s="1321">
        <f t="shared" si="43"/>
        <v>0</v>
      </c>
      <c r="O362" s="1322">
        <f t="shared" si="44"/>
        <v>0</v>
      </c>
      <c r="P362" s="2369">
        <f t="shared" si="45"/>
        <v>1900</v>
      </c>
      <c r="Q362" s="2369">
        <f t="shared" si="46"/>
        <v>1900</v>
      </c>
      <c r="R362" s="654"/>
      <c r="S362" s="654"/>
      <c r="T362" s="654"/>
      <c r="U362" s="654"/>
    </row>
    <row r="363" spans="1:21" ht="14.25" customHeight="1">
      <c r="A363" s="1316"/>
      <c r="B363" s="1317"/>
      <c r="C363" s="1318"/>
      <c r="D363" s="1319"/>
      <c r="E363" s="1318"/>
      <c r="F363" s="1320">
        <f t="shared" si="47"/>
        <v>0</v>
      </c>
      <c r="G363" s="1319"/>
      <c r="H363" s="1318"/>
      <c r="I363" s="1320">
        <f t="shared" si="48"/>
        <v>0</v>
      </c>
      <c r="J363" s="1320">
        <f t="shared" si="41"/>
        <v>0</v>
      </c>
      <c r="K363" s="1320">
        <f t="shared" si="42"/>
        <v>0</v>
      </c>
      <c r="L363" s="1318"/>
      <c r="M363" s="1318"/>
      <c r="N363" s="1321">
        <f t="shared" si="43"/>
        <v>0</v>
      </c>
      <c r="O363" s="1322">
        <f t="shared" si="44"/>
        <v>0</v>
      </c>
      <c r="P363" s="2369">
        <f t="shared" si="45"/>
        <v>1900</v>
      </c>
      <c r="Q363" s="2369">
        <f t="shared" si="46"/>
        <v>1900</v>
      </c>
      <c r="R363" s="654"/>
      <c r="S363" s="654"/>
      <c r="T363" s="654"/>
      <c r="U363" s="654"/>
    </row>
    <row r="364" spans="1:21" ht="14.25" customHeight="1">
      <c r="A364" s="1316"/>
      <c r="B364" s="1317"/>
      <c r="C364" s="1318"/>
      <c r="D364" s="1319"/>
      <c r="E364" s="1318"/>
      <c r="F364" s="1320">
        <f t="shared" si="47"/>
        <v>0</v>
      </c>
      <c r="G364" s="1319"/>
      <c r="H364" s="1318"/>
      <c r="I364" s="1320">
        <f t="shared" si="48"/>
        <v>0</v>
      </c>
      <c r="J364" s="1320">
        <f t="shared" si="41"/>
        <v>0</v>
      </c>
      <c r="K364" s="1320">
        <f t="shared" si="42"/>
        <v>0</v>
      </c>
      <c r="L364" s="1318"/>
      <c r="M364" s="1318"/>
      <c r="N364" s="1321">
        <f t="shared" si="43"/>
        <v>0</v>
      </c>
      <c r="O364" s="1322">
        <f t="shared" si="44"/>
        <v>0</v>
      </c>
      <c r="P364" s="2369">
        <f t="shared" si="45"/>
        <v>1900</v>
      </c>
      <c r="Q364" s="2369">
        <f t="shared" si="46"/>
        <v>1900</v>
      </c>
      <c r="R364" s="654"/>
      <c r="S364" s="654"/>
      <c r="T364" s="654"/>
      <c r="U364" s="654"/>
    </row>
    <row r="365" spans="1:21" ht="14.25" customHeight="1">
      <c r="A365" s="1316"/>
      <c r="B365" s="1317"/>
      <c r="C365" s="1318"/>
      <c r="D365" s="1319"/>
      <c r="E365" s="1318"/>
      <c r="F365" s="1320">
        <f t="shared" si="47"/>
        <v>0</v>
      </c>
      <c r="G365" s="1319"/>
      <c r="H365" s="1318"/>
      <c r="I365" s="1320">
        <f t="shared" si="48"/>
        <v>0</v>
      </c>
      <c r="J365" s="1320">
        <f t="shared" si="41"/>
        <v>0</v>
      </c>
      <c r="K365" s="1320">
        <f t="shared" si="42"/>
        <v>0</v>
      </c>
      <c r="L365" s="1318"/>
      <c r="M365" s="1318"/>
      <c r="N365" s="1321">
        <f t="shared" si="43"/>
        <v>0</v>
      </c>
      <c r="O365" s="1322">
        <f t="shared" si="44"/>
        <v>0</v>
      </c>
      <c r="P365" s="2369">
        <f t="shared" si="45"/>
        <v>1900</v>
      </c>
      <c r="Q365" s="2369">
        <f t="shared" si="46"/>
        <v>1900</v>
      </c>
      <c r="R365" s="654"/>
      <c r="S365" s="654"/>
      <c r="T365" s="654"/>
      <c r="U365" s="654"/>
    </row>
    <row r="366" spans="1:21" ht="14.25" customHeight="1">
      <c r="A366" s="1316"/>
      <c r="B366" s="1317"/>
      <c r="C366" s="1318"/>
      <c r="D366" s="1319"/>
      <c r="E366" s="1318"/>
      <c r="F366" s="1320">
        <f t="shared" si="47"/>
        <v>0</v>
      </c>
      <c r="G366" s="1319"/>
      <c r="H366" s="1318"/>
      <c r="I366" s="1320">
        <f t="shared" si="48"/>
        <v>0</v>
      </c>
      <c r="J366" s="1320">
        <f t="shared" si="41"/>
        <v>0</v>
      </c>
      <c r="K366" s="1320">
        <f t="shared" si="42"/>
        <v>0</v>
      </c>
      <c r="L366" s="1318"/>
      <c r="M366" s="1318"/>
      <c r="N366" s="1321">
        <f t="shared" si="43"/>
        <v>0</v>
      </c>
      <c r="O366" s="1322">
        <f t="shared" si="44"/>
        <v>0</v>
      </c>
      <c r="P366" s="2369">
        <f t="shared" si="45"/>
        <v>1900</v>
      </c>
      <c r="Q366" s="2369">
        <f t="shared" si="46"/>
        <v>1900</v>
      </c>
      <c r="R366" s="654"/>
      <c r="S366" s="654"/>
      <c r="T366" s="654"/>
      <c r="U366" s="654"/>
    </row>
    <row r="367" spans="1:21" ht="14.25" customHeight="1">
      <c r="A367" s="1316"/>
      <c r="B367" s="1317"/>
      <c r="C367" s="1318"/>
      <c r="D367" s="1319"/>
      <c r="E367" s="1318"/>
      <c r="F367" s="1320">
        <f t="shared" si="47"/>
        <v>0</v>
      </c>
      <c r="G367" s="1319"/>
      <c r="H367" s="1318"/>
      <c r="I367" s="1320">
        <f t="shared" si="48"/>
        <v>0</v>
      </c>
      <c r="J367" s="1320">
        <f t="shared" si="41"/>
        <v>0</v>
      </c>
      <c r="K367" s="1320">
        <f t="shared" si="42"/>
        <v>0</v>
      </c>
      <c r="L367" s="1318"/>
      <c r="M367" s="1318"/>
      <c r="N367" s="1321">
        <f t="shared" si="43"/>
        <v>0</v>
      </c>
      <c r="O367" s="1322">
        <f t="shared" si="44"/>
        <v>0</v>
      </c>
      <c r="P367" s="2369">
        <f t="shared" si="45"/>
        <v>1900</v>
      </c>
      <c r="Q367" s="2369">
        <f t="shared" si="46"/>
        <v>1900</v>
      </c>
      <c r="R367" s="654"/>
      <c r="S367" s="654"/>
      <c r="T367" s="654"/>
      <c r="U367" s="654"/>
    </row>
    <row r="368" spans="1:21" ht="14.25" customHeight="1">
      <c r="A368" s="1316"/>
      <c r="B368" s="1317"/>
      <c r="C368" s="1318"/>
      <c r="D368" s="1319"/>
      <c r="E368" s="1318"/>
      <c r="F368" s="1320">
        <f t="shared" si="47"/>
        <v>0</v>
      </c>
      <c r="G368" s="1319"/>
      <c r="H368" s="1318"/>
      <c r="I368" s="1320">
        <f t="shared" si="48"/>
        <v>0</v>
      </c>
      <c r="J368" s="1320">
        <f t="shared" si="41"/>
        <v>0</v>
      </c>
      <c r="K368" s="1320">
        <f t="shared" si="42"/>
        <v>0</v>
      </c>
      <c r="L368" s="1318"/>
      <c r="M368" s="1318"/>
      <c r="N368" s="1321">
        <f t="shared" si="43"/>
        <v>0</v>
      </c>
      <c r="O368" s="1322">
        <f t="shared" si="44"/>
        <v>0</v>
      </c>
      <c r="P368" s="2369">
        <f t="shared" si="45"/>
        <v>1900</v>
      </c>
      <c r="Q368" s="2369">
        <f t="shared" si="46"/>
        <v>1900</v>
      </c>
      <c r="R368" s="654"/>
      <c r="S368" s="654"/>
      <c r="T368" s="654"/>
      <c r="U368" s="654"/>
    </row>
    <row r="369" spans="1:21" ht="14.25" customHeight="1">
      <c r="A369" s="1316"/>
      <c r="B369" s="1317"/>
      <c r="C369" s="1318"/>
      <c r="D369" s="1319"/>
      <c r="E369" s="1318"/>
      <c r="F369" s="1320">
        <f t="shared" si="47"/>
        <v>0</v>
      </c>
      <c r="G369" s="1319"/>
      <c r="H369" s="1318"/>
      <c r="I369" s="1320">
        <f t="shared" si="48"/>
        <v>0</v>
      </c>
      <c r="J369" s="1320">
        <f t="shared" si="41"/>
        <v>0</v>
      </c>
      <c r="K369" s="1320">
        <f t="shared" si="42"/>
        <v>0</v>
      </c>
      <c r="L369" s="1318"/>
      <c r="M369" s="1318"/>
      <c r="N369" s="1321">
        <f t="shared" si="43"/>
        <v>0</v>
      </c>
      <c r="O369" s="1322">
        <f t="shared" si="44"/>
        <v>0</v>
      </c>
      <c r="P369" s="2369">
        <f t="shared" si="45"/>
        <v>1900</v>
      </c>
      <c r="Q369" s="2369">
        <f t="shared" si="46"/>
        <v>1900</v>
      </c>
      <c r="R369" s="654"/>
      <c r="S369" s="654"/>
      <c r="T369" s="654"/>
      <c r="U369" s="654"/>
    </row>
    <row r="370" spans="1:21" ht="14.25" customHeight="1">
      <c r="A370" s="1316"/>
      <c r="B370" s="1317"/>
      <c r="C370" s="1318"/>
      <c r="D370" s="1319"/>
      <c r="E370" s="1318"/>
      <c r="F370" s="1320">
        <f t="shared" si="47"/>
        <v>0</v>
      </c>
      <c r="G370" s="1319"/>
      <c r="H370" s="1318"/>
      <c r="I370" s="1320">
        <f t="shared" si="48"/>
        <v>0</v>
      </c>
      <c r="J370" s="1320">
        <f t="shared" si="41"/>
        <v>0</v>
      </c>
      <c r="K370" s="1320">
        <f t="shared" si="42"/>
        <v>0</v>
      </c>
      <c r="L370" s="1318"/>
      <c r="M370" s="1318"/>
      <c r="N370" s="1321">
        <f t="shared" si="43"/>
        <v>0</v>
      </c>
      <c r="O370" s="1322">
        <f t="shared" si="44"/>
        <v>0</v>
      </c>
      <c r="P370" s="2369">
        <f t="shared" si="45"/>
        <v>1900</v>
      </c>
      <c r="Q370" s="2369">
        <f t="shared" si="46"/>
        <v>1900</v>
      </c>
      <c r="R370" s="654"/>
      <c r="S370" s="654"/>
      <c r="T370" s="654"/>
      <c r="U370" s="654"/>
    </row>
    <row r="371" spans="1:21" ht="14.25" customHeight="1">
      <c r="A371" s="1316"/>
      <c r="B371" s="1317"/>
      <c r="C371" s="1318"/>
      <c r="D371" s="1319"/>
      <c r="E371" s="1318"/>
      <c r="F371" s="1320">
        <f t="shared" si="47"/>
        <v>0</v>
      </c>
      <c r="G371" s="1319"/>
      <c r="H371" s="1318"/>
      <c r="I371" s="1320">
        <f t="shared" si="48"/>
        <v>0</v>
      </c>
      <c r="J371" s="1320">
        <f t="shared" si="41"/>
        <v>0</v>
      </c>
      <c r="K371" s="1320">
        <f t="shared" si="42"/>
        <v>0</v>
      </c>
      <c r="L371" s="1318"/>
      <c r="M371" s="1318"/>
      <c r="N371" s="1321">
        <f t="shared" si="43"/>
        <v>0</v>
      </c>
      <c r="O371" s="1322">
        <f t="shared" si="44"/>
        <v>0</v>
      </c>
      <c r="P371" s="2369">
        <f t="shared" si="45"/>
        <v>1900</v>
      </c>
      <c r="Q371" s="2369">
        <f t="shared" si="46"/>
        <v>1900</v>
      </c>
      <c r="R371" s="654"/>
      <c r="S371" s="654"/>
      <c r="T371" s="654"/>
      <c r="U371" s="654"/>
    </row>
    <row r="372" spans="1:21" ht="14.25" customHeight="1">
      <c r="A372" s="1316"/>
      <c r="B372" s="1317"/>
      <c r="C372" s="1318"/>
      <c r="D372" s="1319"/>
      <c r="E372" s="1318"/>
      <c r="F372" s="1320">
        <f t="shared" si="47"/>
        <v>0</v>
      </c>
      <c r="G372" s="1319"/>
      <c r="H372" s="1318"/>
      <c r="I372" s="1320">
        <f t="shared" si="48"/>
        <v>0</v>
      </c>
      <c r="J372" s="1320">
        <f t="shared" si="41"/>
        <v>0</v>
      </c>
      <c r="K372" s="1320">
        <f t="shared" si="42"/>
        <v>0</v>
      </c>
      <c r="L372" s="1318"/>
      <c r="M372" s="1318"/>
      <c r="N372" s="1321">
        <f t="shared" si="43"/>
        <v>0</v>
      </c>
      <c r="O372" s="1322">
        <f t="shared" si="44"/>
        <v>0</v>
      </c>
      <c r="P372" s="2369">
        <f t="shared" si="45"/>
        <v>1900</v>
      </c>
      <c r="Q372" s="2369">
        <f t="shared" si="46"/>
        <v>1900</v>
      </c>
      <c r="R372" s="654"/>
      <c r="S372" s="654"/>
      <c r="T372" s="654"/>
      <c r="U372" s="654"/>
    </row>
    <row r="373" spans="1:21" ht="14.25" customHeight="1">
      <c r="A373" s="1316"/>
      <c r="B373" s="1317"/>
      <c r="C373" s="1318"/>
      <c r="D373" s="1319"/>
      <c r="E373" s="1318"/>
      <c r="F373" s="1320">
        <f t="shared" si="47"/>
        <v>0</v>
      </c>
      <c r="G373" s="1319"/>
      <c r="H373" s="1318"/>
      <c r="I373" s="1320">
        <f t="shared" si="48"/>
        <v>0</v>
      </c>
      <c r="J373" s="1320">
        <f t="shared" si="41"/>
        <v>0</v>
      </c>
      <c r="K373" s="1320">
        <f t="shared" si="42"/>
        <v>0</v>
      </c>
      <c r="L373" s="1318"/>
      <c r="M373" s="1318"/>
      <c r="N373" s="1321">
        <f t="shared" si="43"/>
        <v>0</v>
      </c>
      <c r="O373" s="1322">
        <f t="shared" si="44"/>
        <v>0</v>
      </c>
      <c r="P373" s="2369">
        <f t="shared" si="45"/>
        <v>1900</v>
      </c>
      <c r="Q373" s="2369">
        <f t="shared" si="46"/>
        <v>1900</v>
      </c>
      <c r="R373" s="654"/>
      <c r="S373" s="654"/>
      <c r="T373" s="654"/>
      <c r="U373" s="654"/>
    </row>
    <row r="374" spans="1:21" ht="14.25" customHeight="1">
      <c r="A374" s="1316"/>
      <c r="B374" s="1317"/>
      <c r="C374" s="1318"/>
      <c r="D374" s="1319"/>
      <c r="E374" s="1318"/>
      <c r="F374" s="1320">
        <f t="shared" si="47"/>
        <v>0</v>
      </c>
      <c r="G374" s="1319"/>
      <c r="H374" s="1318"/>
      <c r="I374" s="1320">
        <f t="shared" si="48"/>
        <v>0</v>
      </c>
      <c r="J374" s="1320">
        <f t="shared" si="41"/>
        <v>0</v>
      </c>
      <c r="K374" s="1320">
        <f t="shared" si="42"/>
        <v>0</v>
      </c>
      <c r="L374" s="1318"/>
      <c r="M374" s="1318"/>
      <c r="N374" s="1321">
        <f t="shared" si="43"/>
        <v>0</v>
      </c>
      <c r="O374" s="1322">
        <f t="shared" si="44"/>
        <v>0</v>
      </c>
      <c r="P374" s="2369">
        <f t="shared" si="45"/>
        <v>1900</v>
      </c>
      <c r="Q374" s="2369">
        <f t="shared" si="46"/>
        <v>1900</v>
      </c>
      <c r="R374" s="654"/>
      <c r="S374" s="654"/>
      <c r="T374" s="654"/>
      <c r="U374" s="654"/>
    </row>
    <row r="375" spans="1:21" ht="14.25" customHeight="1">
      <c r="A375" s="1316"/>
      <c r="B375" s="1317"/>
      <c r="C375" s="1318"/>
      <c r="D375" s="1319"/>
      <c r="E375" s="1318"/>
      <c r="F375" s="1320">
        <f t="shared" si="47"/>
        <v>0</v>
      </c>
      <c r="G375" s="1319"/>
      <c r="H375" s="1318"/>
      <c r="I375" s="1320">
        <f t="shared" si="48"/>
        <v>0</v>
      </c>
      <c r="J375" s="1320">
        <f t="shared" si="41"/>
        <v>0</v>
      </c>
      <c r="K375" s="1320">
        <f t="shared" si="42"/>
        <v>0</v>
      </c>
      <c r="L375" s="1318"/>
      <c r="M375" s="1318"/>
      <c r="N375" s="1321">
        <f t="shared" si="43"/>
        <v>0</v>
      </c>
      <c r="O375" s="1322">
        <f t="shared" si="44"/>
        <v>0</v>
      </c>
      <c r="P375" s="2369">
        <f t="shared" si="45"/>
        <v>1900</v>
      </c>
      <c r="Q375" s="2369">
        <f t="shared" si="46"/>
        <v>1900</v>
      </c>
      <c r="R375" s="654"/>
      <c r="S375" s="654"/>
      <c r="T375" s="654"/>
      <c r="U375" s="654"/>
    </row>
    <row r="376" spans="1:21" ht="14.25" customHeight="1">
      <c r="A376" s="1316"/>
      <c r="B376" s="1317"/>
      <c r="C376" s="1318"/>
      <c r="D376" s="1319"/>
      <c r="E376" s="1318"/>
      <c r="F376" s="1320">
        <f t="shared" si="47"/>
        <v>0</v>
      </c>
      <c r="G376" s="1319"/>
      <c r="H376" s="1318"/>
      <c r="I376" s="1320">
        <f t="shared" si="48"/>
        <v>0</v>
      </c>
      <c r="J376" s="1320">
        <f t="shared" si="41"/>
        <v>0</v>
      </c>
      <c r="K376" s="1320">
        <f t="shared" si="42"/>
        <v>0</v>
      </c>
      <c r="L376" s="1318"/>
      <c r="M376" s="1318"/>
      <c r="N376" s="1321">
        <f t="shared" si="43"/>
        <v>0</v>
      </c>
      <c r="O376" s="1322">
        <f t="shared" si="44"/>
        <v>0</v>
      </c>
      <c r="P376" s="2369">
        <f t="shared" si="45"/>
        <v>1900</v>
      </c>
      <c r="Q376" s="2369">
        <f t="shared" si="46"/>
        <v>1900</v>
      </c>
      <c r="R376" s="654"/>
      <c r="S376" s="654"/>
      <c r="T376" s="654"/>
      <c r="U376" s="654"/>
    </row>
    <row r="377" spans="1:21" ht="14.25" customHeight="1">
      <c r="A377" s="1316"/>
      <c r="B377" s="1317"/>
      <c r="C377" s="1318"/>
      <c r="D377" s="1319"/>
      <c r="E377" s="1318"/>
      <c r="F377" s="1320">
        <f t="shared" si="47"/>
        <v>0</v>
      </c>
      <c r="G377" s="1319"/>
      <c r="H377" s="1318"/>
      <c r="I377" s="1320">
        <f t="shared" si="48"/>
        <v>0</v>
      </c>
      <c r="J377" s="1320">
        <f t="shared" si="41"/>
        <v>0</v>
      </c>
      <c r="K377" s="1320">
        <f t="shared" si="42"/>
        <v>0</v>
      </c>
      <c r="L377" s="1318"/>
      <c r="M377" s="1318"/>
      <c r="N377" s="1321">
        <f t="shared" si="43"/>
        <v>0</v>
      </c>
      <c r="O377" s="1322">
        <f t="shared" si="44"/>
        <v>0</v>
      </c>
      <c r="P377" s="2369">
        <f t="shared" si="45"/>
        <v>1900</v>
      </c>
      <c r="Q377" s="2369">
        <f t="shared" si="46"/>
        <v>1900</v>
      </c>
      <c r="R377" s="654"/>
      <c r="S377" s="654"/>
      <c r="T377" s="654"/>
      <c r="U377" s="654"/>
    </row>
    <row r="378" spans="1:21" ht="14.25" customHeight="1">
      <c r="A378" s="1316"/>
      <c r="B378" s="1317"/>
      <c r="C378" s="1318"/>
      <c r="D378" s="1319"/>
      <c r="E378" s="1318"/>
      <c r="F378" s="1320">
        <f t="shared" si="47"/>
        <v>0</v>
      </c>
      <c r="G378" s="1319"/>
      <c r="H378" s="1318"/>
      <c r="I378" s="1320">
        <f t="shared" si="48"/>
        <v>0</v>
      </c>
      <c r="J378" s="1320">
        <f t="shared" si="41"/>
        <v>0</v>
      </c>
      <c r="K378" s="1320">
        <f t="shared" si="42"/>
        <v>0</v>
      </c>
      <c r="L378" s="1318"/>
      <c r="M378" s="1318"/>
      <c r="N378" s="1321">
        <f t="shared" si="43"/>
        <v>0</v>
      </c>
      <c r="O378" s="1322">
        <f t="shared" si="44"/>
        <v>0</v>
      </c>
      <c r="P378" s="2369">
        <f t="shared" si="45"/>
        <v>1900</v>
      </c>
      <c r="Q378" s="2369">
        <f t="shared" si="46"/>
        <v>1900</v>
      </c>
      <c r="R378" s="654"/>
      <c r="S378" s="654"/>
      <c r="T378" s="654"/>
      <c r="U378" s="654"/>
    </row>
    <row r="379" spans="1:21" ht="14.25" customHeight="1">
      <c r="A379" s="1316"/>
      <c r="B379" s="1317"/>
      <c r="C379" s="1318"/>
      <c r="D379" s="1319"/>
      <c r="E379" s="1318"/>
      <c r="F379" s="1320">
        <f t="shared" si="47"/>
        <v>0</v>
      </c>
      <c r="G379" s="1319"/>
      <c r="H379" s="1318"/>
      <c r="I379" s="1320">
        <f t="shared" si="48"/>
        <v>0</v>
      </c>
      <c r="J379" s="1320">
        <f t="shared" si="41"/>
        <v>0</v>
      </c>
      <c r="K379" s="1320">
        <f t="shared" si="42"/>
        <v>0</v>
      </c>
      <c r="L379" s="1318"/>
      <c r="M379" s="1318"/>
      <c r="N379" s="1321">
        <f t="shared" si="43"/>
        <v>0</v>
      </c>
      <c r="O379" s="1322">
        <f t="shared" si="44"/>
        <v>0</v>
      </c>
      <c r="P379" s="2369">
        <f t="shared" si="45"/>
        <v>1900</v>
      </c>
      <c r="Q379" s="2369">
        <f t="shared" si="46"/>
        <v>1900</v>
      </c>
      <c r="R379" s="654"/>
      <c r="S379" s="654"/>
      <c r="T379" s="654"/>
      <c r="U379" s="654"/>
    </row>
    <row r="380" spans="1:21" ht="14.25" customHeight="1">
      <c r="A380" s="1316"/>
      <c r="B380" s="1317"/>
      <c r="C380" s="1318"/>
      <c r="D380" s="1319"/>
      <c r="E380" s="1318"/>
      <c r="F380" s="1320">
        <f t="shared" si="47"/>
        <v>0</v>
      </c>
      <c r="G380" s="1319"/>
      <c r="H380" s="1318"/>
      <c r="I380" s="1320">
        <f t="shared" si="48"/>
        <v>0</v>
      </c>
      <c r="J380" s="1320">
        <f t="shared" si="41"/>
        <v>0</v>
      </c>
      <c r="K380" s="1320">
        <f t="shared" si="42"/>
        <v>0</v>
      </c>
      <c r="L380" s="1318"/>
      <c r="M380" s="1318"/>
      <c r="N380" s="1321">
        <f t="shared" si="43"/>
        <v>0</v>
      </c>
      <c r="O380" s="1322">
        <f t="shared" si="44"/>
        <v>0</v>
      </c>
      <c r="P380" s="2369">
        <f t="shared" si="45"/>
        <v>1900</v>
      </c>
      <c r="Q380" s="2369">
        <f t="shared" si="46"/>
        <v>1900</v>
      </c>
      <c r="R380" s="654"/>
      <c r="S380" s="654"/>
      <c r="T380" s="654"/>
      <c r="U380" s="654"/>
    </row>
    <row r="381" spans="1:21" ht="14.25" customHeight="1">
      <c r="A381" s="1316"/>
      <c r="B381" s="1317"/>
      <c r="C381" s="1318"/>
      <c r="D381" s="1319"/>
      <c r="E381" s="1318"/>
      <c r="F381" s="1320">
        <f t="shared" si="47"/>
        <v>0</v>
      </c>
      <c r="G381" s="1319"/>
      <c r="H381" s="1318"/>
      <c r="I381" s="1320">
        <f t="shared" si="48"/>
        <v>0</v>
      </c>
      <c r="J381" s="1320">
        <f t="shared" si="41"/>
        <v>0</v>
      </c>
      <c r="K381" s="1320">
        <f t="shared" si="42"/>
        <v>0</v>
      </c>
      <c r="L381" s="1318"/>
      <c r="M381" s="1318"/>
      <c r="N381" s="1321">
        <f t="shared" si="43"/>
        <v>0</v>
      </c>
      <c r="O381" s="1322">
        <f t="shared" si="44"/>
        <v>0</v>
      </c>
      <c r="P381" s="2369">
        <f t="shared" si="45"/>
        <v>1900</v>
      </c>
      <c r="Q381" s="2369">
        <f t="shared" si="46"/>
        <v>1900</v>
      </c>
      <c r="R381" s="654"/>
      <c r="S381" s="654"/>
      <c r="T381" s="654"/>
      <c r="U381" s="654"/>
    </row>
    <row r="382" spans="1:21" ht="14.25" customHeight="1">
      <c r="A382" s="1316"/>
      <c r="B382" s="1317"/>
      <c r="C382" s="1318"/>
      <c r="D382" s="1319"/>
      <c r="E382" s="1318"/>
      <c r="F382" s="1320">
        <f t="shared" si="47"/>
        <v>0</v>
      </c>
      <c r="G382" s="1319"/>
      <c r="H382" s="1318"/>
      <c r="I382" s="1320">
        <f t="shared" si="48"/>
        <v>0</v>
      </c>
      <c r="J382" s="1320">
        <f t="shared" si="41"/>
        <v>0</v>
      </c>
      <c r="K382" s="1320">
        <f t="shared" si="42"/>
        <v>0</v>
      </c>
      <c r="L382" s="1318"/>
      <c r="M382" s="1318"/>
      <c r="N382" s="1321">
        <f t="shared" si="43"/>
        <v>0</v>
      </c>
      <c r="O382" s="1322">
        <f t="shared" si="44"/>
        <v>0</v>
      </c>
      <c r="P382" s="2369">
        <f t="shared" si="45"/>
        <v>1900</v>
      </c>
      <c r="Q382" s="2369">
        <f t="shared" si="46"/>
        <v>1900</v>
      </c>
      <c r="R382" s="654"/>
      <c r="S382" s="654"/>
      <c r="T382" s="654"/>
      <c r="U382" s="654"/>
    </row>
    <row r="383" spans="1:21" ht="14.25" customHeight="1">
      <c r="A383" s="1316"/>
      <c r="B383" s="1317"/>
      <c r="C383" s="1318"/>
      <c r="D383" s="1319"/>
      <c r="E383" s="1318"/>
      <c r="F383" s="1320">
        <f t="shared" si="47"/>
        <v>0</v>
      </c>
      <c r="G383" s="1319"/>
      <c r="H383" s="1318"/>
      <c r="I383" s="1320">
        <f t="shared" si="48"/>
        <v>0</v>
      </c>
      <c r="J383" s="1320">
        <f t="shared" si="41"/>
        <v>0</v>
      </c>
      <c r="K383" s="1320">
        <f t="shared" si="42"/>
        <v>0</v>
      </c>
      <c r="L383" s="1318"/>
      <c r="M383" s="1318"/>
      <c r="N383" s="1321">
        <f t="shared" si="43"/>
        <v>0</v>
      </c>
      <c r="O383" s="1322">
        <f t="shared" si="44"/>
        <v>0</v>
      </c>
      <c r="P383" s="2369">
        <f t="shared" si="45"/>
        <v>1900</v>
      </c>
      <c r="Q383" s="2369">
        <f t="shared" si="46"/>
        <v>1900</v>
      </c>
      <c r="R383" s="654"/>
      <c r="S383" s="654"/>
      <c r="T383" s="654"/>
      <c r="U383" s="654"/>
    </row>
    <row r="384" spans="1:21" ht="14.25" customHeight="1">
      <c r="A384" s="1316"/>
      <c r="B384" s="1317"/>
      <c r="C384" s="1318"/>
      <c r="D384" s="1319"/>
      <c r="E384" s="1318"/>
      <c r="F384" s="1320">
        <f t="shared" si="47"/>
        <v>0</v>
      </c>
      <c r="G384" s="1319"/>
      <c r="H384" s="1318"/>
      <c r="I384" s="1320">
        <f t="shared" si="48"/>
        <v>0</v>
      </c>
      <c r="J384" s="1320">
        <f t="shared" si="41"/>
        <v>0</v>
      </c>
      <c r="K384" s="1320">
        <f t="shared" si="42"/>
        <v>0</v>
      </c>
      <c r="L384" s="1318"/>
      <c r="M384" s="1318"/>
      <c r="N384" s="1321">
        <f t="shared" si="43"/>
        <v>0</v>
      </c>
      <c r="O384" s="1322">
        <f t="shared" si="44"/>
        <v>0</v>
      </c>
      <c r="P384" s="2369">
        <f t="shared" si="45"/>
        <v>1900</v>
      </c>
      <c r="Q384" s="2369">
        <f t="shared" si="46"/>
        <v>1900</v>
      </c>
      <c r="R384" s="654"/>
      <c r="S384" s="654"/>
      <c r="T384" s="654"/>
      <c r="U384" s="654"/>
    </row>
    <row r="385" spans="1:21" ht="14.25" customHeight="1">
      <c r="A385" s="1316"/>
      <c r="B385" s="1317"/>
      <c r="C385" s="1318"/>
      <c r="D385" s="1319"/>
      <c r="E385" s="1318"/>
      <c r="F385" s="1320">
        <f t="shared" si="47"/>
        <v>0</v>
      </c>
      <c r="G385" s="1319"/>
      <c r="H385" s="1318"/>
      <c r="I385" s="1320">
        <f t="shared" si="48"/>
        <v>0</v>
      </c>
      <c r="J385" s="1320">
        <f t="shared" si="41"/>
        <v>0</v>
      </c>
      <c r="K385" s="1320">
        <f t="shared" si="42"/>
        <v>0</v>
      </c>
      <c r="L385" s="1318"/>
      <c r="M385" s="1318"/>
      <c r="N385" s="1321">
        <f t="shared" si="43"/>
        <v>0</v>
      </c>
      <c r="O385" s="1322">
        <f t="shared" si="44"/>
        <v>0</v>
      </c>
      <c r="P385" s="2369">
        <f t="shared" si="45"/>
        <v>1900</v>
      </c>
      <c r="Q385" s="2369">
        <f t="shared" si="46"/>
        <v>1900</v>
      </c>
      <c r="R385" s="654"/>
      <c r="S385" s="654"/>
      <c r="T385" s="654"/>
      <c r="U385" s="654"/>
    </row>
    <row r="386" spans="1:21" ht="14.25" customHeight="1">
      <c r="A386" s="1316"/>
      <c r="B386" s="1317"/>
      <c r="C386" s="1318"/>
      <c r="D386" s="1319"/>
      <c r="E386" s="1318"/>
      <c r="F386" s="1320">
        <f t="shared" si="47"/>
        <v>0</v>
      </c>
      <c r="G386" s="1319"/>
      <c r="H386" s="1318"/>
      <c r="I386" s="1320">
        <f t="shared" si="48"/>
        <v>0</v>
      </c>
      <c r="J386" s="1320">
        <f t="shared" si="41"/>
        <v>0</v>
      </c>
      <c r="K386" s="1320">
        <f t="shared" si="42"/>
        <v>0</v>
      </c>
      <c r="L386" s="1318"/>
      <c r="M386" s="1318"/>
      <c r="N386" s="1321">
        <f t="shared" si="43"/>
        <v>0</v>
      </c>
      <c r="O386" s="1322">
        <f t="shared" si="44"/>
        <v>0</v>
      </c>
      <c r="P386" s="2369">
        <f t="shared" si="45"/>
        <v>1900</v>
      </c>
      <c r="Q386" s="2369">
        <f t="shared" si="46"/>
        <v>1900</v>
      </c>
      <c r="R386" s="654"/>
      <c r="S386" s="654"/>
      <c r="T386" s="654"/>
      <c r="U386" s="654"/>
    </row>
    <row r="387" spans="1:21" ht="14.25" customHeight="1">
      <c r="A387" s="1316"/>
      <c r="B387" s="1317"/>
      <c r="C387" s="1318"/>
      <c r="D387" s="1319"/>
      <c r="E387" s="1318"/>
      <c r="F387" s="1320">
        <f t="shared" si="47"/>
        <v>0</v>
      </c>
      <c r="G387" s="1319"/>
      <c r="H387" s="1318"/>
      <c r="I387" s="1320">
        <f t="shared" si="48"/>
        <v>0</v>
      </c>
      <c r="J387" s="1320">
        <f t="shared" si="41"/>
        <v>0</v>
      </c>
      <c r="K387" s="1320">
        <f t="shared" si="42"/>
        <v>0</v>
      </c>
      <c r="L387" s="1318"/>
      <c r="M387" s="1318"/>
      <c r="N387" s="1321">
        <f t="shared" si="43"/>
        <v>0</v>
      </c>
      <c r="O387" s="1322">
        <f t="shared" si="44"/>
        <v>0</v>
      </c>
      <c r="P387" s="2369">
        <f t="shared" si="45"/>
        <v>1900</v>
      </c>
      <c r="Q387" s="2369">
        <f t="shared" si="46"/>
        <v>1900</v>
      </c>
      <c r="R387" s="654"/>
      <c r="S387" s="654"/>
      <c r="T387" s="654"/>
      <c r="U387" s="654"/>
    </row>
    <row r="388" spans="1:21" ht="14.25" customHeight="1">
      <c r="A388" s="1316"/>
      <c r="B388" s="1317"/>
      <c r="C388" s="1318"/>
      <c r="D388" s="1319"/>
      <c r="E388" s="1318"/>
      <c r="F388" s="1320">
        <f t="shared" si="47"/>
        <v>0</v>
      </c>
      <c r="G388" s="1319"/>
      <c r="H388" s="1318"/>
      <c r="I388" s="1320">
        <f t="shared" si="48"/>
        <v>0</v>
      </c>
      <c r="J388" s="1320">
        <f t="shared" si="41"/>
        <v>0</v>
      </c>
      <c r="K388" s="1320">
        <f t="shared" si="42"/>
        <v>0</v>
      </c>
      <c r="L388" s="1318"/>
      <c r="M388" s="1318"/>
      <c r="N388" s="1321">
        <f t="shared" si="43"/>
        <v>0</v>
      </c>
      <c r="O388" s="1322">
        <f t="shared" si="44"/>
        <v>0</v>
      </c>
      <c r="P388" s="2369">
        <f t="shared" si="45"/>
        <v>1900</v>
      </c>
      <c r="Q388" s="2369">
        <f t="shared" si="46"/>
        <v>1900</v>
      </c>
      <c r="R388" s="654"/>
      <c r="S388" s="654"/>
      <c r="T388" s="654"/>
      <c r="U388" s="654"/>
    </row>
    <row r="389" spans="1:21" ht="14.25" customHeight="1">
      <c r="A389" s="1316"/>
      <c r="B389" s="1317"/>
      <c r="C389" s="1318"/>
      <c r="D389" s="1319"/>
      <c r="E389" s="1318"/>
      <c r="F389" s="1320">
        <f t="shared" si="47"/>
        <v>0</v>
      </c>
      <c r="G389" s="1319"/>
      <c r="H389" s="1318"/>
      <c r="I389" s="1320">
        <f t="shared" si="48"/>
        <v>0</v>
      </c>
      <c r="J389" s="1320">
        <f t="shared" si="41"/>
        <v>0</v>
      </c>
      <c r="K389" s="1320">
        <f t="shared" si="42"/>
        <v>0</v>
      </c>
      <c r="L389" s="1318"/>
      <c r="M389" s="1318"/>
      <c r="N389" s="1321">
        <f t="shared" si="43"/>
        <v>0</v>
      </c>
      <c r="O389" s="1322">
        <f t="shared" si="44"/>
        <v>0</v>
      </c>
      <c r="P389" s="2369">
        <f t="shared" si="45"/>
        <v>1900</v>
      </c>
      <c r="Q389" s="2369">
        <f t="shared" si="46"/>
        <v>1900</v>
      </c>
      <c r="R389" s="654"/>
      <c r="S389" s="654"/>
      <c r="T389" s="654"/>
      <c r="U389" s="654"/>
    </row>
    <row r="390" spans="1:21" ht="14.25" customHeight="1">
      <c r="A390" s="1316"/>
      <c r="B390" s="1317"/>
      <c r="C390" s="1318"/>
      <c r="D390" s="1319"/>
      <c r="E390" s="1318"/>
      <c r="F390" s="1320">
        <f t="shared" si="47"/>
        <v>0</v>
      </c>
      <c r="G390" s="1319"/>
      <c r="H390" s="1318"/>
      <c r="I390" s="1320">
        <f t="shared" si="48"/>
        <v>0</v>
      </c>
      <c r="J390" s="1320">
        <f t="shared" si="41"/>
        <v>0</v>
      </c>
      <c r="K390" s="1320">
        <f t="shared" si="42"/>
        <v>0</v>
      </c>
      <c r="L390" s="1318"/>
      <c r="M390" s="1318"/>
      <c r="N390" s="1321">
        <f t="shared" si="43"/>
        <v>0</v>
      </c>
      <c r="O390" s="1322">
        <f t="shared" si="44"/>
        <v>0</v>
      </c>
      <c r="P390" s="2369">
        <f t="shared" si="45"/>
        <v>1900</v>
      </c>
      <c r="Q390" s="2369">
        <f t="shared" si="46"/>
        <v>1900</v>
      </c>
      <c r="R390" s="654"/>
      <c r="S390" s="654"/>
      <c r="T390" s="654"/>
      <c r="U390" s="654"/>
    </row>
    <row r="391" spans="1:21" ht="14.25" customHeight="1">
      <c r="A391" s="1316"/>
      <c r="B391" s="1317"/>
      <c r="C391" s="1318"/>
      <c r="D391" s="1319"/>
      <c r="E391" s="1318"/>
      <c r="F391" s="1320">
        <f t="shared" si="47"/>
        <v>0</v>
      </c>
      <c r="G391" s="1319"/>
      <c r="H391" s="1318"/>
      <c r="I391" s="1320">
        <f t="shared" si="48"/>
        <v>0</v>
      </c>
      <c r="J391" s="1320">
        <f t="shared" si="41"/>
        <v>0</v>
      </c>
      <c r="K391" s="1320">
        <f t="shared" si="42"/>
        <v>0</v>
      </c>
      <c r="L391" s="1318"/>
      <c r="M391" s="1318"/>
      <c r="N391" s="1321">
        <f t="shared" si="43"/>
        <v>0</v>
      </c>
      <c r="O391" s="1322">
        <f t="shared" si="44"/>
        <v>0</v>
      </c>
      <c r="P391" s="2369">
        <f t="shared" si="45"/>
        <v>1900</v>
      </c>
      <c r="Q391" s="2369">
        <f t="shared" si="46"/>
        <v>1900</v>
      </c>
      <c r="R391" s="654"/>
      <c r="S391" s="654"/>
      <c r="T391" s="654"/>
      <c r="U391" s="654"/>
    </row>
    <row r="392" spans="1:21" ht="14.25" customHeight="1">
      <c r="A392" s="1316"/>
      <c r="B392" s="1317"/>
      <c r="C392" s="1318"/>
      <c r="D392" s="1319"/>
      <c r="E392" s="1318"/>
      <c r="F392" s="1320">
        <f t="shared" si="47"/>
        <v>0</v>
      </c>
      <c r="G392" s="1319"/>
      <c r="H392" s="1318"/>
      <c r="I392" s="1320">
        <f t="shared" si="48"/>
        <v>0</v>
      </c>
      <c r="J392" s="1320">
        <f t="shared" si="41"/>
        <v>0</v>
      </c>
      <c r="K392" s="1320">
        <f t="shared" si="42"/>
        <v>0</v>
      </c>
      <c r="L392" s="1318"/>
      <c r="M392" s="1318"/>
      <c r="N392" s="1321">
        <f t="shared" si="43"/>
        <v>0</v>
      </c>
      <c r="O392" s="1322">
        <f t="shared" si="44"/>
        <v>0</v>
      </c>
      <c r="P392" s="2369">
        <f t="shared" si="45"/>
        <v>1900</v>
      </c>
      <c r="Q392" s="2369">
        <f t="shared" si="46"/>
        <v>1900</v>
      </c>
      <c r="R392" s="654"/>
      <c r="S392" s="654"/>
      <c r="T392" s="654"/>
      <c r="U392" s="654"/>
    </row>
    <row r="393" spans="1:21" ht="14.25" customHeight="1">
      <c r="A393" s="1316"/>
      <c r="B393" s="1317"/>
      <c r="C393" s="1318"/>
      <c r="D393" s="1319"/>
      <c r="E393" s="1318"/>
      <c r="F393" s="1320">
        <f t="shared" si="47"/>
        <v>0</v>
      </c>
      <c r="G393" s="1319"/>
      <c r="H393" s="1318"/>
      <c r="I393" s="1320">
        <f t="shared" si="48"/>
        <v>0</v>
      </c>
      <c r="J393" s="1320">
        <f t="shared" ref="J393:J456" si="49">C393+E393-H393</f>
        <v>0</v>
      </c>
      <c r="K393" s="1320">
        <f t="shared" ref="K393:K456" si="50">C393+F393-I393</f>
        <v>0</v>
      </c>
      <c r="L393" s="1318"/>
      <c r="M393" s="1318"/>
      <c r="N393" s="1321">
        <f t="shared" si="43"/>
        <v>0</v>
      </c>
      <c r="O393" s="1322">
        <f t="shared" si="44"/>
        <v>0</v>
      </c>
      <c r="P393" s="2369">
        <f t="shared" si="45"/>
        <v>1900</v>
      </c>
      <c r="Q393" s="2369">
        <f t="shared" si="46"/>
        <v>1900</v>
      </c>
      <c r="R393" s="654"/>
      <c r="S393" s="654"/>
      <c r="T393" s="654"/>
      <c r="U393" s="654"/>
    </row>
    <row r="394" spans="1:21" ht="14.25" customHeight="1">
      <c r="A394" s="1316"/>
      <c r="B394" s="1317"/>
      <c r="C394" s="1318"/>
      <c r="D394" s="1319"/>
      <c r="E394" s="1318"/>
      <c r="F394" s="1320">
        <f t="shared" si="47"/>
        <v>0</v>
      </c>
      <c r="G394" s="1319"/>
      <c r="H394" s="1318"/>
      <c r="I394" s="1320">
        <f t="shared" si="48"/>
        <v>0</v>
      </c>
      <c r="J394" s="1320">
        <f t="shared" si="49"/>
        <v>0</v>
      </c>
      <c r="K394" s="1320">
        <f t="shared" si="50"/>
        <v>0</v>
      </c>
      <c r="L394" s="1318"/>
      <c r="M394" s="1318"/>
      <c r="N394" s="1321">
        <f t="shared" ref="N394:N457" si="51">IF(M394&lt;&gt;0,ROUND(B394*K394,2)+M394,IF(ABS(ROUND(K394*B394,2)-L394)&lt;3,L394,MIN(ROUND(K394*B394,2),L394)))</f>
        <v>0</v>
      </c>
      <c r="O394" s="1322">
        <f t="shared" ref="O394:O457" si="52">IF(ISERROR(L394-N394),"",IF(ABS(L394-N394)&lt;3,0,L394-N394))</f>
        <v>0</v>
      </c>
      <c r="P394" s="2369">
        <f t="shared" ref="P394:P457" si="53">IFERROR(YEAR(D394),0)</f>
        <v>1900</v>
      </c>
      <c r="Q394" s="2369">
        <f t="shared" ref="Q394:Q457" si="54">IFERROR(YEAR(G394),0)</f>
        <v>1900</v>
      </c>
      <c r="R394" s="654"/>
      <c r="S394" s="654"/>
      <c r="T394" s="654"/>
      <c r="U394" s="654"/>
    </row>
    <row r="395" spans="1:21" ht="14.25" customHeight="1">
      <c r="A395" s="1316"/>
      <c r="B395" s="1317"/>
      <c r="C395" s="1318"/>
      <c r="D395" s="1319"/>
      <c r="E395" s="1318"/>
      <c r="F395" s="1320">
        <f t="shared" ref="F395:F458" si="55">E395*(12-MONTH(D395))/12</f>
        <v>0</v>
      </c>
      <c r="G395" s="1319"/>
      <c r="H395" s="1318"/>
      <c r="I395" s="1320">
        <f t="shared" ref="I395:I458" si="56">H395*(12-MONTH(G395))/12</f>
        <v>0</v>
      </c>
      <c r="J395" s="1320">
        <f t="shared" si="49"/>
        <v>0</v>
      </c>
      <c r="K395" s="1320">
        <f t="shared" si="50"/>
        <v>0</v>
      </c>
      <c r="L395" s="1318"/>
      <c r="M395" s="1318"/>
      <c r="N395" s="1321">
        <f t="shared" si="51"/>
        <v>0</v>
      </c>
      <c r="O395" s="1322">
        <f t="shared" si="52"/>
        <v>0</v>
      </c>
      <c r="P395" s="2369">
        <f t="shared" si="53"/>
        <v>1900</v>
      </c>
      <c r="Q395" s="2369">
        <f t="shared" si="54"/>
        <v>1900</v>
      </c>
      <c r="R395" s="654"/>
      <c r="S395" s="654"/>
      <c r="T395" s="654"/>
      <c r="U395" s="654"/>
    </row>
    <row r="396" spans="1:21" ht="14.25" customHeight="1">
      <c r="A396" s="1316"/>
      <c r="B396" s="1317"/>
      <c r="C396" s="1318"/>
      <c r="D396" s="1319"/>
      <c r="E396" s="1318"/>
      <c r="F396" s="1320">
        <f t="shared" si="55"/>
        <v>0</v>
      </c>
      <c r="G396" s="1319"/>
      <c r="H396" s="1318"/>
      <c r="I396" s="1320">
        <f t="shared" si="56"/>
        <v>0</v>
      </c>
      <c r="J396" s="1320">
        <f t="shared" si="49"/>
        <v>0</v>
      </c>
      <c r="K396" s="1320">
        <f t="shared" si="50"/>
        <v>0</v>
      </c>
      <c r="L396" s="1318"/>
      <c r="M396" s="1318"/>
      <c r="N396" s="1321">
        <f t="shared" si="51"/>
        <v>0</v>
      </c>
      <c r="O396" s="1322">
        <f t="shared" si="52"/>
        <v>0</v>
      </c>
      <c r="P396" s="2369">
        <f t="shared" si="53"/>
        <v>1900</v>
      </c>
      <c r="Q396" s="2369">
        <f t="shared" si="54"/>
        <v>1900</v>
      </c>
      <c r="R396" s="654"/>
      <c r="S396" s="654"/>
      <c r="T396" s="654"/>
      <c r="U396" s="654"/>
    </row>
    <row r="397" spans="1:21" ht="14.25" customHeight="1">
      <c r="A397" s="1316"/>
      <c r="B397" s="1317"/>
      <c r="C397" s="1318"/>
      <c r="D397" s="1319"/>
      <c r="E397" s="1318"/>
      <c r="F397" s="1320">
        <f t="shared" si="55"/>
        <v>0</v>
      </c>
      <c r="G397" s="1319"/>
      <c r="H397" s="1318"/>
      <c r="I397" s="1320">
        <f t="shared" si="56"/>
        <v>0</v>
      </c>
      <c r="J397" s="1320">
        <f t="shared" si="49"/>
        <v>0</v>
      </c>
      <c r="K397" s="1320">
        <f t="shared" si="50"/>
        <v>0</v>
      </c>
      <c r="L397" s="1318"/>
      <c r="M397" s="1318"/>
      <c r="N397" s="1321">
        <f t="shared" si="51"/>
        <v>0</v>
      </c>
      <c r="O397" s="1322">
        <f t="shared" si="52"/>
        <v>0</v>
      </c>
      <c r="P397" s="2369">
        <f t="shared" si="53"/>
        <v>1900</v>
      </c>
      <c r="Q397" s="2369">
        <f t="shared" si="54"/>
        <v>1900</v>
      </c>
      <c r="R397" s="654"/>
      <c r="S397" s="654"/>
      <c r="T397" s="654"/>
      <c r="U397" s="654"/>
    </row>
    <row r="398" spans="1:21" ht="14.25" customHeight="1">
      <c r="A398" s="1316"/>
      <c r="B398" s="1317"/>
      <c r="C398" s="1318"/>
      <c r="D398" s="1319"/>
      <c r="E398" s="1318"/>
      <c r="F398" s="1320">
        <f t="shared" si="55"/>
        <v>0</v>
      </c>
      <c r="G398" s="1319"/>
      <c r="H398" s="1318"/>
      <c r="I398" s="1320">
        <f t="shared" si="56"/>
        <v>0</v>
      </c>
      <c r="J398" s="1320">
        <f t="shared" si="49"/>
        <v>0</v>
      </c>
      <c r="K398" s="1320">
        <f t="shared" si="50"/>
        <v>0</v>
      </c>
      <c r="L398" s="1318"/>
      <c r="M398" s="1318"/>
      <c r="N398" s="1321">
        <f t="shared" si="51"/>
        <v>0</v>
      </c>
      <c r="O398" s="1322">
        <f t="shared" si="52"/>
        <v>0</v>
      </c>
      <c r="P398" s="2369">
        <f t="shared" si="53"/>
        <v>1900</v>
      </c>
      <c r="Q398" s="2369">
        <f t="shared" si="54"/>
        <v>1900</v>
      </c>
      <c r="R398" s="654"/>
      <c r="S398" s="654"/>
      <c r="T398" s="654"/>
      <c r="U398" s="654"/>
    </row>
    <row r="399" spans="1:21" ht="14.25" customHeight="1">
      <c r="A399" s="1316"/>
      <c r="B399" s="1317"/>
      <c r="C399" s="1318"/>
      <c r="D399" s="1319"/>
      <c r="E399" s="1318"/>
      <c r="F399" s="1320">
        <f t="shared" si="55"/>
        <v>0</v>
      </c>
      <c r="G399" s="1319"/>
      <c r="H399" s="1318"/>
      <c r="I399" s="1320">
        <f t="shared" si="56"/>
        <v>0</v>
      </c>
      <c r="J399" s="1320">
        <f t="shared" si="49"/>
        <v>0</v>
      </c>
      <c r="K399" s="1320">
        <f t="shared" si="50"/>
        <v>0</v>
      </c>
      <c r="L399" s="1318"/>
      <c r="M399" s="1318"/>
      <c r="N399" s="1321">
        <f t="shared" si="51"/>
        <v>0</v>
      </c>
      <c r="O399" s="1322">
        <f t="shared" si="52"/>
        <v>0</v>
      </c>
      <c r="P399" s="2369">
        <f t="shared" si="53"/>
        <v>1900</v>
      </c>
      <c r="Q399" s="2369">
        <f t="shared" si="54"/>
        <v>1900</v>
      </c>
      <c r="R399" s="654"/>
      <c r="S399" s="654"/>
      <c r="T399" s="654"/>
      <c r="U399" s="654"/>
    </row>
    <row r="400" spans="1:21" ht="14.25" customHeight="1">
      <c r="A400" s="1316"/>
      <c r="B400" s="1317"/>
      <c r="C400" s="1318"/>
      <c r="D400" s="1319"/>
      <c r="E400" s="1318"/>
      <c r="F400" s="1320">
        <f t="shared" si="55"/>
        <v>0</v>
      </c>
      <c r="G400" s="1319"/>
      <c r="H400" s="1318"/>
      <c r="I400" s="1320">
        <f t="shared" si="56"/>
        <v>0</v>
      </c>
      <c r="J400" s="1320">
        <f t="shared" si="49"/>
        <v>0</v>
      </c>
      <c r="K400" s="1320">
        <f t="shared" si="50"/>
        <v>0</v>
      </c>
      <c r="L400" s="1318"/>
      <c r="M400" s="1318"/>
      <c r="N400" s="1321">
        <f t="shared" si="51"/>
        <v>0</v>
      </c>
      <c r="O400" s="1322">
        <f t="shared" si="52"/>
        <v>0</v>
      </c>
      <c r="P400" s="2369">
        <f t="shared" si="53"/>
        <v>1900</v>
      </c>
      <c r="Q400" s="2369">
        <f t="shared" si="54"/>
        <v>1900</v>
      </c>
      <c r="R400" s="654"/>
      <c r="S400" s="654"/>
      <c r="T400" s="654"/>
      <c r="U400" s="654"/>
    </row>
    <row r="401" spans="1:21" ht="14.25" customHeight="1">
      <c r="A401" s="1316"/>
      <c r="B401" s="1317"/>
      <c r="C401" s="1318"/>
      <c r="D401" s="1319"/>
      <c r="E401" s="1318"/>
      <c r="F401" s="1320">
        <f t="shared" si="55"/>
        <v>0</v>
      </c>
      <c r="G401" s="1319"/>
      <c r="H401" s="1318"/>
      <c r="I401" s="1320">
        <f t="shared" si="56"/>
        <v>0</v>
      </c>
      <c r="J401" s="1320">
        <f t="shared" si="49"/>
        <v>0</v>
      </c>
      <c r="K401" s="1320">
        <f t="shared" si="50"/>
        <v>0</v>
      </c>
      <c r="L401" s="1318"/>
      <c r="M401" s="1318"/>
      <c r="N401" s="1321">
        <f t="shared" si="51"/>
        <v>0</v>
      </c>
      <c r="O401" s="1322">
        <f t="shared" si="52"/>
        <v>0</v>
      </c>
      <c r="P401" s="2369">
        <f t="shared" si="53"/>
        <v>1900</v>
      </c>
      <c r="Q401" s="2369">
        <f t="shared" si="54"/>
        <v>1900</v>
      </c>
      <c r="R401" s="654"/>
      <c r="S401" s="654"/>
      <c r="T401" s="654"/>
      <c r="U401" s="654"/>
    </row>
    <row r="402" spans="1:21" ht="14.25" customHeight="1">
      <c r="A402" s="1316"/>
      <c r="B402" s="1317"/>
      <c r="C402" s="1318"/>
      <c r="D402" s="1319"/>
      <c r="E402" s="1318"/>
      <c r="F402" s="1320">
        <f t="shared" si="55"/>
        <v>0</v>
      </c>
      <c r="G402" s="1319"/>
      <c r="H402" s="1318"/>
      <c r="I402" s="1320">
        <f t="shared" si="56"/>
        <v>0</v>
      </c>
      <c r="J402" s="1320">
        <f t="shared" si="49"/>
        <v>0</v>
      </c>
      <c r="K402" s="1320">
        <f t="shared" si="50"/>
        <v>0</v>
      </c>
      <c r="L402" s="1318"/>
      <c r="M402" s="1318"/>
      <c r="N402" s="1321">
        <f t="shared" si="51"/>
        <v>0</v>
      </c>
      <c r="O402" s="1322">
        <f t="shared" si="52"/>
        <v>0</v>
      </c>
      <c r="P402" s="2369">
        <f t="shared" si="53"/>
        <v>1900</v>
      </c>
      <c r="Q402" s="2369">
        <f t="shared" si="54"/>
        <v>1900</v>
      </c>
      <c r="R402" s="654"/>
      <c r="S402" s="654"/>
      <c r="T402" s="654"/>
      <c r="U402" s="654"/>
    </row>
    <row r="403" spans="1:21" ht="14.25" customHeight="1">
      <c r="A403" s="1316"/>
      <c r="B403" s="1317"/>
      <c r="C403" s="1318"/>
      <c r="D403" s="1319"/>
      <c r="E403" s="1318"/>
      <c r="F403" s="1320">
        <f t="shared" si="55"/>
        <v>0</v>
      </c>
      <c r="G403" s="1319"/>
      <c r="H403" s="1318"/>
      <c r="I403" s="1320">
        <f t="shared" si="56"/>
        <v>0</v>
      </c>
      <c r="J403" s="1320">
        <f t="shared" si="49"/>
        <v>0</v>
      </c>
      <c r="K403" s="1320">
        <f t="shared" si="50"/>
        <v>0</v>
      </c>
      <c r="L403" s="1318"/>
      <c r="M403" s="1318"/>
      <c r="N403" s="1321">
        <f t="shared" si="51"/>
        <v>0</v>
      </c>
      <c r="O403" s="1322">
        <f t="shared" si="52"/>
        <v>0</v>
      </c>
      <c r="P403" s="2369">
        <f t="shared" si="53"/>
        <v>1900</v>
      </c>
      <c r="Q403" s="2369">
        <f t="shared" si="54"/>
        <v>1900</v>
      </c>
      <c r="R403" s="654"/>
      <c r="S403" s="654"/>
      <c r="T403" s="654"/>
      <c r="U403" s="654"/>
    </row>
    <row r="404" spans="1:21" ht="14.25" customHeight="1">
      <c r="A404" s="1316"/>
      <c r="B404" s="1317"/>
      <c r="C404" s="1318"/>
      <c r="D404" s="1319"/>
      <c r="E404" s="1318"/>
      <c r="F404" s="1320">
        <f t="shared" si="55"/>
        <v>0</v>
      </c>
      <c r="G404" s="1319"/>
      <c r="H404" s="1318"/>
      <c r="I404" s="1320">
        <f t="shared" si="56"/>
        <v>0</v>
      </c>
      <c r="J404" s="1320">
        <f t="shared" si="49"/>
        <v>0</v>
      </c>
      <c r="K404" s="1320">
        <f t="shared" si="50"/>
        <v>0</v>
      </c>
      <c r="L404" s="1318"/>
      <c r="M404" s="1318"/>
      <c r="N404" s="1321">
        <f t="shared" si="51"/>
        <v>0</v>
      </c>
      <c r="O404" s="1322">
        <f t="shared" si="52"/>
        <v>0</v>
      </c>
      <c r="P404" s="2369">
        <f t="shared" si="53"/>
        <v>1900</v>
      </c>
      <c r="Q404" s="2369">
        <f t="shared" si="54"/>
        <v>1900</v>
      </c>
      <c r="R404" s="654"/>
      <c r="S404" s="654"/>
      <c r="T404" s="654"/>
      <c r="U404" s="654"/>
    </row>
    <row r="405" spans="1:21" ht="14.25" customHeight="1">
      <c r="A405" s="1316"/>
      <c r="B405" s="1317"/>
      <c r="C405" s="1318"/>
      <c r="D405" s="1319"/>
      <c r="E405" s="1318"/>
      <c r="F405" s="1320">
        <f t="shared" si="55"/>
        <v>0</v>
      </c>
      <c r="G405" s="1319"/>
      <c r="H405" s="1318"/>
      <c r="I405" s="1320">
        <f t="shared" si="56"/>
        <v>0</v>
      </c>
      <c r="J405" s="1320">
        <f t="shared" si="49"/>
        <v>0</v>
      </c>
      <c r="K405" s="1320">
        <f t="shared" si="50"/>
        <v>0</v>
      </c>
      <c r="L405" s="1318"/>
      <c r="M405" s="1318"/>
      <c r="N405" s="1321">
        <f t="shared" si="51"/>
        <v>0</v>
      </c>
      <c r="O405" s="1322">
        <f t="shared" si="52"/>
        <v>0</v>
      </c>
      <c r="P405" s="2369">
        <f t="shared" si="53"/>
        <v>1900</v>
      </c>
      <c r="Q405" s="2369">
        <f t="shared" si="54"/>
        <v>1900</v>
      </c>
      <c r="R405" s="654"/>
      <c r="S405" s="654"/>
      <c r="T405" s="654"/>
      <c r="U405" s="654"/>
    </row>
    <row r="406" spans="1:21" ht="14.25" customHeight="1">
      <c r="A406" s="1316"/>
      <c r="B406" s="1317"/>
      <c r="C406" s="1318"/>
      <c r="D406" s="1319"/>
      <c r="E406" s="1318"/>
      <c r="F406" s="1320">
        <f t="shared" si="55"/>
        <v>0</v>
      </c>
      <c r="G406" s="1319"/>
      <c r="H406" s="1318"/>
      <c r="I406" s="1320">
        <f t="shared" si="56"/>
        <v>0</v>
      </c>
      <c r="J406" s="1320">
        <f t="shared" si="49"/>
        <v>0</v>
      </c>
      <c r="K406" s="1320">
        <f t="shared" si="50"/>
        <v>0</v>
      </c>
      <c r="L406" s="1318"/>
      <c r="M406" s="1318"/>
      <c r="N406" s="1321">
        <f t="shared" si="51"/>
        <v>0</v>
      </c>
      <c r="O406" s="1322">
        <f t="shared" si="52"/>
        <v>0</v>
      </c>
      <c r="P406" s="2369">
        <f t="shared" si="53"/>
        <v>1900</v>
      </c>
      <c r="Q406" s="2369">
        <f t="shared" si="54"/>
        <v>1900</v>
      </c>
      <c r="R406" s="654"/>
      <c r="S406" s="654"/>
      <c r="T406" s="654"/>
      <c r="U406" s="654"/>
    </row>
    <row r="407" spans="1:21" ht="14.25" customHeight="1">
      <c r="A407" s="1316"/>
      <c r="B407" s="1317"/>
      <c r="C407" s="1318"/>
      <c r="D407" s="1319"/>
      <c r="E407" s="1318"/>
      <c r="F407" s="1320">
        <f t="shared" si="55"/>
        <v>0</v>
      </c>
      <c r="G407" s="1319"/>
      <c r="H407" s="1318"/>
      <c r="I407" s="1320">
        <f t="shared" si="56"/>
        <v>0</v>
      </c>
      <c r="J407" s="1320">
        <f t="shared" si="49"/>
        <v>0</v>
      </c>
      <c r="K407" s="1320">
        <f t="shared" si="50"/>
        <v>0</v>
      </c>
      <c r="L407" s="1318"/>
      <c r="M407" s="1318"/>
      <c r="N407" s="1321">
        <f t="shared" si="51"/>
        <v>0</v>
      </c>
      <c r="O407" s="1322">
        <f t="shared" si="52"/>
        <v>0</v>
      </c>
      <c r="P407" s="2369">
        <f t="shared" si="53"/>
        <v>1900</v>
      </c>
      <c r="Q407" s="2369">
        <f t="shared" si="54"/>
        <v>1900</v>
      </c>
      <c r="R407" s="654"/>
      <c r="S407" s="654"/>
      <c r="T407" s="654"/>
      <c r="U407" s="654"/>
    </row>
    <row r="408" spans="1:21" ht="14.25" customHeight="1">
      <c r="A408" s="1316"/>
      <c r="B408" s="1317"/>
      <c r="C408" s="1318"/>
      <c r="D408" s="1319"/>
      <c r="E408" s="1318"/>
      <c r="F408" s="1320">
        <f t="shared" si="55"/>
        <v>0</v>
      </c>
      <c r="G408" s="1319"/>
      <c r="H408" s="1318"/>
      <c r="I408" s="1320">
        <f t="shared" si="56"/>
        <v>0</v>
      </c>
      <c r="J408" s="1320">
        <f t="shared" si="49"/>
        <v>0</v>
      </c>
      <c r="K408" s="1320">
        <f t="shared" si="50"/>
        <v>0</v>
      </c>
      <c r="L408" s="1318"/>
      <c r="M408" s="1318"/>
      <c r="N408" s="1321">
        <f t="shared" si="51"/>
        <v>0</v>
      </c>
      <c r="O408" s="1322">
        <f t="shared" si="52"/>
        <v>0</v>
      </c>
      <c r="P408" s="2369">
        <f t="shared" si="53"/>
        <v>1900</v>
      </c>
      <c r="Q408" s="2369">
        <f t="shared" si="54"/>
        <v>1900</v>
      </c>
      <c r="R408" s="654"/>
      <c r="S408" s="654"/>
      <c r="T408" s="654"/>
      <c r="U408" s="654"/>
    </row>
    <row r="409" spans="1:21" ht="14.25" customHeight="1">
      <c r="A409" s="1316"/>
      <c r="B409" s="1317"/>
      <c r="C409" s="1318"/>
      <c r="D409" s="1319"/>
      <c r="E409" s="1318"/>
      <c r="F409" s="1320">
        <f t="shared" si="55"/>
        <v>0</v>
      </c>
      <c r="G409" s="1319"/>
      <c r="H409" s="1318"/>
      <c r="I409" s="1320">
        <f t="shared" si="56"/>
        <v>0</v>
      </c>
      <c r="J409" s="1320">
        <f t="shared" si="49"/>
        <v>0</v>
      </c>
      <c r="K409" s="1320">
        <f t="shared" si="50"/>
        <v>0</v>
      </c>
      <c r="L409" s="1318"/>
      <c r="M409" s="1318"/>
      <c r="N409" s="1321">
        <f t="shared" si="51"/>
        <v>0</v>
      </c>
      <c r="O409" s="1322">
        <f t="shared" si="52"/>
        <v>0</v>
      </c>
      <c r="P409" s="2369">
        <f t="shared" si="53"/>
        <v>1900</v>
      </c>
      <c r="Q409" s="2369">
        <f t="shared" si="54"/>
        <v>1900</v>
      </c>
      <c r="R409" s="654"/>
      <c r="S409" s="654"/>
      <c r="T409" s="654"/>
      <c r="U409" s="654"/>
    </row>
    <row r="410" spans="1:21" ht="14.25" customHeight="1">
      <c r="A410" s="1316"/>
      <c r="B410" s="1317"/>
      <c r="C410" s="1318"/>
      <c r="D410" s="1319"/>
      <c r="E410" s="1318"/>
      <c r="F410" s="1320">
        <f t="shared" si="55"/>
        <v>0</v>
      </c>
      <c r="G410" s="1319"/>
      <c r="H410" s="1318"/>
      <c r="I410" s="1320">
        <f t="shared" si="56"/>
        <v>0</v>
      </c>
      <c r="J410" s="1320">
        <f t="shared" si="49"/>
        <v>0</v>
      </c>
      <c r="K410" s="1320">
        <f t="shared" si="50"/>
        <v>0</v>
      </c>
      <c r="L410" s="1318"/>
      <c r="M410" s="1318"/>
      <c r="N410" s="1321">
        <f t="shared" si="51"/>
        <v>0</v>
      </c>
      <c r="O410" s="1322">
        <f t="shared" si="52"/>
        <v>0</v>
      </c>
      <c r="P410" s="2369">
        <f t="shared" si="53"/>
        <v>1900</v>
      </c>
      <c r="Q410" s="2369">
        <f t="shared" si="54"/>
        <v>1900</v>
      </c>
      <c r="R410" s="654"/>
      <c r="S410" s="654"/>
      <c r="T410" s="654"/>
      <c r="U410" s="654"/>
    </row>
    <row r="411" spans="1:21" ht="14.25" customHeight="1">
      <c r="A411" s="1316"/>
      <c r="B411" s="1317"/>
      <c r="C411" s="1318"/>
      <c r="D411" s="1319"/>
      <c r="E411" s="1318"/>
      <c r="F411" s="1320">
        <f t="shared" si="55"/>
        <v>0</v>
      </c>
      <c r="G411" s="1319"/>
      <c r="H411" s="1318"/>
      <c r="I411" s="1320">
        <f t="shared" si="56"/>
        <v>0</v>
      </c>
      <c r="J411" s="1320">
        <f t="shared" si="49"/>
        <v>0</v>
      </c>
      <c r="K411" s="1320">
        <f t="shared" si="50"/>
        <v>0</v>
      </c>
      <c r="L411" s="1318"/>
      <c r="M411" s="1318"/>
      <c r="N411" s="1321">
        <f t="shared" si="51"/>
        <v>0</v>
      </c>
      <c r="O411" s="1322">
        <f t="shared" si="52"/>
        <v>0</v>
      </c>
      <c r="P411" s="2369">
        <f t="shared" si="53"/>
        <v>1900</v>
      </c>
      <c r="Q411" s="2369">
        <f t="shared" si="54"/>
        <v>1900</v>
      </c>
      <c r="R411" s="654"/>
      <c r="S411" s="654"/>
      <c r="T411" s="654"/>
      <c r="U411" s="654"/>
    </row>
    <row r="412" spans="1:21" ht="14.25" customHeight="1">
      <c r="A412" s="1316"/>
      <c r="B412" s="1317"/>
      <c r="C412" s="1318"/>
      <c r="D412" s="1319"/>
      <c r="E412" s="1318"/>
      <c r="F412" s="1320">
        <f t="shared" si="55"/>
        <v>0</v>
      </c>
      <c r="G412" s="1319"/>
      <c r="H412" s="1318"/>
      <c r="I412" s="1320">
        <f t="shared" si="56"/>
        <v>0</v>
      </c>
      <c r="J412" s="1320">
        <f t="shared" si="49"/>
        <v>0</v>
      </c>
      <c r="K412" s="1320">
        <f t="shared" si="50"/>
        <v>0</v>
      </c>
      <c r="L412" s="1318"/>
      <c r="M412" s="1318"/>
      <c r="N412" s="1321">
        <f t="shared" si="51"/>
        <v>0</v>
      </c>
      <c r="O412" s="1322">
        <f t="shared" si="52"/>
        <v>0</v>
      </c>
      <c r="P412" s="2369">
        <f t="shared" si="53"/>
        <v>1900</v>
      </c>
      <c r="Q412" s="2369">
        <f t="shared" si="54"/>
        <v>1900</v>
      </c>
      <c r="R412" s="654"/>
      <c r="S412" s="654"/>
      <c r="T412" s="654"/>
      <c r="U412" s="654"/>
    </row>
    <row r="413" spans="1:21" ht="14.25" customHeight="1">
      <c r="A413" s="1316"/>
      <c r="B413" s="1317"/>
      <c r="C413" s="1318"/>
      <c r="D413" s="1319"/>
      <c r="E413" s="1318"/>
      <c r="F413" s="1320">
        <f t="shared" si="55"/>
        <v>0</v>
      </c>
      <c r="G413" s="1319"/>
      <c r="H413" s="1318"/>
      <c r="I413" s="1320">
        <f t="shared" si="56"/>
        <v>0</v>
      </c>
      <c r="J413" s="1320">
        <f t="shared" si="49"/>
        <v>0</v>
      </c>
      <c r="K413" s="1320">
        <f t="shared" si="50"/>
        <v>0</v>
      </c>
      <c r="L413" s="1318"/>
      <c r="M413" s="1318"/>
      <c r="N413" s="1321">
        <f t="shared" si="51"/>
        <v>0</v>
      </c>
      <c r="O413" s="1322">
        <f t="shared" si="52"/>
        <v>0</v>
      </c>
      <c r="P413" s="2369">
        <f t="shared" si="53"/>
        <v>1900</v>
      </c>
      <c r="Q413" s="2369">
        <f t="shared" si="54"/>
        <v>1900</v>
      </c>
      <c r="R413" s="654"/>
      <c r="S413" s="654"/>
      <c r="T413" s="654"/>
      <c r="U413" s="654"/>
    </row>
    <row r="414" spans="1:21" ht="14.25" customHeight="1">
      <c r="A414" s="1316"/>
      <c r="B414" s="1317"/>
      <c r="C414" s="1318"/>
      <c r="D414" s="1319"/>
      <c r="E414" s="1318"/>
      <c r="F414" s="1320">
        <f t="shared" si="55"/>
        <v>0</v>
      </c>
      <c r="G414" s="1319"/>
      <c r="H414" s="1318"/>
      <c r="I414" s="1320">
        <f t="shared" si="56"/>
        <v>0</v>
      </c>
      <c r="J414" s="1320">
        <f t="shared" si="49"/>
        <v>0</v>
      </c>
      <c r="K414" s="1320">
        <f t="shared" si="50"/>
        <v>0</v>
      </c>
      <c r="L414" s="1318"/>
      <c r="M414" s="1318"/>
      <c r="N414" s="1321">
        <f t="shared" si="51"/>
        <v>0</v>
      </c>
      <c r="O414" s="1322">
        <f t="shared" si="52"/>
        <v>0</v>
      </c>
      <c r="P414" s="2369">
        <f t="shared" si="53"/>
        <v>1900</v>
      </c>
      <c r="Q414" s="2369">
        <f t="shared" si="54"/>
        <v>1900</v>
      </c>
      <c r="R414" s="654"/>
      <c r="S414" s="654"/>
      <c r="T414" s="654"/>
      <c r="U414" s="654"/>
    </row>
    <row r="415" spans="1:21" ht="14.25" customHeight="1">
      <c r="A415" s="1316"/>
      <c r="B415" s="1317"/>
      <c r="C415" s="1318"/>
      <c r="D415" s="1319"/>
      <c r="E415" s="1318"/>
      <c r="F415" s="1320">
        <f t="shared" si="55"/>
        <v>0</v>
      </c>
      <c r="G415" s="1319"/>
      <c r="H415" s="1318"/>
      <c r="I415" s="1320">
        <f t="shared" si="56"/>
        <v>0</v>
      </c>
      <c r="J415" s="1320">
        <f t="shared" si="49"/>
        <v>0</v>
      </c>
      <c r="K415" s="1320">
        <f t="shared" si="50"/>
        <v>0</v>
      </c>
      <c r="L415" s="1318"/>
      <c r="M415" s="1318"/>
      <c r="N415" s="1321">
        <f t="shared" si="51"/>
        <v>0</v>
      </c>
      <c r="O415" s="1322">
        <f t="shared" si="52"/>
        <v>0</v>
      </c>
      <c r="P415" s="2369">
        <f t="shared" si="53"/>
        <v>1900</v>
      </c>
      <c r="Q415" s="2369">
        <f t="shared" si="54"/>
        <v>1900</v>
      </c>
      <c r="R415" s="654"/>
      <c r="S415" s="654"/>
      <c r="T415" s="654"/>
      <c r="U415" s="654"/>
    </row>
    <row r="416" spans="1:21" ht="14.25" customHeight="1">
      <c r="A416" s="1316"/>
      <c r="B416" s="1317"/>
      <c r="C416" s="1318"/>
      <c r="D416" s="1319"/>
      <c r="E416" s="1318"/>
      <c r="F416" s="1320">
        <f t="shared" si="55"/>
        <v>0</v>
      </c>
      <c r="G416" s="1319"/>
      <c r="H416" s="1318"/>
      <c r="I416" s="1320">
        <f t="shared" si="56"/>
        <v>0</v>
      </c>
      <c r="J416" s="1320">
        <f t="shared" si="49"/>
        <v>0</v>
      </c>
      <c r="K416" s="1320">
        <f t="shared" si="50"/>
        <v>0</v>
      </c>
      <c r="L416" s="1318"/>
      <c r="M416" s="1318"/>
      <c r="N416" s="1321">
        <f t="shared" si="51"/>
        <v>0</v>
      </c>
      <c r="O416" s="1322">
        <f t="shared" si="52"/>
        <v>0</v>
      </c>
      <c r="P416" s="2369">
        <f t="shared" si="53"/>
        <v>1900</v>
      </c>
      <c r="Q416" s="2369">
        <f t="shared" si="54"/>
        <v>1900</v>
      </c>
      <c r="R416" s="654"/>
      <c r="S416" s="654"/>
      <c r="T416" s="654"/>
      <c r="U416" s="654"/>
    </row>
    <row r="417" spans="1:21" ht="14.25" customHeight="1">
      <c r="A417" s="1316"/>
      <c r="B417" s="1317"/>
      <c r="C417" s="1318"/>
      <c r="D417" s="1319"/>
      <c r="E417" s="1318"/>
      <c r="F417" s="1320">
        <f t="shared" si="55"/>
        <v>0</v>
      </c>
      <c r="G417" s="1319"/>
      <c r="H417" s="1318"/>
      <c r="I417" s="1320">
        <f t="shared" si="56"/>
        <v>0</v>
      </c>
      <c r="J417" s="1320">
        <f t="shared" si="49"/>
        <v>0</v>
      </c>
      <c r="K417" s="1320">
        <f t="shared" si="50"/>
        <v>0</v>
      </c>
      <c r="L417" s="1318"/>
      <c r="M417" s="1318"/>
      <c r="N417" s="1321">
        <f t="shared" si="51"/>
        <v>0</v>
      </c>
      <c r="O417" s="1322">
        <f t="shared" si="52"/>
        <v>0</v>
      </c>
      <c r="P417" s="2369">
        <f t="shared" si="53"/>
        <v>1900</v>
      </c>
      <c r="Q417" s="2369">
        <f t="shared" si="54"/>
        <v>1900</v>
      </c>
      <c r="R417" s="654"/>
      <c r="S417" s="654"/>
      <c r="T417" s="654"/>
      <c r="U417" s="654"/>
    </row>
    <row r="418" spans="1:21" ht="14.25" customHeight="1">
      <c r="A418" s="1316"/>
      <c r="B418" s="1317"/>
      <c r="C418" s="1318"/>
      <c r="D418" s="1319"/>
      <c r="E418" s="1318"/>
      <c r="F418" s="1320">
        <f t="shared" si="55"/>
        <v>0</v>
      </c>
      <c r="G418" s="1319"/>
      <c r="H418" s="1318"/>
      <c r="I418" s="1320">
        <f t="shared" si="56"/>
        <v>0</v>
      </c>
      <c r="J418" s="1320">
        <f t="shared" si="49"/>
        <v>0</v>
      </c>
      <c r="K418" s="1320">
        <f t="shared" si="50"/>
        <v>0</v>
      </c>
      <c r="L418" s="1318"/>
      <c r="M418" s="1318"/>
      <c r="N418" s="1321">
        <f t="shared" si="51"/>
        <v>0</v>
      </c>
      <c r="O418" s="1322">
        <f t="shared" si="52"/>
        <v>0</v>
      </c>
      <c r="P418" s="2369">
        <f t="shared" si="53"/>
        <v>1900</v>
      </c>
      <c r="Q418" s="2369">
        <f t="shared" si="54"/>
        <v>1900</v>
      </c>
      <c r="R418" s="654"/>
      <c r="S418" s="654"/>
      <c r="T418" s="654"/>
      <c r="U418" s="654"/>
    </row>
    <row r="419" spans="1:21" ht="14.25" customHeight="1">
      <c r="A419" s="1316"/>
      <c r="B419" s="1317"/>
      <c r="C419" s="1318"/>
      <c r="D419" s="1319"/>
      <c r="E419" s="1318"/>
      <c r="F419" s="1320">
        <f t="shared" si="55"/>
        <v>0</v>
      </c>
      <c r="G419" s="1319"/>
      <c r="H419" s="1318"/>
      <c r="I419" s="1320">
        <f t="shared" si="56"/>
        <v>0</v>
      </c>
      <c r="J419" s="1320">
        <f t="shared" si="49"/>
        <v>0</v>
      </c>
      <c r="K419" s="1320">
        <f t="shared" si="50"/>
        <v>0</v>
      </c>
      <c r="L419" s="1318"/>
      <c r="M419" s="1318"/>
      <c r="N419" s="1321">
        <f t="shared" si="51"/>
        <v>0</v>
      </c>
      <c r="O419" s="1322">
        <f t="shared" si="52"/>
        <v>0</v>
      </c>
      <c r="P419" s="2369">
        <f t="shared" si="53"/>
        <v>1900</v>
      </c>
      <c r="Q419" s="2369">
        <f t="shared" si="54"/>
        <v>1900</v>
      </c>
      <c r="R419" s="654"/>
      <c r="S419" s="654"/>
      <c r="T419" s="654"/>
      <c r="U419" s="654"/>
    </row>
    <row r="420" spans="1:21" ht="14.25" customHeight="1">
      <c r="A420" s="1316"/>
      <c r="B420" s="1317"/>
      <c r="C420" s="1318"/>
      <c r="D420" s="1319"/>
      <c r="E420" s="1318"/>
      <c r="F420" s="1320">
        <f t="shared" si="55"/>
        <v>0</v>
      </c>
      <c r="G420" s="1319"/>
      <c r="H420" s="1318"/>
      <c r="I420" s="1320">
        <f t="shared" si="56"/>
        <v>0</v>
      </c>
      <c r="J420" s="1320">
        <f t="shared" si="49"/>
        <v>0</v>
      </c>
      <c r="K420" s="1320">
        <f t="shared" si="50"/>
        <v>0</v>
      </c>
      <c r="L420" s="1318"/>
      <c r="M420" s="1318"/>
      <c r="N420" s="1321">
        <f t="shared" si="51"/>
        <v>0</v>
      </c>
      <c r="O420" s="1322">
        <f t="shared" si="52"/>
        <v>0</v>
      </c>
      <c r="P420" s="2369">
        <f t="shared" si="53"/>
        <v>1900</v>
      </c>
      <c r="Q420" s="2369">
        <f t="shared" si="54"/>
        <v>1900</v>
      </c>
      <c r="R420" s="654"/>
      <c r="S420" s="654"/>
      <c r="T420" s="654"/>
      <c r="U420" s="654"/>
    </row>
    <row r="421" spans="1:21" ht="14.25" customHeight="1">
      <c r="A421" s="1316"/>
      <c r="B421" s="1317"/>
      <c r="C421" s="1318"/>
      <c r="D421" s="1319"/>
      <c r="E421" s="1318"/>
      <c r="F421" s="1320">
        <f t="shared" si="55"/>
        <v>0</v>
      </c>
      <c r="G421" s="1319"/>
      <c r="H421" s="1318"/>
      <c r="I421" s="1320">
        <f t="shared" si="56"/>
        <v>0</v>
      </c>
      <c r="J421" s="1320">
        <f t="shared" si="49"/>
        <v>0</v>
      </c>
      <c r="K421" s="1320">
        <f t="shared" si="50"/>
        <v>0</v>
      </c>
      <c r="L421" s="1318"/>
      <c r="M421" s="1318"/>
      <c r="N421" s="1321">
        <f t="shared" si="51"/>
        <v>0</v>
      </c>
      <c r="O421" s="1322">
        <f t="shared" si="52"/>
        <v>0</v>
      </c>
      <c r="P421" s="2369">
        <f t="shared" si="53"/>
        <v>1900</v>
      </c>
      <c r="Q421" s="2369">
        <f t="shared" si="54"/>
        <v>1900</v>
      </c>
      <c r="R421" s="654"/>
      <c r="S421" s="654"/>
      <c r="T421" s="654"/>
      <c r="U421" s="654"/>
    </row>
    <row r="422" spans="1:21" ht="14.25" customHeight="1">
      <c r="A422" s="1316"/>
      <c r="B422" s="1317"/>
      <c r="C422" s="1318"/>
      <c r="D422" s="1319"/>
      <c r="E422" s="1318"/>
      <c r="F422" s="1320">
        <f t="shared" si="55"/>
        <v>0</v>
      </c>
      <c r="G422" s="1319"/>
      <c r="H422" s="1318"/>
      <c r="I422" s="1320">
        <f t="shared" si="56"/>
        <v>0</v>
      </c>
      <c r="J422" s="1320">
        <f t="shared" si="49"/>
        <v>0</v>
      </c>
      <c r="K422" s="1320">
        <f t="shared" si="50"/>
        <v>0</v>
      </c>
      <c r="L422" s="1318"/>
      <c r="M422" s="1318"/>
      <c r="N422" s="1321">
        <f t="shared" si="51"/>
        <v>0</v>
      </c>
      <c r="O422" s="1322">
        <f t="shared" si="52"/>
        <v>0</v>
      </c>
      <c r="P422" s="2369">
        <f t="shared" si="53"/>
        <v>1900</v>
      </c>
      <c r="Q422" s="2369">
        <f t="shared" si="54"/>
        <v>1900</v>
      </c>
      <c r="R422" s="654"/>
      <c r="S422" s="654"/>
      <c r="T422" s="654"/>
      <c r="U422" s="654"/>
    </row>
    <row r="423" spans="1:21" ht="14.25" customHeight="1">
      <c r="A423" s="1316"/>
      <c r="B423" s="1317"/>
      <c r="C423" s="1318"/>
      <c r="D423" s="1319"/>
      <c r="E423" s="1318"/>
      <c r="F423" s="1320">
        <f t="shared" si="55"/>
        <v>0</v>
      </c>
      <c r="G423" s="1319"/>
      <c r="H423" s="1318"/>
      <c r="I423" s="1320">
        <f t="shared" si="56"/>
        <v>0</v>
      </c>
      <c r="J423" s="1320">
        <f t="shared" si="49"/>
        <v>0</v>
      </c>
      <c r="K423" s="1320">
        <f t="shared" si="50"/>
        <v>0</v>
      </c>
      <c r="L423" s="1318"/>
      <c r="M423" s="1318"/>
      <c r="N423" s="1321">
        <f t="shared" si="51"/>
        <v>0</v>
      </c>
      <c r="O423" s="1322">
        <f t="shared" si="52"/>
        <v>0</v>
      </c>
      <c r="P423" s="2369">
        <f t="shared" si="53"/>
        <v>1900</v>
      </c>
      <c r="Q423" s="2369">
        <f t="shared" si="54"/>
        <v>1900</v>
      </c>
      <c r="R423" s="654"/>
      <c r="S423" s="654"/>
      <c r="T423" s="654"/>
      <c r="U423" s="654"/>
    </row>
    <row r="424" spans="1:21" ht="14.25" customHeight="1">
      <c r="A424" s="1316"/>
      <c r="B424" s="1317"/>
      <c r="C424" s="1318"/>
      <c r="D424" s="1319"/>
      <c r="E424" s="1318"/>
      <c r="F424" s="1320">
        <f t="shared" si="55"/>
        <v>0</v>
      </c>
      <c r="G424" s="1319"/>
      <c r="H424" s="1318"/>
      <c r="I424" s="1320">
        <f t="shared" si="56"/>
        <v>0</v>
      </c>
      <c r="J424" s="1320">
        <f t="shared" si="49"/>
        <v>0</v>
      </c>
      <c r="K424" s="1320">
        <f t="shared" si="50"/>
        <v>0</v>
      </c>
      <c r="L424" s="1318"/>
      <c r="M424" s="1318"/>
      <c r="N424" s="1321">
        <f t="shared" si="51"/>
        <v>0</v>
      </c>
      <c r="O424" s="1322">
        <f t="shared" si="52"/>
        <v>0</v>
      </c>
      <c r="P424" s="2369">
        <f t="shared" si="53"/>
        <v>1900</v>
      </c>
      <c r="Q424" s="2369">
        <f t="shared" si="54"/>
        <v>1900</v>
      </c>
      <c r="R424" s="654"/>
      <c r="S424" s="654"/>
      <c r="T424" s="654"/>
      <c r="U424" s="654"/>
    </row>
    <row r="425" spans="1:21" ht="14.25" customHeight="1">
      <c r="A425" s="1316"/>
      <c r="B425" s="1317"/>
      <c r="C425" s="1318"/>
      <c r="D425" s="1319"/>
      <c r="E425" s="1318"/>
      <c r="F425" s="1320">
        <f t="shared" si="55"/>
        <v>0</v>
      </c>
      <c r="G425" s="1319"/>
      <c r="H425" s="1318"/>
      <c r="I425" s="1320">
        <f t="shared" si="56"/>
        <v>0</v>
      </c>
      <c r="J425" s="1320">
        <f t="shared" si="49"/>
        <v>0</v>
      </c>
      <c r="K425" s="1320">
        <f t="shared" si="50"/>
        <v>0</v>
      </c>
      <c r="L425" s="1318"/>
      <c r="M425" s="1318"/>
      <c r="N425" s="1321">
        <f t="shared" si="51"/>
        <v>0</v>
      </c>
      <c r="O425" s="1322">
        <f t="shared" si="52"/>
        <v>0</v>
      </c>
      <c r="P425" s="2369">
        <f t="shared" si="53"/>
        <v>1900</v>
      </c>
      <c r="Q425" s="2369">
        <f t="shared" si="54"/>
        <v>1900</v>
      </c>
      <c r="R425" s="654"/>
      <c r="S425" s="654"/>
      <c r="T425" s="654"/>
      <c r="U425" s="654"/>
    </row>
    <row r="426" spans="1:21" ht="14.25" customHeight="1">
      <c r="A426" s="1316"/>
      <c r="B426" s="1317"/>
      <c r="C426" s="1318"/>
      <c r="D426" s="1319"/>
      <c r="E426" s="1318"/>
      <c r="F426" s="1320">
        <f t="shared" si="55"/>
        <v>0</v>
      </c>
      <c r="G426" s="1319"/>
      <c r="H426" s="1318"/>
      <c r="I426" s="1320">
        <f t="shared" si="56"/>
        <v>0</v>
      </c>
      <c r="J426" s="1320">
        <f t="shared" si="49"/>
        <v>0</v>
      </c>
      <c r="K426" s="1320">
        <f t="shared" si="50"/>
        <v>0</v>
      </c>
      <c r="L426" s="1318"/>
      <c r="M426" s="1318"/>
      <c r="N426" s="1321">
        <f t="shared" si="51"/>
        <v>0</v>
      </c>
      <c r="O426" s="1322">
        <f t="shared" si="52"/>
        <v>0</v>
      </c>
      <c r="P426" s="2369">
        <f t="shared" si="53"/>
        <v>1900</v>
      </c>
      <c r="Q426" s="2369">
        <f t="shared" si="54"/>
        <v>1900</v>
      </c>
      <c r="R426" s="654"/>
      <c r="S426" s="654"/>
      <c r="T426" s="654"/>
      <c r="U426" s="654"/>
    </row>
    <row r="427" spans="1:21" ht="14.25" customHeight="1">
      <c r="A427" s="1316"/>
      <c r="B427" s="1317"/>
      <c r="C427" s="1318"/>
      <c r="D427" s="1319"/>
      <c r="E427" s="1318"/>
      <c r="F427" s="1320">
        <f t="shared" si="55"/>
        <v>0</v>
      </c>
      <c r="G427" s="1319"/>
      <c r="H427" s="1318"/>
      <c r="I427" s="1320">
        <f t="shared" si="56"/>
        <v>0</v>
      </c>
      <c r="J427" s="1320">
        <f t="shared" si="49"/>
        <v>0</v>
      </c>
      <c r="K427" s="1320">
        <f t="shared" si="50"/>
        <v>0</v>
      </c>
      <c r="L427" s="1318"/>
      <c r="M427" s="1318"/>
      <c r="N427" s="1321">
        <f t="shared" si="51"/>
        <v>0</v>
      </c>
      <c r="O427" s="1322">
        <f t="shared" si="52"/>
        <v>0</v>
      </c>
      <c r="P427" s="2369">
        <f t="shared" si="53"/>
        <v>1900</v>
      </c>
      <c r="Q427" s="2369">
        <f t="shared" si="54"/>
        <v>1900</v>
      </c>
      <c r="R427" s="654"/>
      <c r="S427" s="654"/>
      <c r="T427" s="654"/>
      <c r="U427" s="654"/>
    </row>
    <row r="428" spans="1:21" ht="14.25" customHeight="1">
      <c r="A428" s="1316"/>
      <c r="B428" s="1317"/>
      <c r="C428" s="1318"/>
      <c r="D428" s="1319"/>
      <c r="E428" s="1318"/>
      <c r="F428" s="1320">
        <f t="shared" si="55"/>
        <v>0</v>
      </c>
      <c r="G428" s="1319"/>
      <c r="H428" s="1318"/>
      <c r="I428" s="1320">
        <f t="shared" si="56"/>
        <v>0</v>
      </c>
      <c r="J428" s="1320">
        <f t="shared" si="49"/>
        <v>0</v>
      </c>
      <c r="K428" s="1320">
        <f t="shared" si="50"/>
        <v>0</v>
      </c>
      <c r="L428" s="1318"/>
      <c r="M428" s="1318"/>
      <c r="N428" s="1321">
        <f t="shared" si="51"/>
        <v>0</v>
      </c>
      <c r="O428" s="1322">
        <f t="shared" si="52"/>
        <v>0</v>
      </c>
      <c r="P428" s="2369">
        <f t="shared" si="53"/>
        <v>1900</v>
      </c>
      <c r="Q428" s="2369">
        <f t="shared" si="54"/>
        <v>1900</v>
      </c>
      <c r="R428" s="654"/>
      <c r="S428" s="654"/>
      <c r="T428" s="654"/>
      <c r="U428" s="654"/>
    </row>
    <row r="429" spans="1:21" ht="14.25" customHeight="1">
      <c r="A429" s="1316"/>
      <c r="B429" s="1317"/>
      <c r="C429" s="1318"/>
      <c r="D429" s="1319"/>
      <c r="E429" s="1318"/>
      <c r="F429" s="1320">
        <f t="shared" si="55"/>
        <v>0</v>
      </c>
      <c r="G429" s="1319"/>
      <c r="H429" s="1318"/>
      <c r="I429" s="1320">
        <f t="shared" si="56"/>
        <v>0</v>
      </c>
      <c r="J429" s="1320">
        <f t="shared" si="49"/>
        <v>0</v>
      </c>
      <c r="K429" s="1320">
        <f t="shared" si="50"/>
        <v>0</v>
      </c>
      <c r="L429" s="1318"/>
      <c r="M429" s="1318"/>
      <c r="N429" s="1321">
        <f t="shared" si="51"/>
        <v>0</v>
      </c>
      <c r="O429" s="1322">
        <f t="shared" si="52"/>
        <v>0</v>
      </c>
      <c r="P429" s="2369">
        <f t="shared" si="53"/>
        <v>1900</v>
      </c>
      <c r="Q429" s="2369">
        <f t="shared" si="54"/>
        <v>1900</v>
      </c>
      <c r="R429" s="654"/>
      <c r="S429" s="654"/>
      <c r="T429" s="654"/>
      <c r="U429" s="654"/>
    </row>
    <row r="430" spans="1:21" ht="14.25" customHeight="1">
      <c r="A430" s="1316"/>
      <c r="B430" s="1317"/>
      <c r="C430" s="1318"/>
      <c r="D430" s="1319"/>
      <c r="E430" s="1318"/>
      <c r="F430" s="1320">
        <f t="shared" si="55"/>
        <v>0</v>
      </c>
      <c r="G430" s="1319"/>
      <c r="H430" s="1318"/>
      <c r="I430" s="1320">
        <f t="shared" si="56"/>
        <v>0</v>
      </c>
      <c r="J430" s="1320">
        <f t="shared" si="49"/>
        <v>0</v>
      </c>
      <c r="K430" s="1320">
        <f t="shared" si="50"/>
        <v>0</v>
      </c>
      <c r="L430" s="1318"/>
      <c r="M430" s="1318"/>
      <c r="N430" s="1321">
        <f t="shared" si="51"/>
        <v>0</v>
      </c>
      <c r="O430" s="1322">
        <f t="shared" si="52"/>
        <v>0</v>
      </c>
      <c r="P430" s="2369">
        <f t="shared" si="53"/>
        <v>1900</v>
      </c>
      <c r="Q430" s="2369">
        <f t="shared" si="54"/>
        <v>1900</v>
      </c>
      <c r="R430" s="654"/>
      <c r="S430" s="654"/>
      <c r="T430" s="654"/>
      <c r="U430" s="654"/>
    </row>
    <row r="431" spans="1:21" ht="14.25" customHeight="1">
      <c r="A431" s="1316"/>
      <c r="B431" s="1317"/>
      <c r="C431" s="1318"/>
      <c r="D431" s="1319"/>
      <c r="E431" s="1318"/>
      <c r="F431" s="1320">
        <f t="shared" si="55"/>
        <v>0</v>
      </c>
      <c r="G431" s="1319"/>
      <c r="H431" s="1318"/>
      <c r="I431" s="1320">
        <f t="shared" si="56"/>
        <v>0</v>
      </c>
      <c r="J431" s="1320">
        <f t="shared" si="49"/>
        <v>0</v>
      </c>
      <c r="K431" s="1320">
        <f t="shared" si="50"/>
        <v>0</v>
      </c>
      <c r="L431" s="1318"/>
      <c r="M431" s="1318"/>
      <c r="N431" s="1321">
        <f t="shared" si="51"/>
        <v>0</v>
      </c>
      <c r="O431" s="1322">
        <f t="shared" si="52"/>
        <v>0</v>
      </c>
      <c r="P431" s="2369">
        <f t="shared" si="53"/>
        <v>1900</v>
      </c>
      <c r="Q431" s="2369">
        <f t="shared" si="54"/>
        <v>1900</v>
      </c>
      <c r="R431" s="654"/>
      <c r="S431" s="654"/>
      <c r="T431" s="654"/>
      <c r="U431" s="654"/>
    </row>
    <row r="432" spans="1:21" ht="14.25" customHeight="1">
      <c r="A432" s="1316"/>
      <c r="B432" s="1317"/>
      <c r="C432" s="1318"/>
      <c r="D432" s="1319"/>
      <c r="E432" s="1318"/>
      <c r="F432" s="1320">
        <f t="shared" si="55"/>
        <v>0</v>
      </c>
      <c r="G432" s="1319"/>
      <c r="H432" s="1318"/>
      <c r="I432" s="1320">
        <f t="shared" si="56"/>
        <v>0</v>
      </c>
      <c r="J432" s="1320">
        <f t="shared" si="49"/>
        <v>0</v>
      </c>
      <c r="K432" s="1320">
        <f t="shared" si="50"/>
        <v>0</v>
      </c>
      <c r="L432" s="1318"/>
      <c r="M432" s="1318"/>
      <c r="N432" s="1321">
        <f t="shared" si="51"/>
        <v>0</v>
      </c>
      <c r="O432" s="1322">
        <f t="shared" si="52"/>
        <v>0</v>
      </c>
      <c r="P432" s="2369">
        <f t="shared" si="53"/>
        <v>1900</v>
      </c>
      <c r="Q432" s="2369">
        <f t="shared" si="54"/>
        <v>1900</v>
      </c>
      <c r="R432" s="654"/>
      <c r="S432" s="654"/>
      <c r="T432" s="654"/>
      <c r="U432" s="654"/>
    </row>
    <row r="433" spans="1:21" ht="14.25" customHeight="1">
      <c r="A433" s="1316"/>
      <c r="B433" s="1317"/>
      <c r="C433" s="1318"/>
      <c r="D433" s="1319"/>
      <c r="E433" s="1318"/>
      <c r="F433" s="1320">
        <f t="shared" si="55"/>
        <v>0</v>
      </c>
      <c r="G433" s="1319"/>
      <c r="H433" s="1318"/>
      <c r="I433" s="1320">
        <f t="shared" si="56"/>
        <v>0</v>
      </c>
      <c r="J433" s="1320">
        <f t="shared" si="49"/>
        <v>0</v>
      </c>
      <c r="K433" s="1320">
        <f t="shared" si="50"/>
        <v>0</v>
      </c>
      <c r="L433" s="1318"/>
      <c r="M433" s="1318"/>
      <c r="N433" s="1321">
        <f t="shared" si="51"/>
        <v>0</v>
      </c>
      <c r="O433" s="1322">
        <f t="shared" si="52"/>
        <v>0</v>
      </c>
      <c r="P433" s="2369">
        <f t="shared" si="53"/>
        <v>1900</v>
      </c>
      <c r="Q433" s="2369">
        <f t="shared" si="54"/>
        <v>1900</v>
      </c>
      <c r="R433" s="654"/>
      <c r="S433" s="654"/>
      <c r="T433" s="654"/>
      <c r="U433" s="654"/>
    </row>
    <row r="434" spans="1:21" ht="14.25" customHeight="1">
      <c r="A434" s="1316"/>
      <c r="B434" s="1317"/>
      <c r="C434" s="1318"/>
      <c r="D434" s="1319"/>
      <c r="E434" s="1318"/>
      <c r="F434" s="1320">
        <f t="shared" si="55"/>
        <v>0</v>
      </c>
      <c r="G434" s="1319"/>
      <c r="H434" s="1318"/>
      <c r="I434" s="1320">
        <f t="shared" si="56"/>
        <v>0</v>
      </c>
      <c r="J434" s="1320">
        <f t="shared" si="49"/>
        <v>0</v>
      </c>
      <c r="K434" s="1320">
        <f t="shared" si="50"/>
        <v>0</v>
      </c>
      <c r="L434" s="1318"/>
      <c r="M434" s="1318"/>
      <c r="N434" s="1321">
        <f t="shared" si="51"/>
        <v>0</v>
      </c>
      <c r="O434" s="1322">
        <f t="shared" si="52"/>
        <v>0</v>
      </c>
      <c r="P434" s="2369">
        <f t="shared" si="53"/>
        <v>1900</v>
      </c>
      <c r="Q434" s="2369">
        <f t="shared" si="54"/>
        <v>1900</v>
      </c>
      <c r="R434" s="654"/>
      <c r="S434" s="654"/>
      <c r="T434" s="654"/>
      <c r="U434" s="654"/>
    </row>
    <row r="435" spans="1:21" ht="14.25" customHeight="1">
      <c r="A435" s="1316"/>
      <c r="B435" s="1317"/>
      <c r="C435" s="1318"/>
      <c r="D435" s="1319"/>
      <c r="E435" s="1318"/>
      <c r="F435" s="1320">
        <f t="shared" si="55"/>
        <v>0</v>
      </c>
      <c r="G435" s="1319"/>
      <c r="H435" s="1318"/>
      <c r="I435" s="1320">
        <f t="shared" si="56"/>
        <v>0</v>
      </c>
      <c r="J435" s="1320">
        <f t="shared" si="49"/>
        <v>0</v>
      </c>
      <c r="K435" s="1320">
        <f t="shared" si="50"/>
        <v>0</v>
      </c>
      <c r="L435" s="1318"/>
      <c r="M435" s="1318"/>
      <c r="N435" s="1321">
        <f t="shared" si="51"/>
        <v>0</v>
      </c>
      <c r="O435" s="1322">
        <f t="shared" si="52"/>
        <v>0</v>
      </c>
      <c r="P435" s="2369">
        <f t="shared" si="53"/>
        <v>1900</v>
      </c>
      <c r="Q435" s="2369">
        <f t="shared" si="54"/>
        <v>1900</v>
      </c>
      <c r="R435" s="654"/>
      <c r="S435" s="654"/>
      <c r="T435" s="654"/>
      <c r="U435" s="654"/>
    </row>
    <row r="436" spans="1:21" ht="14.25" customHeight="1">
      <c r="A436" s="1316"/>
      <c r="B436" s="1317"/>
      <c r="C436" s="1318"/>
      <c r="D436" s="1319"/>
      <c r="E436" s="1318"/>
      <c r="F436" s="1320">
        <f t="shared" si="55"/>
        <v>0</v>
      </c>
      <c r="G436" s="1319"/>
      <c r="H436" s="1318"/>
      <c r="I436" s="1320">
        <f t="shared" si="56"/>
        <v>0</v>
      </c>
      <c r="J436" s="1320">
        <f t="shared" si="49"/>
        <v>0</v>
      </c>
      <c r="K436" s="1320">
        <f t="shared" si="50"/>
        <v>0</v>
      </c>
      <c r="L436" s="1318"/>
      <c r="M436" s="1318"/>
      <c r="N436" s="1321">
        <f t="shared" si="51"/>
        <v>0</v>
      </c>
      <c r="O436" s="1322">
        <f t="shared" si="52"/>
        <v>0</v>
      </c>
      <c r="P436" s="2369">
        <f t="shared" si="53"/>
        <v>1900</v>
      </c>
      <c r="Q436" s="2369">
        <f t="shared" si="54"/>
        <v>1900</v>
      </c>
      <c r="R436" s="654"/>
      <c r="S436" s="654"/>
      <c r="T436" s="654"/>
      <c r="U436" s="654"/>
    </row>
    <row r="437" spans="1:21" ht="14.25" customHeight="1">
      <c r="A437" s="1316"/>
      <c r="B437" s="1317"/>
      <c r="C437" s="1318"/>
      <c r="D437" s="1319"/>
      <c r="E437" s="1318"/>
      <c r="F437" s="1320">
        <f t="shared" si="55"/>
        <v>0</v>
      </c>
      <c r="G437" s="1319"/>
      <c r="H437" s="1318"/>
      <c r="I437" s="1320">
        <f t="shared" si="56"/>
        <v>0</v>
      </c>
      <c r="J437" s="1320">
        <f t="shared" si="49"/>
        <v>0</v>
      </c>
      <c r="K437" s="1320">
        <f t="shared" si="50"/>
        <v>0</v>
      </c>
      <c r="L437" s="1318"/>
      <c r="M437" s="1318"/>
      <c r="N437" s="1321">
        <f t="shared" si="51"/>
        <v>0</v>
      </c>
      <c r="O437" s="1322">
        <f t="shared" si="52"/>
        <v>0</v>
      </c>
      <c r="P437" s="2369">
        <f t="shared" si="53"/>
        <v>1900</v>
      </c>
      <c r="Q437" s="2369">
        <f t="shared" si="54"/>
        <v>1900</v>
      </c>
      <c r="R437" s="654"/>
      <c r="S437" s="654"/>
      <c r="T437" s="654"/>
      <c r="U437" s="654"/>
    </row>
    <row r="438" spans="1:21" ht="14.25" customHeight="1">
      <c r="A438" s="1316"/>
      <c r="B438" s="1317"/>
      <c r="C438" s="1318"/>
      <c r="D438" s="1319"/>
      <c r="E438" s="1318"/>
      <c r="F438" s="1320">
        <f t="shared" si="55"/>
        <v>0</v>
      </c>
      <c r="G438" s="1319"/>
      <c r="H438" s="1318"/>
      <c r="I438" s="1320">
        <f t="shared" si="56"/>
        <v>0</v>
      </c>
      <c r="J438" s="1320">
        <f t="shared" si="49"/>
        <v>0</v>
      </c>
      <c r="K438" s="1320">
        <f t="shared" si="50"/>
        <v>0</v>
      </c>
      <c r="L438" s="1318"/>
      <c r="M438" s="1318"/>
      <c r="N438" s="1321">
        <f t="shared" si="51"/>
        <v>0</v>
      </c>
      <c r="O438" s="1322">
        <f t="shared" si="52"/>
        <v>0</v>
      </c>
      <c r="P438" s="2369">
        <f t="shared" si="53"/>
        <v>1900</v>
      </c>
      <c r="Q438" s="2369">
        <f t="shared" si="54"/>
        <v>1900</v>
      </c>
      <c r="R438" s="654"/>
      <c r="S438" s="654"/>
      <c r="T438" s="654"/>
      <c r="U438" s="654"/>
    </row>
    <row r="439" spans="1:21" ht="14.25" customHeight="1">
      <c r="A439" s="1316"/>
      <c r="B439" s="1317"/>
      <c r="C439" s="1318"/>
      <c r="D439" s="1319"/>
      <c r="E439" s="1318"/>
      <c r="F439" s="1320">
        <f t="shared" si="55"/>
        <v>0</v>
      </c>
      <c r="G439" s="1319"/>
      <c r="H439" s="1318"/>
      <c r="I439" s="1320">
        <f t="shared" si="56"/>
        <v>0</v>
      </c>
      <c r="J439" s="1320">
        <f t="shared" si="49"/>
        <v>0</v>
      </c>
      <c r="K439" s="1320">
        <f t="shared" si="50"/>
        <v>0</v>
      </c>
      <c r="L439" s="1318"/>
      <c r="M439" s="1318"/>
      <c r="N439" s="1321">
        <f t="shared" si="51"/>
        <v>0</v>
      </c>
      <c r="O439" s="1322">
        <f t="shared" si="52"/>
        <v>0</v>
      </c>
      <c r="P439" s="2369">
        <f t="shared" si="53"/>
        <v>1900</v>
      </c>
      <c r="Q439" s="2369">
        <f t="shared" si="54"/>
        <v>1900</v>
      </c>
      <c r="R439" s="654"/>
      <c r="S439" s="654"/>
      <c r="T439" s="654"/>
      <c r="U439" s="654"/>
    </row>
    <row r="440" spans="1:21" ht="14.25" customHeight="1">
      <c r="A440" s="1316"/>
      <c r="B440" s="1317"/>
      <c r="C440" s="1318"/>
      <c r="D440" s="1319"/>
      <c r="E440" s="1318"/>
      <c r="F440" s="1320">
        <f t="shared" si="55"/>
        <v>0</v>
      </c>
      <c r="G440" s="1319"/>
      <c r="H440" s="1318"/>
      <c r="I440" s="1320">
        <f t="shared" si="56"/>
        <v>0</v>
      </c>
      <c r="J440" s="1320">
        <f t="shared" si="49"/>
        <v>0</v>
      </c>
      <c r="K440" s="1320">
        <f t="shared" si="50"/>
        <v>0</v>
      </c>
      <c r="L440" s="1318"/>
      <c r="M440" s="1318"/>
      <c r="N440" s="1321">
        <f t="shared" si="51"/>
        <v>0</v>
      </c>
      <c r="O440" s="1322">
        <f t="shared" si="52"/>
        <v>0</v>
      </c>
      <c r="P440" s="2369">
        <f t="shared" si="53"/>
        <v>1900</v>
      </c>
      <c r="Q440" s="2369">
        <f t="shared" si="54"/>
        <v>1900</v>
      </c>
      <c r="R440" s="654"/>
      <c r="S440" s="654"/>
      <c r="T440" s="654"/>
      <c r="U440" s="654"/>
    </row>
    <row r="441" spans="1:21" ht="14.25" customHeight="1">
      <c r="A441" s="1316"/>
      <c r="B441" s="1317"/>
      <c r="C441" s="1318"/>
      <c r="D441" s="1319"/>
      <c r="E441" s="1318"/>
      <c r="F441" s="1320">
        <f t="shared" si="55"/>
        <v>0</v>
      </c>
      <c r="G441" s="1319"/>
      <c r="H441" s="1318"/>
      <c r="I441" s="1320">
        <f t="shared" si="56"/>
        <v>0</v>
      </c>
      <c r="J441" s="1320">
        <f t="shared" si="49"/>
        <v>0</v>
      </c>
      <c r="K441" s="1320">
        <f t="shared" si="50"/>
        <v>0</v>
      </c>
      <c r="L441" s="1318"/>
      <c r="M441" s="1318"/>
      <c r="N441" s="1321">
        <f t="shared" si="51"/>
        <v>0</v>
      </c>
      <c r="O441" s="1322">
        <f t="shared" si="52"/>
        <v>0</v>
      </c>
      <c r="P441" s="2369">
        <f t="shared" si="53"/>
        <v>1900</v>
      </c>
      <c r="Q441" s="2369">
        <f t="shared" si="54"/>
        <v>1900</v>
      </c>
      <c r="R441" s="654"/>
      <c r="S441" s="654"/>
      <c r="T441" s="654"/>
      <c r="U441" s="654"/>
    </row>
    <row r="442" spans="1:21" ht="14.25" customHeight="1">
      <c r="A442" s="1316"/>
      <c r="B442" s="1317"/>
      <c r="C442" s="1318"/>
      <c r="D442" s="1319"/>
      <c r="E442" s="1318"/>
      <c r="F442" s="1320">
        <f t="shared" si="55"/>
        <v>0</v>
      </c>
      <c r="G442" s="1319"/>
      <c r="H442" s="1318"/>
      <c r="I442" s="1320">
        <f t="shared" si="56"/>
        <v>0</v>
      </c>
      <c r="J442" s="1320">
        <f t="shared" si="49"/>
        <v>0</v>
      </c>
      <c r="K442" s="1320">
        <f t="shared" si="50"/>
        <v>0</v>
      </c>
      <c r="L442" s="1318"/>
      <c r="M442" s="1318"/>
      <c r="N442" s="1321">
        <f t="shared" si="51"/>
        <v>0</v>
      </c>
      <c r="O442" s="1322">
        <f t="shared" si="52"/>
        <v>0</v>
      </c>
      <c r="P442" s="2369">
        <f t="shared" si="53"/>
        <v>1900</v>
      </c>
      <c r="Q442" s="2369">
        <f t="shared" si="54"/>
        <v>1900</v>
      </c>
      <c r="R442" s="654"/>
      <c r="S442" s="654"/>
      <c r="T442" s="654"/>
      <c r="U442" s="654"/>
    </row>
    <row r="443" spans="1:21" ht="14.25" customHeight="1">
      <c r="A443" s="1316"/>
      <c r="B443" s="1317"/>
      <c r="C443" s="1318"/>
      <c r="D443" s="1319"/>
      <c r="E443" s="1318"/>
      <c r="F443" s="1320">
        <f t="shared" si="55"/>
        <v>0</v>
      </c>
      <c r="G443" s="1319"/>
      <c r="H443" s="1318"/>
      <c r="I443" s="1320">
        <f t="shared" si="56"/>
        <v>0</v>
      </c>
      <c r="J443" s="1320">
        <f t="shared" si="49"/>
        <v>0</v>
      </c>
      <c r="K443" s="1320">
        <f t="shared" si="50"/>
        <v>0</v>
      </c>
      <c r="L443" s="1318"/>
      <c r="M443" s="1318"/>
      <c r="N443" s="1321">
        <f t="shared" si="51"/>
        <v>0</v>
      </c>
      <c r="O443" s="1322">
        <f t="shared" si="52"/>
        <v>0</v>
      </c>
      <c r="P443" s="2369">
        <f t="shared" si="53"/>
        <v>1900</v>
      </c>
      <c r="Q443" s="2369">
        <f t="shared" si="54"/>
        <v>1900</v>
      </c>
      <c r="R443" s="654"/>
      <c r="S443" s="654"/>
      <c r="T443" s="654"/>
      <c r="U443" s="654"/>
    </row>
    <row r="444" spans="1:21" ht="14.25" customHeight="1">
      <c r="A444" s="1316"/>
      <c r="B444" s="1317"/>
      <c r="C444" s="1318"/>
      <c r="D444" s="1319"/>
      <c r="E444" s="1318"/>
      <c r="F444" s="1320">
        <f t="shared" si="55"/>
        <v>0</v>
      </c>
      <c r="G444" s="1319"/>
      <c r="H444" s="1318"/>
      <c r="I444" s="1320">
        <f t="shared" si="56"/>
        <v>0</v>
      </c>
      <c r="J444" s="1320">
        <f t="shared" si="49"/>
        <v>0</v>
      </c>
      <c r="K444" s="1320">
        <f t="shared" si="50"/>
        <v>0</v>
      </c>
      <c r="L444" s="1318"/>
      <c r="M444" s="1318"/>
      <c r="N444" s="1321">
        <f t="shared" si="51"/>
        <v>0</v>
      </c>
      <c r="O444" s="1322">
        <f t="shared" si="52"/>
        <v>0</v>
      </c>
      <c r="P444" s="2369">
        <f t="shared" si="53"/>
        <v>1900</v>
      </c>
      <c r="Q444" s="2369">
        <f t="shared" si="54"/>
        <v>1900</v>
      </c>
      <c r="R444" s="654"/>
      <c r="S444" s="654"/>
      <c r="T444" s="654"/>
      <c r="U444" s="654"/>
    </row>
    <row r="445" spans="1:21" ht="14.25" customHeight="1">
      <c r="A445" s="1316"/>
      <c r="B445" s="1317"/>
      <c r="C445" s="1318"/>
      <c r="D445" s="1319"/>
      <c r="E445" s="1318"/>
      <c r="F445" s="1320">
        <f t="shared" si="55"/>
        <v>0</v>
      </c>
      <c r="G445" s="1319"/>
      <c r="H445" s="1318"/>
      <c r="I445" s="1320">
        <f t="shared" si="56"/>
        <v>0</v>
      </c>
      <c r="J445" s="1320">
        <f t="shared" si="49"/>
        <v>0</v>
      </c>
      <c r="K445" s="1320">
        <f t="shared" si="50"/>
        <v>0</v>
      </c>
      <c r="L445" s="1318"/>
      <c r="M445" s="1318"/>
      <c r="N445" s="1321">
        <f t="shared" si="51"/>
        <v>0</v>
      </c>
      <c r="O445" s="1322">
        <f t="shared" si="52"/>
        <v>0</v>
      </c>
      <c r="P445" s="2369">
        <f t="shared" si="53"/>
        <v>1900</v>
      </c>
      <c r="Q445" s="2369">
        <f t="shared" si="54"/>
        <v>1900</v>
      </c>
      <c r="R445" s="654"/>
      <c r="S445" s="654"/>
      <c r="T445" s="654"/>
      <c r="U445" s="654"/>
    </row>
    <row r="446" spans="1:21" ht="14.25" customHeight="1">
      <c r="A446" s="1316"/>
      <c r="B446" s="1317"/>
      <c r="C446" s="1318"/>
      <c r="D446" s="1319"/>
      <c r="E446" s="1318"/>
      <c r="F446" s="1320">
        <f t="shared" si="55"/>
        <v>0</v>
      </c>
      <c r="G446" s="1319"/>
      <c r="H446" s="1318"/>
      <c r="I446" s="1320">
        <f t="shared" si="56"/>
        <v>0</v>
      </c>
      <c r="J446" s="1320">
        <f t="shared" si="49"/>
        <v>0</v>
      </c>
      <c r="K446" s="1320">
        <f t="shared" si="50"/>
        <v>0</v>
      </c>
      <c r="L446" s="1318"/>
      <c r="M446" s="1318"/>
      <c r="N446" s="1321">
        <f t="shared" si="51"/>
        <v>0</v>
      </c>
      <c r="O446" s="1322">
        <f t="shared" si="52"/>
        <v>0</v>
      </c>
      <c r="P446" s="2369">
        <f t="shared" si="53"/>
        <v>1900</v>
      </c>
      <c r="Q446" s="2369">
        <f t="shared" si="54"/>
        <v>1900</v>
      </c>
      <c r="R446" s="654"/>
      <c r="S446" s="654"/>
      <c r="T446" s="654"/>
      <c r="U446" s="654"/>
    </row>
    <row r="447" spans="1:21" ht="14.25" customHeight="1">
      <c r="A447" s="1316"/>
      <c r="B447" s="1317"/>
      <c r="C447" s="1318"/>
      <c r="D447" s="1319"/>
      <c r="E447" s="1318"/>
      <c r="F447" s="1320">
        <f t="shared" si="55"/>
        <v>0</v>
      </c>
      <c r="G447" s="1319"/>
      <c r="H447" s="1318"/>
      <c r="I447" s="1320">
        <f t="shared" si="56"/>
        <v>0</v>
      </c>
      <c r="J447" s="1320">
        <f t="shared" si="49"/>
        <v>0</v>
      </c>
      <c r="K447" s="1320">
        <f t="shared" si="50"/>
        <v>0</v>
      </c>
      <c r="L447" s="1318"/>
      <c r="M447" s="1318"/>
      <c r="N447" s="1321">
        <f t="shared" si="51"/>
        <v>0</v>
      </c>
      <c r="O447" s="1322">
        <f t="shared" si="52"/>
        <v>0</v>
      </c>
      <c r="P447" s="2369">
        <f t="shared" si="53"/>
        <v>1900</v>
      </c>
      <c r="Q447" s="2369">
        <f t="shared" si="54"/>
        <v>1900</v>
      </c>
      <c r="R447" s="654"/>
      <c r="S447" s="654"/>
      <c r="T447" s="654"/>
      <c r="U447" s="654"/>
    </row>
    <row r="448" spans="1:21" ht="14.25" customHeight="1">
      <c r="A448" s="1316"/>
      <c r="B448" s="1317"/>
      <c r="C448" s="1318"/>
      <c r="D448" s="1319"/>
      <c r="E448" s="1318"/>
      <c r="F448" s="1320">
        <f t="shared" si="55"/>
        <v>0</v>
      </c>
      <c r="G448" s="1319"/>
      <c r="H448" s="1318"/>
      <c r="I448" s="1320">
        <f t="shared" si="56"/>
        <v>0</v>
      </c>
      <c r="J448" s="1320">
        <f t="shared" si="49"/>
        <v>0</v>
      </c>
      <c r="K448" s="1320">
        <f t="shared" si="50"/>
        <v>0</v>
      </c>
      <c r="L448" s="1318"/>
      <c r="M448" s="1318"/>
      <c r="N448" s="1321">
        <f t="shared" si="51"/>
        <v>0</v>
      </c>
      <c r="O448" s="1322">
        <f t="shared" si="52"/>
        <v>0</v>
      </c>
      <c r="P448" s="2369">
        <f t="shared" si="53"/>
        <v>1900</v>
      </c>
      <c r="Q448" s="2369">
        <f t="shared" si="54"/>
        <v>1900</v>
      </c>
      <c r="R448" s="654"/>
      <c r="S448" s="654"/>
      <c r="T448" s="654"/>
      <c r="U448" s="654"/>
    </row>
    <row r="449" spans="1:21" ht="14.25" customHeight="1">
      <c r="A449" s="1316"/>
      <c r="B449" s="1317"/>
      <c r="C449" s="1318"/>
      <c r="D449" s="1319"/>
      <c r="E449" s="1318"/>
      <c r="F449" s="1320">
        <f t="shared" si="55"/>
        <v>0</v>
      </c>
      <c r="G449" s="1319"/>
      <c r="H449" s="1318"/>
      <c r="I449" s="1320">
        <f t="shared" si="56"/>
        <v>0</v>
      </c>
      <c r="J449" s="1320">
        <f t="shared" si="49"/>
        <v>0</v>
      </c>
      <c r="K449" s="1320">
        <f t="shared" si="50"/>
        <v>0</v>
      </c>
      <c r="L449" s="1318"/>
      <c r="M449" s="1318"/>
      <c r="N449" s="1321">
        <f t="shared" si="51"/>
        <v>0</v>
      </c>
      <c r="O449" s="1322">
        <f t="shared" si="52"/>
        <v>0</v>
      </c>
      <c r="P449" s="2369">
        <f t="shared" si="53"/>
        <v>1900</v>
      </c>
      <c r="Q449" s="2369">
        <f t="shared" si="54"/>
        <v>1900</v>
      </c>
      <c r="R449" s="654"/>
      <c r="S449" s="654"/>
      <c r="T449" s="654"/>
      <c r="U449" s="654"/>
    </row>
    <row r="450" spans="1:21" ht="14.25" customHeight="1">
      <c r="A450" s="1316"/>
      <c r="B450" s="1317"/>
      <c r="C450" s="1318"/>
      <c r="D450" s="1319"/>
      <c r="E450" s="1318"/>
      <c r="F450" s="1320">
        <f t="shared" si="55"/>
        <v>0</v>
      </c>
      <c r="G450" s="1319"/>
      <c r="H450" s="1318"/>
      <c r="I450" s="1320">
        <f t="shared" si="56"/>
        <v>0</v>
      </c>
      <c r="J450" s="1320">
        <f t="shared" si="49"/>
        <v>0</v>
      </c>
      <c r="K450" s="1320">
        <f t="shared" si="50"/>
        <v>0</v>
      </c>
      <c r="L450" s="1318"/>
      <c r="M450" s="1318"/>
      <c r="N450" s="1321">
        <f t="shared" si="51"/>
        <v>0</v>
      </c>
      <c r="O450" s="1322">
        <f t="shared" si="52"/>
        <v>0</v>
      </c>
      <c r="P450" s="2369">
        <f t="shared" si="53"/>
        <v>1900</v>
      </c>
      <c r="Q450" s="2369">
        <f t="shared" si="54"/>
        <v>1900</v>
      </c>
      <c r="R450" s="654"/>
      <c r="S450" s="654"/>
      <c r="T450" s="654"/>
      <c r="U450" s="654"/>
    </row>
    <row r="451" spans="1:21" ht="14.25" customHeight="1">
      <c r="A451" s="1316"/>
      <c r="B451" s="1317"/>
      <c r="C451" s="1318"/>
      <c r="D451" s="1319"/>
      <c r="E451" s="1318"/>
      <c r="F451" s="1320">
        <f t="shared" si="55"/>
        <v>0</v>
      </c>
      <c r="G451" s="1319"/>
      <c r="H451" s="1318"/>
      <c r="I451" s="1320">
        <f t="shared" si="56"/>
        <v>0</v>
      </c>
      <c r="J451" s="1320">
        <f t="shared" si="49"/>
        <v>0</v>
      </c>
      <c r="K451" s="1320">
        <f t="shared" si="50"/>
        <v>0</v>
      </c>
      <c r="L451" s="1318"/>
      <c r="M451" s="1318"/>
      <c r="N451" s="1321">
        <f t="shared" si="51"/>
        <v>0</v>
      </c>
      <c r="O451" s="1322">
        <f t="shared" si="52"/>
        <v>0</v>
      </c>
      <c r="P451" s="2369">
        <f t="shared" si="53"/>
        <v>1900</v>
      </c>
      <c r="Q451" s="2369">
        <f t="shared" si="54"/>
        <v>1900</v>
      </c>
      <c r="R451" s="654"/>
      <c r="S451" s="654"/>
      <c r="T451" s="654"/>
      <c r="U451" s="654"/>
    </row>
    <row r="452" spans="1:21" ht="14.25" customHeight="1">
      <c r="A452" s="1316"/>
      <c r="B452" s="1317"/>
      <c r="C452" s="1318"/>
      <c r="D452" s="1319"/>
      <c r="E452" s="1318"/>
      <c r="F452" s="1320">
        <f t="shared" si="55"/>
        <v>0</v>
      </c>
      <c r="G452" s="1319"/>
      <c r="H452" s="1318"/>
      <c r="I452" s="1320">
        <f t="shared" si="56"/>
        <v>0</v>
      </c>
      <c r="J452" s="1320">
        <f t="shared" si="49"/>
        <v>0</v>
      </c>
      <c r="K452" s="1320">
        <f t="shared" si="50"/>
        <v>0</v>
      </c>
      <c r="L452" s="1318"/>
      <c r="M452" s="1318"/>
      <c r="N452" s="1321">
        <f t="shared" si="51"/>
        <v>0</v>
      </c>
      <c r="O452" s="1322">
        <f t="shared" si="52"/>
        <v>0</v>
      </c>
      <c r="P452" s="2369">
        <f t="shared" si="53"/>
        <v>1900</v>
      </c>
      <c r="Q452" s="2369">
        <f t="shared" si="54"/>
        <v>1900</v>
      </c>
      <c r="R452" s="654"/>
      <c r="S452" s="654"/>
      <c r="T452" s="654"/>
      <c r="U452" s="654"/>
    </row>
    <row r="453" spans="1:21" ht="14.25" customHeight="1">
      <c r="A453" s="1316"/>
      <c r="B453" s="1317"/>
      <c r="C453" s="1318"/>
      <c r="D453" s="1319"/>
      <c r="E453" s="1318"/>
      <c r="F453" s="1320">
        <f t="shared" si="55"/>
        <v>0</v>
      </c>
      <c r="G453" s="1319"/>
      <c r="H453" s="1318"/>
      <c r="I453" s="1320">
        <f t="shared" si="56"/>
        <v>0</v>
      </c>
      <c r="J453" s="1320">
        <f t="shared" si="49"/>
        <v>0</v>
      </c>
      <c r="K453" s="1320">
        <f t="shared" si="50"/>
        <v>0</v>
      </c>
      <c r="L453" s="1318"/>
      <c r="M453" s="1318"/>
      <c r="N453" s="1321">
        <f t="shared" si="51"/>
        <v>0</v>
      </c>
      <c r="O453" s="1322">
        <f t="shared" si="52"/>
        <v>0</v>
      </c>
      <c r="P453" s="2369">
        <f t="shared" si="53"/>
        <v>1900</v>
      </c>
      <c r="Q453" s="2369">
        <f t="shared" si="54"/>
        <v>1900</v>
      </c>
      <c r="R453" s="654"/>
      <c r="S453" s="654"/>
      <c r="T453" s="654"/>
      <c r="U453" s="654"/>
    </row>
    <row r="454" spans="1:21" ht="14.25" customHeight="1">
      <c r="A454" s="1316"/>
      <c r="B454" s="1317"/>
      <c r="C454" s="1318"/>
      <c r="D454" s="1319"/>
      <c r="E454" s="1318"/>
      <c r="F454" s="1320">
        <f t="shared" si="55"/>
        <v>0</v>
      </c>
      <c r="G454" s="1319"/>
      <c r="H454" s="1318"/>
      <c r="I454" s="1320">
        <f t="shared" si="56"/>
        <v>0</v>
      </c>
      <c r="J454" s="1320">
        <f t="shared" si="49"/>
        <v>0</v>
      </c>
      <c r="K454" s="1320">
        <f t="shared" si="50"/>
        <v>0</v>
      </c>
      <c r="L454" s="1318"/>
      <c r="M454" s="1318"/>
      <c r="N454" s="1321">
        <f t="shared" si="51"/>
        <v>0</v>
      </c>
      <c r="O454" s="1322">
        <f t="shared" si="52"/>
        <v>0</v>
      </c>
      <c r="P454" s="2369">
        <f t="shared" si="53"/>
        <v>1900</v>
      </c>
      <c r="Q454" s="2369">
        <f t="shared" si="54"/>
        <v>1900</v>
      </c>
      <c r="R454" s="654"/>
      <c r="S454" s="654"/>
      <c r="T454" s="654"/>
      <c r="U454" s="654"/>
    </row>
    <row r="455" spans="1:21" ht="14.25" customHeight="1">
      <c r="A455" s="1316"/>
      <c r="B455" s="1317"/>
      <c r="C455" s="1318"/>
      <c r="D455" s="1319"/>
      <c r="E455" s="1318"/>
      <c r="F455" s="1320">
        <f t="shared" si="55"/>
        <v>0</v>
      </c>
      <c r="G455" s="1319"/>
      <c r="H455" s="1318"/>
      <c r="I455" s="1320">
        <f t="shared" si="56"/>
        <v>0</v>
      </c>
      <c r="J455" s="1320">
        <f t="shared" si="49"/>
        <v>0</v>
      </c>
      <c r="K455" s="1320">
        <f t="shared" si="50"/>
        <v>0</v>
      </c>
      <c r="L455" s="1318"/>
      <c r="M455" s="1318"/>
      <c r="N455" s="1321">
        <f t="shared" si="51"/>
        <v>0</v>
      </c>
      <c r="O455" s="1322">
        <f t="shared" si="52"/>
        <v>0</v>
      </c>
      <c r="P455" s="2369">
        <f t="shared" si="53"/>
        <v>1900</v>
      </c>
      <c r="Q455" s="2369">
        <f t="shared" si="54"/>
        <v>1900</v>
      </c>
      <c r="R455" s="654"/>
      <c r="S455" s="654"/>
      <c r="T455" s="654"/>
      <c r="U455" s="654"/>
    </row>
    <row r="456" spans="1:21" ht="14.25" customHeight="1">
      <c r="A456" s="1316"/>
      <c r="B456" s="1317"/>
      <c r="C456" s="1318"/>
      <c r="D456" s="1319"/>
      <c r="E456" s="1318"/>
      <c r="F456" s="1320">
        <f t="shared" si="55"/>
        <v>0</v>
      </c>
      <c r="G456" s="1319"/>
      <c r="H456" s="1318"/>
      <c r="I456" s="1320">
        <f t="shared" si="56"/>
        <v>0</v>
      </c>
      <c r="J456" s="1320">
        <f t="shared" si="49"/>
        <v>0</v>
      </c>
      <c r="K456" s="1320">
        <f t="shared" si="50"/>
        <v>0</v>
      </c>
      <c r="L456" s="1318"/>
      <c r="M456" s="1318"/>
      <c r="N456" s="1321">
        <f t="shared" si="51"/>
        <v>0</v>
      </c>
      <c r="O456" s="1322">
        <f t="shared" si="52"/>
        <v>0</v>
      </c>
      <c r="P456" s="2369">
        <f t="shared" si="53"/>
        <v>1900</v>
      </c>
      <c r="Q456" s="2369">
        <f t="shared" si="54"/>
        <v>1900</v>
      </c>
      <c r="R456" s="654"/>
      <c r="S456" s="654"/>
      <c r="T456" s="654"/>
      <c r="U456" s="654"/>
    </row>
    <row r="457" spans="1:21" ht="14.25" customHeight="1">
      <c r="A457" s="1316"/>
      <c r="B457" s="1317"/>
      <c r="C457" s="1318"/>
      <c r="D457" s="1319"/>
      <c r="E457" s="1318"/>
      <c r="F457" s="1320">
        <f t="shared" si="55"/>
        <v>0</v>
      </c>
      <c r="G457" s="1319"/>
      <c r="H457" s="1318"/>
      <c r="I457" s="1320">
        <f t="shared" si="56"/>
        <v>0</v>
      </c>
      <c r="J457" s="1320">
        <f t="shared" ref="J457:J520" si="57">C457+E457-H457</f>
        <v>0</v>
      </c>
      <c r="K457" s="1320">
        <f t="shared" ref="K457:K520" si="58">C457+F457-I457</f>
        <v>0</v>
      </c>
      <c r="L457" s="1318"/>
      <c r="M457" s="1318"/>
      <c r="N457" s="1321">
        <f t="shared" si="51"/>
        <v>0</v>
      </c>
      <c r="O457" s="1322">
        <f t="shared" si="52"/>
        <v>0</v>
      </c>
      <c r="P457" s="2369">
        <f t="shared" si="53"/>
        <v>1900</v>
      </c>
      <c r="Q457" s="2369">
        <f t="shared" si="54"/>
        <v>1900</v>
      </c>
      <c r="R457" s="654"/>
      <c r="S457" s="654"/>
      <c r="T457" s="654"/>
      <c r="U457" s="654"/>
    </row>
    <row r="458" spans="1:21" ht="14.25" customHeight="1">
      <c r="A458" s="1316"/>
      <c r="B458" s="1317"/>
      <c r="C458" s="1318"/>
      <c r="D458" s="1319"/>
      <c r="E458" s="1318"/>
      <c r="F458" s="1320">
        <f t="shared" si="55"/>
        <v>0</v>
      </c>
      <c r="G458" s="1319"/>
      <c r="H458" s="1318"/>
      <c r="I458" s="1320">
        <f t="shared" si="56"/>
        <v>0</v>
      </c>
      <c r="J458" s="1320">
        <f t="shared" si="57"/>
        <v>0</v>
      </c>
      <c r="K458" s="1320">
        <f t="shared" si="58"/>
        <v>0</v>
      </c>
      <c r="L458" s="1318"/>
      <c r="M458" s="1318"/>
      <c r="N458" s="1321">
        <f t="shared" ref="N458:N521" si="59">IF(M458&lt;&gt;0,ROUND(B458*K458,2)+M458,IF(ABS(ROUND(K458*B458,2)-L458)&lt;3,L458,MIN(ROUND(K458*B458,2),L458)))</f>
        <v>0</v>
      </c>
      <c r="O458" s="1322">
        <f t="shared" ref="O458:O521" si="60">IF(ISERROR(L458-N458),"",IF(ABS(L458-N458)&lt;3,0,L458-N458))</f>
        <v>0</v>
      </c>
      <c r="P458" s="2369">
        <f t="shared" ref="P458:P521" si="61">IFERROR(YEAR(D458),0)</f>
        <v>1900</v>
      </c>
      <c r="Q458" s="2369">
        <f t="shared" ref="Q458:Q521" si="62">IFERROR(YEAR(G458),0)</f>
        <v>1900</v>
      </c>
      <c r="R458" s="654"/>
      <c r="S458" s="654"/>
      <c r="T458" s="654"/>
      <c r="U458" s="654"/>
    </row>
    <row r="459" spans="1:21" ht="14.25" customHeight="1">
      <c r="A459" s="1316"/>
      <c r="B459" s="1317"/>
      <c r="C459" s="1318"/>
      <c r="D459" s="1319"/>
      <c r="E459" s="1318"/>
      <c r="F459" s="1320">
        <f t="shared" ref="F459:F522" si="63">E459*(12-MONTH(D459))/12</f>
        <v>0</v>
      </c>
      <c r="G459" s="1319"/>
      <c r="H459" s="1318"/>
      <c r="I459" s="1320">
        <f t="shared" ref="I459:I522" si="64">H459*(12-MONTH(G459))/12</f>
        <v>0</v>
      </c>
      <c r="J459" s="1320">
        <f t="shared" si="57"/>
        <v>0</v>
      </c>
      <c r="K459" s="1320">
        <f t="shared" si="58"/>
        <v>0</v>
      </c>
      <c r="L459" s="1318"/>
      <c r="M459" s="1318"/>
      <c r="N459" s="1321">
        <f t="shared" si="59"/>
        <v>0</v>
      </c>
      <c r="O459" s="1322">
        <f t="shared" si="60"/>
        <v>0</v>
      </c>
      <c r="P459" s="2369">
        <f t="shared" si="61"/>
        <v>1900</v>
      </c>
      <c r="Q459" s="2369">
        <f t="shared" si="62"/>
        <v>1900</v>
      </c>
      <c r="R459" s="654"/>
      <c r="S459" s="654"/>
      <c r="T459" s="654"/>
      <c r="U459" s="654"/>
    </row>
    <row r="460" spans="1:21" ht="14.25" customHeight="1">
      <c r="A460" s="1316"/>
      <c r="B460" s="1317"/>
      <c r="C460" s="1318"/>
      <c r="D460" s="1319"/>
      <c r="E460" s="1318"/>
      <c r="F460" s="1320">
        <f t="shared" si="63"/>
        <v>0</v>
      </c>
      <c r="G460" s="1319"/>
      <c r="H460" s="1318"/>
      <c r="I460" s="1320">
        <f t="shared" si="64"/>
        <v>0</v>
      </c>
      <c r="J460" s="1320">
        <f t="shared" si="57"/>
        <v>0</v>
      </c>
      <c r="K460" s="1320">
        <f t="shared" si="58"/>
        <v>0</v>
      </c>
      <c r="L460" s="1318"/>
      <c r="M460" s="1318"/>
      <c r="N460" s="1321">
        <f t="shared" si="59"/>
        <v>0</v>
      </c>
      <c r="O460" s="1322">
        <f t="shared" si="60"/>
        <v>0</v>
      </c>
      <c r="P460" s="2369">
        <f t="shared" si="61"/>
        <v>1900</v>
      </c>
      <c r="Q460" s="2369">
        <f t="shared" si="62"/>
        <v>1900</v>
      </c>
      <c r="R460" s="654"/>
      <c r="S460" s="654"/>
      <c r="T460" s="654"/>
      <c r="U460" s="654"/>
    </row>
    <row r="461" spans="1:21" ht="14.25" customHeight="1">
      <c r="A461" s="1316"/>
      <c r="B461" s="1317"/>
      <c r="C461" s="1318"/>
      <c r="D461" s="1319"/>
      <c r="E461" s="1318"/>
      <c r="F461" s="1320">
        <f t="shared" si="63"/>
        <v>0</v>
      </c>
      <c r="G461" s="1319"/>
      <c r="H461" s="1318"/>
      <c r="I461" s="1320">
        <f t="shared" si="64"/>
        <v>0</v>
      </c>
      <c r="J461" s="1320">
        <f t="shared" si="57"/>
        <v>0</v>
      </c>
      <c r="K461" s="1320">
        <f t="shared" si="58"/>
        <v>0</v>
      </c>
      <c r="L461" s="1318"/>
      <c r="M461" s="1318"/>
      <c r="N461" s="1321">
        <f t="shared" si="59"/>
        <v>0</v>
      </c>
      <c r="O461" s="1322">
        <f t="shared" si="60"/>
        <v>0</v>
      </c>
      <c r="P461" s="2369">
        <f t="shared" si="61"/>
        <v>1900</v>
      </c>
      <c r="Q461" s="2369">
        <f t="shared" si="62"/>
        <v>1900</v>
      </c>
      <c r="R461" s="654"/>
      <c r="S461" s="654"/>
      <c r="T461" s="654"/>
      <c r="U461" s="654"/>
    </row>
    <row r="462" spans="1:21" ht="14.25" customHeight="1">
      <c r="A462" s="1316"/>
      <c r="B462" s="1317"/>
      <c r="C462" s="1318"/>
      <c r="D462" s="1319"/>
      <c r="E462" s="1318"/>
      <c r="F462" s="1320">
        <f t="shared" si="63"/>
        <v>0</v>
      </c>
      <c r="G462" s="1319"/>
      <c r="H462" s="1318"/>
      <c r="I462" s="1320">
        <f t="shared" si="64"/>
        <v>0</v>
      </c>
      <c r="J462" s="1320">
        <f t="shared" si="57"/>
        <v>0</v>
      </c>
      <c r="K462" s="1320">
        <f t="shared" si="58"/>
        <v>0</v>
      </c>
      <c r="L462" s="1318"/>
      <c r="M462" s="1318"/>
      <c r="N462" s="1321">
        <f t="shared" si="59"/>
        <v>0</v>
      </c>
      <c r="O462" s="1322">
        <f t="shared" si="60"/>
        <v>0</v>
      </c>
      <c r="P462" s="2369">
        <f t="shared" si="61"/>
        <v>1900</v>
      </c>
      <c r="Q462" s="2369">
        <f t="shared" si="62"/>
        <v>1900</v>
      </c>
      <c r="R462" s="654"/>
      <c r="S462" s="654"/>
      <c r="T462" s="654"/>
      <c r="U462" s="654"/>
    </row>
    <row r="463" spans="1:21" ht="14.25" customHeight="1">
      <c r="A463" s="1316"/>
      <c r="B463" s="1317"/>
      <c r="C463" s="1318"/>
      <c r="D463" s="1319"/>
      <c r="E463" s="1318"/>
      <c r="F463" s="1320">
        <f t="shared" si="63"/>
        <v>0</v>
      </c>
      <c r="G463" s="1319"/>
      <c r="H463" s="1318"/>
      <c r="I463" s="1320">
        <f t="shared" si="64"/>
        <v>0</v>
      </c>
      <c r="J463" s="1320">
        <f t="shared" si="57"/>
        <v>0</v>
      </c>
      <c r="K463" s="1320">
        <f t="shared" si="58"/>
        <v>0</v>
      </c>
      <c r="L463" s="1318"/>
      <c r="M463" s="1318"/>
      <c r="N463" s="1321">
        <f t="shared" si="59"/>
        <v>0</v>
      </c>
      <c r="O463" s="1322">
        <f t="shared" si="60"/>
        <v>0</v>
      </c>
      <c r="P463" s="2369">
        <f t="shared" si="61"/>
        <v>1900</v>
      </c>
      <c r="Q463" s="2369">
        <f t="shared" si="62"/>
        <v>1900</v>
      </c>
      <c r="R463" s="654"/>
      <c r="S463" s="654"/>
      <c r="T463" s="654"/>
      <c r="U463" s="654"/>
    </row>
    <row r="464" spans="1:21" ht="14.25" customHeight="1">
      <c r="A464" s="1316"/>
      <c r="B464" s="1317"/>
      <c r="C464" s="1318"/>
      <c r="D464" s="1319"/>
      <c r="E464" s="1318"/>
      <c r="F464" s="1320">
        <f t="shared" si="63"/>
        <v>0</v>
      </c>
      <c r="G464" s="1319"/>
      <c r="H464" s="1318"/>
      <c r="I464" s="1320">
        <f t="shared" si="64"/>
        <v>0</v>
      </c>
      <c r="J464" s="1320">
        <f t="shared" si="57"/>
        <v>0</v>
      </c>
      <c r="K464" s="1320">
        <f t="shared" si="58"/>
        <v>0</v>
      </c>
      <c r="L464" s="1318"/>
      <c r="M464" s="1318"/>
      <c r="N464" s="1321">
        <f t="shared" si="59"/>
        <v>0</v>
      </c>
      <c r="O464" s="1322">
        <f t="shared" si="60"/>
        <v>0</v>
      </c>
      <c r="P464" s="2369">
        <f t="shared" si="61"/>
        <v>1900</v>
      </c>
      <c r="Q464" s="2369">
        <f t="shared" si="62"/>
        <v>1900</v>
      </c>
      <c r="R464" s="654"/>
      <c r="S464" s="654"/>
      <c r="T464" s="654"/>
      <c r="U464" s="654"/>
    </row>
    <row r="465" spans="1:21" ht="14.25" customHeight="1">
      <c r="A465" s="1316"/>
      <c r="B465" s="1317"/>
      <c r="C465" s="1318"/>
      <c r="D465" s="1319"/>
      <c r="E465" s="1318"/>
      <c r="F465" s="1320">
        <f t="shared" si="63"/>
        <v>0</v>
      </c>
      <c r="G465" s="1319"/>
      <c r="H465" s="1318"/>
      <c r="I465" s="1320">
        <f t="shared" si="64"/>
        <v>0</v>
      </c>
      <c r="J465" s="1320">
        <f t="shared" si="57"/>
        <v>0</v>
      </c>
      <c r="K465" s="1320">
        <f t="shared" si="58"/>
        <v>0</v>
      </c>
      <c r="L465" s="1318"/>
      <c r="M465" s="1318"/>
      <c r="N465" s="1321">
        <f t="shared" si="59"/>
        <v>0</v>
      </c>
      <c r="O465" s="1322">
        <f t="shared" si="60"/>
        <v>0</v>
      </c>
      <c r="P465" s="2369">
        <f t="shared" si="61"/>
        <v>1900</v>
      </c>
      <c r="Q465" s="2369">
        <f t="shared" si="62"/>
        <v>1900</v>
      </c>
      <c r="R465" s="654"/>
      <c r="S465" s="654"/>
      <c r="T465" s="654"/>
      <c r="U465" s="654"/>
    </row>
    <row r="466" spans="1:21" ht="14.25" customHeight="1">
      <c r="A466" s="1316"/>
      <c r="B466" s="1317"/>
      <c r="C466" s="1318"/>
      <c r="D466" s="1319"/>
      <c r="E466" s="1318"/>
      <c r="F466" s="1320">
        <f t="shared" si="63"/>
        <v>0</v>
      </c>
      <c r="G466" s="1319"/>
      <c r="H466" s="1318"/>
      <c r="I466" s="1320">
        <f t="shared" si="64"/>
        <v>0</v>
      </c>
      <c r="J466" s="1320">
        <f t="shared" si="57"/>
        <v>0</v>
      </c>
      <c r="K466" s="1320">
        <f t="shared" si="58"/>
        <v>0</v>
      </c>
      <c r="L466" s="1318"/>
      <c r="M466" s="1318"/>
      <c r="N466" s="1321">
        <f t="shared" si="59"/>
        <v>0</v>
      </c>
      <c r="O466" s="1322">
        <f t="shared" si="60"/>
        <v>0</v>
      </c>
      <c r="P466" s="2369">
        <f t="shared" si="61"/>
        <v>1900</v>
      </c>
      <c r="Q466" s="2369">
        <f t="shared" si="62"/>
        <v>1900</v>
      </c>
      <c r="R466" s="654"/>
      <c r="S466" s="654"/>
      <c r="T466" s="654"/>
      <c r="U466" s="654"/>
    </row>
    <row r="467" spans="1:21" ht="14.25" customHeight="1">
      <c r="A467" s="1316"/>
      <c r="B467" s="1317"/>
      <c r="C467" s="1318"/>
      <c r="D467" s="1319"/>
      <c r="E467" s="1318"/>
      <c r="F467" s="1320">
        <f t="shared" si="63"/>
        <v>0</v>
      </c>
      <c r="G467" s="1319"/>
      <c r="H467" s="1318"/>
      <c r="I467" s="1320">
        <f t="shared" si="64"/>
        <v>0</v>
      </c>
      <c r="J467" s="1320">
        <f t="shared" si="57"/>
        <v>0</v>
      </c>
      <c r="K467" s="1320">
        <f t="shared" si="58"/>
        <v>0</v>
      </c>
      <c r="L467" s="1318"/>
      <c r="M467" s="1318"/>
      <c r="N467" s="1321">
        <f t="shared" si="59"/>
        <v>0</v>
      </c>
      <c r="O467" s="1322">
        <f t="shared" si="60"/>
        <v>0</v>
      </c>
      <c r="P467" s="2369">
        <f t="shared" si="61"/>
        <v>1900</v>
      </c>
      <c r="Q467" s="2369">
        <f t="shared" si="62"/>
        <v>1900</v>
      </c>
      <c r="R467" s="654"/>
      <c r="S467" s="654"/>
      <c r="T467" s="654"/>
      <c r="U467" s="654"/>
    </row>
    <row r="468" spans="1:21" ht="14.25" customHeight="1">
      <c r="A468" s="1316"/>
      <c r="B468" s="1317"/>
      <c r="C468" s="1318"/>
      <c r="D468" s="1319"/>
      <c r="E468" s="1318"/>
      <c r="F468" s="1320">
        <f t="shared" si="63"/>
        <v>0</v>
      </c>
      <c r="G468" s="1319"/>
      <c r="H468" s="1318"/>
      <c r="I468" s="1320">
        <f t="shared" si="64"/>
        <v>0</v>
      </c>
      <c r="J468" s="1320">
        <f t="shared" si="57"/>
        <v>0</v>
      </c>
      <c r="K468" s="1320">
        <f t="shared" si="58"/>
        <v>0</v>
      </c>
      <c r="L468" s="1318"/>
      <c r="M468" s="1318"/>
      <c r="N468" s="1321">
        <f t="shared" si="59"/>
        <v>0</v>
      </c>
      <c r="O468" s="1322">
        <f t="shared" si="60"/>
        <v>0</v>
      </c>
      <c r="P468" s="2369">
        <f t="shared" si="61"/>
        <v>1900</v>
      </c>
      <c r="Q468" s="2369">
        <f t="shared" si="62"/>
        <v>1900</v>
      </c>
      <c r="R468" s="654"/>
      <c r="S468" s="654"/>
      <c r="T468" s="654"/>
      <c r="U468" s="654"/>
    </row>
    <row r="469" spans="1:21" ht="14.25" customHeight="1">
      <c r="A469" s="1316"/>
      <c r="B469" s="1317"/>
      <c r="C469" s="1318"/>
      <c r="D469" s="1319"/>
      <c r="E469" s="1318"/>
      <c r="F469" s="1320">
        <f t="shared" si="63"/>
        <v>0</v>
      </c>
      <c r="G469" s="1319"/>
      <c r="H469" s="1318"/>
      <c r="I469" s="1320">
        <f t="shared" si="64"/>
        <v>0</v>
      </c>
      <c r="J469" s="1320">
        <f t="shared" si="57"/>
        <v>0</v>
      </c>
      <c r="K469" s="1320">
        <f t="shared" si="58"/>
        <v>0</v>
      </c>
      <c r="L469" s="1318"/>
      <c r="M469" s="1318"/>
      <c r="N469" s="1321">
        <f t="shared" si="59"/>
        <v>0</v>
      </c>
      <c r="O469" s="1322">
        <f t="shared" si="60"/>
        <v>0</v>
      </c>
      <c r="P469" s="2369">
        <f t="shared" si="61"/>
        <v>1900</v>
      </c>
      <c r="Q469" s="2369">
        <f t="shared" si="62"/>
        <v>1900</v>
      </c>
      <c r="R469" s="654"/>
      <c r="S469" s="654"/>
      <c r="T469" s="654"/>
      <c r="U469" s="654"/>
    </row>
    <row r="470" spans="1:21" ht="14.25" customHeight="1">
      <c r="A470" s="1316"/>
      <c r="B470" s="1317"/>
      <c r="C470" s="1318"/>
      <c r="D470" s="1319"/>
      <c r="E470" s="1318"/>
      <c r="F470" s="1320">
        <f t="shared" si="63"/>
        <v>0</v>
      </c>
      <c r="G470" s="1319"/>
      <c r="H470" s="1318"/>
      <c r="I470" s="1320">
        <f t="shared" si="64"/>
        <v>0</v>
      </c>
      <c r="J470" s="1320">
        <f t="shared" si="57"/>
        <v>0</v>
      </c>
      <c r="K470" s="1320">
        <f t="shared" si="58"/>
        <v>0</v>
      </c>
      <c r="L470" s="1318"/>
      <c r="M470" s="1318"/>
      <c r="N470" s="1321">
        <f t="shared" si="59"/>
        <v>0</v>
      </c>
      <c r="O470" s="1322">
        <f t="shared" si="60"/>
        <v>0</v>
      </c>
      <c r="P470" s="2369">
        <f t="shared" si="61"/>
        <v>1900</v>
      </c>
      <c r="Q470" s="2369">
        <f t="shared" si="62"/>
        <v>1900</v>
      </c>
      <c r="R470" s="654"/>
      <c r="S470" s="654"/>
      <c r="T470" s="654"/>
      <c r="U470" s="654"/>
    </row>
    <row r="471" spans="1:21" ht="14.25" customHeight="1">
      <c r="A471" s="1316"/>
      <c r="B471" s="1317"/>
      <c r="C471" s="1318"/>
      <c r="D471" s="1319"/>
      <c r="E471" s="1318"/>
      <c r="F471" s="1320">
        <f t="shared" si="63"/>
        <v>0</v>
      </c>
      <c r="G471" s="1319"/>
      <c r="H471" s="1318"/>
      <c r="I471" s="1320">
        <f t="shared" si="64"/>
        <v>0</v>
      </c>
      <c r="J471" s="1320">
        <f t="shared" si="57"/>
        <v>0</v>
      </c>
      <c r="K471" s="1320">
        <f t="shared" si="58"/>
        <v>0</v>
      </c>
      <c r="L471" s="1318"/>
      <c r="M471" s="1318"/>
      <c r="N471" s="1321">
        <f t="shared" si="59"/>
        <v>0</v>
      </c>
      <c r="O471" s="1322">
        <f t="shared" si="60"/>
        <v>0</v>
      </c>
      <c r="P471" s="2369">
        <f t="shared" si="61"/>
        <v>1900</v>
      </c>
      <c r="Q471" s="2369">
        <f t="shared" si="62"/>
        <v>1900</v>
      </c>
      <c r="R471" s="654"/>
      <c r="S471" s="654"/>
      <c r="T471" s="654"/>
      <c r="U471" s="654"/>
    </row>
    <row r="472" spans="1:21" ht="14.25" customHeight="1">
      <c r="A472" s="1316"/>
      <c r="B472" s="1317"/>
      <c r="C472" s="1318"/>
      <c r="D472" s="1319"/>
      <c r="E472" s="1318"/>
      <c r="F472" s="1320">
        <f t="shared" si="63"/>
        <v>0</v>
      </c>
      <c r="G472" s="1319"/>
      <c r="H472" s="1318"/>
      <c r="I472" s="1320">
        <f t="shared" si="64"/>
        <v>0</v>
      </c>
      <c r="J472" s="1320">
        <f t="shared" si="57"/>
        <v>0</v>
      </c>
      <c r="K472" s="1320">
        <f t="shared" si="58"/>
        <v>0</v>
      </c>
      <c r="L472" s="1318"/>
      <c r="M472" s="1318"/>
      <c r="N472" s="1321">
        <f t="shared" si="59"/>
        <v>0</v>
      </c>
      <c r="O472" s="1322">
        <f t="shared" si="60"/>
        <v>0</v>
      </c>
      <c r="P472" s="2369">
        <f t="shared" si="61"/>
        <v>1900</v>
      </c>
      <c r="Q472" s="2369">
        <f t="shared" si="62"/>
        <v>1900</v>
      </c>
      <c r="R472" s="654"/>
      <c r="S472" s="654"/>
      <c r="T472" s="654"/>
      <c r="U472" s="654"/>
    </row>
    <row r="473" spans="1:21" ht="14.25" customHeight="1">
      <c r="A473" s="1316"/>
      <c r="B473" s="1317"/>
      <c r="C473" s="1318"/>
      <c r="D473" s="1319"/>
      <c r="E473" s="1318"/>
      <c r="F473" s="1320">
        <f t="shared" si="63"/>
        <v>0</v>
      </c>
      <c r="G473" s="1319"/>
      <c r="H473" s="1318"/>
      <c r="I473" s="1320">
        <f t="shared" si="64"/>
        <v>0</v>
      </c>
      <c r="J473" s="1320">
        <f t="shared" si="57"/>
        <v>0</v>
      </c>
      <c r="K473" s="1320">
        <f t="shared" si="58"/>
        <v>0</v>
      </c>
      <c r="L473" s="1318"/>
      <c r="M473" s="1318"/>
      <c r="N473" s="1321">
        <f t="shared" si="59"/>
        <v>0</v>
      </c>
      <c r="O473" s="1322">
        <f t="shared" si="60"/>
        <v>0</v>
      </c>
      <c r="P473" s="2369">
        <f t="shared" si="61"/>
        <v>1900</v>
      </c>
      <c r="Q473" s="2369">
        <f t="shared" si="62"/>
        <v>1900</v>
      </c>
      <c r="R473" s="654"/>
      <c r="S473" s="654"/>
      <c r="T473" s="654"/>
      <c r="U473" s="654"/>
    </row>
    <row r="474" spans="1:21" ht="14.25" customHeight="1">
      <c r="A474" s="1316"/>
      <c r="B474" s="1317"/>
      <c r="C474" s="1318"/>
      <c r="D474" s="1319"/>
      <c r="E474" s="1318"/>
      <c r="F474" s="1320">
        <f t="shared" si="63"/>
        <v>0</v>
      </c>
      <c r="G474" s="1319"/>
      <c r="H474" s="1318"/>
      <c r="I474" s="1320">
        <f t="shared" si="64"/>
        <v>0</v>
      </c>
      <c r="J474" s="1320">
        <f t="shared" si="57"/>
        <v>0</v>
      </c>
      <c r="K474" s="1320">
        <f t="shared" si="58"/>
        <v>0</v>
      </c>
      <c r="L474" s="1318"/>
      <c r="M474" s="1318"/>
      <c r="N474" s="1321">
        <f t="shared" si="59"/>
        <v>0</v>
      </c>
      <c r="O474" s="1322">
        <f t="shared" si="60"/>
        <v>0</v>
      </c>
      <c r="P474" s="2369">
        <f t="shared" si="61"/>
        <v>1900</v>
      </c>
      <c r="Q474" s="2369">
        <f t="shared" si="62"/>
        <v>1900</v>
      </c>
      <c r="R474" s="654"/>
      <c r="S474" s="654"/>
      <c r="T474" s="654"/>
      <c r="U474" s="654"/>
    </row>
    <row r="475" spans="1:21" ht="14.25" customHeight="1">
      <c r="A475" s="1316"/>
      <c r="B475" s="1317"/>
      <c r="C475" s="1318"/>
      <c r="D475" s="1319"/>
      <c r="E475" s="1318"/>
      <c r="F475" s="1320">
        <f t="shared" si="63"/>
        <v>0</v>
      </c>
      <c r="G475" s="1319"/>
      <c r="H475" s="1318"/>
      <c r="I475" s="1320">
        <f t="shared" si="64"/>
        <v>0</v>
      </c>
      <c r="J475" s="1320">
        <f t="shared" si="57"/>
        <v>0</v>
      </c>
      <c r="K475" s="1320">
        <f t="shared" si="58"/>
        <v>0</v>
      </c>
      <c r="L475" s="1318"/>
      <c r="M475" s="1318"/>
      <c r="N475" s="1321">
        <f t="shared" si="59"/>
        <v>0</v>
      </c>
      <c r="O475" s="1322">
        <f t="shared" si="60"/>
        <v>0</v>
      </c>
      <c r="P475" s="2369">
        <f t="shared" si="61"/>
        <v>1900</v>
      </c>
      <c r="Q475" s="2369">
        <f t="shared" si="62"/>
        <v>1900</v>
      </c>
      <c r="R475" s="654"/>
      <c r="S475" s="654"/>
      <c r="T475" s="654"/>
      <c r="U475" s="654"/>
    </row>
    <row r="476" spans="1:21" ht="14.25" customHeight="1">
      <c r="A476" s="1316"/>
      <c r="B476" s="1317"/>
      <c r="C476" s="1318"/>
      <c r="D476" s="1319"/>
      <c r="E476" s="1318"/>
      <c r="F476" s="1320">
        <f t="shared" si="63"/>
        <v>0</v>
      </c>
      <c r="G476" s="1319"/>
      <c r="H476" s="1318"/>
      <c r="I476" s="1320">
        <f t="shared" si="64"/>
        <v>0</v>
      </c>
      <c r="J476" s="1320">
        <f t="shared" si="57"/>
        <v>0</v>
      </c>
      <c r="K476" s="1320">
        <f t="shared" si="58"/>
        <v>0</v>
      </c>
      <c r="L476" s="1318"/>
      <c r="M476" s="1318"/>
      <c r="N476" s="1321">
        <f t="shared" si="59"/>
        <v>0</v>
      </c>
      <c r="O476" s="1322">
        <f t="shared" si="60"/>
        <v>0</v>
      </c>
      <c r="P476" s="2369">
        <f t="shared" si="61"/>
        <v>1900</v>
      </c>
      <c r="Q476" s="2369">
        <f t="shared" si="62"/>
        <v>1900</v>
      </c>
      <c r="R476" s="654"/>
      <c r="S476" s="654"/>
      <c r="T476" s="654"/>
      <c r="U476" s="654"/>
    </row>
    <row r="477" spans="1:21" ht="14.25" customHeight="1">
      <c r="A477" s="1316"/>
      <c r="B477" s="1317"/>
      <c r="C477" s="1318"/>
      <c r="D477" s="1319"/>
      <c r="E477" s="1318"/>
      <c r="F477" s="1320">
        <f t="shared" si="63"/>
        <v>0</v>
      </c>
      <c r="G477" s="1319"/>
      <c r="H477" s="1318"/>
      <c r="I477" s="1320">
        <f t="shared" si="64"/>
        <v>0</v>
      </c>
      <c r="J477" s="1320">
        <f t="shared" si="57"/>
        <v>0</v>
      </c>
      <c r="K477" s="1320">
        <f t="shared" si="58"/>
        <v>0</v>
      </c>
      <c r="L477" s="1318"/>
      <c r="M477" s="1318"/>
      <c r="N477" s="1321">
        <f t="shared" si="59"/>
        <v>0</v>
      </c>
      <c r="O477" s="1322">
        <f t="shared" si="60"/>
        <v>0</v>
      </c>
      <c r="P477" s="2369">
        <f t="shared" si="61"/>
        <v>1900</v>
      </c>
      <c r="Q477" s="2369">
        <f t="shared" si="62"/>
        <v>1900</v>
      </c>
      <c r="R477" s="654"/>
      <c r="S477" s="654"/>
      <c r="T477" s="654"/>
      <c r="U477" s="654"/>
    </row>
    <row r="478" spans="1:21" ht="14.25" customHeight="1">
      <c r="A478" s="1316"/>
      <c r="B478" s="1317"/>
      <c r="C478" s="1318"/>
      <c r="D478" s="1319"/>
      <c r="E478" s="1318"/>
      <c r="F478" s="1320">
        <f t="shared" si="63"/>
        <v>0</v>
      </c>
      <c r="G478" s="1319"/>
      <c r="H478" s="1318"/>
      <c r="I478" s="1320">
        <f t="shared" si="64"/>
        <v>0</v>
      </c>
      <c r="J478" s="1320">
        <f t="shared" si="57"/>
        <v>0</v>
      </c>
      <c r="K478" s="1320">
        <f t="shared" si="58"/>
        <v>0</v>
      </c>
      <c r="L478" s="1318"/>
      <c r="M478" s="1318"/>
      <c r="N478" s="1321">
        <f t="shared" si="59"/>
        <v>0</v>
      </c>
      <c r="O478" s="1322">
        <f t="shared" si="60"/>
        <v>0</v>
      </c>
      <c r="P478" s="2369">
        <f t="shared" si="61"/>
        <v>1900</v>
      </c>
      <c r="Q478" s="2369">
        <f t="shared" si="62"/>
        <v>1900</v>
      </c>
      <c r="R478" s="654"/>
      <c r="S478" s="654"/>
      <c r="T478" s="654"/>
      <c r="U478" s="654"/>
    </row>
    <row r="479" spans="1:21" ht="14.25" customHeight="1">
      <c r="A479" s="1316"/>
      <c r="B479" s="1317"/>
      <c r="C479" s="1318"/>
      <c r="D479" s="1319"/>
      <c r="E479" s="1318"/>
      <c r="F479" s="1320">
        <f t="shared" si="63"/>
        <v>0</v>
      </c>
      <c r="G479" s="1319"/>
      <c r="H479" s="1318"/>
      <c r="I479" s="1320">
        <f t="shared" si="64"/>
        <v>0</v>
      </c>
      <c r="J479" s="1320">
        <f t="shared" si="57"/>
        <v>0</v>
      </c>
      <c r="K479" s="1320">
        <f t="shared" si="58"/>
        <v>0</v>
      </c>
      <c r="L479" s="1318"/>
      <c r="M479" s="1318"/>
      <c r="N479" s="1321">
        <f t="shared" si="59"/>
        <v>0</v>
      </c>
      <c r="O479" s="1322">
        <f t="shared" si="60"/>
        <v>0</v>
      </c>
      <c r="P479" s="2369">
        <f t="shared" si="61"/>
        <v>1900</v>
      </c>
      <c r="Q479" s="2369">
        <f t="shared" si="62"/>
        <v>1900</v>
      </c>
      <c r="R479" s="654"/>
      <c r="S479" s="654"/>
      <c r="T479" s="654"/>
      <c r="U479" s="654"/>
    </row>
    <row r="480" spans="1:21" ht="14.25" customHeight="1">
      <c r="A480" s="1316"/>
      <c r="B480" s="1317"/>
      <c r="C480" s="1318"/>
      <c r="D480" s="1319"/>
      <c r="E480" s="1318"/>
      <c r="F480" s="1320">
        <f t="shared" si="63"/>
        <v>0</v>
      </c>
      <c r="G480" s="1319"/>
      <c r="H480" s="1318"/>
      <c r="I480" s="1320">
        <f t="shared" si="64"/>
        <v>0</v>
      </c>
      <c r="J480" s="1320">
        <f t="shared" si="57"/>
        <v>0</v>
      </c>
      <c r="K480" s="1320">
        <f t="shared" si="58"/>
        <v>0</v>
      </c>
      <c r="L480" s="1318"/>
      <c r="M480" s="1318"/>
      <c r="N480" s="1321">
        <f t="shared" si="59"/>
        <v>0</v>
      </c>
      <c r="O480" s="1322">
        <f t="shared" si="60"/>
        <v>0</v>
      </c>
      <c r="P480" s="2369">
        <f t="shared" si="61"/>
        <v>1900</v>
      </c>
      <c r="Q480" s="2369">
        <f t="shared" si="62"/>
        <v>1900</v>
      </c>
      <c r="R480" s="654"/>
      <c r="S480" s="654"/>
      <c r="T480" s="654"/>
      <c r="U480" s="654"/>
    </row>
    <row r="481" spans="1:21" ht="14.25" customHeight="1">
      <c r="A481" s="1316"/>
      <c r="B481" s="1317"/>
      <c r="C481" s="1318"/>
      <c r="D481" s="1319"/>
      <c r="E481" s="1318"/>
      <c r="F481" s="1320">
        <f t="shared" si="63"/>
        <v>0</v>
      </c>
      <c r="G481" s="1319"/>
      <c r="H481" s="1318"/>
      <c r="I481" s="1320">
        <f t="shared" si="64"/>
        <v>0</v>
      </c>
      <c r="J481" s="1320">
        <f t="shared" si="57"/>
        <v>0</v>
      </c>
      <c r="K481" s="1320">
        <f t="shared" si="58"/>
        <v>0</v>
      </c>
      <c r="L481" s="1318"/>
      <c r="M481" s="1318"/>
      <c r="N481" s="1321">
        <f t="shared" si="59"/>
        <v>0</v>
      </c>
      <c r="O481" s="1322">
        <f t="shared" si="60"/>
        <v>0</v>
      </c>
      <c r="P481" s="2369">
        <f t="shared" si="61"/>
        <v>1900</v>
      </c>
      <c r="Q481" s="2369">
        <f t="shared" si="62"/>
        <v>1900</v>
      </c>
      <c r="R481" s="654"/>
      <c r="S481" s="654"/>
      <c r="T481" s="654"/>
      <c r="U481" s="654"/>
    </row>
    <row r="482" spans="1:21" ht="14.25" customHeight="1">
      <c r="A482" s="1316"/>
      <c r="B482" s="1317"/>
      <c r="C482" s="1318"/>
      <c r="D482" s="1319"/>
      <c r="E482" s="1318"/>
      <c r="F482" s="1320">
        <f t="shared" si="63"/>
        <v>0</v>
      </c>
      <c r="G482" s="1319"/>
      <c r="H482" s="1318"/>
      <c r="I482" s="1320">
        <f t="shared" si="64"/>
        <v>0</v>
      </c>
      <c r="J482" s="1320">
        <f t="shared" si="57"/>
        <v>0</v>
      </c>
      <c r="K482" s="1320">
        <f t="shared" si="58"/>
        <v>0</v>
      </c>
      <c r="L482" s="1318"/>
      <c r="M482" s="1318"/>
      <c r="N482" s="1321">
        <f t="shared" si="59"/>
        <v>0</v>
      </c>
      <c r="O482" s="1322">
        <f t="shared" si="60"/>
        <v>0</v>
      </c>
      <c r="P482" s="2369">
        <f t="shared" si="61"/>
        <v>1900</v>
      </c>
      <c r="Q482" s="2369">
        <f t="shared" si="62"/>
        <v>1900</v>
      </c>
      <c r="R482" s="654"/>
      <c r="S482" s="654"/>
      <c r="T482" s="654"/>
      <c r="U482" s="654"/>
    </row>
    <row r="483" spans="1:21" ht="14.25" customHeight="1">
      <c r="A483" s="1316"/>
      <c r="B483" s="1317"/>
      <c r="C483" s="1318"/>
      <c r="D483" s="1319"/>
      <c r="E483" s="1318"/>
      <c r="F483" s="1320">
        <f t="shared" si="63"/>
        <v>0</v>
      </c>
      <c r="G483" s="1319"/>
      <c r="H483" s="1318"/>
      <c r="I483" s="1320">
        <f t="shared" si="64"/>
        <v>0</v>
      </c>
      <c r="J483" s="1320">
        <f t="shared" si="57"/>
        <v>0</v>
      </c>
      <c r="K483" s="1320">
        <f t="shared" si="58"/>
        <v>0</v>
      </c>
      <c r="L483" s="1318"/>
      <c r="M483" s="1318"/>
      <c r="N483" s="1321">
        <f t="shared" si="59"/>
        <v>0</v>
      </c>
      <c r="O483" s="1322">
        <f t="shared" si="60"/>
        <v>0</v>
      </c>
      <c r="P483" s="2369">
        <f t="shared" si="61"/>
        <v>1900</v>
      </c>
      <c r="Q483" s="2369">
        <f t="shared" si="62"/>
        <v>1900</v>
      </c>
      <c r="R483" s="654"/>
      <c r="S483" s="654"/>
      <c r="T483" s="654"/>
      <c r="U483" s="654"/>
    </row>
    <row r="484" spans="1:21" ht="14.25" customHeight="1">
      <c r="A484" s="1316"/>
      <c r="B484" s="1317"/>
      <c r="C484" s="1318"/>
      <c r="D484" s="1319"/>
      <c r="E484" s="1318"/>
      <c r="F484" s="1320">
        <f t="shared" si="63"/>
        <v>0</v>
      </c>
      <c r="G484" s="1319"/>
      <c r="H484" s="1318"/>
      <c r="I484" s="1320">
        <f t="shared" si="64"/>
        <v>0</v>
      </c>
      <c r="J484" s="1320">
        <f t="shared" si="57"/>
        <v>0</v>
      </c>
      <c r="K484" s="1320">
        <f t="shared" si="58"/>
        <v>0</v>
      </c>
      <c r="L484" s="1318"/>
      <c r="M484" s="1318"/>
      <c r="N484" s="1321">
        <f t="shared" si="59"/>
        <v>0</v>
      </c>
      <c r="O484" s="1322">
        <f t="shared" si="60"/>
        <v>0</v>
      </c>
      <c r="P484" s="2369">
        <f t="shared" si="61"/>
        <v>1900</v>
      </c>
      <c r="Q484" s="2369">
        <f t="shared" si="62"/>
        <v>1900</v>
      </c>
      <c r="R484" s="654"/>
      <c r="S484" s="654"/>
      <c r="T484" s="654"/>
      <c r="U484" s="654"/>
    </row>
    <row r="485" spans="1:21" ht="14.25" customHeight="1">
      <c r="A485" s="1316"/>
      <c r="B485" s="1317"/>
      <c r="C485" s="1318"/>
      <c r="D485" s="1319"/>
      <c r="E485" s="1318"/>
      <c r="F485" s="1320">
        <f t="shared" si="63"/>
        <v>0</v>
      </c>
      <c r="G485" s="1319"/>
      <c r="H485" s="1318"/>
      <c r="I485" s="1320">
        <f t="shared" si="64"/>
        <v>0</v>
      </c>
      <c r="J485" s="1320">
        <f t="shared" si="57"/>
        <v>0</v>
      </c>
      <c r="K485" s="1320">
        <f t="shared" si="58"/>
        <v>0</v>
      </c>
      <c r="L485" s="1318"/>
      <c r="M485" s="1318"/>
      <c r="N485" s="1321">
        <f t="shared" si="59"/>
        <v>0</v>
      </c>
      <c r="O485" s="1322">
        <f t="shared" si="60"/>
        <v>0</v>
      </c>
      <c r="P485" s="2369">
        <f t="shared" si="61"/>
        <v>1900</v>
      </c>
      <c r="Q485" s="2369">
        <f t="shared" si="62"/>
        <v>1900</v>
      </c>
      <c r="R485" s="654"/>
      <c r="S485" s="654"/>
      <c r="T485" s="654"/>
      <c r="U485" s="654"/>
    </row>
    <row r="486" spans="1:21" ht="14.25" customHeight="1">
      <c r="A486" s="1316"/>
      <c r="B486" s="1317"/>
      <c r="C486" s="1318"/>
      <c r="D486" s="1319"/>
      <c r="E486" s="1318"/>
      <c r="F486" s="1320">
        <f t="shared" si="63"/>
        <v>0</v>
      </c>
      <c r="G486" s="1319"/>
      <c r="H486" s="1318"/>
      <c r="I486" s="1320">
        <f t="shared" si="64"/>
        <v>0</v>
      </c>
      <c r="J486" s="1320">
        <f t="shared" si="57"/>
        <v>0</v>
      </c>
      <c r="K486" s="1320">
        <f t="shared" si="58"/>
        <v>0</v>
      </c>
      <c r="L486" s="1318"/>
      <c r="M486" s="1318"/>
      <c r="N486" s="1321">
        <f t="shared" si="59"/>
        <v>0</v>
      </c>
      <c r="O486" s="1322">
        <f t="shared" si="60"/>
        <v>0</v>
      </c>
      <c r="P486" s="2369">
        <f t="shared" si="61"/>
        <v>1900</v>
      </c>
      <c r="Q486" s="2369">
        <f t="shared" si="62"/>
        <v>1900</v>
      </c>
      <c r="R486" s="654"/>
      <c r="S486" s="654"/>
      <c r="T486" s="654"/>
      <c r="U486" s="654"/>
    </row>
    <row r="487" spans="1:21" ht="14.25" customHeight="1">
      <c r="A487" s="1316"/>
      <c r="B487" s="1317"/>
      <c r="C487" s="1318"/>
      <c r="D487" s="1319"/>
      <c r="E487" s="1318"/>
      <c r="F487" s="1320">
        <f t="shared" si="63"/>
        <v>0</v>
      </c>
      <c r="G487" s="1319"/>
      <c r="H487" s="1318"/>
      <c r="I487" s="1320">
        <f t="shared" si="64"/>
        <v>0</v>
      </c>
      <c r="J487" s="1320">
        <f t="shared" si="57"/>
        <v>0</v>
      </c>
      <c r="K487" s="1320">
        <f t="shared" si="58"/>
        <v>0</v>
      </c>
      <c r="L487" s="1318"/>
      <c r="M487" s="1318"/>
      <c r="N487" s="1321">
        <f t="shared" si="59"/>
        <v>0</v>
      </c>
      <c r="O487" s="1322">
        <f t="shared" si="60"/>
        <v>0</v>
      </c>
      <c r="P487" s="2369">
        <f t="shared" si="61"/>
        <v>1900</v>
      </c>
      <c r="Q487" s="2369">
        <f t="shared" si="62"/>
        <v>1900</v>
      </c>
      <c r="R487" s="654"/>
      <c r="S487" s="654"/>
      <c r="T487" s="654"/>
      <c r="U487" s="654"/>
    </row>
    <row r="488" spans="1:21" ht="14.25" customHeight="1">
      <c r="A488" s="1316"/>
      <c r="B488" s="1317"/>
      <c r="C488" s="1318"/>
      <c r="D488" s="1319"/>
      <c r="E488" s="1318"/>
      <c r="F488" s="1320">
        <f t="shared" si="63"/>
        <v>0</v>
      </c>
      <c r="G488" s="1319"/>
      <c r="H488" s="1318"/>
      <c r="I488" s="1320">
        <f t="shared" si="64"/>
        <v>0</v>
      </c>
      <c r="J488" s="1320">
        <f t="shared" si="57"/>
        <v>0</v>
      </c>
      <c r="K488" s="1320">
        <f t="shared" si="58"/>
        <v>0</v>
      </c>
      <c r="L488" s="1318"/>
      <c r="M488" s="1318"/>
      <c r="N488" s="1321">
        <f t="shared" si="59"/>
        <v>0</v>
      </c>
      <c r="O488" s="1322">
        <f t="shared" si="60"/>
        <v>0</v>
      </c>
      <c r="P488" s="2369">
        <f t="shared" si="61"/>
        <v>1900</v>
      </c>
      <c r="Q488" s="2369">
        <f t="shared" si="62"/>
        <v>1900</v>
      </c>
      <c r="R488" s="654"/>
      <c r="S488" s="654"/>
      <c r="T488" s="654"/>
      <c r="U488" s="654"/>
    </row>
    <row r="489" spans="1:21" ht="14.25" customHeight="1">
      <c r="A489" s="1316"/>
      <c r="B489" s="1317"/>
      <c r="C489" s="1318"/>
      <c r="D489" s="1319"/>
      <c r="E489" s="1318"/>
      <c r="F489" s="1320">
        <f t="shared" si="63"/>
        <v>0</v>
      </c>
      <c r="G489" s="1319"/>
      <c r="H489" s="1318"/>
      <c r="I489" s="1320">
        <f t="shared" si="64"/>
        <v>0</v>
      </c>
      <c r="J489" s="1320">
        <f t="shared" si="57"/>
        <v>0</v>
      </c>
      <c r="K489" s="1320">
        <f t="shared" si="58"/>
        <v>0</v>
      </c>
      <c r="L489" s="1318"/>
      <c r="M489" s="1318"/>
      <c r="N489" s="1321">
        <f t="shared" si="59"/>
        <v>0</v>
      </c>
      <c r="O489" s="1322">
        <f t="shared" si="60"/>
        <v>0</v>
      </c>
      <c r="P489" s="2369">
        <f t="shared" si="61"/>
        <v>1900</v>
      </c>
      <c r="Q489" s="2369">
        <f t="shared" si="62"/>
        <v>1900</v>
      </c>
      <c r="R489" s="654"/>
      <c r="S489" s="654"/>
      <c r="T489" s="654"/>
      <c r="U489" s="654"/>
    </row>
    <row r="490" spans="1:21" ht="14.25" customHeight="1">
      <c r="A490" s="1316"/>
      <c r="B490" s="1317"/>
      <c r="C490" s="1318"/>
      <c r="D490" s="1319"/>
      <c r="E490" s="1318"/>
      <c r="F490" s="1320">
        <f t="shared" si="63"/>
        <v>0</v>
      </c>
      <c r="G490" s="1319"/>
      <c r="H490" s="1318"/>
      <c r="I490" s="1320">
        <f t="shared" si="64"/>
        <v>0</v>
      </c>
      <c r="J490" s="1320">
        <f t="shared" si="57"/>
        <v>0</v>
      </c>
      <c r="K490" s="1320">
        <f t="shared" si="58"/>
        <v>0</v>
      </c>
      <c r="L490" s="1318"/>
      <c r="M490" s="1318"/>
      <c r="N490" s="1321">
        <f t="shared" si="59"/>
        <v>0</v>
      </c>
      <c r="O490" s="1322">
        <f t="shared" si="60"/>
        <v>0</v>
      </c>
      <c r="P490" s="2369">
        <f t="shared" si="61"/>
        <v>1900</v>
      </c>
      <c r="Q490" s="2369">
        <f t="shared" si="62"/>
        <v>1900</v>
      </c>
      <c r="R490" s="654"/>
      <c r="S490" s="654"/>
      <c r="T490" s="654"/>
      <c r="U490" s="654"/>
    </row>
    <row r="491" spans="1:21" ht="14.25" customHeight="1">
      <c r="A491" s="1316"/>
      <c r="B491" s="1317"/>
      <c r="C491" s="1318"/>
      <c r="D491" s="1319"/>
      <c r="E491" s="1318"/>
      <c r="F491" s="1320">
        <f t="shared" si="63"/>
        <v>0</v>
      </c>
      <c r="G491" s="1319"/>
      <c r="H491" s="1318"/>
      <c r="I491" s="1320">
        <f t="shared" si="64"/>
        <v>0</v>
      </c>
      <c r="J491" s="1320">
        <f t="shared" si="57"/>
        <v>0</v>
      </c>
      <c r="K491" s="1320">
        <f t="shared" si="58"/>
        <v>0</v>
      </c>
      <c r="L491" s="1318"/>
      <c r="M491" s="1318"/>
      <c r="N491" s="1321">
        <f t="shared" si="59"/>
        <v>0</v>
      </c>
      <c r="O491" s="1322">
        <f t="shared" si="60"/>
        <v>0</v>
      </c>
      <c r="P491" s="2369">
        <f t="shared" si="61"/>
        <v>1900</v>
      </c>
      <c r="Q491" s="2369">
        <f t="shared" si="62"/>
        <v>1900</v>
      </c>
      <c r="R491" s="654"/>
      <c r="S491" s="654"/>
      <c r="T491" s="654"/>
      <c r="U491" s="654"/>
    </row>
    <row r="492" spans="1:21" ht="14.25" customHeight="1">
      <c r="A492" s="1316"/>
      <c r="B492" s="1317"/>
      <c r="C492" s="1318"/>
      <c r="D492" s="1319"/>
      <c r="E492" s="1318"/>
      <c r="F492" s="1320">
        <f t="shared" si="63"/>
        <v>0</v>
      </c>
      <c r="G492" s="1319"/>
      <c r="H492" s="1318"/>
      <c r="I492" s="1320">
        <f t="shared" si="64"/>
        <v>0</v>
      </c>
      <c r="J492" s="1320">
        <f t="shared" si="57"/>
        <v>0</v>
      </c>
      <c r="K492" s="1320">
        <f t="shared" si="58"/>
        <v>0</v>
      </c>
      <c r="L492" s="1318"/>
      <c r="M492" s="1318"/>
      <c r="N492" s="1321">
        <f t="shared" si="59"/>
        <v>0</v>
      </c>
      <c r="O492" s="1322">
        <f t="shared" si="60"/>
        <v>0</v>
      </c>
      <c r="P492" s="2369">
        <f t="shared" si="61"/>
        <v>1900</v>
      </c>
      <c r="Q492" s="2369">
        <f t="shared" si="62"/>
        <v>1900</v>
      </c>
      <c r="R492" s="654"/>
      <c r="S492" s="654"/>
      <c r="T492" s="654"/>
      <c r="U492" s="654"/>
    </row>
    <row r="493" spans="1:21" ht="14.25" customHeight="1">
      <c r="A493" s="1316"/>
      <c r="B493" s="1317"/>
      <c r="C493" s="1318"/>
      <c r="D493" s="1319"/>
      <c r="E493" s="1318"/>
      <c r="F493" s="1320">
        <f t="shared" si="63"/>
        <v>0</v>
      </c>
      <c r="G493" s="1319"/>
      <c r="H493" s="1318"/>
      <c r="I493" s="1320">
        <f t="shared" si="64"/>
        <v>0</v>
      </c>
      <c r="J493" s="1320">
        <f t="shared" si="57"/>
        <v>0</v>
      </c>
      <c r="K493" s="1320">
        <f t="shared" si="58"/>
        <v>0</v>
      </c>
      <c r="L493" s="1318"/>
      <c r="M493" s="1318"/>
      <c r="N493" s="1321">
        <f t="shared" si="59"/>
        <v>0</v>
      </c>
      <c r="O493" s="1322">
        <f t="shared" si="60"/>
        <v>0</v>
      </c>
      <c r="P493" s="2369">
        <f t="shared" si="61"/>
        <v>1900</v>
      </c>
      <c r="Q493" s="2369">
        <f t="shared" si="62"/>
        <v>1900</v>
      </c>
      <c r="R493" s="654"/>
      <c r="S493" s="654"/>
      <c r="T493" s="654"/>
      <c r="U493" s="654"/>
    </row>
    <row r="494" spans="1:21" ht="14.25" customHeight="1">
      <c r="A494" s="1316"/>
      <c r="B494" s="1317"/>
      <c r="C494" s="1318"/>
      <c r="D494" s="1319"/>
      <c r="E494" s="1318"/>
      <c r="F494" s="1320">
        <f t="shared" si="63"/>
        <v>0</v>
      </c>
      <c r="G494" s="1319"/>
      <c r="H494" s="1318"/>
      <c r="I494" s="1320">
        <f t="shared" si="64"/>
        <v>0</v>
      </c>
      <c r="J494" s="1320">
        <f t="shared" si="57"/>
        <v>0</v>
      </c>
      <c r="K494" s="1320">
        <f t="shared" si="58"/>
        <v>0</v>
      </c>
      <c r="L494" s="1318"/>
      <c r="M494" s="1318"/>
      <c r="N494" s="1321">
        <f t="shared" si="59"/>
        <v>0</v>
      </c>
      <c r="O494" s="1322">
        <f t="shared" si="60"/>
        <v>0</v>
      </c>
      <c r="P494" s="2369">
        <f t="shared" si="61"/>
        <v>1900</v>
      </c>
      <c r="Q494" s="2369">
        <f t="shared" si="62"/>
        <v>1900</v>
      </c>
      <c r="R494" s="654"/>
      <c r="S494" s="654"/>
      <c r="T494" s="654"/>
      <c r="U494" s="654"/>
    </row>
    <row r="495" spans="1:21" ht="14.25" customHeight="1">
      <c r="A495" s="1316"/>
      <c r="B495" s="1317"/>
      <c r="C495" s="1318"/>
      <c r="D495" s="1319"/>
      <c r="E495" s="1318"/>
      <c r="F495" s="1320">
        <f t="shared" si="63"/>
        <v>0</v>
      </c>
      <c r="G495" s="1319"/>
      <c r="H495" s="1318"/>
      <c r="I495" s="1320">
        <f t="shared" si="64"/>
        <v>0</v>
      </c>
      <c r="J495" s="1320">
        <f t="shared" si="57"/>
        <v>0</v>
      </c>
      <c r="K495" s="1320">
        <f t="shared" si="58"/>
        <v>0</v>
      </c>
      <c r="L495" s="1318"/>
      <c r="M495" s="1318"/>
      <c r="N495" s="1321">
        <f t="shared" si="59"/>
        <v>0</v>
      </c>
      <c r="O495" s="1322">
        <f t="shared" si="60"/>
        <v>0</v>
      </c>
      <c r="P495" s="2369">
        <f t="shared" si="61"/>
        <v>1900</v>
      </c>
      <c r="Q495" s="2369">
        <f t="shared" si="62"/>
        <v>1900</v>
      </c>
      <c r="R495" s="654"/>
      <c r="S495" s="654"/>
      <c r="T495" s="654"/>
      <c r="U495" s="654"/>
    </row>
    <row r="496" spans="1:21" ht="14.25" customHeight="1">
      <c r="A496" s="1316"/>
      <c r="B496" s="1317"/>
      <c r="C496" s="1318"/>
      <c r="D496" s="1319"/>
      <c r="E496" s="1318"/>
      <c r="F496" s="1320">
        <f t="shared" si="63"/>
        <v>0</v>
      </c>
      <c r="G496" s="1319"/>
      <c r="H496" s="1318"/>
      <c r="I496" s="1320">
        <f t="shared" si="64"/>
        <v>0</v>
      </c>
      <c r="J496" s="1320">
        <f t="shared" si="57"/>
        <v>0</v>
      </c>
      <c r="K496" s="1320">
        <f t="shared" si="58"/>
        <v>0</v>
      </c>
      <c r="L496" s="1318"/>
      <c r="M496" s="1318"/>
      <c r="N496" s="1321">
        <f t="shared" si="59"/>
        <v>0</v>
      </c>
      <c r="O496" s="1322">
        <f t="shared" si="60"/>
        <v>0</v>
      </c>
      <c r="P496" s="2369">
        <f t="shared" si="61"/>
        <v>1900</v>
      </c>
      <c r="Q496" s="2369">
        <f t="shared" si="62"/>
        <v>1900</v>
      </c>
      <c r="R496" s="654"/>
      <c r="S496" s="654"/>
      <c r="T496" s="654"/>
      <c r="U496" s="654"/>
    </row>
    <row r="497" spans="1:21" ht="14.25" customHeight="1">
      <c r="A497" s="1316"/>
      <c r="B497" s="1317"/>
      <c r="C497" s="1318"/>
      <c r="D497" s="1319"/>
      <c r="E497" s="1318"/>
      <c r="F497" s="1320">
        <f t="shared" si="63"/>
        <v>0</v>
      </c>
      <c r="G497" s="1319"/>
      <c r="H497" s="1318"/>
      <c r="I497" s="1320">
        <f t="shared" si="64"/>
        <v>0</v>
      </c>
      <c r="J497" s="1320">
        <f t="shared" si="57"/>
        <v>0</v>
      </c>
      <c r="K497" s="1320">
        <f t="shared" si="58"/>
        <v>0</v>
      </c>
      <c r="L497" s="1318"/>
      <c r="M497" s="1318"/>
      <c r="N497" s="1321">
        <f t="shared" si="59"/>
        <v>0</v>
      </c>
      <c r="O497" s="1322">
        <f t="shared" si="60"/>
        <v>0</v>
      </c>
      <c r="P497" s="2369">
        <f t="shared" si="61"/>
        <v>1900</v>
      </c>
      <c r="Q497" s="2369">
        <f t="shared" si="62"/>
        <v>1900</v>
      </c>
      <c r="R497" s="654"/>
      <c r="S497" s="654"/>
      <c r="T497" s="654"/>
      <c r="U497" s="654"/>
    </row>
    <row r="498" spans="1:21" ht="14.25" customHeight="1">
      <c r="A498" s="1316"/>
      <c r="B498" s="1317"/>
      <c r="C498" s="1318"/>
      <c r="D498" s="1319"/>
      <c r="E498" s="1318"/>
      <c r="F498" s="1320">
        <f t="shared" si="63"/>
        <v>0</v>
      </c>
      <c r="G498" s="1319"/>
      <c r="H498" s="1318"/>
      <c r="I498" s="1320">
        <f t="shared" si="64"/>
        <v>0</v>
      </c>
      <c r="J498" s="1320">
        <f t="shared" si="57"/>
        <v>0</v>
      </c>
      <c r="K498" s="1320">
        <f t="shared" si="58"/>
        <v>0</v>
      </c>
      <c r="L498" s="1318"/>
      <c r="M498" s="1318"/>
      <c r="N498" s="1321">
        <f t="shared" si="59"/>
        <v>0</v>
      </c>
      <c r="O498" s="1322">
        <f t="shared" si="60"/>
        <v>0</v>
      </c>
      <c r="P498" s="2369">
        <f t="shared" si="61"/>
        <v>1900</v>
      </c>
      <c r="Q498" s="2369">
        <f t="shared" si="62"/>
        <v>1900</v>
      </c>
      <c r="R498" s="654"/>
      <c r="S498" s="654"/>
      <c r="T498" s="654"/>
      <c r="U498" s="654"/>
    </row>
    <row r="499" spans="1:21" ht="14.25" customHeight="1">
      <c r="A499" s="1316"/>
      <c r="B499" s="1317"/>
      <c r="C499" s="1318"/>
      <c r="D499" s="1319"/>
      <c r="E499" s="1318"/>
      <c r="F499" s="1320">
        <f t="shared" si="63"/>
        <v>0</v>
      </c>
      <c r="G499" s="1319"/>
      <c r="H499" s="1318"/>
      <c r="I499" s="1320">
        <f t="shared" si="64"/>
        <v>0</v>
      </c>
      <c r="J499" s="1320">
        <f t="shared" si="57"/>
        <v>0</v>
      </c>
      <c r="K499" s="1320">
        <f t="shared" si="58"/>
        <v>0</v>
      </c>
      <c r="L499" s="1318"/>
      <c r="M499" s="1318"/>
      <c r="N499" s="1321">
        <f t="shared" si="59"/>
        <v>0</v>
      </c>
      <c r="O499" s="1322">
        <f t="shared" si="60"/>
        <v>0</v>
      </c>
      <c r="P499" s="2369">
        <f t="shared" si="61"/>
        <v>1900</v>
      </c>
      <c r="Q499" s="2369">
        <f t="shared" si="62"/>
        <v>1900</v>
      </c>
      <c r="R499" s="654"/>
      <c r="S499" s="654"/>
      <c r="T499" s="654"/>
      <c r="U499" s="654"/>
    </row>
    <row r="500" spans="1:21" ht="14.25" customHeight="1">
      <c r="A500" s="1316"/>
      <c r="B500" s="1317"/>
      <c r="C500" s="1318"/>
      <c r="D500" s="1319"/>
      <c r="E500" s="1318"/>
      <c r="F500" s="1320">
        <f t="shared" si="63"/>
        <v>0</v>
      </c>
      <c r="G500" s="1319"/>
      <c r="H500" s="1318"/>
      <c r="I500" s="1320">
        <f t="shared" si="64"/>
        <v>0</v>
      </c>
      <c r="J500" s="1320">
        <f t="shared" si="57"/>
        <v>0</v>
      </c>
      <c r="K500" s="1320">
        <f t="shared" si="58"/>
        <v>0</v>
      </c>
      <c r="L500" s="1318"/>
      <c r="M500" s="1318"/>
      <c r="N500" s="1321">
        <f t="shared" si="59"/>
        <v>0</v>
      </c>
      <c r="O500" s="1322">
        <f t="shared" si="60"/>
        <v>0</v>
      </c>
      <c r="P500" s="2369">
        <f t="shared" si="61"/>
        <v>1900</v>
      </c>
      <c r="Q500" s="2369">
        <f t="shared" si="62"/>
        <v>1900</v>
      </c>
      <c r="R500" s="654"/>
      <c r="S500" s="654"/>
      <c r="T500" s="654"/>
      <c r="U500" s="654"/>
    </row>
    <row r="501" spans="1:21" ht="14.25" customHeight="1">
      <c r="A501" s="1316"/>
      <c r="B501" s="1317"/>
      <c r="C501" s="1318"/>
      <c r="D501" s="1319"/>
      <c r="E501" s="1318"/>
      <c r="F501" s="1320">
        <f t="shared" si="63"/>
        <v>0</v>
      </c>
      <c r="G501" s="1319"/>
      <c r="H501" s="1318"/>
      <c r="I501" s="1320">
        <f t="shared" si="64"/>
        <v>0</v>
      </c>
      <c r="J501" s="1320">
        <f t="shared" si="57"/>
        <v>0</v>
      </c>
      <c r="K501" s="1320">
        <f t="shared" si="58"/>
        <v>0</v>
      </c>
      <c r="L501" s="1318"/>
      <c r="M501" s="1318"/>
      <c r="N501" s="1321">
        <f t="shared" si="59"/>
        <v>0</v>
      </c>
      <c r="O501" s="1322">
        <f t="shared" si="60"/>
        <v>0</v>
      </c>
      <c r="P501" s="2369">
        <f t="shared" si="61"/>
        <v>1900</v>
      </c>
      <c r="Q501" s="2369">
        <f t="shared" si="62"/>
        <v>1900</v>
      </c>
      <c r="R501" s="654"/>
      <c r="S501" s="654"/>
      <c r="T501" s="654"/>
      <c r="U501" s="654"/>
    </row>
    <row r="502" spans="1:21" ht="14.25" customHeight="1">
      <c r="A502" s="1316"/>
      <c r="B502" s="1317"/>
      <c r="C502" s="1318"/>
      <c r="D502" s="1319"/>
      <c r="E502" s="1318"/>
      <c r="F502" s="1320">
        <f t="shared" si="63"/>
        <v>0</v>
      </c>
      <c r="G502" s="1319"/>
      <c r="H502" s="1318"/>
      <c r="I502" s="1320">
        <f t="shared" si="64"/>
        <v>0</v>
      </c>
      <c r="J502" s="1320">
        <f t="shared" si="57"/>
        <v>0</v>
      </c>
      <c r="K502" s="1320">
        <f t="shared" si="58"/>
        <v>0</v>
      </c>
      <c r="L502" s="1318"/>
      <c r="M502" s="1318"/>
      <c r="N502" s="1321">
        <f t="shared" si="59"/>
        <v>0</v>
      </c>
      <c r="O502" s="1322">
        <f t="shared" si="60"/>
        <v>0</v>
      </c>
      <c r="P502" s="2369">
        <f t="shared" si="61"/>
        <v>1900</v>
      </c>
      <c r="Q502" s="2369">
        <f t="shared" si="62"/>
        <v>1900</v>
      </c>
      <c r="R502" s="654"/>
      <c r="S502" s="654"/>
      <c r="T502" s="654"/>
      <c r="U502" s="654"/>
    </row>
    <row r="503" spans="1:21" ht="14.25" customHeight="1">
      <c r="A503" s="1316"/>
      <c r="B503" s="1317"/>
      <c r="C503" s="1318"/>
      <c r="D503" s="1319"/>
      <c r="E503" s="1318"/>
      <c r="F503" s="1320">
        <f t="shared" si="63"/>
        <v>0</v>
      </c>
      <c r="G503" s="1319"/>
      <c r="H503" s="1318"/>
      <c r="I503" s="1320">
        <f t="shared" si="64"/>
        <v>0</v>
      </c>
      <c r="J503" s="1320">
        <f t="shared" si="57"/>
        <v>0</v>
      </c>
      <c r="K503" s="1320">
        <f t="shared" si="58"/>
        <v>0</v>
      </c>
      <c r="L503" s="1318"/>
      <c r="M503" s="1318"/>
      <c r="N503" s="1321">
        <f t="shared" si="59"/>
        <v>0</v>
      </c>
      <c r="O503" s="1322">
        <f t="shared" si="60"/>
        <v>0</v>
      </c>
      <c r="P503" s="2369">
        <f t="shared" si="61"/>
        <v>1900</v>
      </c>
      <c r="Q503" s="2369">
        <f t="shared" si="62"/>
        <v>1900</v>
      </c>
      <c r="R503" s="654"/>
      <c r="S503" s="654"/>
      <c r="T503" s="654"/>
      <c r="U503" s="654"/>
    </row>
    <row r="504" spans="1:21" ht="14.25" customHeight="1">
      <c r="A504" s="1316"/>
      <c r="B504" s="1317"/>
      <c r="C504" s="1318"/>
      <c r="D504" s="1319"/>
      <c r="E504" s="1318"/>
      <c r="F504" s="1320">
        <f t="shared" si="63"/>
        <v>0</v>
      </c>
      <c r="G504" s="1319"/>
      <c r="H504" s="1318"/>
      <c r="I504" s="1320">
        <f t="shared" si="64"/>
        <v>0</v>
      </c>
      <c r="J504" s="1320">
        <f t="shared" si="57"/>
        <v>0</v>
      </c>
      <c r="K504" s="1320">
        <f t="shared" si="58"/>
        <v>0</v>
      </c>
      <c r="L504" s="1318"/>
      <c r="M504" s="1318"/>
      <c r="N504" s="1321">
        <f t="shared" si="59"/>
        <v>0</v>
      </c>
      <c r="O504" s="1322">
        <f t="shared" si="60"/>
        <v>0</v>
      </c>
      <c r="P504" s="2369">
        <f t="shared" si="61"/>
        <v>1900</v>
      </c>
      <c r="Q504" s="2369">
        <f t="shared" si="62"/>
        <v>1900</v>
      </c>
      <c r="R504" s="654"/>
      <c r="S504" s="654"/>
      <c r="T504" s="654"/>
      <c r="U504" s="654"/>
    </row>
    <row r="505" spans="1:21" ht="14.25" customHeight="1">
      <c r="A505" s="1316"/>
      <c r="B505" s="1317"/>
      <c r="C505" s="1318"/>
      <c r="D505" s="1319"/>
      <c r="E505" s="1318"/>
      <c r="F505" s="1320">
        <f t="shared" si="63"/>
        <v>0</v>
      </c>
      <c r="G505" s="1319"/>
      <c r="H505" s="1318"/>
      <c r="I505" s="1320">
        <f t="shared" si="64"/>
        <v>0</v>
      </c>
      <c r="J505" s="1320">
        <f t="shared" si="57"/>
        <v>0</v>
      </c>
      <c r="K505" s="1320">
        <f t="shared" si="58"/>
        <v>0</v>
      </c>
      <c r="L505" s="1318"/>
      <c r="M505" s="1318"/>
      <c r="N505" s="1321">
        <f t="shared" si="59"/>
        <v>0</v>
      </c>
      <c r="O505" s="1322">
        <f t="shared" si="60"/>
        <v>0</v>
      </c>
      <c r="P505" s="2369">
        <f t="shared" si="61"/>
        <v>1900</v>
      </c>
      <c r="Q505" s="2369">
        <f t="shared" si="62"/>
        <v>1900</v>
      </c>
      <c r="R505" s="654"/>
      <c r="S505" s="654"/>
      <c r="T505" s="654"/>
      <c r="U505" s="654"/>
    </row>
    <row r="506" spans="1:21" ht="14.25" customHeight="1">
      <c r="A506" s="1316"/>
      <c r="B506" s="1317"/>
      <c r="C506" s="1318"/>
      <c r="D506" s="1319"/>
      <c r="E506" s="1318"/>
      <c r="F506" s="1320">
        <f t="shared" si="63"/>
        <v>0</v>
      </c>
      <c r="G506" s="1319"/>
      <c r="H506" s="1318"/>
      <c r="I506" s="1320">
        <f t="shared" si="64"/>
        <v>0</v>
      </c>
      <c r="J506" s="1320">
        <f t="shared" si="57"/>
        <v>0</v>
      </c>
      <c r="K506" s="1320">
        <f t="shared" si="58"/>
        <v>0</v>
      </c>
      <c r="L506" s="1318"/>
      <c r="M506" s="1318"/>
      <c r="N506" s="1321">
        <f t="shared" si="59"/>
        <v>0</v>
      </c>
      <c r="O506" s="1322">
        <f t="shared" si="60"/>
        <v>0</v>
      </c>
      <c r="P506" s="2369">
        <f t="shared" si="61"/>
        <v>1900</v>
      </c>
      <c r="Q506" s="2369">
        <f t="shared" si="62"/>
        <v>1900</v>
      </c>
      <c r="R506" s="654"/>
      <c r="S506" s="654"/>
      <c r="T506" s="654"/>
      <c r="U506" s="654"/>
    </row>
    <row r="507" spans="1:21" ht="14.25" customHeight="1">
      <c r="A507" s="1316"/>
      <c r="B507" s="1317"/>
      <c r="C507" s="1318"/>
      <c r="D507" s="1319"/>
      <c r="E507" s="1318"/>
      <c r="F507" s="1320">
        <f t="shared" si="63"/>
        <v>0</v>
      </c>
      <c r="G507" s="1319"/>
      <c r="H507" s="1318"/>
      <c r="I507" s="1320">
        <f t="shared" si="64"/>
        <v>0</v>
      </c>
      <c r="J507" s="1320">
        <f t="shared" si="57"/>
        <v>0</v>
      </c>
      <c r="K507" s="1320">
        <f t="shared" si="58"/>
        <v>0</v>
      </c>
      <c r="L507" s="1318"/>
      <c r="M507" s="1318"/>
      <c r="N507" s="1321">
        <f t="shared" si="59"/>
        <v>0</v>
      </c>
      <c r="O507" s="1322">
        <f t="shared" si="60"/>
        <v>0</v>
      </c>
      <c r="P507" s="2369">
        <f t="shared" si="61"/>
        <v>1900</v>
      </c>
      <c r="Q507" s="2369">
        <f t="shared" si="62"/>
        <v>1900</v>
      </c>
      <c r="R507" s="654"/>
      <c r="S507" s="654"/>
      <c r="T507" s="654"/>
      <c r="U507" s="654"/>
    </row>
    <row r="508" spans="1:21" ht="14.25" customHeight="1">
      <c r="A508" s="1316"/>
      <c r="B508" s="1317"/>
      <c r="C508" s="1318"/>
      <c r="D508" s="1319"/>
      <c r="E508" s="1318"/>
      <c r="F508" s="1320">
        <f t="shared" si="63"/>
        <v>0</v>
      </c>
      <c r="G508" s="1319"/>
      <c r="H508" s="1318"/>
      <c r="I508" s="1320">
        <f t="shared" si="64"/>
        <v>0</v>
      </c>
      <c r="J508" s="1320">
        <f t="shared" si="57"/>
        <v>0</v>
      </c>
      <c r="K508" s="1320">
        <f t="shared" si="58"/>
        <v>0</v>
      </c>
      <c r="L508" s="1318"/>
      <c r="M508" s="1318"/>
      <c r="N508" s="1321">
        <f t="shared" si="59"/>
        <v>0</v>
      </c>
      <c r="O508" s="1322">
        <f t="shared" si="60"/>
        <v>0</v>
      </c>
      <c r="P508" s="2369">
        <f t="shared" si="61"/>
        <v>1900</v>
      </c>
      <c r="Q508" s="2369">
        <f t="shared" si="62"/>
        <v>1900</v>
      </c>
      <c r="R508" s="654"/>
      <c r="S508" s="654"/>
      <c r="T508" s="654"/>
      <c r="U508" s="654"/>
    </row>
    <row r="509" spans="1:21" ht="14.25" customHeight="1">
      <c r="A509" s="1316"/>
      <c r="B509" s="1317"/>
      <c r="C509" s="1318"/>
      <c r="D509" s="1319"/>
      <c r="E509" s="1318"/>
      <c r="F509" s="1320">
        <f t="shared" si="63"/>
        <v>0</v>
      </c>
      <c r="G509" s="1319"/>
      <c r="H509" s="1318"/>
      <c r="I509" s="1320">
        <f t="shared" si="64"/>
        <v>0</v>
      </c>
      <c r="J509" s="1320">
        <f t="shared" si="57"/>
        <v>0</v>
      </c>
      <c r="K509" s="1320">
        <f t="shared" si="58"/>
        <v>0</v>
      </c>
      <c r="L509" s="1318"/>
      <c r="M509" s="1318"/>
      <c r="N509" s="1321">
        <f t="shared" si="59"/>
        <v>0</v>
      </c>
      <c r="O509" s="1322">
        <f t="shared" si="60"/>
        <v>0</v>
      </c>
      <c r="P509" s="2369">
        <f t="shared" si="61"/>
        <v>1900</v>
      </c>
      <c r="Q509" s="2369">
        <f t="shared" si="62"/>
        <v>1900</v>
      </c>
      <c r="R509" s="654"/>
      <c r="S509" s="654"/>
      <c r="T509" s="654"/>
      <c r="U509" s="654"/>
    </row>
    <row r="510" spans="1:21" ht="14.25" customHeight="1">
      <c r="A510" s="1316"/>
      <c r="B510" s="1317"/>
      <c r="C510" s="1318"/>
      <c r="D510" s="1319"/>
      <c r="E510" s="1318"/>
      <c r="F510" s="1320">
        <f t="shared" si="63"/>
        <v>0</v>
      </c>
      <c r="G510" s="1319"/>
      <c r="H510" s="1318"/>
      <c r="I510" s="1320">
        <f t="shared" si="64"/>
        <v>0</v>
      </c>
      <c r="J510" s="1320">
        <f t="shared" si="57"/>
        <v>0</v>
      </c>
      <c r="K510" s="1320">
        <f t="shared" si="58"/>
        <v>0</v>
      </c>
      <c r="L510" s="1318"/>
      <c r="M510" s="1318"/>
      <c r="N510" s="1321">
        <f t="shared" si="59"/>
        <v>0</v>
      </c>
      <c r="O510" s="1322">
        <f t="shared" si="60"/>
        <v>0</v>
      </c>
      <c r="P510" s="2369">
        <f t="shared" si="61"/>
        <v>1900</v>
      </c>
      <c r="Q510" s="2369">
        <f t="shared" si="62"/>
        <v>1900</v>
      </c>
      <c r="R510" s="654"/>
      <c r="S510" s="654"/>
      <c r="T510" s="654"/>
      <c r="U510" s="654"/>
    </row>
    <row r="511" spans="1:21" ht="14.25" customHeight="1">
      <c r="A511" s="1316"/>
      <c r="B511" s="1317"/>
      <c r="C511" s="1318"/>
      <c r="D511" s="1319"/>
      <c r="E511" s="1318"/>
      <c r="F511" s="1320">
        <f t="shared" si="63"/>
        <v>0</v>
      </c>
      <c r="G511" s="1319"/>
      <c r="H511" s="1318"/>
      <c r="I511" s="1320">
        <f t="shared" si="64"/>
        <v>0</v>
      </c>
      <c r="J511" s="1320">
        <f t="shared" si="57"/>
        <v>0</v>
      </c>
      <c r="K511" s="1320">
        <f t="shared" si="58"/>
        <v>0</v>
      </c>
      <c r="L511" s="1318"/>
      <c r="M511" s="1318"/>
      <c r="N511" s="1321">
        <f t="shared" si="59"/>
        <v>0</v>
      </c>
      <c r="O511" s="1322">
        <f t="shared" si="60"/>
        <v>0</v>
      </c>
      <c r="P511" s="2369">
        <f t="shared" si="61"/>
        <v>1900</v>
      </c>
      <c r="Q511" s="2369">
        <f t="shared" si="62"/>
        <v>1900</v>
      </c>
      <c r="R511" s="654"/>
      <c r="S511" s="654"/>
      <c r="T511" s="654"/>
      <c r="U511" s="654"/>
    </row>
    <row r="512" spans="1:21" ht="14.25" customHeight="1">
      <c r="A512" s="1316"/>
      <c r="B512" s="1317"/>
      <c r="C512" s="1318"/>
      <c r="D512" s="1319"/>
      <c r="E512" s="1318"/>
      <c r="F512" s="1320">
        <f t="shared" si="63"/>
        <v>0</v>
      </c>
      <c r="G512" s="1319"/>
      <c r="H512" s="1318"/>
      <c r="I512" s="1320">
        <f t="shared" si="64"/>
        <v>0</v>
      </c>
      <c r="J512" s="1320">
        <f t="shared" si="57"/>
        <v>0</v>
      </c>
      <c r="K512" s="1320">
        <f t="shared" si="58"/>
        <v>0</v>
      </c>
      <c r="L512" s="1318"/>
      <c r="M512" s="1318"/>
      <c r="N512" s="1321">
        <f t="shared" si="59"/>
        <v>0</v>
      </c>
      <c r="O512" s="1322">
        <f t="shared" si="60"/>
        <v>0</v>
      </c>
      <c r="P512" s="2369">
        <f t="shared" si="61"/>
        <v>1900</v>
      </c>
      <c r="Q512" s="2369">
        <f t="shared" si="62"/>
        <v>1900</v>
      </c>
      <c r="R512" s="654"/>
      <c r="S512" s="654"/>
      <c r="T512" s="654"/>
      <c r="U512" s="654"/>
    </row>
    <row r="513" spans="1:21" ht="14.25" customHeight="1">
      <c r="A513" s="1316"/>
      <c r="B513" s="1317"/>
      <c r="C513" s="1318"/>
      <c r="D513" s="1319"/>
      <c r="E513" s="1318"/>
      <c r="F513" s="1320">
        <f t="shared" si="63"/>
        <v>0</v>
      </c>
      <c r="G513" s="1319"/>
      <c r="H513" s="1318"/>
      <c r="I513" s="1320">
        <f t="shared" si="64"/>
        <v>0</v>
      </c>
      <c r="J513" s="1320">
        <f t="shared" si="57"/>
        <v>0</v>
      </c>
      <c r="K513" s="1320">
        <f t="shared" si="58"/>
        <v>0</v>
      </c>
      <c r="L513" s="1318"/>
      <c r="M513" s="1318"/>
      <c r="N513" s="1321">
        <f t="shared" si="59"/>
        <v>0</v>
      </c>
      <c r="O513" s="1322">
        <f t="shared" si="60"/>
        <v>0</v>
      </c>
      <c r="P513" s="2369">
        <f t="shared" si="61"/>
        <v>1900</v>
      </c>
      <c r="Q513" s="2369">
        <f t="shared" si="62"/>
        <v>1900</v>
      </c>
      <c r="R513" s="654"/>
      <c r="S513" s="654"/>
      <c r="T513" s="654"/>
      <c r="U513" s="654"/>
    </row>
    <row r="514" spans="1:21" ht="14.25" customHeight="1">
      <c r="A514" s="1316"/>
      <c r="B514" s="1317"/>
      <c r="C514" s="1318"/>
      <c r="D514" s="1319"/>
      <c r="E514" s="1318"/>
      <c r="F514" s="1320">
        <f t="shared" si="63"/>
        <v>0</v>
      </c>
      <c r="G514" s="1319"/>
      <c r="H514" s="1318"/>
      <c r="I514" s="1320">
        <f t="shared" si="64"/>
        <v>0</v>
      </c>
      <c r="J514" s="1320">
        <f t="shared" si="57"/>
        <v>0</v>
      </c>
      <c r="K514" s="1320">
        <f t="shared" si="58"/>
        <v>0</v>
      </c>
      <c r="L514" s="1318"/>
      <c r="M514" s="1318"/>
      <c r="N514" s="1321">
        <f t="shared" si="59"/>
        <v>0</v>
      </c>
      <c r="O514" s="1322">
        <f t="shared" si="60"/>
        <v>0</v>
      </c>
      <c r="P514" s="2369">
        <f t="shared" si="61"/>
        <v>1900</v>
      </c>
      <c r="Q514" s="2369">
        <f t="shared" si="62"/>
        <v>1900</v>
      </c>
      <c r="R514" s="654"/>
      <c r="S514" s="654"/>
      <c r="T514" s="654"/>
      <c r="U514" s="654"/>
    </row>
    <row r="515" spans="1:21" ht="14.25" customHeight="1">
      <c r="A515" s="1316"/>
      <c r="B515" s="1317"/>
      <c r="C515" s="1318"/>
      <c r="D515" s="1319"/>
      <c r="E515" s="1318"/>
      <c r="F515" s="1320">
        <f t="shared" si="63"/>
        <v>0</v>
      </c>
      <c r="G515" s="1319"/>
      <c r="H515" s="1318"/>
      <c r="I515" s="1320">
        <f t="shared" si="64"/>
        <v>0</v>
      </c>
      <c r="J515" s="1320">
        <f t="shared" si="57"/>
        <v>0</v>
      </c>
      <c r="K515" s="1320">
        <f t="shared" si="58"/>
        <v>0</v>
      </c>
      <c r="L515" s="1318"/>
      <c r="M515" s="1318"/>
      <c r="N515" s="1321">
        <f t="shared" si="59"/>
        <v>0</v>
      </c>
      <c r="O515" s="1322">
        <f t="shared" si="60"/>
        <v>0</v>
      </c>
      <c r="P515" s="2369">
        <f t="shared" si="61"/>
        <v>1900</v>
      </c>
      <c r="Q515" s="2369">
        <f t="shared" si="62"/>
        <v>1900</v>
      </c>
      <c r="R515" s="654"/>
      <c r="S515" s="654"/>
      <c r="T515" s="654"/>
      <c r="U515" s="654"/>
    </row>
    <row r="516" spans="1:21" ht="14.25" customHeight="1">
      <c r="A516" s="1316"/>
      <c r="B516" s="1317"/>
      <c r="C516" s="1318"/>
      <c r="D516" s="1319"/>
      <c r="E516" s="1318"/>
      <c r="F516" s="1320">
        <f t="shared" si="63"/>
        <v>0</v>
      </c>
      <c r="G516" s="1319"/>
      <c r="H516" s="1318"/>
      <c r="I516" s="1320">
        <f t="shared" si="64"/>
        <v>0</v>
      </c>
      <c r="J516" s="1320">
        <f t="shared" si="57"/>
        <v>0</v>
      </c>
      <c r="K516" s="1320">
        <f t="shared" si="58"/>
        <v>0</v>
      </c>
      <c r="L516" s="1318"/>
      <c r="M516" s="1318"/>
      <c r="N516" s="1321">
        <f t="shared" si="59"/>
        <v>0</v>
      </c>
      <c r="O516" s="1322">
        <f t="shared" si="60"/>
        <v>0</v>
      </c>
      <c r="P516" s="2369">
        <f t="shared" si="61"/>
        <v>1900</v>
      </c>
      <c r="Q516" s="2369">
        <f t="shared" si="62"/>
        <v>1900</v>
      </c>
      <c r="R516" s="654"/>
      <c r="S516" s="654"/>
      <c r="T516" s="654"/>
      <c r="U516" s="654"/>
    </row>
    <row r="517" spans="1:21" ht="14.25" customHeight="1">
      <c r="A517" s="1316"/>
      <c r="B517" s="1317"/>
      <c r="C517" s="1318"/>
      <c r="D517" s="1319"/>
      <c r="E517" s="1318"/>
      <c r="F517" s="1320">
        <f t="shared" si="63"/>
        <v>0</v>
      </c>
      <c r="G517" s="1319"/>
      <c r="H517" s="1318"/>
      <c r="I517" s="1320">
        <f t="shared" si="64"/>
        <v>0</v>
      </c>
      <c r="J517" s="1320">
        <f t="shared" si="57"/>
        <v>0</v>
      </c>
      <c r="K517" s="1320">
        <f t="shared" si="58"/>
        <v>0</v>
      </c>
      <c r="L517" s="1318"/>
      <c r="M517" s="1318"/>
      <c r="N517" s="1321">
        <f t="shared" si="59"/>
        <v>0</v>
      </c>
      <c r="O517" s="1322">
        <f t="shared" si="60"/>
        <v>0</v>
      </c>
      <c r="P517" s="2369">
        <f t="shared" si="61"/>
        <v>1900</v>
      </c>
      <c r="Q517" s="2369">
        <f t="shared" si="62"/>
        <v>1900</v>
      </c>
      <c r="R517" s="654"/>
      <c r="S517" s="654"/>
      <c r="T517" s="654"/>
      <c r="U517" s="654"/>
    </row>
    <row r="518" spans="1:21" ht="14.25" customHeight="1">
      <c r="A518" s="1316"/>
      <c r="B518" s="1317"/>
      <c r="C518" s="1318"/>
      <c r="D518" s="1319"/>
      <c r="E518" s="1318"/>
      <c r="F518" s="1320">
        <f t="shared" si="63"/>
        <v>0</v>
      </c>
      <c r="G518" s="1319"/>
      <c r="H518" s="1318"/>
      <c r="I518" s="1320">
        <f t="shared" si="64"/>
        <v>0</v>
      </c>
      <c r="J518" s="1320">
        <f t="shared" si="57"/>
        <v>0</v>
      </c>
      <c r="K518" s="1320">
        <f t="shared" si="58"/>
        <v>0</v>
      </c>
      <c r="L518" s="1318"/>
      <c r="M518" s="1318"/>
      <c r="N518" s="1321">
        <f t="shared" si="59"/>
        <v>0</v>
      </c>
      <c r="O518" s="1322">
        <f t="shared" si="60"/>
        <v>0</v>
      </c>
      <c r="P518" s="2369">
        <f t="shared" si="61"/>
        <v>1900</v>
      </c>
      <c r="Q518" s="2369">
        <f t="shared" si="62"/>
        <v>1900</v>
      </c>
      <c r="R518" s="654"/>
      <c r="S518" s="654"/>
      <c r="T518" s="654"/>
      <c r="U518" s="654"/>
    </row>
    <row r="519" spans="1:21" ht="14.25" customHeight="1">
      <c r="A519" s="1316"/>
      <c r="B519" s="1317"/>
      <c r="C519" s="1318"/>
      <c r="D519" s="1319"/>
      <c r="E519" s="1318"/>
      <c r="F519" s="1320">
        <f t="shared" si="63"/>
        <v>0</v>
      </c>
      <c r="G519" s="1319"/>
      <c r="H519" s="1318"/>
      <c r="I519" s="1320">
        <f t="shared" si="64"/>
        <v>0</v>
      </c>
      <c r="J519" s="1320">
        <f t="shared" si="57"/>
        <v>0</v>
      </c>
      <c r="K519" s="1320">
        <f t="shared" si="58"/>
        <v>0</v>
      </c>
      <c r="L519" s="1318"/>
      <c r="M519" s="1318"/>
      <c r="N519" s="1321">
        <f t="shared" si="59"/>
        <v>0</v>
      </c>
      <c r="O519" s="1322">
        <f t="shared" si="60"/>
        <v>0</v>
      </c>
      <c r="P519" s="2369">
        <f t="shared" si="61"/>
        <v>1900</v>
      </c>
      <c r="Q519" s="2369">
        <f t="shared" si="62"/>
        <v>1900</v>
      </c>
      <c r="R519" s="654"/>
      <c r="S519" s="654"/>
      <c r="T519" s="654"/>
      <c r="U519" s="654"/>
    </row>
    <row r="520" spans="1:21" ht="14.25" customHeight="1">
      <c r="A520" s="1316"/>
      <c r="B520" s="1317"/>
      <c r="C520" s="1318"/>
      <c r="D520" s="1319"/>
      <c r="E520" s="1318"/>
      <c r="F520" s="1320">
        <f t="shared" si="63"/>
        <v>0</v>
      </c>
      <c r="G520" s="1319"/>
      <c r="H520" s="1318"/>
      <c r="I520" s="1320">
        <f t="shared" si="64"/>
        <v>0</v>
      </c>
      <c r="J520" s="1320">
        <f t="shared" si="57"/>
        <v>0</v>
      </c>
      <c r="K520" s="1320">
        <f t="shared" si="58"/>
        <v>0</v>
      </c>
      <c r="L520" s="1318"/>
      <c r="M520" s="1318"/>
      <c r="N520" s="1321">
        <f t="shared" si="59"/>
        <v>0</v>
      </c>
      <c r="O520" s="1322">
        <f t="shared" si="60"/>
        <v>0</v>
      </c>
      <c r="P520" s="2369">
        <f t="shared" si="61"/>
        <v>1900</v>
      </c>
      <c r="Q520" s="2369">
        <f t="shared" si="62"/>
        <v>1900</v>
      </c>
      <c r="R520" s="654"/>
      <c r="S520" s="654"/>
      <c r="T520" s="654"/>
      <c r="U520" s="654"/>
    </row>
    <row r="521" spans="1:21" ht="14.25" customHeight="1">
      <c r="A521" s="1316"/>
      <c r="B521" s="1317"/>
      <c r="C521" s="1318"/>
      <c r="D521" s="1319"/>
      <c r="E521" s="1318"/>
      <c r="F521" s="1320">
        <f t="shared" si="63"/>
        <v>0</v>
      </c>
      <c r="G521" s="1319"/>
      <c r="H521" s="1318"/>
      <c r="I521" s="1320">
        <f t="shared" si="64"/>
        <v>0</v>
      </c>
      <c r="J521" s="1320">
        <f t="shared" ref="J521:J584" si="65">C521+E521-H521</f>
        <v>0</v>
      </c>
      <c r="K521" s="1320">
        <f t="shared" ref="K521:K584" si="66">C521+F521-I521</f>
        <v>0</v>
      </c>
      <c r="L521" s="1318"/>
      <c r="M521" s="1318"/>
      <c r="N521" s="1321">
        <f t="shared" si="59"/>
        <v>0</v>
      </c>
      <c r="O521" s="1322">
        <f t="shared" si="60"/>
        <v>0</v>
      </c>
      <c r="P521" s="2369">
        <f t="shared" si="61"/>
        <v>1900</v>
      </c>
      <c r="Q521" s="2369">
        <f t="shared" si="62"/>
        <v>1900</v>
      </c>
      <c r="R521" s="654"/>
      <c r="S521" s="654"/>
      <c r="T521" s="654"/>
      <c r="U521" s="654"/>
    </row>
    <row r="522" spans="1:21" ht="14.25" customHeight="1">
      <c r="A522" s="1316"/>
      <c r="B522" s="1317"/>
      <c r="C522" s="1318"/>
      <c r="D522" s="1319"/>
      <c r="E522" s="1318"/>
      <c r="F522" s="1320">
        <f t="shared" si="63"/>
        <v>0</v>
      </c>
      <c r="G522" s="1319"/>
      <c r="H522" s="1318"/>
      <c r="I522" s="1320">
        <f t="shared" si="64"/>
        <v>0</v>
      </c>
      <c r="J522" s="1320">
        <f t="shared" si="65"/>
        <v>0</v>
      </c>
      <c r="K522" s="1320">
        <f t="shared" si="66"/>
        <v>0</v>
      </c>
      <c r="L522" s="1318"/>
      <c r="M522" s="1318"/>
      <c r="N522" s="1321">
        <f t="shared" ref="N522:N585" si="67">IF(M522&lt;&gt;0,ROUND(B522*K522,2)+M522,IF(ABS(ROUND(K522*B522,2)-L522)&lt;3,L522,MIN(ROUND(K522*B522,2),L522)))</f>
        <v>0</v>
      </c>
      <c r="O522" s="1322">
        <f t="shared" ref="O522:O585" si="68">IF(ISERROR(L522-N522),"",IF(ABS(L522-N522)&lt;3,0,L522-N522))</f>
        <v>0</v>
      </c>
      <c r="P522" s="2369">
        <f t="shared" ref="P522:P585" si="69">IFERROR(YEAR(D522),0)</f>
        <v>1900</v>
      </c>
      <c r="Q522" s="2369">
        <f t="shared" ref="Q522:Q585" si="70">IFERROR(YEAR(G522),0)</f>
        <v>1900</v>
      </c>
      <c r="R522" s="654"/>
      <c r="S522" s="654"/>
      <c r="T522" s="654"/>
      <c r="U522" s="654"/>
    </row>
    <row r="523" spans="1:21" ht="14.25" customHeight="1">
      <c r="A523" s="1316"/>
      <c r="B523" s="1317"/>
      <c r="C523" s="1318"/>
      <c r="D523" s="1319"/>
      <c r="E523" s="1318"/>
      <c r="F523" s="1320">
        <f t="shared" ref="F523:F586" si="71">E523*(12-MONTH(D523))/12</f>
        <v>0</v>
      </c>
      <c r="G523" s="1319"/>
      <c r="H523" s="1318"/>
      <c r="I523" s="1320">
        <f t="shared" ref="I523:I586" si="72">H523*(12-MONTH(G523))/12</f>
        <v>0</v>
      </c>
      <c r="J523" s="1320">
        <f t="shared" si="65"/>
        <v>0</v>
      </c>
      <c r="K523" s="1320">
        <f t="shared" si="66"/>
        <v>0</v>
      </c>
      <c r="L523" s="1318"/>
      <c r="M523" s="1318"/>
      <c r="N523" s="1321">
        <f t="shared" si="67"/>
        <v>0</v>
      </c>
      <c r="O523" s="1322">
        <f t="shared" si="68"/>
        <v>0</v>
      </c>
      <c r="P523" s="2369">
        <f t="shared" si="69"/>
        <v>1900</v>
      </c>
      <c r="Q523" s="2369">
        <f t="shared" si="70"/>
        <v>1900</v>
      </c>
      <c r="R523" s="654"/>
      <c r="S523" s="654"/>
      <c r="T523" s="654"/>
      <c r="U523" s="654"/>
    </row>
    <row r="524" spans="1:21" ht="14.25" customHeight="1">
      <c r="A524" s="1316"/>
      <c r="B524" s="1317"/>
      <c r="C524" s="1318"/>
      <c r="D524" s="1319"/>
      <c r="E524" s="1318"/>
      <c r="F524" s="1320">
        <f t="shared" si="71"/>
        <v>0</v>
      </c>
      <c r="G524" s="1319"/>
      <c r="H524" s="1318"/>
      <c r="I524" s="1320">
        <f t="shared" si="72"/>
        <v>0</v>
      </c>
      <c r="J524" s="1320">
        <f t="shared" si="65"/>
        <v>0</v>
      </c>
      <c r="K524" s="1320">
        <f t="shared" si="66"/>
        <v>0</v>
      </c>
      <c r="L524" s="1318"/>
      <c r="M524" s="1318"/>
      <c r="N524" s="1321">
        <f t="shared" si="67"/>
        <v>0</v>
      </c>
      <c r="O524" s="1322">
        <f t="shared" si="68"/>
        <v>0</v>
      </c>
      <c r="P524" s="2369">
        <f t="shared" si="69"/>
        <v>1900</v>
      </c>
      <c r="Q524" s="2369">
        <f t="shared" si="70"/>
        <v>1900</v>
      </c>
      <c r="R524" s="654"/>
      <c r="S524" s="654"/>
      <c r="T524" s="654"/>
      <c r="U524" s="654"/>
    </row>
    <row r="525" spans="1:21" ht="14.25" customHeight="1">
      <c r="A525" s="1316"/>
      <c r="B525" s="1317"/>
      <c r="C525" s="1318"/>
      <c r="D525" s="1319"/>
      <c r="E525" s="1318"/>
      <c r="F525" s="1320">
        <f t="shared" si="71"/>
        <v>0</v>
      </c>
      <c r="G525" s="1319"/>
      <c r="H525" s="1318"/>
      <c r="I525" s="1320">
        <f t="shared" si="72"/>
        <v>0</v>
      </c>
      <c r="J525" s="1320">
        <f t="shared" si="65"/>
        <v>0</v>
      </c>
      <c r="K525" s="1320">
        <f t="shared" si="66"/>
        <v>0</v>
      </c>
      <c r="L525" s="1318"/>
      <c r="M525" s="1318"/>
      <c r="N525" s="1321">
        <f t="shared" si="67"/>
        <v>0</v>
      </c>
      <c r="O525" s="1322">
        <f t="shared" si="68"/>
        <v>0</v>
      </c>
      <c r="P525" s="2369">
        <f t="shared" si="69"/>
        <v>1900</v>
      </c>
      <c r="Q525" s="2369">
        <f t="shared" si="70"/>
        <v>1900</v>
      </c>
      <c r="R525" s="654"/>
      <c r="S525" s="654"/>
      <c r="T525" s="654"/>
      <c r="U525" s="654"/>
    </row>
    <row r="526" spans="1:21" ht="14.25" customHeight="1">
      <c r="A526" s="1316"/>
      <c r="B526" s="1317"/>
      <c r="C526" s="1318"/>
      <c r="D526" s="1319"/>
      <c r="E526" s="1318"/>
      <c r="F526" s="1320">
        <f t="shared" si="71"/>
        <v>0</v>
      </c>
      <c r="G526" s="1319"/>
      <c r="H526" s="1318"/>
      <c r="I526" s="1320">
        <f t="shared" si="72"/>
        <v>0</v>
      </c>
      <c r="J526" s="1320">
        <f t="shared" si="65"/>
        <v>0</v>
      </c>
      <c r="K526" s="1320">
        <f t="shared" si="66"/>
        <v>0</v>
      </c>
      <c r="L526" s="1318"/>
      <c r="M526" s="1318"/>
      <c r="N526" s="1321">
        <f t="shared" si="67"/>
        <v>0</v>
      </c>
      <c r="O526" s="1322">
        <f t="shared" si="68"/>
        <v>0</v>
      </c>
      <c r="P526" s="2369">
        <f t="shared" si="69"/>
        <v>1900</v>
      </c>
      <c r="Q526" s="2369">
        <f t="shared" si="70"/>
        <v>1900</v>
      </c>
      <c r="R526" s="654"/>
      <c r="S526" s="654"/>
      <c r="T526" s="654"/>
      <c r="U526" s="654"/>
    </row>
    <row r="527" spans="1:21" ht="14.25" customHeight="1">
      <c r="A527" s="1316"/>
      <c r="B527" s="1317"/>
      <c r="C527" s="1318"/>
      <c r="D527" s="1319"/>
      <c r="E527" s="1318"/>
      <c r="F527" s="1320">
        <f t="shared" si="71"/>
        <v>0</v>
      </c>
      <c r="G527" s="1319"/>
      <c r="H527" s="1318"/>
      <c r="I527" s="1320">
        <f t="shared" si="72"/>
        <v>0</v>
      </c>
      <c r="J527" s="1320">
        <f t="shared" si="65"/>
        <v>0</v>
      </c>
      <c r="K527" s="1320">
        <f t="shared" si="66"/>
        <v>0</v>
      </c>
      <c r="L527" s="1318"/>
      <c r="M527" s="1318"/>
      <c r="N527" s="1321">
        <f t="shared" si="67"/>
        <v>0</v>
      </c>
      <c r="O527" s="1322">
        <f t="shared" si="68"/>
        <v>0</v>
      </c>
      <c r="P527" s="2369">
        <f t="shared" si="69"/>
        <v>1900</v>
      </c>
      <c r="Q527" s="2369">
        <f t="shared" si="70"/>
        <v>1900</v>
      </c>
      <c r="R527" s="654"/>
      <c r="S527" s="654"/>
      <c r="T527" s="654"/>
      <c r="U527" s="654"/>
    </row>
    <row r="528" spans="1:21" ht="14.25" customHeight="1">
      <c r="A528" s="1316"/>
      <c r="B528" s="1317"/>
      <c r="C528" s="1318"/>
      <c r="D528" s="1319"/>
      <c r="E528" s="1318"/>
      <c r="F528" s="1320">
        <f t="shared" si="71"/>
        <v>0</v>
      </c>
      <c r="G528" s="1319"/>
      <c r="H528" s="1318"/>
      <c r="I528" s="1320">
        <f t="shared" si="72"/>
        <v>0</v>
      </c>
      <c r="J528" s="1320">
        <f t="shared" si="65"/>
        <v>0</v>
      </c>
      <c r="K528" s="1320">
        <f t="shared" si="66"/>
        <v>0</v>
      </c>
      <c r="L528" s="1318"/>
      <c r="M528" s="1318"/>
      <c r="N528" s="1321">
        <f t="shared" si="67"/>
        <v>0</v>
      </c>
      <c r="O528" s="1322">
        <f t="shared" si="68"/>
        <v>0</v>
      </c>
      <c r="P528" s="2369">
        <f t="shared" si="69"/>
        <v>1900</v>
      </c>
      <c r="Q528" s="2369">
        <f t="shared" si="70"/>
        <v>1900</v>
      </c>
      <c r="R528" s="654"/>
      <c r="S528" s="654"/>
      <c r="T528" s="654"/>
      <c r="U528" s="654"/>
    </row>
    <row r="529" spans="1:21" ht="14.25" customHeight="1">
      <c r="A529" s="1316"/>
      <c r="B529" s="1317"/>
      <c r="C529" s="1318"/>
      <c r="D529" s="1319"/>
      <c r="E529" s="1318"/>
      <c r="F529" s="1320">
        <f t="shared" si="71"/>
        <v>0</v>
      </c>
      <c r="G529" s="1319"/>
      <c r="H529" s="1318"/>
      <c r="I529" s="1320">
        <f t="shared" si="72"/>
        <v>0</v>
      </c>
      <c r="J529" s="1320">
        <f t="shared" si="65"/>
        <v>0</v>
      </c>
      <c r="K529" s="1320">
        <f t="shared" si="66"/>
        <v>0</v>
      </c>
      <c r="L529" s="1318"/>
      <c r="M529" s="1318"/>
      <c r="N529" s="1321">
        <f t="shared" si="67"/>
        <v>0</v>
      </c>
      <c r="O529" s="1322">
        <f t="shared" si="68"/>
        <v>0</v>
      </c>
      <c r="P529" s="2369">
        <f t="shared" si="69"/>
        <v>1900</v>
      </c>
      <c r="Q529" s="2369">
        <f t="shared" si="70"/>
        <v>1900</v>
      </c>
      <c r="R529" s="654"/>
      <c r="S529" s="654"/>
      <c r="T529" s="654"/>
      <c r="U529" s="654"/>
    </row>
    <row r="530" spans="1:21" ht="14.25" customHeight="1">
      <c r="A530" s="1316"/>
      <c r="B530" s="1317"/>
      <c r="C530" s="1318"/>
      <c r="D530" s="1319"/>
      <c r="E530" s="1318"/>
      <c r="F530" s="1320">
        <f t="shared" si="71"/>
        <v>0</v>
      </c>
      <c r="G530" s="1319"/>
      <c r="H530" s="1318"/>
      <c r="I530" s="1320">
        <f t="shared" si="72"/>
        <v>0</v>
      </c>
      <c r="J530" s="1320">
        <f t="shared" si="65"/>
        <v>0</v>
      </c>
      <c r="K530" s="1320">
        <f t="shared" si="66"/>
        <v>0</v>
      </c>
      <c r="L530" s="1318"/>
      <c r="M530" s="1318"/>
      <c r="N530" s="1321">
        <f t="shared" si="67"/>
        <v>0</v>
      </c>
      <c r="O530" s="1322">
        <f t="shared" si="68"/>
        <v>0</v>
      </c>
      <c r="P530" s="2369">
        <f t="shared" si="69"/>
        <v>1900</v>
      </c>
      <c r="Q530" s="2369">
        <f t="shared" si="70"/>
        <v>1900</v>
      </c>
      <c r="R530" s="654"/>
      <c r="S530" s="654"/>
      <c r="T530" s="654"/>
      <c r="U530" s="654"/>
    </row>
    <row r="531" spans="1:21" ht="14.25" customHeight="1">
      <c r="A531" s="1316"/>
      <c r="B531" s="1317"/>
      <c r="C531" s="1318"/>
      <c r="D531" s="1319"/>
      <c r="E531" s="1318"/>
      <c r="F531" s="1320">
        <f t="shared" si="71"/>
        <v>0</v>
      </c>
      <c r="G531" s="1319"/>
      <c r="H531" s="1318"/>
      <c r="I531" s="1320">
        <f t="shared" si="72"/>
        <v>0</v>
      </c>
      <c r="J531" s="1320">
        <f t="shared" si="65"/>
        <v>0</v>
      </c>
      <c r="K531" s="1320">
        <f t="shared" si="66"/>
        <v>0</v>
      </c>
      <c r="L531" s="1318"/>
      <c r="M531" s="1318"/>
      <c r="N531" s="1321">
        <f t="shared" si="67"/>
        <v>0</v>
      </c>
      <c r="O531" s="1322">
        <f t="shared" si="68"/>
        <v>0</v>
      </c>
      <c r="P531" s="2369">
        <f t="shared" si="69"/>
        <v>1900</v>
      </c>
      <c r="Q531" s="2369">
        <f t="shared" si="70"/>
        <v>1900</v>
      </c>
      <c r="R531" s="654"/>
      <c r="S531" s="654"/>
      <c r="T531" s="654"/>
      <c r="U531" s="654"/>
    </row>
    <row r="532" spans="1:21" ht="14.25" customHeight="1">
      <c r="A532" s="1316"/>
      <c r="B532" s="1317"/>
      <c r="C532" s="1318"/>
      <c r="D532" s="1319"/>
      <c r="E532" s="1318"/>
      <c r="F532" s="1320">
        <f t="shared" si="71"/>
        <v>0</v>
      </c>
      <c r="G532" s="1319"/>
      <c r="H532" s="1318"/>
      <c r="I532" s="1320">
        <f t="shared" si="72"/>
        <v>0</v>
      </c>
      <c r="J532" s="1320">
        <f t="shared" si="65"/>
        <v>0</v>
      </c>
      <c r="K532" s="1320">
        <f t="shared" si="66"/>
        <v>0</v>
      </c>
      <c r="L532" s="1318"/>
      <c r="M532" s="1318"/>
      <c r="N532" s="1321">
        <f t="shared" si="67"/>
        <v>0</v>
      </c>
      <c r="O532" s="1322">
        <f t="shared" si="68"/>
        <v>0</v>
      </c>
      <c r="P532" s="2369">
        <f t="shared" si="69"/>
        <v>1900</v>
      </c>
      <c r="Q532" s="2369">
        <f t="shared" si="70"/>
        <v>1900</v>
      </c>
      <c r="R532" s="654"/>
      <c r="S532" s="654"/>
      <c r="T532" s="654"/>
      <c r="U532" s="654"/>
    </row>
    <row r="533" spans="1:21" ht="14.25" customHeight="1">
      <c r="A533" s="1316"/>
      <c r="B533" s="1317"/>
      <c r="C533" s="1318"/>
      <c r="D533" s="1319"/>
      <c r="E533" s="1318"/>
      <c r="F533" s="1320">
        <f t="shared" si="71"/>
        <v>0</v>
      </c>
      <c r="G533" s="1319"/>
      <c r="H533" s="1318"/>
      <c r="I533" s="1320">
        <f t="shared" si="72"/>
        <v>0</v>
      </c>
      <c r="J533" s="1320">
        <f t="shared" si="65"/>
        <v>0</v>
      </c>
      <c r="K533" s="1320">
        <f t="shared" si="66"/>
        <v>0</v>
      </c>
      <c r="L533" s="1318"/>
      <c r="M533" s="1318"/>
      <c r="N533" s="1321">
        <f t="shared" si="67"/>
        <v>0</v>
      </c>
      <c r="O533" s="1322">
        <f t="shared" si="68"/>
        <v>0</v>
      </c>
      <c r="P533" s="2369">
        <f t="shared" si="69"/>
        <v>1900</v>
      </c>
      <c r="Q533" s="2369">
        <f t="shared" si="70"/>
        <v>1900</v>
      </c>
      <c r="R533" s="654"/>
      <c r="S533" s="654"/>
      <c r="T533" s="654"/>
      <c r="U533" s="654"/>
    </row>
    <row r="534" spans="1:21" ht="14.25" customHeight="1">
      <c r="A534" s="1316"/>
      <c r="B534" s="1317"/>
      <c r="C534" s="1318"/>
      <c r="D534" s="1319"/>
      <c r="E534" s="1318"/>
      <c r="F534" s="1320">
        <f t="shared" si="71"/>
        <v>0</v>
      </c>
      <c r="G534" s="1319"/>
      <c r="H534" s="1318"/>
      <c r="I534" s="1320">
        <f t="shared" si="72"/>
        <v>0</v>
      </c>
      <c r="J534" s="1320">
        <f t="shared" si="65"/>
        <v>0</v>
      </c>
      <c r="K534" s="1320">
        <f t="shared" si="66"/>
        <v>0</v>
      </c>
      <c r="L534" s="1318"/>
      <c r="M534" s="1318"/>
      <c r="N534" s="1321">
        <f t="shared" si="67"/>
        <v>0</v>
      </c>
      <c r="O534" s="1322">
        <f t="shared" si="68"/>
        <v>0</v>
      </c>
      <c r="P534" s="2369">
        <f t="shared" si="69"/>
        <v>1900</v>
      </c>
      <c r="Q534" s="2369">
        <f t="shared" si="70"/>
        <v>1900</v>
      </c>
      <c r="R534" s="654"/>
      <c r="S534" s="654"/>
      <c r="T534" s="654"/>
      <c r="U534" s="654"/>
    </row>
    <row r="535" spans="1:21" ht="14.25" customHeight="1">
      <c r="A535" s="1316"/>
      <c r="B535" s="1317"/>
      <c r="C535" s="1318"/>
      <c r="D535" s="1319"/>
      <c r="E535" s="1318"/>
      <c r="F535" s="1320">
        <f t="shared" si="71"/>
        <v>0</v>
      </c>
      <c r="G535" s="1319"/>
      <c r="H535" s="1318"/>
      <c r="I535" s="1320">
        <f t="shared" si="72"/>
        <v>0</v>
      </c>
      <c r="J535" s="1320">
        <f t="shared" si="65"/>
        <v>0</v>
      </c>
      <c r="K535" s="1320">
        <f t="shared" si="66"/>
        <v>0</v>
      </c>
      <c r="L535" s="1318"/>
      <c r="M535" s="1318"/>
      <c r="N535" s="1321">
        <f t="shared" si="67"/>
        <v>0</v>
      </c>
      <c r="O535" s="1322">
        <f t="shared" si="68"/>
        <v>0</v>
      </c>
      <c r="P535" s="2369">
        <f t="shared" si="69"/>
        <v>1900</v>
      </c>
      <c r="Q535" s="2369">
        <f t="shared" si="70"/>
        <v>1900</v>
      </c>
      <c r="R535" s="654"/>
      <c r="S535" s="654"/>
      <c r="T535" s="654"/>
      <c r="U535" s="654"/>
    </row>
    <row r="536" spans="1:21" ht="14.25" customHeight="1">
      <c r="A536" s="1316"/>
      <c r="B536" s="1317"/>
      <c r="C536" s="1318"/>
      <c r="D536" s="1319"/>
      <c r="E536" s="1318"/>
      <c r="F536" s="1320">
        <f t="shared" si="71"/>
        <v>0</v>
      </c>
      <c r="G536" s="1319"/>
      <c r="H536" s="1318"/>
      <c r="I536" s="1320">
        <f t="shared" si="72"/>
        <v>0</v>
      </c>
      <c r="J536" s="1320">
        <f t="shared" si="65"/>
        <v>0</v>
      </c>
      <c r="K536" s="1320">
        <f t="shared" si="66"/>
        <v>0</v>
      </c>
      <c r="L536" s="1318"/>
      <c r="M536" s="1318"/>
      <c r="N536" s="1321">
        <f t="shared" si="67"/>
        <v>0</v>
      </c>
      <c r="O536" s="1322">
        <f t="shared" si="68"/>
        <v>0</v>
      </c>
      <c r="P536" s="2369">
        <f t="shared" si="69"/>
        <v>1900</v>
      </c>
      <c r="Q536" s="2369">
        <f t="shared" si="70"/>
        <v>1900</v>
      </c>
      <c r="R536" s="654"/>
      <c r="S536" s="654"/>
      <c r="T536" s="654"/>
      <c r="U536" s="654"/>
    </row>
    <row r="537" spans="1:21" ht="14.25" customHeight="1">
      <c r="A537" s="1316"/>
      <c r="B537" s="1317"/>
      <c r="C537" s="1318"/>
      <c r="D537" s="1319"/>
      <c r="E537" s="1318"/>
      <c r="F537" s="1320">
        <f t="shared" si="71"/>
        <v>0</v>
      </c>
      <c r="G537" s="1319"/>
      <c r="H537" s="1318"/>
      <c r="I537" s="1320">
        <f t="shared" si="72"/>
        <v>0</v>
      </c>
      <c r="J537" s="1320">
        <f t="shared" si="65"/>
        <v>0</v>
      </c>
      <c r="K537" s="1320">
        <f t="shared" si="66"/>
        <v>0</v>
      </c>
      <c r="L537" s="1318"/>
      <c r="M537" s="1318"/>
      <c r="N537" s="1321">
        <f t="shared" si="67"/>
        <v>0</v>
      </c>
      <c r="O537" s="1322">
        <f t="shared" si="68"/>
        <v>0</v>
      </c>
      <c r="P537" s="2369">
        <f t="shared" si="69"/>
        <v>1900</v>
      </c>
      <c r="Q537" s="2369">
        <f t="shared" si="70"/>
        <v>1900</v>
      </c>
      <c r="R537" s="654"/>
      <c r="S537" s="654"/>
      <c r="T537" s="654"/>
      <c r="U537" s="654"/>
    </row>
    <row r="538" spans="1:21" ht="14.25" customHeight="1">
      <c r="A538" s="1316"/>
      <c r="B538" s="1317"/>
      <c r="C538" s="1318"/>
      <c r="D538" s="1319"/>
      <c r="E538" s="1318"/>
      <c r="F538" s="1320">
        <f t="shared" si="71"/>
        <v>0</v>
      </c>
      <c r="G538" s="1319"/>
      <c r="H538" s="1318"/>
      <c r="I538" s="1320">
        <f t="shared" si="72"/>
        <v>0</v>
      </c>
      <c r="J538" s="1320">
        <f t="shared" si="65"/>
        <v>0</v>
      </c>
      <c r="K538" s="1320">
        <f t="shared" si="66"/>
        <v>0</v>
      </c>
      <c r="L538" s="1318"/>
      <c r="M538" s="1318"/>
      <c r="N538" s="1321">
        <f t="shared" si="67"/>
        <v>0</v>
      </c>
      <c r="O538" s="1322">
        <f t="shared" si="68"/>
        <v>0</v>
      </c>
      <c r="P538" s="2369">
        <f t="shared" si="69"/>
        <v>1900</v>
      </c>
      <c r="Q538" s="2369">
        <f t="shared" si="70"/>
        <v>1900</v>
      </c>
      <c r="R538" s="654"/>
      <c r="S538" s="654"/>
      <c r="T538" s="654"/>
      <c r="U538" s="654"/>
    </row>
    <row r="539" spans="1:21" ht="14.25" customHeight="1">
      <c r="A539" s="1316"/>
      <c r="B539" s="1317"/>
      <c r="C539" s="1318"/>
      <c r="D539" s="1319"/>
      <c r="E539" s="1318"/>
      <c r="F539" s="1320">
        <f t="shared" si="71"/>
        <v>0</v>
      </c>
      <c r="G539" s="1319"/>
      <c r="H539" s="1318"/>
      <c r="I539" s="1320">
        <f t="shared" si="72"/>
        <v>0</v>
      </c>
      <c r="J539" s="1320">
        <f t="shared" si="65"/>
        <v>0</v>
      </c>
      <c r="K539" s="1320">
        <f t="shared" si="66"/>
        <v>0</v>
      </c>
      <c r="L539" s="1318"/>
      <c r="M539" s="1318"/>
      <c r="N539" s="1321">
        <f t="shared" si="67"/>
        <v>0</v>
      </c>
      <c r="O539" s="1322">
        <f t="shared" si="68"/>
        <v>0</v>
      </c>
      <c r="P539" s="2369">
        <f t="shared" si="69"/>
        <v>1900</v>
      </c>
      <c r="Q539" s="2369">
        <f t="shared" si="70"/>
        <v>1900</v>
      </c>
      <c r="R539" s="654"/>
      <c r="S539" s="654"/>
      <c r="T539" s="654"/>
      <c r="U539" s="654"/>
    </row>
    <row r="540" spans="1:21" ht="14.25" customHeight="1">
      <c r="A540" s="1316"/>
      <c r="B540" s="1317"/>
      <c r="C540" s="1318"/>
      <c r="D540" s="1319"/>
      <c r="E540" s="1318"/>
      <c r="F540" s="1320">
        <f t="shared" si="71"/>
        <v>0</v>
      </c>
      <c r="G540" s="1319"/>
      <c r="H540" s="1318"/>
      <c r="I540" s="1320">
        <f t="shared" si="72"/>
        <v>0</v>
      </c>
      <c r="J540" s="1320">
        <f t="shared" si="65"/>
        <v>0</v>
      </c>
      <c r="K540" s="1320">
        <f t="shared" si="66"/>
        <v>0</v>
      </c>
      <c r="L540" s="1318"/>
      <c r="M540" s="1318"/>
      <c r="N540" s="1321">
        <f t="shared" si="67"/>
        <v>0</v>
      </c>
      <c r="O540" s="1322">
        <f t="shared" si="68"/>
        <v>0</v>
      </c>
      <c r="P540" s="2369">
        <f t="shared" si="69"/>
        <v>1900</v>
      </c>
      <c r="Q540" s="2369">
        <f t="shared" si="70"/>
        <v>1900</v>
      </c>
      <c r="R540" s="654"/>
      <c r="S540" s="654"/>
      <c r="T540" s="654"/>
      <c r="U540" s="654"/>
    </row>
    <row r="541" spans="1:21" ht="14.25" customHeight="1">
      <c r="A541" s="1316"/>
      <c r="B541" s="1317"/>
      <c r="C541" s="1318"/>
      <c r="D541" s="1319"/>
      <c r="E541" s="1318"/>
      <c r="F541" s="1320">
        <f t="shared" si="71"/>
        <v>0</v>
      </c>
      <c r="G541" s="1319"/>
      <c r="H541" s="1318"/>
      <c r="I541" s="1320">
        <f t="shared" si="72"/>
        <v>0</v>
      </c>
      <c r="J541" s="1320">
        <f t="shared" si="65"/>
        <v>0</v>
      </c>
      <c r="K541" s="1320">
        <f t="shared" si="66"/>
        <v>0</v>
      </c>
      <c r="L541" s="1318"/>
      <c r="M541" s="1318"/>
      <c r="N541" s="1321">
        <f t="shared" si="67"/>
        <v>0</v>
      </c>
      <c r="O541" s="1322">
        <f t="shared" si="68"/>
        <v>0</v>
      </c>
      <c r="P541" s="2369">
        <f t="shared" si="69"/>
        <v>1900</v>
      </c>
      <c r="Q541" s="2369">
        <f t="shared" si="70"/>
        <v>1900</v>
      </c>
      <c r="R541" s="654"/>
      <c r="S541" s="654"/>
      <c r="T541" s="654"/>
      <c r="U541" s="654"/>
    </row>
    <row r="542" spans="1:21" ht="14.25" customHeight="1">
      <c r="A542" s="1316"/>
      <c r="B542" s="1317"/>
      <c r="C542" s="1318"/>
      <c r="D542" s="1319"/>
      <c r="E542" s="1318"/>
      <c r="F542" s="1320">
        <f t="shared" si="71"/>
        <v>0</v>
      </c>
      <c r="G542" s="1319"/>
      <c r="H542" s="1318"/>
      <c r="I542" s="1320">
        <f t="shared" si="72"/>
        <v>0</v>
      </c>
      <c r="J542" s="1320">
        <f t="shared" si="65"/>
        <v>0</v>
      </c>
      <c r="K542" s="1320">
        <f t="shared" si="66"/>
        <v>0</v>
      </c>
      <c r="L542" s="1318"/>
      <c r="M542" s="1318"/>
      <c r="N542" s="1321">
        <f t="shared" si="67"/>
        <v>0</v>
      </c>
      <c r="O542" s="1322">
        <f t="shared" si="68"/>
        <v>0</v>
      </c>
      <c r="P542" s="2369">
        <f t="shared" si="69"/>
        <v>1900</v>
      </c>
      <c r="Q542" s="2369">
        <f t="shared" si="70"/>
        <v>1900</v>
      </c>
      <c r="R542" s="654"/>
      <c r="S542" s="654"/>
      <c r="T542" s="654"/>
      <c r="U542" s="654"/>
    </row>
    <row r="543" spans="1:21" ht="14.25" customHeight="1">
      <c r="A543" s="1316"/>
      <c r="B543" s="1317"/>
      <c r="C543" s="1318"/>
      <c r="D543" s="1319"/>
      <c r="E543" s="1318"/>
      <c r="F543" s="1320">
        <f t="shared" si="71"/>
        <v>0</v>
      </c>
      <c r="G543" s="1319"/>
      <c r="H543" s="1318"/>
      <c r="I543" s="1320">
        <f t="shared" si="72"/>
        <v>0</v>
      </c>
      <c r="J543" s="1320">
        <f t="shared" si="65"/>
        <v>0</v>
      </c>
      <c r="K543" s="1320">
        <f t="shared" si="66"/>
        <v>0</v>
      </c>
      <c r="L543" s="1318"/>
      <c r="M543" s="1318"/>
      <c r="N543" s="1321">
        <f t="shared" si="67"/>
        <v>0</v>
      </c>
      <c r="O543" s="1322">
        <f t="shared" si="68"/>
        <v>0</v>
      </c>
      <c r="P543" s="2369">
        <f t="shared" si="69"/>
        <v>1900</v>
      </c>
      <c r="Q543" s="2369">
        <f t="shared" si="70"/>
        <v>1900</v>
      </c>
      <c r="R543" s="654"/>
      <c r="S543" s="654"/>
      <c r="T543" s="654"/>
      <c r="U543" s="654"/>
    </row>
    <row r="544" spans="1:21" ht="14.25" customHeight="1">
      <c r="A544" s="1316"/>
      <c r="B544" s="1317"/>
      <c r="C544" s="1318"/>
      <c r="D544" s="1319"/>
      <c r="E544" s="1318"/>
      <c r="F544" s="1320">
        <f t="shared" si="71"/>
        <v>0</v>
      </c>
      <c r="G544" s="1319"/>
      <c r="H544" s="1318"/>
      <c r="I544" s="1320">
        <f t="shared" si="72"/>
        <v>0</v>
      </c>
      <c r="J544" s="1320">
        <f t="shared" si="65"/>
        <v>0</v>
      </c>
      <c r="K544" s="1320">
        <f t="shared" si="66"/>
        <v>0</v>
      </c>
      <c r="L544" s="1318"/>
      <c r="M544" s="1318"/>
      <c r="N544" s="1321">
        <f t="shared" si="67"/>
        <v>0</v>
      </c>
      <c r="O544" s="1322">
        <f t="shared" si="68"/>
        <v>0</v>
      </c>
      <c r="P544" s="2369">
        <f t="shared" si="69"/>
        <v>1900</v>
      </c>
      <c r="Q544" s="2369">
        <f t="shared" si="70"/>
        <v>1900</v>
      </c>
      <c r="R544" s="654"/>
      <c r="S544" s="654"/>
      <c r="T544" s="654"/>
      <c r="U544" s="654"/>
    </row>
    <row r="545" spans="1:21" ht="14.25" customHeight="1">
      <c r="A545" s="1316"/>
      <c r="B545" s="1317"/>
      <c r="C545" s="1318"/>
      <c r="D545" s="1319"/>
      <c r="E545" s="1318"/>
      <c r="F545" s="1320">
        <f t="shared" si="71"/>
        <v>0</v>
      </c>
      <c r="G545" s="1319"/>
      <c r="H545" s="1318"/>
      <c r="I545" s="1320">
        <f t="shared" si="72"/>
        <v>0</v>
      </c>
      <c r="J545" s="1320">
        <f t="shared" si="65"/>
        <v>0</v>
      </c>
      <c r="K545" s="1320">
        <f t="shared" si="66"/>
        <v>0</v>
      </c>
      <c r="L545" s="1318"/>
      <c r="M545" s="1318"/>
      <c r="N545" s="1321">
        <f t="shared" si="67"/>
        <v>0</v>
      </c>
      <c r="O545" s="1322">
        <f t="shared" si="68"/>
        <v>0</v>
      </c>
      <c r="P545" s="2369">
        <f t="shared" si="69"/>
        <v>1900</v>
      </c>
      <c r="Q545" s="2369">
        <f t="shared" si="70"/>
        <v>1900</v>
      </c>
      <c r="R545" s="654"/>
      <c r="S545" s="654"/>
      <c r="T545" s="654"/>
      <c r="U545" s="654"/>
    </row>
    <row r="546" spans="1:21" ht="14.25" customHeight="1">
      <c r="A546" s="1316"/>
      <c r="B546" s="1317"/>
      <c r="C546" s="1318"/>
      <c r="D546" s="1319"/>
      <c r="E546" s="1318"/>
      <c r="F546" s="1320">
        <f t="shared" si="71"/>
        <v>0</v>
      </c>
      <c r="G546" s="1319"/>
      <c r="H546" s="1318"/>
      <c r="I546" s="1320">
        <f t="shared" si="72"/>
        <v>0</v>
      </c>
      <c r="J546" s="1320">
        <f t="shared" si="65"/>
        <v>0</v>
      </c>
      <c r="K546" s="1320">
        <f t="shared" si="66"/>
        <v>0</v>
      </c>
      <c r="L546" s="1318"/>
      <c r="M546" s="1318"/>
      <c r="N546" s="1321">
        <f t="shared" si="67"/>
        <v>0</v>
      </c>
      <c r="O546" s="1322">
        <f t="shared" si="68"/>
        <v>0</v>
      </c>
      <c r="P546" s="2369">
        <f t="shared" si="69"/>
        <v>1900</v>
      </c>
      <c r="Q546" s="2369">
        <f t="shared" si="70"/>
        <v>1900</v>
      </c>
      <c r="R546" s="654"/>
      <c r="S546" s="654"/>
      <c r="T546" s="654"/>
      <c r="U546" s="654"/>
    </row>
    <row r="547" spans="1:21" ht="14.25" customHeight="1">
      <c r="A547" s="1316"/>
      <c r="B547" s="1317"/>
      <c r="C547" s="1318"/>
      <c r="D547" s="1319"/>
      <c r="E547" s="1318"/>
      <c r="F547" s="1320">
        <f t="shared" si="71"/>
        <v>0</v>
      </c>
      <c r="G547" s="1319"/>
      <c r="H547" s="1318"/>
      <c r="I547" s="1320">
        <f t="shared" si="72"/>
        <v>0</v>
      </c>
      <c r="J547" s="1320">
        <f t="shared" si="65"/>
        <v>0</v>
      </c>
      <c r="K547" s="1320">
        <f t="shared" si="66"/>
        <v>0</v>
      </c>
      <c r="L547" s="1318"/>
      <c r="M547" s="1318"/>
      <c r="N547" s="1321">
        <f t="shared" si="67"/>
        <v>0</v>
      </c>
      <c r="O547" s="1322">
        <f t="shared" si="68"/>
        <v>0</v>
      </c>
      <c r="P547" s="2369">
        <f t="shared" si="69"/>
        <v>1900</v>
      </c>
      <c r="Q547" s="2369">
        <f t="shared" si="70"/>
        <v>1900</v>
      </c>
      <c r="R547" s="654"/>
      <c r="S547" s="654"/>
      <c r="T547" s="654"/>
      <c r="U547" s="654"/>
    </row>
    <row r="548" spans="1:21" ht="14.25" customHeight="1">
      <c r="A548" s="1316"/>
      <c r="B548" s="1317"/>
      <c r="C548" s="1318"/>
      <c r="D548" s="1319"/>
      <c r="E548" s="1318"/>
      <c r="F548" s="1320">
        <f t="shared" si="71"/>
        <v>0</v>
      </c>
      <c r="G548" s="1319"/>
      <c r="H548" s="1318"/>
      <c r="I548" s="1320">
        <f t="shared" si="72"/>
        <v>0</v>
      </c>
      <c r="J548" s="1320">
        <f t="shared" si="65"/>
        <v>0</v>
      </c>
      <c r="K548" s="1320">
        <f t="shared" si="66"/>
        <v>0</v>
      </c>
      <c r="L548" s="1318"/>
      <c r="M548" s="1318"/>
      <c r="N548" s="1321">
        <f t="shared" si="67"/>
        <v>0</v>
      </c>
      <c r="O548" s="1322">
        <f t="shared" si="68"/>
        <v>0</v>
      </c>
      <c r="P548" s="2369">
        <f t="shared" si="69"/>
        <v>1900</v>
      </c>
      <c r="Q548" s="2369">
        <f t="shared" si="70"/>
        <v>1900</v>
      </c>
      <c r="R548" s="654"/>
      <c r="S548" s="654"/>
      <c r="T548" s="654"/>
      <c r="U548" s="654"/>
    </row>
    <row r="549" spans="1:21" ht="14.25" customHeight="1">
      <c r="A549" s="1316"/>
      <c r="B549" s="1317"/>
      <c r="C549" s="1318"/>
      <c r="D549" s="1319"/>
      <c r="E549" s="1318"/>
      <c r="F549" s="1320">
        <f t="shared" si="71"/>
        <v>0</v>
      </c>
      <c r="G549" s="1319"/>
      <c r="H549" s="1318"/>
      <c r="I549" s="1320">
        <f t="shared" si="72"/>
        <v>0</v>
      </c>
      <c r="J549" s="1320">
        <f t="shared" si="65"/>
        <v>0</v>
      </c>
      <c r="K549" s="1320">
        <f t="shared" si="66"/>
        <v>0</v>
      </c>
      <c r="L549" s="1318"/>
      <c r="M549" s="1318"/>
      <c r="N549" s="1321">
        <f t="shared" si="67"/>
        <v>0</v>
      </c>
      <c r="O549" s="1322">
        <f t="shared" si="68"/>
        <v>0</v>
      </c>
      <c r="P549" s="2369">
        <f t="shared" si="69"/>
        <v>1900</v>
      </c>
      <c r="Q549" s="2369">
        <f t="shared" si="70"/>
        <v>1900</v>
      </c>
      <c r="R549" s="654"/>
      <c r="S549" s="654"/>
      <c r="T549" s="654"/>
      <c r="U549" s="654"/>
    </row>
    <row r="550" spans="1:21" ht="14.25" customHeight="1">
      <c r="A550" s="1316"/>
      <c r="B550" s="1317"/>
      <c r="C550" s="1318"/>
      <c r="D550" s="1319"/>
      <c r="E550" s="1318"/>
      <c r="F550" s="1320">
        <f t="shared" si="71"/>
        <v>0</v>
      </c>
      <c r="G550" s="1319"/>
      <c r="H550" s="1318"/>
      <c r="I550" s="1320">
        <f t="shared" si="72"/>
        <v>0</v>
      </c>
      <c r="J550" s="1320">
        <f t="shared" si="65"/>
        <v>0</v>
      </c>
      <c r="K550" s="1320">
        <f t="shared" si="66"/>
        <v>0</v>
      </c>
      <c r="L550" s="1318"/>
      <c r="M550" s="1318"/>
      <c r="N550" s="1321">
        <f t="shared" si="67"/>
        <v>0</v>
      </c>
      <c r="O550" s="1322">
        <f t="shared" si="68"/>
        <v>0</v>
      </c>
      <c r="P550" s="2369">
        <f t="shared" si="69"/>
        <v>1900</v>
      </c>
      <c r="Q550" s="2369">
        <f t="shared" si="70"/>
        <v>1900</v>
      </c>
      <c r="R550" s="654"/>
      <c r="S550" s="654"/>
      <c r="T550" s="654"/>
      <c r="U550" s="654"/>
    </row>
    <row r="551" spans="1:21" ht="14.25" customHeight="1">
      <c r="A551" s="1316"/>
      <c r="B551" s="1317"/>
      <c r="C551" s="1318"/>
      <c r="D551" s="1319"/>
      <c r="E551" s="1318"/>
      <c r="F551" s="1320">
        <f t="shared" si="71"/>
        <v>0</v>
      </c>
      <c r="G551" s="1319"/>
      <c r="H551" s="1318"/>
      <c r="I551" s="1320">
        <f t="shared" si="72"/>
        <v>0</v>
      </c>
      <c r="J551" s="1320">
        <f t="shared" si="65"/>
        <v>0</v>
      </c>
      <c r="K551" s="1320">
        <f t="shared" si="66"/>
        <v>0</v>
      </c>
      <c r="L551" s="1318"/>
      <c r="M551" s="1318"/>
      <c r="N551" s="1321">
        <f t="shared" si="67"/>
        <v>0</v>
      </c>
      <c r="O551" s="1322">
        <f t="shared" si="68"/>
        <v>0</v>
      </c>
      <c r="P551" s="2369">
        <f t="shared" si="69"/>
        <v>1900</v>
      </c>
      <c r="Q551" s="2369">
        <f t="shared" si="70"/>
        <v>1900</v>
      </c>
      <c r="R551" s="654"/>
      <c r="S551" s="654"/>
      <c r="T551" s="654"/>
      <c r="U551" s="654"/>
    </row>
    <row r="552" spans="1:21" ht="14.25" customHeight="1">
      <c r="A552" s="1316"/>
      <c r="B552" s="1317"/>
      <c r="C552" s="1318"/>
      <c r="D552" s="1319"/>
      <c r="E552" s="1318"/>
      <c r="F552" s="1320">
        <f t="shared" si="71"/>
        <v>0</v>
      </c>
      <c r="G552" s="1319"/>
      <c r="H552" s="1318"/>
      <c r="I552" s="1320">
        <f t="shared" si="72"/>
        <v>0</v>
      </c>
      <c r="J552" s="1320">
        <f t="shared" si="65"/>
        <v>0</v>
      </c>
      <c r="K552" s="1320">
        <f t="shared" si="66"/>
        <v>0</v>
      </c>
      <c r="L552" s="1318"/>
      <c r="M552" s="1318"/>
      <c r="N552" s="1321">
        <f t="shared" si="67"/>
        <v>0</v>
      </c>
      <c r="O552" s="1322">
        <f t="shared" si="68"/>
        <v>0</v>
      </c>
      <c r="P552" s="2369">
        <f t="shared" si="69"/>
        <v>1900</v>
      </c>
      <c r="Q552" s="2369">
        <f t="shared" si="70"/>
        <v>1900</v>
      </c>
      <c r="R552" s="654"/>
      <c r="S552" s="654"/>
      <c r="T552" s="654"/>
      <c r="U552" s="654"/>
    </row>
    <row r="553" spans="1:21" ht="14.25" customHeight="1">
      <c r="A553" s="1316"/>
      <c r="B553" s="1317"/>
      <c r="C553" s="1318"/>
      <c r="D553" s="1319"/>
      <c r="E553" s="1318"/>
      <c r="F553" s="1320">
        <f t="shared" si="71"/>
        <v>0</v>
      </c>
      <c r="G553" s="1319"/>
      <c r="H553" s="1318"/>
      <c r="I553" s="1320">
        <f t="shared" si="72"/>
        <v>0</v>
      </c>
      <c r="J553" s="1320">
        <f t="shared" si="65"/>
        <v>0</v>
      </c>
      <c r="K553" s="1320">
        <f t="shared" si="66"/>
        <v>0</v>
      </c>
      <c r="L553" s="1318"/>
      <c r="M553" s="1318"/>
      <c r="N553" s="1321">
        <f t="shared" si="67"/>
        <v>0</v>
      </c>
      <c r="O553" s="1322">
        <f t="shared" si="68"/>
        <v>0</v>
      </c>
      <c r="P553" s="2369">
        <f t="shared" si="69"/>
        <v>1900</v>
      </c>
      <c r="Q553" s="2369">
        <f t="shared" si="70"/>
        <v>1900</v>
      </c>
      <c r="R553" s="654"/>
      <c r="S553" s="654"/>
      <c r="T553" s="654"/>
      <c r="U553" s="654"/>
    </row>
    <row r="554" spans="1:21" ht="14.25" customHeight="1">
      <c r="A554" s="1316"/>
      <c r="B554" s="1317"/>
      <c r="C554" s="1318"/>
      <c r="D554" s="1319"/>
      <c r="E554" s="1318"/>
      <c r="F554" s="1320">
        <f t="shared" si="71"/>
        <v>0</v>
      </c>
      <c r="G554" s="1319"/>
      <c r="H554" s="1318"/>
      <c r="I554" s="1320">
        <f t="shared" si="72"/>
        <v>0</v>
      </c>
      <c r="J554" s="1320">
        <f t="shared" si="65"/>
        <v>0</v>
      </c>
      <c r="K554" s="1320">
        <f t="shared" si="66"/>
        <v>0</v>
      </c>
      <c r="L554" s="1318"/>
      <c r="M554" s="1318"/>
      <c r="N554" s="1321">
        <f t="shared" si="67"/>
        <v>0</v>
      </c>
      <c r="O554" s="1322">
        <f t="shared" si="68"/>
        <v>0</v>
      </c>
      <c r="P554" s="2369">
        <f t="shared" si="69"/>
        <v>1900</v>
      </c>
      <c r="Q554" s="2369">
        <f t="shared" si="70"/>
        <v>1900</v>
      </c>
      <c r="R554" s="654"/>
      <c r="S554" s="654"/>
      <c r="T554" s="654"/>
      <c r="U554" s="654"/>
    </row>
    <row r="555" spans="1:21" ht="14.25" customHeight="1">
      <c r="A555" s="1316"/>
      <c r="B555" s="1317"/>
      <c r="C555" s="1318"/>
      <c r="D555" s="1319"/>
      <c r="E555" s="1318"/>
      <c r="F555" s="1320">
        <f t="shared" si="71"/>
        <v>0</v>
      </c>
      <c r="G555" s="1319"/>
      <c r="H555" s="1318"/>
      <c r="I555" s="1320">
        <f t="shared" si="72"/>
        <v>0</v>
      </c>
      <c r="J555" s="1320">
        <f t="shared" si="65"/>
        <v>0</v>
      </c>
      <c r="K555" s="1320">
        <f t="shared" si="66"/>
        <v>0</v>
      </c>
      <c r="L555" s="1318"/>
      <c r="M555" s="1318"/>
      <c r="N555" s="1321">
        <f t="shared" si="67"/>
        <v>0</v>
      </c>
      <c r="O555" s="1322">
        <f t="shared" si="68"/>
        <v>0</v>
      </c>
      <c r="P555" s="2369">
        <f t="shared" si="69"/>
        <v>1900</v>
      </c>
      <c r="Q555" s="2369">
        <f t="shared" si="70"/>
        <v>1900</v>
      </c>
      <c r="R555" s="654"/>
      <c r="S555" s="654"/>
      <c r="T555" s="654"/>
      <c r="U555" s="654"/>
    </row>
    <row r="556" spans="1:21" ht="14.25" customHeight="1">
      <c r="A556" s="1316"/>
      <c r="B556" s="1317"/>
      <c r="C556" s="1318"/>
      <c r="D556" s="1319"/>
      <c r="E556" s="1318"/>
      <c r="F556" s="1320">
        <f t="shared" si="71"/>
        <v>0</v>
      </c>
      <c r="G556" s="1319"/>
      <c r="H556" s="1318"/>
      <c r="I556" s="1320">
        <f t="shared" si="72"/>
        <v>0</v>
      </c>
      <c r="J556" s="1320">
        <f t="shared" si="65"/>
        <v>0</v>
      </c>
      <c r="K556" s="1320">
        <f t="shared" si="66"/>
        <v>0</v>
      </c>
      <c r="L556" s="1318"/>
      <c r="M556" s="1318"/>
      <c r="N556" s="1321">
        <f t="shared" si="67"/>
        <v>0</v>
      </c>
      <c r="O556" s="1322">
        <f t="shared" si="68"/>
        <v>0</v>
      </c>
      <c r="P556" s="2369">
        <f t="shared" si="69"/>
        <v>1900</v>
      </c>
      <c r="Q556" s="2369">
        <f t="shared" si="70"/>
        <v>1900</v>
      </c>
      <c r="R556" s="654"/>
      <c r="S556" s="654"/>
      <c r="T556" s="654"/>
      <c r="U556" s="654"/>
    </row>
    <row r="557" spans="1:21" ht="14.25" customHeight="1">
      <c r="A557" s="1316"/>
      <c r="B557" s="1317"/>
      <c r="C557" s="1318"/>
      <c r="D557" s="1319"/>
      <c r="E557" s="1318"/>
      <c r="F557" s="1320">
        <f t="shared" si="71"/>
        <v>0</v>
      </c>
      <c r="G557" s="1319"/>
      <c r="H557" s="1318"/>
      <c r="I557" s="1320">
        <f t="shared" si="72"/>
        <v>0</v>
      </c>
      <c r="J557" s="1320">
        <f t="shared" si="65"/>
        <v>0</v>
      </c>
      <c r="K557" s="1320">
        <f t="shared" si="66"/>
        <v>0</v>
      </c>
      <c r="L557" s="1318"/>
      <c r="M557" s="1318"/>
      <c r="N557" s="1321">
        <f t="shared" si="67"/>
        <v>0</v>
      </c>
      <c r="O557" s="1322">
        <f t="shared" si="68"/>
        <v>0</v>
      </c>
      <c r="P557" s="2369">
        <f t="shared" si="69"/>
        <v>1900</v>
      </c>
      <c r="Q557" s="2369">
        <f t="shared" si="70"/>
        <v>1900</v>
      </c>
      <c r="R557" s="654"/>
      <c r="S557" s="654"/>
      <c r="T557" s="654"/>
      <c r="U557" s="654"/>
    </row>
    <row r="558" spans="1:21" ht="14.25" customHeight="1">
      <c r="A558" s="1316"/>
      <c r="B558" s="1317"/>
      <c r="C558" s="1318"/>
      <c r="D558" s="1319"/>
      <c r="E558" s="1318"/>
      <c r="F558" s="1320">
        <f t="shared" si="71"/>
        <v>0</v>
      </c>
      <c r="G558" s="1319"/>
      <c r="H558" s="1318"/>
      <c r="I558" s="1320">
        <f t="shared" si="72"/>
        <v>0</v>
      </c>
      <c r="J558" s="1320">
        <f t="shared" si="65"/>
        <v>0</v>
      </c>
      <c r="K558" s="1320">
        <f t="shared" si="66"/>
        <v>0</v>
      </c>
      <c r="L558" s="1318"/>
      <c r="M558" s="1318"/>
      <c r="N558" s="1321">
        <f t="shared" si="67"/>
        <v>0</v>
      </c>
      <c r="O558" s="1322">
        <f t="shared" si="68"/>
        <v>0</v>
      </c>
      <c r="P558" s="2369">
        <f t="shared" si="69"/>
        <v>1900</v>
      </c>
      <c r="Q558" s="2369">
        <f t="shared" si="70"/>
        <v>1900</v>
      </c>
      <c r="R558" s="654"/>
      <c r="S558" s="654"/>
      <c r="T558" s="654"/>
      <c r="U558" s="654"/>
    </row>
    <row r="559" spans="1:21" ht="14.25" customHeight="1">
      <c r="A559" s="1316"/>
      <c r="B559" s="1317"/>
      <c r="C559" s="1318"/>
      <c r="D559" s="1319"/>
      <c r="E559" s="1318"/>
      <c r="F559" s="1320">
        <f t="shared" si="71"/>
        <v>0</v>
      </c>
      <c r="G559" s="1319"/>
      <c r="H559" s="1318"/>
      <c r="I559" s="1320">
        <f t="shared" si="72"/>
        <v>0</v>
      </c>
      <c r="J559" s="1320">
        <f t="shared" si="65"/>
        <v>0</v>
      </c>
      <c r="K559" s="1320">
        <f t="shared" si="66"/>
        <v>0</v>
      </c>
      <c r="L559" s="1318"/>
      <c r="M559" s="1318"/>
      <c r="N559" s="1321">
        <f t="shared" si="67"/>
        <v>0</v>
      </c>
      <c r="O559" s="1322">
        <f t="shared" si="68"/>
        <v>0</v>
      </c>
      <c r="P559" s="2369">
        <f t="shared" si="69"/>
        <v>1900</v>
      </c>
      <c r="Q559" s="2369">
        <f t="shared" si="70"/>
        <v>1900</v>
      </c>
      <c r="R559" s="654"/>
      <c r="S559" s="654"/>
      <c r="T559" s="654"/>
      <c r="U559" s="654"/>
    </row>
    <row r="560" spans="1:21" ht="14.25" customHeight="1">
      <c r="A560" s="1316"/>
      <c r="B560" s="1317"/>
      <c r="C560" s="1318"/>
      <c r="D560" s="1319"/>
      <c r="E560" s="1318"/>
      <c r="F560" s="1320">
        <f t="shared" si="71"/>
        <v>0</v>
      </c>
      <c r="G560" s="1319"/>
      <c r="H560" s="1318"/>
      <c r="I560" s="1320">
        <f t="shared" si="72"/>
        <v>0</v>
      </c>
      <c r="J560" s="1320">
        <f t="shared" si="65"/>
        <v>0</v>
      </c>
      <c r="K560" s="1320">
        <f t="shared" si="66"/>
        <v>0</v>
      </c>
      <c r="L560" s="1318"/>
      <c r="M560" s="1318"/>
      <c r="N560" s="1321">
        <f t="shared" si="67"/>
        <v>0</v>
      </c>
      <c r="O560" s="1322">
        <f t="shared" si="68"/>
        <v>0</v>
      </c>
      <c r="P560" s="2369">
        <f t="shared" si="69"/>
        <v>1900</v>
      </c>
      <c r="Q560" s="2369">
        <f t="shared" si="70"/>
        <v>1900</v>
      </c>
      <c r="R560" s="654"/>
      <c r="S560" s="654"/>
      <c r="T560" s="654"/>
      <c r="U560" s="654"/>
    </row>
    <row r="561" spans="1:21" ht="14.25" customHeight="1">
      <c r="A561" s="1316"/>
      <c r="B561" s="1317"/>
      <c r="C561" s="1318"/>
      <c r="D561" s="1319"/>
      <c r="E561" s="1318"/>
      <c r="F561" s="1320">
        <f t="shared" si="71"/>
        <v>0</v>
      </c>
      <c r="G561" s="1319"/>
      <c r="H561" s="1318"/>
      <c r="I561" s="1320">
        <f t="shared" si="72"/>
        <v>0</v>
      </c>
      <c r="J561" s="1320">
        <f t="shared" si="65"/>
        <v>0</v>
      </c>
      <c r="K561" s="1320">
        <f t="shared" si="66"/>
        <v>0</v>
      </c>
      <c r="L561" s="1318"/>
      <c r="M561" s="1318"/>
      <c r="N561" s="1321">
        <f t="shared" si="67"/>
        <v>0</v>
      </c>
      <c r="O561" s="1322">
        <f t="shared" si="68"/>
        <v>0</v>
      </c>
      <c r="P561" s="2369">
        <f t="shared" si="69"/>
        <v>1900</v>
      </c>
      <c r="Q561" s="2369">
        <f t="shared" si="70"/>
        <v>1900</v>
      </c>
      <c r="R561" s="654"/>
      <c r="S561" s="654"/>
      <c r="T561" s="654"/>
      <c r="U561" s="654"/>
    </row>
    <row r="562" spans="1:21" ht="14.25" customHeight="1">
      <c r="A562" s="1316"/>
      <c r="B562" s="1317"/>
      <c r="C562" s="1318"/>
      <c r="D562" s="1319"/>
      <c r="E562" s="1318"/>
      <c r="F562" s="1320">
        <f t="shared" si="71"/>
        <v>0</v>
      </c>
      <c r="G562" s="1319"/>
      <c r="H562" s="1318"/>
      <c r="I562" s="1320">
        <f t="shared" si="72"/>
        <v>0</v>
      </c>
      <c r="J562" s="1320">
        <f t="shared" si="65"/>
        <v>0</v>
      </c>
      <c r="K562" s="1320">
        <f t="shared" si="66"/>
        <v>0</v>
      </c>
      <c r="L562" s="1318"/>
      <c r="M562" s="1318"/>
      <c r="N562" s="1321">
        <f t="shared" si="67"/>
        <v>0</v>
      </c>
      <c r="O562" s="1322">
        <f t="shared" si="68"/>
        <v>0</v>
      </c>
      <c r="P562" s="2369">
        <f t="shared" si="69"/>
        <v>1900</v>
      </c>
      <c r="Q562" s="2369">
        <f t="shared" si="70"/>
        <v>1900</v>
      </c>
      <c r="R562" s="654"/>
      <c r="S562" s="654"/>
      <c r="T562" s="654"/>
      <c r="U562" s="654"/>
    </row>
    <row r="563" spans="1:21" ht="14.25" customHeight="1">
      <c r="A563" s="1316"/>
      <c r="B563" s="1317"/>
      <c r="C563" s="1318"/>
      <c r="D563" s="1319"/>
      <c r="E563" s="1318"/>
      <c r="F563" s="1320">
        <f t="shared" si="71"/>
        <v>0</v>
      </c>
      <c r="G563" s="1319"/>
      <c r="H563" s="1318"/>
      <c r="I563" s="1320">
        <f t="shared" si="72"/>
        <v>0</v>
      </c>
      <c r="J563" s="1320">
        <f t="shared" si="65"/>
        <v>0</v>
      </c>
      <c r="K563" s="1320">
        <f t="shared" si="66"/>
        <v>0</v>
      </c>
      <c r="L563" s="1318"/>
      <c r="M563" s="1318"/>
      <c r="N563" s="1321">
        <f t="shared" si="67"/>
        <v>0</v>
      </c>
      <c r="O563" s="1322">
        <f t="shared" si="68"/>
        <v>0</v>
      </c>
      <c r="P563" s="2369">
        <f t="shared" si="69"/>
        <v>1900</v>
      </c>
      <c r="Q563" s="2369">
        <f t="shared" si="70"/>
        <v>1900</v>
      </c>
      <c r="R563" s="654"/>
      <c r="S563" s="654"/>
      <c r="T563" s="654"/>
      <c r="U563" s="654"/>
    </row>
    <row r="564" spans="1:21" ht="14.25" customHeight="1">
      <c r="A564" s="1316"/>
      <c r="B564" s="1317"/>
      <c r="C564" s="1318"/>
      <c r="D564" s="1319"/>
      <c r="E564" s="1318"/>
      <c r="F564" s="1320">
        <f t="shared" si="71"/>
        <v>0</v>
      </c>
      <c r="G564" s="1319"/>
      <c r="H564" s="1318"/>
      <c r="I564" s="1320">
        <f t="shared" si="72"/>
        <v>0</v>
      </c>
      <c r="J564" s="1320">
        <f t="shared" si="65"/>
        <v>0</v>
      </c>
      <c r="K564" s="1320">
        <f t="shared" si="66"/>
        <v>0</v>
      </c>
      <c r="L564" s="1318"/>
      <c r="M564" s="1318"/>
      <c r="N564" s="1321">
        <f t="shared" si="67"/>
        <v>0</v>
      </c>
      <c r="O564" s="1322">
        <f t="shared" si="68"/>
        <v>0</v>
      </c>
      <c r="P564" s="2369">
        <f t="shared" si="69"/>
        <v>1900</v>
      </c>
      <c r="Q564" s="2369">
        <f t="shared" si="70"/>
        <v>1900</v>
      </c>
      <c r="R564" s="654"/>
      <c r="S564" s="654"/>
      <c r="T564" s="654"/>
      <c r="U564" s="654"/>
    </row>
    <row r="565" spans="1:21" ht="14.25" customHeight="1">
      <c r="A565" s="1316"/>
      <c r="B565" s="1317"/>
      <c r="C565" s="1318"/>
      <c r="D565" s="1319"/>
      <c r="E565" s="1318"/>
      <c r="F565" s="1320">
        <f t="shared" si="71"/>
        <v>0</v>
      </c>
      <c r="G565" s="1319"/>
      <c r="H565" s="1318"/>
      <c r="I565" s="1320">
        <f t="shared" si="72"/>
        <v>0</v>
      </c>
      <c r="J565" s="1320">
        <f t="shared" si="65"/>
        <v>0</v>
      </c>
      <c r="K565" s="1320">
        <f t="shared" si="66"/>
        <v>0</v>
      </c>
      <c r="L565" s="1318"/>
      <c r="M565" s="1318"/>
      <c r="N565" s="1321">
        <f t="shared" si="67"/>
        <v>0</v>
      </c>
      <c r="O565" s="1322">
        <f t="shared" si="68"/>
        <v>0</v>
      </c>
      <c r="P565" s="2369">
        <f t="shared" si="69"/>
        <v>1900</v>
      </c>
      <c r="Q565" s="2369">
        <f t="shared" si="70"/>
        <v>1900</v>
      </c>
      <c r="R565" s="654"/>
      <c r="S565" s="654"/>
      <c r="T565" s="654"/>
      <c r="U565" s="654"/>
    </row>
    <row r="566" spans="1:21" ht="14.25" customHeight="1">
      <c r="A566" s="1316"/>
      <c r="B566" s="1317"/>
      <c r="C566" s="1318"/>
      <c r="D566" s="1319"/>
      <c r="E566" s="1318"/>
      <c r="F566" s="1320">
        <f t="shared" si="71"/>
        <v>0</v>
      </c>
      <c r="G566" s="1319"/>
      <c r="H566" s="1318"/>
      <c r="I566" s="1320">
        <f t="shared" si="72"/>
        <v>0</v>
      </c>
      <c r="J566" s="1320">
        <f t="shared" si="65"/>
        <v>0</v>
      </c>
      <c r="K566" s="1320">
        <f t="shared" si="66"/>
        <v>0</v>
      </c>
      <c r="L566" s="1318"/>
      <c r="M566" s="1318"/>
      <c r="N566" s="1321">
        <f t="shared" si="67"/>
        <v>0</v>
      </c>
      <c r="O566" s="1322">
        <f t="shared" si="68"/>
        <v>0</v>
      </c>
      <c r="P566" s="2369">
        <f t="shared" si="69"/>
        <v>1900</v>
      </c>
      <c r="Q566" s="2369">
        <f t="shared" si="70"/>
        <v>1900</v>
      </c>
      <c r="R566" s="654"/>
      <c r="S566" s="654"/>
      <c r="T566" s="654"/>
      <c r="U566" s="654"/>
    </row>
    <row r="567" spans="1:21" ht="14.25" customHeight="1">
      <c r="A567" s="1316"/>
      <c r="B567" s="1317"/>
      <c r="C567" s="1318"/>
      <c r="D567" s="1319"/>
      <c r="E567" s="1318"/>
      <c r="F567" s="1320">
        <f t="shared" si="71"/>
        <v>0</v>
      </c>
      <c r="G567" s="1319"/>
      <c r="H567" s="1318"/>
      <c r="I567" s="1320">
        <f t="shared" si="72"/>
        <v>0</v>
      </c>
      <c r="J567" s="1320">
        <f t="shared" si="65"/>
        <v>0</v>
      </c>
      <c r="K567" s="1320">
        <f t="shared" si="66"/>
        <v>0</v>
      </c>
      <c r="L567" s="1318"/>
      <c r="M567" s="1318"/>
      <c r="N567" s="1321">
        <f t="shared" si="67"/>
        <v>0</v>
      </c>
      <c r="O567" s="1322">
        <f t="shared" si="68"/>
        <v>0</v>
      </c>
      <c r="P567" s="2369">
        <f t="shared" si="69"/>
        <v>1900</v>
      </c>
      <c r="Q567" s="2369">
        <f t="shared" si="70"/>
        <v>1900</v>
      </c>
      <c r="R567" s="654"/>
      <c r="S567" s="654"/>
      <c r="T567" s="654"/>
      <c r="U567" s="654"/>
    </row>
    <row r="568" spans="1:21" ht="14.25" customHeight="1">
      <c r="A568" s="1316"/>
      <c r="B568" s="1317"/>
      <c r="C568" s="1318"/>
      <c r="D568" s="1319"/>
      <c r="E568" s="1318"/>
      <c r="F568" s="1320">
        <f t="shared" si="71"/>
        <v>0</v>
      </c>
      <c r="G568" s="1319"/>
      <c r="H568" s="1318"/>
      <c r="I568" s="1320">
        <f t="shared" si="72"/>
        <v>0</v>
      </c>
      <c r="J568" s="1320">
        <f t="shared" si="65"/>
        <v>0</v>
      </c>
      <c r="K568" s="1320">
        <f t="shared" si="66"/>
        <v>0</v>
      </c>
      <c r="L568" s="1318"/>
      <c r="M568" s="1318"/>
      <c r="N568" s="1321">
        <f t="shared" si="67"/>
        <v>0</v>
      </c>
      <c r="O568" s="1322">
        <f t="shared" si="68"/>
        <v>0</v>
      </c>
      <c r="P568" s="2369">
        <f t="shared" si="69"/>
        <v>1900</v>
      </c>
      <c r="Q568" s="2369">
        <f t="shared" si="70"/>
        <v>1900</v>
      </c>
      <c r="R568" s="654"/>
      <c r="S568" s="654"/>
      <c r="T568" s="654"/>
      <c r="U568" s="654"/>
    </row>
    <row r="569" spans="1:21" ht="14.25" customHeight="1">
      <c r="A569" s="1316"/>
      <c r="B569" s="1317"/>
      <c r="C569" s="1318"/>
      <c r="D569" s="1319"/>
      <c r="E569" s="1318"/>
      <c r="F569" s="1320">
        <f t="shared" si="71"/>
        <v>0</v>
      </c>
      <c r="G569" s="1319"/>
      <c r="H569" s="1318"/>
      <c r="I569" s="1320">
        <f t="shared" si="72"/>
        <v>0</v>
      </c>
      <c r="J569" s="1320">
        <f t="shared" si="65"/>
        <v>0</v>
      </c>
      <c r="K569" s="1320">
        <f t="shared" si="66"/>
        <v>0</v>
      </c>
      <c r="L569" s="1318"/>
      <c r="M569" s="1318"/>
      <c r="N569" s="1321">
        <f t="shared" si="67"/>
        <v>0</v>
      </c>
      <c r="O569" s="1322">
        <f t="shared" si="68"/>
        <v>0</v>
      </c>
      <c r="P569" s="2369">
        <f t="shared" si="69"/>
        <v>1900</v>
      </c>
      <c r="Q569" s="2369">
        <f t="shared" si="70"/>
        <v>1900</v>
      </c>
      <c r="R569" s="654"/>
      <c r="S569" s="654"/>
      <c r="T569" s="654"/>
      <c r="U569" s="654"/>
    </row>
    <row r="570" spans="1:21" ht="14.25" customHeight="1">
      <c r="A570" s="1316"/>
      <c r="B570" s="1317"/>
      <c r="C570" s="1318"/>
      <c r="D570" s="1319"/>
      <c r="E570" s="1318"/>
      <c r="F570" s="1320">
        <f t="shared" si="71"/>
        <v>0</v>
      </c>
      <c r="G570" s="1319"/>
      <c r="H570" s="1318"/>
      <c r="I570" s="1320">
        <f t="shared" si="72"/>
        <v>0</v>
      </c>
      <c r="J570" s="1320">
        <f t="shared" si="65"/>
        <v>0</v>
      </c>
      <c r="K570" s="1320">
        <f t="shared" si="66"/>
        <v>0</v>
      </c>
      <c r="L570" s="1318"/>
      <c r="M570" s="1318"/>
      <c r="N570" s="1321">
        <f t="shared" si="67"/>
        <v>0</v>
      </c>
      <c r="O570" s="1322">
        <f t="shared" si="68"/>
        <v>0</v>
      </c>
      <c r="P570" s="2369">
        <f t="shared" si="69"/>
        <v>1900</v>
      </c>
      <c r="Q570" s="2369">
        <f t="shared" si="70"/>
        <v>1900</v>
      </c>
      <c r="R570" s="654"/>
      <c r="S570" s="654"/>
      <c r="T570" s="654"/>
      <c r="U570" s="654"/>
    </row>
    <row r="571" spans="1:21" ht="14.25" customHeight="1">
      <c r="A571" s="1316"/>
      <c r="B571" s="1317"/>
      <c r="C571" s="1318"/>
      <c r="D571" s="1319"/>
      <c r="E571" s="1318"/>
      <c r="F571" s="1320">
        <f t="shared" si="71"/>
        <v>0</v>
      </c>
      <c r="G571" s="1319"/>
      <c r="H571" s="1318"/>
      <c r="I571" s="1320">
        <f t="shared" si="72"/>
        <v>0</v>
      </c>
      <c r="J571" s="1320">
        <f t="shared" si="65"/>
        <v>0</v>
      </c>
      <c r="K571" s="1320">
        <f t="shared" si="66"/>
        <v>0</v>
      </c>
      <c r="L571" s="1318"/>
      <c r="M571" s="1318"/>
      <c r="N571" s="1321">
        <f t="shared" si="67"/>
        <v>0</v>
      </c>
      <c r="O571" s="1322">
        <f t="shared" si="68"/>
        <v>0</v>
      </c>
      <c r="P571" s="2369">
        <f t="shared" si="69"/>
        <v>1900</v>
      </c>
      <c r="Q571" s="2369">
        <f t="shared" si="70"/>
        <v>1900</v>
      </c>
      <c r="R571" s="654"/>
      <c r="S571" s="654"/>
      <c r="T571" s="654"/>
      <c r="U571" s="654"/>
    </row>
    <row r="572" spans="1:21" ht="14.25" customHeight="1">
      <c r="A572" s="1316"/>
      <c r="B572" s="1317"/>
      <c r="C572" s="1318"/>
      <c r="D572" s="1319"/>
      <c r="E572" s="1318"/>
      <c r="F572" s="1320">
        <f t="shared" si="71"/>
        <v>0</v>
      </c>
      <c r="G572" s="1319"/>
      <c r="H572" s="1318"/>
      <c r="I572" s="1320">
        <f t="shared" si="72"/>
        <v>0</v>
      </c>
      <c r="J572" s="1320">
        <f t="shared" si="65"/>
        <v>0</v>
      </c>
      <c r="K572" s="1320">
        <f t="shared" si="66"/>
        <v>0</v>
      </c>
      <c r="L572" s="1318"/>
      <c r="M572" s="1318"/>
      <c r="N572" s="1321">
        <f t="shared" si="67"/>
        <v>0</v>
      </c>
      <c r="O572" s="1322">
        <f t="shared" si="68"/>
        <v>0</v>
      </c>
      <c r="P572" s="2369">
        <f t="shared" si="69"/>
        <v>1900</v>
      </c>
      <c r="Q572" s="2369">
        <f t="shared" si="70"/>
        <v>1900</v>
      </c>
      <c r="R572" s="654"/>
      <c r="S572" s="654"/>
      <c r="T572" s="654"/>
      <c r="U572" s="654"/>
    </row>
    <row r="573" spans="1:21" ht="14.25" customHeight="1">
      <c r="A573" s="1316"/>
      <c r="B573" s="1317"/>
      <c r="C573" s="1318"/>
      <c r="D573" s="1319"/>
      <c r="E573" s="1318"/>
      <c r="F573" s="1320">
        <f t="shared" si="71"/>
        <v>0</v>
      </c>
      <c r="G573" s="1319"/>
      <c r="H573" s="1318"/>
      <c r="I573" s="1320">
        <f t="shared" si="72"/>
        <v>0</v>
      </c>
      <c r="J573" s="1320">
        <f t="shared" si="65"/>
        <v>0</v>
      </c>
      <c r="K573" s="1320">
        <f t="shared" si="66"/>
        <v>0</v>
      </c>
      <c r="L573" s="1318"/>
      <c r="M573" s="1318"/>
      <c r="N573" s="1321">
        <f t="shared" si="67"/>
        <v>0</v>
      </c>
      <c r="O573" s="1322">
        <f t="shared" si="68"/>
        <v>0</v>
      </c>
      <c r="P573" s="2369">
        <f t="shared" si="69"/>
        <v>1900</v>
      </c>
      <c r="Q573" s="2369">
        <f t="shared" si="70"/>
        <v>1900</v>
      </c>
      <c r="R573" s="654"/>
      <c r="S573" s="654"/>
      <c r="T573" s="654"/>
      <c r="U573" s="654"/>
    </row>
    <row r="574" spans="1:21" ht="14.25" customHeight="1">
      <c r="A574" s="1316"/>
      <c r="B574" s="1317"/>
      <c r="C574" s="1318"/>
      <c r="D574" s="1319"/>
      <c r="E574" s="1318"/>
      <c r="F574" s="1320">
        <f t="shared" si="71"/>
        <v>0</v>
      </c>
      <c r="G574" s="1319"/>
      <c r="H574" s="1318"/>
      <c r="I574" s="1320">
        <f t="shared" si="72"/>
        <v>0</v>
      </c>
      <c r="J574" s="1320">
        <f t="shared" si="65"/>
        <v>0</v>
      </c>
      <c r="K574" s="1320">
        <f t="shared" si="66"/>
        <v>0</v>
      </c>
      <c r="L574" s="1318"/>
      <c r="M574" s="1318"/>
      <c r="N574" s="1321">
        <f t="shared" si="67"/>
        <v>0</v>
      </c>
      <c r="O574" s="1322">
        <f t="shared" si="68"/>
        <v>0</v>
      </c>
      <c r="P574" s="2369">
        <f t="shared" si="69"/>
        <v>1900</v>
      </c>
      <c r="Q574" s="2369">
        <f t="shared" si="70"/>
        <v>1900</v>
      </c>
      <c r="R574" s="654"/>
      <c r="S574" s="654"/>
      <c r="T574" s="654"/>
      <c r="U574" s="654"/>
    </row>
    <row r="575" spans="1:21" ht="14.25" customHeight="1">
      <c r="A575" s="1316"/>
      <c r="B575" s="1317"/>
      <c r="C575" s="1318"/>
      <c r="D575" s="1319"/>
      <c r="E575" s="1318"/>
      <c r="F575" s="1320">
        <f t="shared" si="71"/>
        <v>0</v>
      </c>
      <c r="G575" s="1319"/>
      <c r="H575" s="1318"/>
      <c r="I575" s="1320">
        <f t="shared" si="72"/>
        <v>0</v>
      </c>
      <c r="J575" s="1320">
        <f t="shared" si="65"/>
        <v>0</v>
      </c>
      <c r="K575" s="1320">
        <f t="shared" si="66"/>
        <v>0</v>
      </c>
      <c r="L575" s="1318"/>
      <c r="M575" s="1318"/>
      <c r="N575" s="1321">
        <f t="shared" si="67"/>
        <v>0</v>
      </c>
      <c r="O575" s="1322">
        <f t="shared" si="68"/>
        <v>0</v>
      </c>
      <c r="P575" s="2369">
        <f t="shared" si="69"/>
        <v>1900</v>
      </c>
      <c r="Q575" s="2369">
        <f t="shared" si="70"/>
        <v>1900</v>
      </c>
      <c r="R575" s="654"/>
      <c r="S575" s="654"/>
      <c r="T575" s="654"/>
      <c r="U575" s="654"/>
    </row>
    <row r="576" spans="1:21" ht="14.25" customHeight="1">
      <c r="A576" s="1316"/>
      <c r="B576" s="1317"/>
      <c r="C576" s="1318"/>
      <c r="D576" s="1319"/>
      <c r="E576" s="1318"/>
      <c r="F576" s="1320">
        <f t="shared" si="71"/>
        <v>0</v>
      </c>
      <c r="G576" s="1319"/>
      <c r="H576" s="1318"/>
      <c r="I576" s="1320">
        <f t="shared" si="72"/>
        <v>0</v>
      </c>
      <c r="J576" s="1320">
        <f t="shared" si="65"/>
        <v>0</v>
      </c>
      <c r="K576" s="1320">
        <f t="shared" si="66"/>
        <v>0</v>
      </c>
      <c r="L576" s="1318"/>
      <c r="M576" s="1318"/>
      <c r="N576" s="1321">
        <f t="shared" si="67"/>
        <v>0</v>
      </c>
      <c r="O576" s="1322">
        <f t="shared" si="68"/>
        <v>0</v>
      </c>
      <c r="P576" s="2369">
        <f t="shared" si="69"/>
        <v>1900</v>
      </c>
      <c r="Q576" s="2369">
        <f t="shared" si="70"/>
        <v>1900</v>
      </c>
      <c r="R576" s="654"/>
      <c r="S576" s="654"/>
      <c r="T576" s="654"/>
      <c r="U576" s="654"/>
    </row>
    <row r="577" spans="1:21" ht="14.25" customHeight="1">
      <c r="A577" s="1316"/>
      <c r="B577" s="1317"/>
      <c r="C577" s="1318"/>
      <c r="D577" s="1319"/>
      <c r="E577" s="1318"/>
      <c r="F577" s="1320">
        <f t="shared" si="71"/>
        <v>0</v>
      </c>
      <c r="G577" s="1319"/>
      <c r="H577" s="1318"/>
      <c r="I577" s="1320">
        <f t="shared" si="72"/>
        <v>0</v>
      </c>
      <c r="J577" s="1320">
        <f t="shared" si="65"/>
        <v>0</v>
      </c>
      <c r="K577" s="1320">
        <f t="shared" si="66"/>
        <v>0</v>
      </c>
      <c r="L577" s="1318"/>
      <c r="M577" s="1318"/>
      <c r="N577" s="1321">
        <f t="shared" si="67"/>
        <v>0</v>
      </c>
      <c r="O577" s="1322">
        <f t="shared" si="68"/>
        <v>0</v>
      </c>
      <c r="P577" s="2369">
        <f t="shared" si="69"/>
        <v>1900</v>
      </c>
      <c r="Q577" s="2369">
        <f t="shared" si="70"/>
        <v>1900</v>
      </c>
      <c r="R577" s="654"/>
      <c r="S577" s="654"/>
      <c r="T577" s="654"/>
      <c r="U577" s="654"/>
    </row>
    <row r="578" spans="1:21" ht="14.25" customHeight="1">
      <c r="A578" s="1316"/>
      <c r="B578" s="1317"/>
      <c r="C578" s="1318"/>
      <c r="D578" s="1319"/>
      <c r="E578" s="1318"/>
      <c r="F578" s="1320">
        <f t="shared" si="71"/>
        <v>0</v>
      </c>
      <c r="G578" s="1319"/>
      <c r="H578" s="1318"/>
      <c r="I578" s="1320">
        <f t="shared" si="72"/>
        <v>0</v>
      </c>
      <c r="J578" s="1320">
        <f t="shared" si="65"/>
        <v>0</v>
      </c>
      <c r="K578" s="1320">
        <f t="shared" si="66"/>
        <v>0</v>
      </c>
      <c r="L578" s="1318"/>
      <c r="M578" s="1318"/>
      <c r="N578" s="1321">
        <f t="shared" si="67"/>
        <v>0</v>
      </c>
      <c r="O578" s="1322">
        <f t="shared" si="68"/>
        <v>0</v>
      </c>
      <c r="P578" s="2369">
        <f t="shared" si="69"/>
        <v>1900</v>
      </c>
      <c r="Q578" s="2369">
        <f t="shared" si="70"/>
        <v>1900</v>
      </c>
      <c r="R578" s="654"/>
      <c r="S578" s="654"/>
      <c r="T578" s="654"/>
      <c r="U578" s="654"/>
    </row>
    <row r="579" spans="1:21" ht="14.25" customHeight="1">
      <c r="A579" s="1316"/>
      <c r="B579" s="1317"/>
      <c r="C579" s="1318"/>
      <c r="D579" s="1319"/>
      <c r="E579" s="1318"/>
      <c r="F579" s="1320">
        <f t="shared" si="71"/>
        <v>0</v>
      </c>
      <c r="G579" s="1319"/>
      <c r="H579" s="1318"/>
      <c r="I579" s="1320">
        <f t="shared" si="72"/>
        <v>0</v>
      </c>
      <c r="J579" s="1320">
        <f t="shared" si="65"/>
        <v>0</v>
      </c>
      <c r="K579" s="1320">
        <f t="shared" si="66"/>
        <v>0</v>
      </c>
      <c r="L579" s="1318"/>
      <c r="M579" s="1318"/>
      <c r="N579" s="1321">
        <f t="shared" si="67"/>
        <v>0</v>
      </c>
      <c r="O579" s="1322">
        <f t="shared" si="68"/>
        <v>0</v>
      </c>
      <c r="P579" s="2369">
        <f t="shared" si="69"/>
        <v>1900</v>
      </c>
      <c r="Q579" s="2369">
        <f t="shared" si="70"/>
        <v>1900</v>
      </c>
      <c r="R579" s="654"/>
      <c r="S579" s="654"/>
      <c r="T579" s="654"/>
      <c r="U579" s="654"/>
    </row>
    <row r="580" spans="1:21" ht="14.25" customHeight="1">
      <c r="A580" s="1316"/>
      <c r="B580" s="1317"/>
      <c r="C580" s="1318"/>
      <c r="D580" s="1319"/>
      <c r="E580" s="1318"/>
      <c r="F580" s="1320">
        <f t="shared" si="71"/>
        <v>0</v>
      </c>
      <c r="G580" s="1319"/>
      <c r="H580" s="1318"/>
      <c r="I580" s="1320">
        <f t="shared" si="72"/>
        <v>0</v>
      </c>
      <c r="J580" s="1320">
        <f t="shared" si="65"/>
        <v>0</v>
      </c>
      <c r="K580" s="1320">
        <f t="shared" si="66"/>
        <v>0</v>
      </c>
      <c r="L580" s="1318"/>
      <c r="M580" s="1318"/>
      <c r="N580" s="1321">
        <f t="shared" si="67"/>
        <v>0</v>
      </c>
      <c r="O580" s="1322">
        <f t="shared" si="68"/>
        <v>0</v>
      </c>
      <c r="P580" s="2369">
        <f t="shared" si="69"/>
        <v>1900</v>
      </c>
      <c r="Q580" s="2369">
        <f t="shared" si="70"/>
        <v>1900</v>
      </c>
      <c r="R580" s="654"/>
      <c r="S580" s="654"/>
      <c r="T580" s="654"/>
      <c r="U580" s="654"/>
    </row>
    <row r="581" spans="1:21" ht="14.25" customHeight="1">
      <c r="A581" s="1316"/>
      <c r="B581" s="1317"/>
      <c r="C581" s="1318"/>
      <c r="D581" s="1319"/>
      <c r="E581" s="1318"/>
      <c r="F581" s="1320">
        <f t="shared" si="71"/>
        <v>0</v>
      </c>
      <c r="G581" s="1319"/>
      <c r="H581" s="1318"/>
      <c r="I581" s="1320">
        <f t="shared" si="72"/>
        <v>0</v>
      </c>
      <c r="J581" s="1320">
        <f t="shared" si="65"/>
        <v>0</v>
      </c>
      <c r="K581" s="1320">
        <f t="shared" si="66"/>
        <v>0</v>
      </c>
      <c r="L581" s="1318"/>
      <c r="M581" s="1318"/>
      <c r="N581" s="1321">
        <f t="shared" si="67"/>
        <v>0</v>
      </c>
      <c r="O581" s="1322">
        <f t="shared" si="68"/>
        <v>0</v>
      </c>
      <c r="P581" s="2369">
        <f t="shared" si="69"/>
        <v>1900</v>
      </c>
      <c r="Q581" s="2369">
        <f t="shared" si="70"/>
        <v>1900</v>
      </c>
      <c r="R581" s="654"/>
      <c r="S581" s="654"/>
      <c r="T581" s="654"/>
      <c r="U581" s="654"/>
    </row>
    <row r="582" spans="1:21" ht="14.25" customHeight="1">
      <c r="A582" s="1316"/>
      <c r="B582" s="1317"/>
      <c r="C582" s="1318"/>
      <c r="D582" s="1319"/>
      <c r="E582" s="1318"/>
      <c r="F582" s="1320">
        <f t="shared" si="71"/>
        <v>0</v>
      </c>
      <c r="G582" s="1319"/>
      <c r="H582" s="1318"/>
      <c r="I582" s="1320">
        <f t="shared" si="72"/>
        <v>0</v>
      </c>
      <c r="J582" s="1320">
        <f t="shared" si="65"/>
        <v>0</v>
      </c>
      <c r="K582" s="1320">
        <f t="shared" si="66"/>
        <v>0</v>
      </c>
      <c r="L582" s="1318"/>
      <c r="M582" s="1318"/>
      <c r="N582" s="1321">
        <f t="shared" si="67"/>
        <v>0</v>
      </c>
      <c r="O582" s="1322">
        <f t="shared" si="68"/>
        <v>0</v>
      </c>
      <c r="P582" s="2369">
        <f t="shared" si="69"/>
        <v>1900</v>
      </c>
      <c r="Q582" s="2369">
        <f t="shared" si="70"/>
        <v>1900</v>
      </c>
      <c r="R582" s="654"/>
      <c r="S582" s="654"/>
      <c r="T582" s="654"/>
      <c r="U582" s="654"/>
    </row>
    <row r="583" spans="1:21" ht="14.25" customHeight="1">
      <c r="A583" s="1316"/>
      <c r="B583" s="1317"/>
      <c r="C583" s="1318"/>
      <c r="D583" s="1319"/>
      <c r="E583" s="1318"/>
      <c r="F583" s="1320">
        <f t="shared" si="71"/>
        <v>0</v>
      </c>
      <c r="G583" s="1319"/>
      <c r="H583" s="1318"/>
      <c r="I583" s="1320">
        <f t="shared" si="72"/>
        <v>0</v>
      </c>
      <c r="J583" s="1320">
        <f t="shared" si="65"/>
        <v>0</v>
      </c>
      <c r="K583" s="1320">
        <f t="shared" si="66"/>
        <v>0</v>
      </c>
      <c r="L583" s="1318"/>
      <c r="M583" s="1318"/>
      <c r="N583" s="1321">
        <f t="shared" si="67"/>
        <v>0</v>
      </c>
      <c r="O583" s="1322">
        <f t="shared" si="68"/>
        <v>0</v>
      </c>
      <c r="P583" s="2369">
        <f t="shared" si="69"/>
        <v>1900</v>
      </c>
      <c r="Q583" s="2369">
        <f t="shared" si="70"/>
        <v>1900</v>
      </c>
      <c r="R583" s="654"/>
      <c r="S583" s="654"/>
      <c r="T583" s="654"/>
      <c r="U583" s="654"/>
    </row>
    <row r="584" spans="1:21" ht="14.25" customHeight="1">
      <c r="A584" s="1316"/>
      <c r="B584" s="1317"/>
      <c r="C584" s="1318"/>
      <c r="D584" s="1319"/>
      <c r="E584" s="1318"/>
      <c r="F584" s="1320">
        <f t="shared" si="71"/>
        <v>0</v>
      </c>
      <c r="G584" s="1319"/>
      <c r="H584" s="1318"/>
      <c r="I584" s="1320">
        <f t="shared" si="72"/>
        <v>0</v>
      </c>
      <c r="J584" s="1320">
        <f t="shared" si="65"/>
        <v>0</v>
      </c>
      <c r="K584" s="1320">
        <f t="shared" si="66"/>
        <v>0</v>
      </c>
      <c r="L584" s="1318"/>
      <c r="M584" s="1318"/>
      <c r="N584" s="1321">
        <f t="shared" si="67"/>
        <v>0</v>
      </c>
      <c r="O584" s="1322">
        <f t="shared" si="68"/>
        <v>0</v>
      </c>
      <c r="P584" s="2369">
        <f t="shared" si="69"/>
        <v>1900</v>
      </c>
      <c r="Q584" s="2369">
        <f t="shared" si="70"/>
        <v>1900</v>
      </c>
      <c r="R584" s="654"/>
      <c r="S584" s="654"/>
      <c r="T584" s="654"/>
      <c r="U584" s="654"/>
    </row>
    <row r="585" spans="1:21" ht="14.25" customHeight="1">
      <c r="A585" s="1316"/>
      <c r="B585" s="1317"/>
      <c r="C585" s="1318"/>
      <c r="D585" s="1319"/>
      <c r="E585" s="1318"/>
      <c r="F585" s="1320">
        <f t="shared" si="71"/>
        <v>0</v>
      </c>
      <c r="G585" s="1319"/>
      <c r="H585" s="1318"/>
      <c r="I585" s="1320">
        <f t="shared" si="72"/>
        <v>0</v>
      </c>
      <c r="J585" s="1320">
        <f t="shared" ref="J585:J648" si="73">C585+E585-H585</f>
        <v>0</v>
      </c>
      <c r="K585" s="1320">
        <f t="shared" ref="K585:K648" si="74">C585+F585-I585</f>
        <v>0</v>
      </c>
      <c r="L585" s="1318"/>
      <c r="M585" s="1318"/>
      <c r="N585" s="1321">
        <f t="shared" si="67"/>
        <v>0</v>
      </c>
      <c r="O585" s="1322">
        <f t="shared" si="68"/>
        <v>0</v>
      </c>
      <c r="P585" s="2369">
        <f t="shared" si="69"/>
        <v>1900</v>
      </c>
      <c r="Q585" s="2369">
        <f t="shared" si="70"/>
        <v>1900</v>
      </c>
      <c r="R585" s="654"/>
      <c r="S585" s="654"/>
      <c r="T585" s="654"/>
      <c r="U585" s="654"/>
    </row>
    <row r="586" spans="1:21" ht="14.25" customHeight="1">
      <c r="A586" s="1316"/>
      <c r="B586" s="1317"/>
      <c r="C586" s="1318"/>
      <c r="D586" s="1319"/>
      <c r="E586" s="1318"/>
      <c r="F586" s="1320">
        <f t="shared" si="71"/>
        <v>0</v>
      </c>
      <c r="G586" s="1319"/>
      <c r="H586" s="1318"/>
      <c r="I586" s="1320">
        <f t="shared" si="72"/>
        <v>0</v>
      </c>
      <c r="J586" s="1320">
        <f t="shared" si="73"/>
        <v>0</v>
      </c>
      <c r="K586" s="1320">
        <f t="shared" si="74"/>
        <v>0</v>
      </c>
      <c r="L586" s="1318"/>
      <c r="M586" s="1318"/>
      <c r="N586" s="1321">
        <f t="shared" ref="N586:N649" si="75">IF(M586&lt;&gt;0,ROUND(B586*K586,2)+M586,IF(ABS(ROUND(K586*B586,2)-L586)&lt;3,L586,MIN(ROUND(K586*B586,2),L586)))</f>
        <v>0</v>
      </c>
      <c r="O586" s="1322">
        <f t="shared" ref="O586:O649" si="76">IF(ISERROR(L586-N586),"",IF(ABS(L586-N586)&lt;3,0,L586-N586))</f>
        <v>0</v>
      </c>
      <c r="P586" s="2369">
        <f t="shared" ref="P586:P649" si="77">IFERROR(YEAR(D586),0)</f>
        <v>1900</v>
      </c>
      <c r="Q586" s="2369">
        <f t="shared" ref="Q586:Q649" si="78">IFERROR(YEAR(G586),0)</f>
        <v>1900</v>
      </c>
      <c r="R586" s="654"/>
      <c r="S586" s="654"/>
      <c r="T586" s="654"/>
      <c r="U586" s="654"/>
    </row>
    <row r="587" spans="1:21" ht="14.25" customHeight="1">
      <c r="A587" s="1316"/>
      <c r="B587" s="1317"/>
      <c r="C587" s="1318"/>
      <c r="D587" s="1319"/>
      <c r="E587" s="1318"/>
      <c r="F587" s="1320">
        <f t="shared" ref="F587:F650" si="79">E587*(12-MONTH(D587))/12</f>
        <v>0</v>
      </c>
      <c r="G587" s="1319"/>
      <c r="H587" s="1318"/>
      <c r="I587" s="1320">
        <f t="shared" ref="I587:I650" si="80">H587*(12-MONTH(G587))/12</f>
        <v>0</v>
      </c>
      <c r="J587" s="1320">
        <f t="shared" si="73"/>
        <v>0</v>
      </c>
      <c r="K587" s="1320">
        <f t="shared" si="74"/>
        <v>0</v>
      </c>
      <c r="L587" s="1318"/>
      <c r="M587" s="1318"/>
      <c r="N587" s="1321">
        <f t="shared" si="75"/>
        <v>0</v>
      </c>
      <c r="O587" s="1322">
        <f t="shared" si="76"/>
        <v>0</v>
      </c>
      <c r="P587" s="2369">
        <f t="shared" si="77"/>
        <v>1900</v>
      </c>
      <c r="Q587" s="2369">
        <f t="shared" si="78"/>
        <v>1900</v>
      </c>
      <c r="R587" s="654"/>
      <c r="S587" s="654"/>
      <c r="T587" s="654"/>
      <c r="U587" s="654"/>
    </row>
    <row r="588" spans="1:21" ht="14.25" customHeight="1">
      <c r="A588" s="1316"/>
      <c r="B588" s="1317"/>
      <c r="C588" s="1318"/>
      <c r="D588" s="1319"/>
      <c r="E588" s="1318"/>
      <c r="F588" s="1320">
        <f t="shared" si="79"/>
        <v>0</v>
      </c>
      <c r="G588" s="1319"/>
      <c r="H588" s="1318"/>
      <c r="I588" s="1320">
        <f t="shared" si="80"/>
        <v>0</v>
      </c>
      <c r="J588" s="1320">
        <f t="shared" si="73"/>
        <v>0</v>
      </c>
      <c r="K588" s="1320">
        <f t="shared" si="74"/>
        <v>0</v>
      </c>
      <c r="L588" s="1318"/>
      <c r="M588" s="1318"/>
      <c r="N588" s="1321">
        <f t="shared" si="75"/>
        <v>0</v>
      </c>
      <c r="O588" s="1322">
        <f t="shared" si="76"/>
        <v>0</v>
      </c>
      <c r="P588" s="2369">
        <f t="shared" si="77"/>
        <v>1900</v>
      </c>
      <c r="Q588" s="2369">
        <f t="shared" si="78"/>
        <v>1900</v>
      </c>
      <c r="R588" s="654"/>
      <c r="S588" s="654"/>
      <c r="T588" s="654"/>
      <c r="U588" s="654"/>
    </row>
    <row r="589" spans="1:21" ht="14.25" customHeight="1">
      <c r="A589" s="1316"/>
      <c r="B589" s="1317"/>
      <c r="C589" s="1318"/>
      <c r="D589" s="1319"/>
      <c r="E589" s="1318"/>
      <c r="F589" s="1320">
        <f t="shared" si="79"/>
        <v>0</v>
      </c>
      <c r="G589" s="1319"/>
      <c r="H589" s="1318"/>
      <c r="I589" s="1320">
        <f t="shared" si="80"/>
        <v>0</v>
      </c>
      <c r="J589" s="1320">
        <f t="shared" si="73"/>
        <v>0</v>
      </c>
      <c r="K589" s="1320">
        <f t="shared" si="74"/>
        <v>0</v>
      </c>
      <c r="L589" s="1318"/>
      <c r="M589" s="1318"/>
      <c r="N589" s="1321">
        <f t="shared" si="75"/>
        <v>0</v>
      </c>
      <c r="O589" s="1322">
        <f t="shared" si="76"/>
        <v>0</v>
      </c>
      <c r="P589" s="2369">
        <f t="shared" si="77"/>
        <v>1900</v>
      </c>
      <c r="Q589" s="2369">
        <f t="shared" si="78"/>
        <v>1900</v>
      </c>
      <c r="R589" s="654"/>
      <c r="S589" s="654"/>
      <c r="T589" s="654"/>
      <c r="U589" s="654"/>
    </row>
    <row r="590" spans="1:21" ht="14.25" customHeight="1">
      <c r="A590" s="1316"/>
      <c r="B590" s="1317"/>
      <c r="C590" s="1318"/>
      <c r="D590" s="1319"/>
      <c r="E590" s="1318"/>
      <c r="F590" s="1320">
        <f t="shared" si="79"/>
        <v>0</v>
      </c>
      <c r="G590" s="1319"/>
      <c r="H590" s="1318"/>
      <c r="I590" s="1320">
        <f t="shared" si="80"/>
        <v>0</v>
      </c>
      <c r="J590" s="1320">
        <f t="shared" si="73"/>
        <v>0</v>
      </c>
      <c r="K590" s="1320">
        <f t="shared" si="74"/>
        <v>0</v>
      </c>
      <c r="L590" s="1318"/>
      <c r="M590" s="1318"/>
      <c r="N590" s="1321">
        <f t="shared" si="75"/>
        <v>0</v>
      </c>
      <c r="O590" s="1322">
        <f t="shared" si="76"/>
        <v>0</v>
      </c>
      <c r="P590" s="2369">
        <f t="shared" si="77"/>
        <v>1900</v>
      </c>
      <c r="Q590" s="2369">
        <f t="shared" si="78"/>
        <v>1900</v>
      </c>
      <c r="R590" s="654"/>
      <c r="S590" s="654"/>
      <c r="T590" s="654"/>
      <c r="U590" s="654"/>
    </row>
    <row r="591" spans="1:21" ht="14.25" customHeight="1">
      <c r="A591" s="1316"/>
      <c r="B591" s="1317"/>
      <c r="C591" s="1318"/>
      <c r="D591" s="1319"/>
      <c r="E591" s="1318"/>
      <c r="F591" s="1320">
        <f t="shared" si="79"/>
        <v>0</v>
      </c>
      <c r="G591" s="1319"/>
      <c r="H591" s="1318"/>
      <c r="I591" s="1320">
        <f t="shared" si="80"/>
        <v>0</v>
      </c>
      <c r="J591" s="1320">
        <f t="shared" si="73"/>
        <v>0</v>
      </c>
      <c r="K591" s="1320">
        <f t="shared" si="74"/>
        <v>0</v>
      </c>
      <c r="L591" s="1318"/>
      <c r="M591" s="1318"/>
      <c r="N591" s="1321">
        <f t="shared" si="75"/>
        <v>0</v>
      </c>
      <c r="O591" s="1322">
        <f t="shared" si="76"/>
        <v>0</v>
      </c>
      <c r="P591" s="2369">
        <f t="shared" si="77"/>
        <v>1900</v>
      </c>
      <c r="Q591" s="2369">
        <f t="shared" si="78"/>
        <v>1900</v>
      </c>
      <c r="R591" s="654"/>
      <c r="S591" s="654"/>
      <c r="T591" s="654"/>
      <c r="U591" s="654"/>
    </row>
    <row r="592" spans="1:21" ht="14.25" customHeight="1">
      <c r="A592" s="1316"/>
      <c r="B592" s="1317"/>
      <c r="C592" s="1318"/>
      <c r="D592" s="1319"/>
      <c r="E592" s="1318"/>
      <c r="F592" s="1320">
        <f t="shared" si="79"/>
        <v>0</v>
      </c>
      <c r="G592" s="1319"/>
      <c r="H592" s="1318"/>
      <c r="I592" s="1320">
        <f t="shared" si="80"/>
        <v>0</v>
      </c>
      <c r="J592" s="1320">
        <f t="shared" si="73"/>
        <v>0</v>
      </c>
      <c r="K592" s="1320">
        <f t="shared" si="74"/>
        <v>0</v>
      </c>
      <c r="L592" s="1318"/>
      <c r="M592" s="1318"/>
      <c r="N592" s="1321">
        <f t="shared" si="75"/>
        <v>0</v>
      </c>
      <c r="O592" s="1322">
        <f t="shared" si="76"/>
        <v>0</v>
      </c>
      <c r="P592" s="2369">
        <f t="shared" si="77"/>
        <v>1900</v>
      </c>
      <c r="Q592" s="2369">
        <f t="shared" si="78"/>
        <v>1900</v>
      </c>
      <c r="R592" s="654"/>
      <c r="S592" s="654"/>
      <c r="T592" s="654"/>
      <c r="U592" s="654"/>
    </row>
    <row r="593" spans="1:21" ht="14.25" customHeight="1">
      <c r="A593" s="1316"/>
      <c r="B593" s="1317"/>
      <c r="C593" s="1318"/>
      <c r="D593" s="1319"/>
      <c r="E593" s="1318"/>
      <c r="F593" s="1320">
        <f t="shared" si="79"/>
        <v>0</v>
      </c>
      <c r="G593" s="1319"/>
      <c r="H593" s="1318"/>
      <c r="I593" s="1320">
        <f t="shared" si="80"/>
        <v>0</v>
      </c>
      <c r="J593" s="1320">
        <f t="shared" si="73"/>
        <v>0</v>
      </c>
      <c r="K593" s="1320">
        <f t="shared" si="74"/>
        <v>0</v>
      </c>
      <c r="L593" s="1318"/>
      <c r="M593" s="1318"/>
      <c r="N593" s="1321">
        <f t="shared" si="75"/>
        <v>0</v>
      </c>
      <c r="O593" s="1322">
        <f t="shared" si="76"/>
        <v>0</v>
      </c>
      <c r="P593" s="2369">
        <f t="shared" si="77"/>
        <v>1900</v>
      </c>
      <c r="Q593" s="2369">
        <f t="shared" si="78"/>
        <v>1900</v>
      </c>
      <c r="R593" s="654"/>
      <c r="S593" s="654"/>
      <c r="T593" s="654"/>
      <c r="U593" s="654"/>
    </row>
    <row r="594" spans="1:21" ht="14.25" customHeight="1">
      <c r="A594" s="1316"/>
      <c r="B594" s="1317"/>
      <c r="C594" s="1318"/>
      <c r="D594" s="1319"/>
      <c r="E594" s="1318"/>
      <c r="F594" s="1320">
        <f t="shared" si="79"/>
        <v>0</v>
      </c>
      <c r="G594" s="1319"/>
      <c r="H594" s="1318"/>
      <c r="I594" s="1320">
        <f t="shared" si="80"/>
        <v>0</v>
      </c>
      <c r="J594" s="1320">
        <f t="shared" si="73"/>
        <v>0</v>
      </c>
      <c r="K594" s="1320">
        <f t="shared" si="74"/>
        <v>0</v>
      </c>
      <c r="L594" s="1318"/>
      <c r="M594" s="1318"/>
      <c r="N594" s="1321">
        <f t="shared" si="75"/>
        <v>0</v>
      </c>
      <c r="O594" s="1322">
        <f t="shared" si="76"/>
        <v>0</v>
      </c>
      <c r="P594" s="2369">
        <f t="shared" si="77"/>
        <v>1900</v>
      </c>
      <c r="Q594" s="2369">
        <f t="shared" si="78"/>
        <v>1900</v>
      </c>
      <c r="R594" s="654"/>
      <c r="S594" s="654"/>
      <c r="T594" s="654"/>
      <c r="U594" s="654"/>
    </row>
    <row r="595" spans="1:21" ht="14.25" customHeight="1">
      <c r="A595" s="1316"/>
      <c r="B595" s="1317"/>
      <c r="C595" s="1318"/>
      <c r="D595" s="1319"/>
      <c r="E595" s="1318"/>
      <c r="F595" s="1320">
        <f t="shared" si="79"/>
        <v>0</v>
      </c>
      <c r="G595" s="1319"/>
      <c r="H595" s="1318"/>
      <c r="I595" s="1320">
        <f t="shared" si="80"/>
        <v>0</v>
      </c>
      <c r="J595" s="1320">
        <f t="shared" si="73"/>
        <v>0</v>
      </c>
      <c r="K595" s="1320">
        <f t="shared" si="74"/>
        <v>0</v>
      </c>
      <c r="L595" s="1318"/>
      <c r="M595" s="1318"/>
      <c r="N595" s="1321">
        <f t="shared" si="75"/>
        <v>0</v>
      </c>
      <c r="O595" s="1322">
        <f t="shared" si="76"/>
        <v>0</v>
      </c>
      <c r="P595" s="2369">
        <f t="shared" si="77"/>
        <v>1900</v>
      </c>
      <c r="Q595" s="2369">
        <f t="shared" si="78"/>
        <v>1900</v>
      </c>
      <c r="R595" s="654"/>
      <c r="S595" s="654"/>
      <c r="T595" s="654"/>
      <c r="U595" s="654"/>
    </row>
    <row r="596" spans="1:21" ht="14.25" customHeight="1">
      <c r="A596" s="1316"/>
      <c r="B596" s="1317"/>
      <c r="C596" s="1318"/>
      <c r="D596" s="1319"/>
      <c r="E596" s="1318"/>
      <c r="F596" s="1320">
        <f t="shared" si="79"/>
        <v>0</v>
      </c>
      <c r="G596" s="1319"/>
      <c r="H596" s="1318"/>
      <c r="I596" s="1320">
        <f t="shared" si="80"/>
        <v>0</v>
      </c>
      <c r="J596" s="1320">
        <f t="shared" si="73"/>
        <v>0</v>
      </c>
      <c r="K596" s="1320">
        <f t="shared" si="74"/>
        <v>0</v>
      </c>
      <c r="L596" s="1318"/>
      <c r="M596" s="1318"/>
      <c r="N596" s="1321">
        <f t="shared" si="75"/>
        <v>0</v>
      </c>
      <c r="O596" s="1322">
        <f t="shared" si="76"/>
        <v>0</v>
      </c>
      <c r="P596" s="2369">
        <f t="shared" si="77"/>
        <v>1900</v>
      </c>
      <c r="Q596" s="2369">
        <f t="shared" si="78"/>
        <v>1900</v>
      </c>
      <c r="R596" s="654"/>
      <c r="S596" s="654"/>
      <c r="T596" s="654"/>
      <c r="U596" s="654"/>
    </row>
    <row r="597" spans="1:21" ht="14.25" customHeight="1">
      <c r="A597" s="1316"/>
      <c r="B597" s="1317"/>
      <c r="C597" s="1318"/>
      <c r="D597" s="1319"/>
      <c r="E597" s="1318"/>
      <c r="F597" s="1320">
        <f t="shared" si="79"/>
        <v>0</v>
      </c>
      <c r="G597" s="1319"/>
      <c r="H597" s="1318"/>
      <c r="I597" s="1320">
        <f t="shared" si="80"/>
        <v>0</v>
      </c>
      <c r="J597" s="1320">
        <f t="shared" si="73"/>
        <v>0</v>
      </c>
      <c r="K597" s="1320">
        <f t="shared" si="74"/>
        <v>0</v>
      </c>
      <c r="L597" s="1318"/>
      <c r="M597" s="1318"/>
      <c r="N597" s="1321">
        <f t="shared" si="75"/>
        <v>0</v>
      </c>
      <c r="O597" s="1322">
        <f t="shared" si="76"/>
        <v>0</v>
      </c>
      <c r="P597" s="2369">
        <f t="shared" si="77"/>
        <v>1900</v>
      </c>
      <c r="Q597" s="2369">
        <f t="shared" si="78"/>
        <v>1900</v>
      </c>
      <c r="R597" s="654"/>
      <c r="S597" s="654"/>
      <c r="T597" s="654"/>
      <c r="U597" s="654"/>
    </row>
    <row r="598" spans="1:21" ht="14.25" customHeight="1">
      <c r="A598" s="1316"/>
      <c r="B598" s="1317"/>
      <c r="C598" s="1318"/>
      <c r="D598" s="1319"/>
      <c r="E598" s="1318"/>
      <c r="F598" s="1320">
        <f t="shared" si="79"/>
        <v>0</v>
      </c>
      <c r="G598" s="1319"/>
      <c r="H598" s="1318"/>
      <c r="I598" s="1320">
        <f t="shared" si="80"/>
        <v>0</v>
      </c>
      <c r="J598" s="1320">
        <f t="shared" si="73"/>
        <v>0</v>
      </c>
      <c r="K598" s="1320">
        <f t="shared" si="74"/>
        <v>0</v>
      </c>
      <c r="L598" s="1318"/>
      <c r="M598" s="1318"/>
      <c r="N598" s="1321">
        <f t="shared" si="75"/>
        <v>0</v>
      </c>
      <c r="O598" s="1322">
        <f t="shared" si="76"/>
        <v>0</v>
      </c>
      <c r="P598" s="2369">
        <f t="shared" si="77"/>
        <v>1900</v>
      </c>
      <c r="Q598" s="2369">
        <f t="shared" si="78"/>
        <v>1900</v>
      </c>
      <c r="R598" s="654"/>
      <c r="S598" s="654"/>
      <c r="T598" s="654"/>
      <c r="U598" s="654"/>
    </row>
    <row r="599" spans="1:21" ht="14.25" customHeight="1">
      <c r="A599" s="1316"/>
      <c r="B599" s="1317"/>
      <c r="C599" s="1318"/>
      <c r="D599" s="1319"/>
      <c r="E599" s="1318"/>
      <c r="F599" s="1320">
        <f t="shared" si="79"/>
        <v>0</v>
      </c>
      <c r="G599" s="1319"/>
      <c r="H599" s="1318"/>
      <c r="I599" s="1320">
        <f t="shared" si="80"/>
        <v>0</v>
      </c>
      <c r="J599" s="1320">
        <f t="shared" si="73"/>
        <v>0</v>
      </c>
      <c r="K599" s="1320">
        <f t="shared" si="74"/>
        <v>0</v>
      </c>
      <c r="L599" s="1318"/>
      <c r="M599" s="1318"/>
      <c r="N599" s="1321">
        <f t="shared" si="75"/>
        <v>0</v>
      </c>
      <c r="O599" s="1322">
        <f t="shared" si="76"/>
        <v>0</v>
      </c>
      <c r="P599" s="2369">
        <f t="shared" si="77"/>
        <v>1900</v>
      </c>
      <c r="Q599" s="2369">
        <f t="shared" si="78"/>
        <v>1900</v>
      </c>
      <c r="R599" s="654"/>
      <c r="S599" s="654"/>
      <c r="T599" s="654"/>
      <c r="U599" s="654"/>
    </row>
    <row r="600" spans="1:21" ht="14.25" customHeight="1">
      <c r="A600" s="1316"/>
      <c r="B600" s="1317"/>
      <c r="C600" s="1318"/>
      <c r="D600" s="1319"/>
      <c r="E600" s="1318"/>
      <c r="F600" s="1320">
        <f t="shared" si="79"/>
        <v>0</v>
      </c>
      <c r="G600" s="1319"/>
      <c r="H600" s="1318"/>
      <c r="I600" s="1320">
        <f t="shared" si="80"/>
        <v>0</v>
      </c>
      <c r="J600" s="1320">
        <f t="shared" si="73"/>
        <v>0</v>
      </c>
      <c r="K600" s="1320">
        <f t="shared" si="74"/>
        <v>0</v>
      </c>
      <c r="L600" s="1318"/>
      <c r="M600" s="1318"/>
      <c r="N600" s="1321">
        <f t="shared" si="75"/>
        <v>0</v>
      </c>
      <c r="O600" s="1322">
        <f t="shared" si="76"/>
        <v>0</v>
      </c>
      <c r="P600" s="2369">
        <f t="shared" si="77"/>
        <v>1900</v>
      </c>
      <c r="Q600" s="2369">
        <f t="shared" si="78"/>
        <v>1900</v>
      </c>
      <c r="R600" s="654"/>
      <c r="S600" s="654"/>
      <c r="T600" s="654"/>
      <c r="U600" s="654"/>
    </row>
    <row r="601" spans="1:21" ht="14.25" customHeight="1">
      <c r="A601" s="1316"/>
      <c r="B601" s="1317"/>
      <c r="C601" s="1318"/>
      <c r="D601" s="1319"/>
      <c r="E601" s="1318"/>
      <c r="F601" s="1320">
        <f t="shared" si="79"/>
        <v>0</v>
      </c>
      <c r="G601" s="1319"/>
      <c r="H601" s="1318"/>
      <c r="I601" s="1320">
        <f t="shared" si="80"/>
        <v>0</v>
      </c>
      <c r="J601" s="1320">
        <f t="shared" si="73"/>
        <v>0</v>
      </c>
      <c r="K601" s="1320">
        <f t="shared" si="74"/>
        <v>0</v>
      </c>
      <c r="L601" s="1318"/>
      <c r="M601" s="1318"/>
      <c r="N601" s="1321">
        <f t="shared" si="75"/>
        <v>0</v>
      </c>
      <c r="O601" s="1322">
        <f t="shared" si="76"/>
        <v>0</v>
      </c>
      <c r="P601" s="2369">
        <f t="shared" si="77"/>
        <v>1900</v>
      </c>
      <c r="Q601" s="2369">
        <f t="shared" si="78"/>
        <v>1900</v>
      </c>
      <c r="R601" s="654"/>
      <c r="S601" s="654"/>
      <c r="T601" s="654"/>
      <c r="U601" s="654"/>
    </row>
    <row r="602" spans="1:21" ht="14.25" customHeight="1">
      <c r="A602" s="1316"/>
      <c r="B602" s="1317"/>
      <c r="C602" s="1318"/>
      <c r="D602" s="1319"/>
      <c r="E602" s="1318"/>
      <c r="F602" s="1320">
        <f t="shared" si="79"/>
        <v>0</v>
      </c>
      <c r="G602" s="1319"/>
      <c r="H602" s="1318"/>
      <c r="I602" s="1320">
        <f t="shared" si="80"/>
        <v>0</v>
      </c>
      <c r="J602" s="1320">
        <f t="shared" si="73"/>
        <v>0</v>
      </c>
      <c r="K602" s="1320">
        <f t="shared" si="74"/>
        <v>0</v>
      </c>
      <c r="L602" s="1318"/>
      <c r="M602" s="1318"/>
      <c r="N602" s="1321">
        <f t="shared" si="75"/>
        <v>0</v>
      </c>
      <c r="O602" s="1322">
        <f t="shared" si="76"/>
        <v>0</v>
      </c>
      <c r="P602" s="2369">
        <f t="shared" si="77"/>
        <v>1900</v>
      </c>
      <c r="Q602" s="2369">
        <f t="shared" si="78"/>
        <v>1900</v>
      </c>
      <c r="R602" s="654"/>
      <c r="S602" s="654"/>
      <c r="T602" s="654"/>
      <c r="U602" s="654"/>
    </row>
    <row r="603" spans="1:21" ht="14.25" customHeight="1">
      <c r="A603" s="1316"/>
      <c r="B603" s="1317"/>
      <c r="C603" s="1318"/>
      <c r="D603" s="1319"/>
      <c r="E603" s="1318"/>
      <c r="F603" s="1320">
        <f t="shared" si="79"/>
        <v>0</v>
      </c>
      <c r="G603" s="1319"/>
      <c r="H603" s="1318"/>
      <c r="I603" s="1320">
        <f t="shared" si="80"/>
        <v>0</v>
      </c>
      <c r="J603" s="1320">
        <f t="shared" si="73"/>
        <v>0</v>
      </c>
      <c r="K603" s="1320">
        <f t="shared" si="74"/>
        <v>0</v>
      </c>
      <c r="L603" s="1318"/>
      <c r="M603" s="1318"/>
      <c r="N603" s="1321">
        <f t="shared" si="75"/>
        <v>0</v>
      </c>
      <c r="O603" s="1322">
        <f t="shared" si="76"/>
        <v>0</v>
      </c>
      <c r="P603" s="2369">
        <f t="shared" si="77"/>
        <v>1900</v>
      </c>
      <c r="Q603" s="2369">
        <f t="shared" si="78"/>
        <v>1900</v>
      </c>
      <c r="R603" s="654"/>
      <c r="S603" s="654"/>
      <c r="T603" s="654"/>
      <c r="U603" s="654"/>
    </row>
    <row r="604" spans="1:21" ht="14.25" customHeight="1">
      <c r="A604" s="1316"/>
      <c r="B604" s="1317"/>
      <c r="C604" s="1318"/>
      <c r="D604" s="1319"/>
      <c r="E604" s="1318"/>
      <c r="F604" s="1320">
        <f t="shared" si="79"/>
        <v>0</v>
      </c>
      <c r="G604" s="1319"/>
      <c r="H604" s="1318"/>
      <c r="I604" s="1320">
        <f t="shared" si="80"/>
        <v>0</v>
      </c>
      <c r="J604" s="1320">
        <f t="shared" si="73"/>
        <v>0</v>
      </c>
      <c r="K604" s="1320">
        <f t="shared" si="74"/>
        <v>0</v>
      </c>
      <c r="L604" s="1318"/>
      <c r="M604" s="1318"/>
      <c r="N604" s="1321">
        <f t="shared" si="75"/>
        <v>0</v>
      </c>
      <c r="O604" s="1322">
        <f t="shared" si="76"/>
        <v>0</v>
      </c>
      <c r="P604" s="2369">
        <f t="shared" si="77"/>
        <v>1900</v>
      </c>
      <c r="Q604" s="2369">
        <f t="shared" si="78"/>
        <v>1900</v>
      </c>
      <c r="R604" s="654"/>
      <c r="S604" s="654"/>
      <c r="T604" s="654"/>
      <c r="U604" s="654"/>
    </row>
    <row r="605" spans="1:21" ht="14.25" customHeight="1">
      <c r="A605" s="1316"/>
      <c r="B605" s="1317"/>
      <c r="C605" s="1318"/>
      <c r="D605" s="1319"/>
      <c r="E605" s="1318"/>
      <c r="F605" s="1320">
        <f t="shared" si="79"/>
        <v>0</v>
      </c>
      <c r="G605" s="1319"/>
      <c r="H605" s="1318"/>
      <c r="I605" s="1320">
        <f t="shared" si="80"/>
        <v>0</v>
      </c>
      <c r="J605" s="1320">
        <f t="shared" si="73"/>
        <v>0</v>
      </c>
      <c r="K605" s="1320">
        <f t="shared" si="74"/>
        <v>0</v>
      </c>
      <c r="L605" s="1318"/>
      <c r="M605" s="1318"/>
      <c r="N605" s="1321">
        <f t="shared" si="75"/>
        <v>0</v>
      </c>
      <c r="O605" s="1322">
        <f t="shared" si="76"/>
        <v>0</v>
      </c>
      <c r="P605" s="2369">
        <f t="shared" si="77"/>
        <v>1900</v>
      </c>
      <c r="Q605" s="2369">
        <f t="shared" si="78"/>
        <v>1900</v>
      </c>
      <c r="R605" s="654"/>
      <c r="S605" s="654"/>
      <c r="T605" s="654"/>
      <c r="U605" s="654"/>
    </row>
    <row r="606" spans="1:21" ht="14.25" customHeight="1">
      <c r="A606" s="1316"/>
      <c r="B606" s="1317"/>
      <c r="C606" s="1318"/>
      <c r="D606" s="1319"/>
      <c r="E606" s="1318"/>
      <c r="F606" s="1320">
        <f t="shared" si="79"/>
        <v>0</v>
      </c>
      <c r="G606" s="1319"/>
      <c r="H606" s="1318"/>
      <c r="I606" s="1320">
        <f t="shared" si="80"/>
        <v>0</v>
      </c>
      <c r="J606" s="1320">
        <f t="shared" si="73"/>
        <v>0</v>
      </c>
      <c r="K606" s="1320">
        <f t="shared" si="74"/>
        <v>0</v>
      </c>
      <c r="L606" s="1318"/>
      <c r="M606" s="1318"/>
      <c r="N606" s="1321">
        <f t="shared" si="75"/>
        <v>0</v>
      </c>
      <c r="O606" s="1322">
        <f t="shared" si="76"/>
        <v>0</v>
      </c>
      <c r="P606" s="2369">
        <f t="shared" si="77"/>
        <v>1900</v>
      </c>
      <c r="Q606" s="2369">
        <f t="shared" si="78"/>
        <v>1900</v>
      </c>
      <c r="R606" s="654"/>
      <c r="S606" s="654"/>
      <c r="T606" s="654"/>
      <c r="U606" s="654"/>
    </row>
    <row r="607" spans="1:21" ht="14.25" customHeight="1">
      <c r="A607" s="1316"/>
      <c r="B607" s="1317"/>
      <c r="C607" s="1318"/>
      <c r="D607" s="1319"/>
      <c r="E607" s="1318"/>
      <c r="F607" s="1320">
        <f t="shared" si="79"/>
        <v>0</v>
      </c>
      <c r="G607" s="1319"/>
      <c r="H607" s="1318"/>
      <c r="I607" s="1320">
        <f t="shared" si="80"/>
        <v>0</v>
      </c>
      <c r="J607" s="1320">
        <f t="shared" si="73"/>
        <v>0</v>
      </c>
      <c r="K607" s="1320">
        <f t="shared" si="74"/>
        <v>0</v>
      </c>
      <c r="L607" s="1318"/>
      <c r="M607" s="1318"/>
      <c r="N607" s="1321">
        <f t="shared" si="75"/>
        <v>0</v>
      </c>
      <c r="O607" s="1322">
        <f t="shared" si="76"/>
        <v>0</v>
      </c>
      <c r="P607" s="2369">
        <f t="shared" si="77"/>
        <v>1900</v>
      </c>
      <c r="Q607" s="2369">
        <f t="shared" si="78"/>
        <v>1900</v>
      </c>
      <c r="R607" s="654"/>
      <c r="S607" s="654"/>
      <c r="T607" s="654"/>
      <c r="U607" s="654"/>
    </row>
    <row r="608" spans="1:21" ht="14.25" customHeight="1">
      <c r="A608" s="1316"/>
      <c r="B608" s="1317"/>
      <c r="C608" s="1318"/>
      <c r="D608" s="1319"/>
      <c r="E608" s="1318"/>
      <c r="F608" s="1320">
        <f t="shared" si="79"/>
        <v>0</v>
      </c>
      <c r="G608" s="1319"/>
      <c r="H608" s="1318"/>
      <c r="I608" s="1320">
        <f t="shared" si="80"/>
        <v>0</v>
      </c>
      <c r="J608" s="1320">
        <f t="shared" si="73"/>
        <v>0</v>
      </c>
      <c r="K608" s="1320">
        <f t="shared" si="74"/>
        <v>0</v>
      </c>
      <c r="L608" s="1318"/>
      <c r="M608" s="1318"/>
      <c r="N608" s="1321">
        <f t="shared" si="75"/>
        <v>0</v>
      </c>
      <c r="O608" s="1322">
        <f t="shared" si="76"/>
        <v>0</v>
      </c>
      <c r="P608" s="2369">
        <f t="shared" si="77"/>
        <v>1900</v>
      </c>
      <c r="Q608" s="2369">
        <f t="shared" si="78"/>
        <v>1900</v>
      </c>
      <c r="R608" s="654"/>
      <c r="S608" s="654"/>
      <c r="T608" s="654"/>
      <c r="U608" s="654"/>
    </row>
    <row r="609" spans="1:21" ht="14.25" customHeight="1">
      <c r="A609" s="1316"/>
      <c r="B609" s="1317"/>
      <c r="C609" s="1318"/>
      <c r="D609" s="1319"/>
      <c r="E609" s="1318"/>
      <c r="F609" s="1320">
        <f t="shared" si="79"/>
        <v>0</v>
      </c>
      <c r="G609" s="1319"/>
      <c r="H609" s="1318"/>
      <c r="I609" s="1320">
        <f t="shared" si="80"/>
        <v>0</v>
      </c>
      <c r="J609" s="1320">
        <f t="shared" si="73"/>
        <v>0</v>
      </c>
      <c r="K609" s="1320">
        <f t="shared" si="74"/>
        <v>0</v>
      </c>
      <c r="L609" s="1318"/>
      <c r="M609" s="1318"/>
      <c r="N609" s="1321">
        <f t="shared" si="75"/>
        <v>0</v>
      </c>
      <c r="O609" s="1322">
        <f t="shared" si="76"/>
        <v>0</v>
      </c>
      <c r="P609" s="2369">
        <f t="shared" si="77"/>
        <v>1900</v>
      </c>
      <c r="Q609" s="2369">
        <f t="shared" si="78"/>
        <v>1900</v>
      </c>
      <c r="R609" s="654"/>
      <c r="S609" s="654"/>
      <c r="T609" s="654"/>
      <c r="U609" s="654"/>
    </row>
    <row r="610" spans="1:21" ht="14.25" customHeight="1">
      <c r="A610" s="1316"/>
      <c r="B610" s="1317"/>
      <c r="C610" s="1318"/>
      <c r="D610" s="1319"/>
      <c r="E610" s="1318"/>
      <c r="F610" s="1320">
        <f t="shared" si="79"/>
        <v>0</v>
      </c>
      <c r="G610" s="1319"/>
      <c r="H610" s="1318"/>
      <c r="I610" s="1320">
        <f t="shared" si="80"/>
        <v>0</v>
      </c>
      <c r="J610" s="1320">
        <f t="shared" si="73"/>
        <v>0</v>
      </c>
      <c r="K610" s="1320">
        <f t="shared" si="74"/>
        <v>0</v>
      </c>
      <c r="L610" s="1318"/>
      <c r="M610" s="1318"/>
      <c r="N610" s="1321">
        <f t="shared" si="75"/>
        <v>0</v>
      </c>
      <c r="O610" s="1322">
        <f t="shared" si="76"/>
        <v>0</v>
      </c>
      <c r="P610" s="2369">
        <f t="shared" si="77"/>
        <v>1900</v>
      </c>
      <c r="Q610" s="2369">
        <f t="shared" si="78"/>
        <v>1900</v>
      </c>
      <c r="R610" s="654"/>
      <c r="S610" s="654"/>
      <c r="T610" s="654"/>
      <c r="U610" s="654"/>
    </row>
    <row r="611" spans="1:21" ht="14.25" customHeight="1">
      <c r="A611" s="1316"/>
      <c r="B611" s="1317"/>
      <c r="C611" s="1318"/>
      <c r="D611" s="1319"/>
      <c r="E611" s="1318"/>
      <c r="F611" s="1320">
        <f t="shared" si="79"/>
        <v>0</v>
      </c>
      <c r="G611" s="1319"/>
      <c r="H611" s="1318"/>
      <c r="I611" s="1320">
        <f t="shared" si="80"/>
        <v>0</v>
      </c>
      <c r="J611" s="1320">
        <f t="shared" si="73"/>
        <v>0</v>
      </c>
      <c r="K611" s="1320">
        <f t="shared" si="74"/>
        <v>0</v>
      </c>
      <c r="L611" s="1318"/>
      <c r="M611" s="1318"/>
      <c r="N611" s="1321">
        <f t="shared" si="75"/>
        <v>0</v>
      </c>
      <c r="O611" s="1322">
        <f t="shared" si="76"/>
        <v>0</v>
      </c>
      <c r="P611" s="2369">
        <f t="shared" si="77"/>
        <v>1900</v>
      </c>
      <c r="Q611" s="2369">
        <f t="shared" si="78"/>
        <v>1900</v>
      </c>
      <c r="R611" s="654"/>
      <c r="S611" s="654"/>
      <c r="T611" s="654"/>
      <c r="U611" s="654"/>
    </row>
    <row r="612" spans="1:21" ht="14.25" customHeight="1">
      <c r="A612" s="1316"/>
      <c r="B612" s="1317"/>
      <c r="C612" s="1318"/>
      <c r="D612" s="1319"/>
      <c r="E612" s="1318"/>
      <c r="F612" s="1320">
        <f t="shared" si="79"/>
        <v>0</v>
      </c>
      <c r="G612" s="1319"/>
      <c r="H612" s="1318"/>
      <c r="I612" s="1320">
        <f t="shared" si="80"/>
        <v>0</v>
      </c>
      <c r="J612" s="1320">
        <f t="shared" si="73"/>
        <v>0</v>
      </c>
      <c r="K612" s="1320">
        <f t="shared" si="74"/>
        <v>0</v>
      </c>
      <c r="L612" s="1318"/>
      <c r="M612" s="1318"/>
      <c r="N612" s="1321">
        <f t="shared" si="75"/>
        <v>0</v>
      </c>
      <c r="O612" s="1322">
        <f t="shared" si="76"/>
        <v>0</v>
      </c>
      <c r="P612" s="2369">
        <f t="shared" si="77"/>
        <v>1900</v>
      </c>
      <c r="Q612" s="2369">
        <f t="shared" si="78"/>
        <v>1900</v>
      </c>
      <c r="R612" s="654"/>
      <c r="S612" s="654"/>
      <c r="T612" s="654"/>
      <c r="U612" s="654"/>
    </row>
    <row r="613" spans="1:21" ht="14.25" customHeight="1">
      <c r="A613" s="1316"/>
      <c r="B613" s="1317"/>
      <c r="C613" s="1318"/>
      <c r="D613" s="1319"/>
      <c r="E613" s="1318"/>
      <c r="F613" s="1320">
        <f t="shared" si="79"/>
        <v>0</v>
      </c>
      <c r="G613" s="1319"/>
      <c r="H613" s="1318"/>
      <c r="I613" s="1320">
        <f t="shared" si="80"/>
        <v>0</v>
      </c>
      <c r="J613" s="1320">
        <f t="shared" si="73"/>
        <v>0</v>
      </c>
      <c r="K613" s="1320">
        <f t="shared" si="74"/>
        <v>0</v>
      </c>
      <c r="L613" s="1318"/>
      <c r="M613" s="1318"/>
      <c r="N613" s="1321">
        <f t="shared" si="75"/>
        <v>0</v>
      </c>
      <c r="O613" s="1322">
        <f t="shared" si="76"/>
        <v>0</v>
      </c>
      <c r="P613" s="2369">
        <f t="shared" si="77"/>
        <v>1900</v>
      </c>
      <c r="Q613" s="2369">
        <f t="shared" si="78"/>
        <v>1900</v>
      </c>
      <c r="R613" s="654"/>
      <c r="S613" s="654"/>
      <c r="T613" s="654"/>
      <c r="U613" s="654"/>
    </row>
    <row r="614" spans="1:21" ht="14.25" customHeight="1">
      <c r="A614" s="1316"/>
      <c r="B614" s="1317"/>
      <c r="C614" s="1318"/>
      <c r="D614" s="1319"/>
      <c r="E614" s="1318"/>
      <c r="F614" s="1320">
        <f t="shared" si="79"/>
        <v>0</v>
      </c>
      <c r="G614" s="1319"/>
      <c r="H614" s="1318"/>
      <c r="I614" s="1320">
        <f t="shared" si="80"/>
        <v>0</v>
      </c>
      <c r="J614" s="1320">
        <f t="shared" si="73"/>
        <v>0</v>
      </c>
      <c r="K614" s="1320">
        <f t="shared" si="74"/>
        <v>0</v>
      </c>
      <c r="L614" s="1318"/>
      <c r="M614" s="1318"/>
      <c r="N614" s="1321">
        <f t="shared" si="75"/>
        <v>0</v>
      </c>
      <c r="O614" s="1322">
        <f t="shared" si="76"/>
        <v>0</v>
      </c>
      <c r="P614" s="2369">
        <f t="shared" si="77"/>
        <v>1900</v>
      </c>
      <c r="Q614" s="2369">
        <f t="shared" si="78"/>
        <v>1900</v>
      </c>
      <c r="R614" s="654"/>
      <c r="S614" s="654"/>
      <c r="T614" s="654"/>
      <c r="U614" s="654"/>
    </row>
    <row r="615" spans="1:21" ht="14.25" customHeight="1">
      <c r="A615" s="1316"/>
      <c r="B615" s="1317"/>
      <c r="C615" s="1318"/>
      <c r="D615" s="1319"/>
      <c r="E615" s="1318"/>
      <c r="F615" s="1320">
        <f t="shared" si="79"/>
        <v>0</v>
      </c>
      <c r="G615" s="1319"/>
      <c r="H615" s="1318"/>
      <c r="I615" s="1320">
        <f t="shared" si="80"/>
        <v>0</v>
      </c>
      <c r="J615" s="1320">
        <f t="shared" si="73"/>
        <v>0</v>
      </c>
      <c r="K615" s="1320">
        <f t="shared" si="74"/>
        <v>0</v>
      </c>
      <c r="L615" s="1318"/>
      <c r="M615" s="1318"/>
      <c r="N615" s="1321">
        <f t="shared" si="75"/>
        <v>0</v>
      </c>
      <c r="O615" s="1322">
        <f t="shared" si="76"/>
        <v>0</v>
      </c>
      <c r="P615" s="2369">
        <f t="shared" si="77"/>
        <v>1900</v>
      </c>
      <c r="Q615" s="2369">
        <f t="shared" si="78"/>
        <v>1900</v>
      </c>
      <c r="R615" s="654"/>
      <c r="S615" s="654"/>
      <c r="T615" s="654"/>
      <c r="U615" s="654"/>
    </row>
    <row r="616" spans="1:21" ht="14.25" customHeight="1">
      <c r="A616" s="1316"/>
      <c r="B616" s="1317"/>
      <c r="C616" s="1318"/>
      <c r="D616" s="1319"/>
      <c r="E616" s="1318"/>
      <c r="F616" s="1320">
        <f t="shared" si="79"/>
        <v>0</v>
      </c>
      <c r="G616" s="1319"/>
      <c r="H616" s="1318"/>
      <c r="I616" s="1320">
        <f t="shared" si="80"/>
        <v>0</v>
      </c>
      <c r="J616" s="1320">
        <f t="shared" si="73"/>
        <v>0</v>
      </c>
      <c r="K616" s="1320">
        <f t="shared" si="74"/>
        <v>0</v>
      </c>
      <c r="L616" s="1318"/>
      <c r="M616" s="1318"/>
      <c r="N616" s="1321">
        <f t="shared" si="75"/>
        <v>0</v>
      </c>
      <c r="O616" s="1322">
        <f t="shared" si="76"/>
        <v>0</v>
      </c>
      <c r="P616" s="2369">
        <f t="shared" si="77"/>
        <v>1900</v>
      </c>
      <c r="Q616" s="2369">
        <f t="shared" si="78"/>
        <v>1900</v>
      </c>
      <c r="R616" s="654"/>
      <c r="S616" s="654"/>
      <c r="T616" s="654"/>
      <c r="U616" s="654"/>
    </row>
    <row r="617" spans="1:21" ht="14.25" customHeight="1">
      <c r="A617" s="1316"/>
      <c r="B617" s="1317"/>
      <c r="C617" s="1318"/>
      <c r="D617" s="1319"/>
      <c r="E617" s="1318"/>
      <c r="F617" s="1320">
        <f t="shared" si="79"/>
        <v>0</v>
      </c>
      <c r="G617" s="1319"/>
      <c r="H617" s="1318"/>
      <c r="I617" s="1320">
        <f t="shared" si="80"/>
        <v>0</v>
      </c>
      <c r="J617" s="1320">
        <f t="shared" si="73"/>
        <v>0</v>
      </c>
      <c r="K617" s="1320">
        <f t="shared" si="74"/>
        <v>0</v>
      </c>
      <c r="L617" s="1318"/>
      <c r="M617" s="1318"/>
      <c r="N617" s="1321">
        <f t="shared" si="75"/>
        <v>0</v>
      </c>
      <c r="O617" s="1322">
        <f t="shared" si="76"/>
        <v>0</v>
      </c>
      <c r="P617" s="2369">
        <f t="shared" si="77"/>
        <v>1900</v>
      </c>
      <c r="Q617" s="2369">
        <f t="shared" si="78"/>
        <v>1900</v>
      </c>
      <c r="R617" s="654"/>
      <c r="S617" s="654"/>
      <c r="T617" s="654"/>
      <c r="U617" s="654"/>
    </row>
    <row r="618" spans="1:21" ht="14.25" customHeight="1">
      <c r="A618" s="1316"/>
      <c r="B618" s="1317"/>
      <c r="C618" s="1318"/>
      <c r="D618" s="1319"/>
      <c r="E618" s="1318"/>
      <c r="F618" s="1320">
        <f t="shared" si="79"/>
        <v>0</v>
      </c>
      <c r="G618" s="1319"/>
      <c r="H618" s="1318"/>
      <c r="I618" s="1320">
        <f t="shared" si="80"/>
        <v>0</v>
      </c>
      <c r="J618" s="1320">
        <f t="shared" si="73"/>
        <v>0</v>
      </c>
      <c r="K618" s="1320">
        <f t="shared" si="74"/>
        <v>0</v>
      </c>
      <c r="L618" s="1318"/>
      <c r="M618" s="1318"/>
      <c r="N618" s="1321">
        <f t="shared" si="75"/>
        <v>0</v>
      </c>
      <c r="O618" s="1322">
        <f t="shared" si="76"/>
        <v>0</v>
      </c>
      <c r="P618" s="2369">
        <f t="shared" si="77"/>
        <v>1900</v>
      </c>
      <c r="Q618" s="2369">
        <f t="shared" si="78"/>
        <v>1900</v>
      </c>
      <c r="R618" s="654"/>
      <c r="S618" s="654"/>
      <c r="T618" s="654"/>
      <c r="U618" s="654"/>
    </row>
    <row r="619" spans="1:21" ht="14.25" customHeight="1">
      <c r="A619" s="1316"/>
      <c r="B619" s="1317"/>
      <c r="C619" s="1318"/>
      <c r="D619" s="1319"/>
      <c r="E619" s="1318"/>
      <c r="F619" s="1320">
        <f t="shared" si="79"/>
        <v>0</v>
      </c>
      <c r="G619" s="1319"/>
      <c r="H619" s="1318"/>
      <c r="I619" s="1320">
        <f t="shared" si="80"/>
        <v>0</v>
      </c>
      <c r="J619" s="1320">
        <f t="shared" si="73"/>
        <v>0</v>
      </c>
      <c r="K619" s="1320">
        <f t="shared" si="74"/>
        <v>0</v>
      </c>
      <c r="L619" s="1318"/>
      <c r="M619" s="1318"/>
      <c r="N619" s="1321">
        <f t="shared" si="75"/>
        <v>0</v>
      </c>
      <c r="O619" s="1322">
        <f t="shared" si="76"/>
        <v>0</v>
      </c>
      <c r="P619" s="2369">
        <f t="shared" si="77"/>
        <v>1900</v>
      </c>
      <c r="Q619" s="2369">
        <f t="shared" si="78"/>
        <v>1900</v>
      </c>
      <c r="R619" s="654"/>
      <c r="S619" s="654"/>
      <c r="T619" s="654"/>
      <c r="U619" s="654"/>
    </row>
    <row r="620" spans="1:21" ht="14.25" customHeight="1">
      <c r="A620" s="1316"/>
      <c r="B620" s="1317"/>
      <c r="C620" s="1318"/>
      <c r="D620" s="1319"/>
      <c r="E620" s="1318"/>
      <c r="F620" s="1320">
        <f t="shared" si="79"/>
        <v>0</v>
      </c>
      <c r="G620" s="1319"/>
      <c r="H620" s="1318"/>
      <c r="I620" s="1320">
        <f t="shared" si="80"/>
        <v>0</v>
      </c>
      <c r="J620" s="1320">
        <f t="shared" si="73"/>
        <v>0</v>
      </c>
      <c r="K620" s="1320">
        <f t="shared" si="74"/>
        <v>0</v>
      </c>
      <c r="L620" s="1318"/>
      <c r="M620" s="1318"/>
      <c r="N620" s="1321">
        <f t="shared" si="75"/>
        <v>0</v>
      </c>
      <c r="O620" s="1322">
        <f t="shared" si="76"/>
        <v>0</v>
      </c>
      <c r="P620" s="2369">
        <f t="shared" si="77"/>
        <v>1900</v>
      </c>
      <c r="Q620" s="2369">
        <f t="shared" si="78"/>
        <v>1900</v>
      </c>
      <c r="R620" s="654"/>
      <c r="S620" s="654"/>
      <c r="T620" s="654"/>
      <c r="U620" s="654"/>
    </row>
    <row r="621" spans="1:21" ht="14.25" customHeight="1">
      <c r="A621" s="1316"/>
      <c r="B621" s="1317"/>
      <c r="C621" s="1318"/>
      <c r="D621" s="1319"/>
      <c r="E621" s="1318"/>
      <c r="F621" s="1320">
        <f t="shared" si="79"/>
        <v>0</v>
      </c>
      <c r="G621" s="1319"/>
      <c r="H621" s="1318"/>
      <c r="I621" s="1320">
        <f t="shared" si="80"/>
        <v>0</v>
      </c>
      <c r="J621" s="1320">
        <f t="shared" si="73"/>
        <v>0</v>
      </c>
      <c r="K621" s="1320">
        <f t="shared" si="74"/>
        <v>0</v>
      </c>
      <c r="L621" s="1318"/>
      <c r="M621" s="1318"/>
      <c r="N621" s="1321">
        <f t="shared" si="75"/>
        <v>0</v>
      </c>
      <c r="O621" s="1322">
        <f t="shared" si="76"/>
        <v>0</v>
      </c>
      <c r="P621" s="2369">
        <f t="shared" si="77"/>
        <v>1900</v>
      </c>
      <c r="Q621" s="2369">
        <f t="shared" si="78"/>
        <v>1900</v>
      </c>
      <c r="R621" s="654"/>
      <c r="S621" s="654"/>
      <c r="T621" s="654"/>
      <c r="U621" s="654"/>
    </row>
    <row r="622" spans="1:21" ht="14.25" customHeight="1">
      <c r="A622" s="1316"/>
      <c r="B622" s="1317"/>
      <c r="C622" s="1318"/>
      <c r="D622" s="1319"/>
      <c r="E622" s="1318"/>
      <c r="F622" s="1320">
        <f t="shared" si="79"/>
        <v>0</v>
      </c>
      <c r="G622" s="1319"/>
      <c r="H622" s="1318"/>
      <c r="I622" s="1320">
        <f t="shared" si="80"/>
        <v>0</v>
      </c>
      <c r="J622" s="1320">
        <f t="shared" si="73"/>
        <v>0</v>
      </c>
      <c r="K622" s="1320">
        <f t="shared" si="74"/>
        <v>0</v>
      </c>
      <c r="L622" s="1318"/>
      <c r="M622" s="1318"/>
      <c r="N622" s="1321">
        <f t="shared" si="75"/>
        <v>0</v>
      </c>
      <c r="O622" s="1322">
        <f t="shared" si="76"/>
        <v>0</v>
      </c>
      <c r="P622" s="2369">
        <f t="shared" si="77"/>
        <v>1900</v>
      </c>
      <c r="Q622" s="2369">
        <f t="shared" si="78"/>
        <v>1900</v>
      </c>
      <c r="R622" s="654"/>
      <c r="S622" s="654"/>
      <c r="T622" s="654"/>
      <c r="U622" s="654"/>
    </row>
    <row r="623" spans="1:21" ht="14.25" customHeight="1">
      <c r="A623" s="1316"/>
      <c r="B623" s="1317"/>
      <c r="C623" s="1318"/>
      <c r="D623" s="1319"/>
      <c r="E623" s="1318"/>
      <c r="F623" s="1320">
        <f t="shared" si="79"/>
        <v>0</v>
      </c>
      <c r="G623" s="1319"/>
      <c r="H623" s="1318"/>
      <c r="I623" s="1320">
        <f t="shared" si="80"/>
        <v>0</v>
      </c>
      <c r="J623" s="1320">
        <f t="shared" si="73"/>
        <v>0</v>
      </c>
      <c r="K623" s="1320">
        <f t="shared" si="74"/>
        <v>0</v>
      </c>
      <c r="L623" s="1318"/>
      <c r="M623" s="1318"/>
      <c r="N623" s="1321">
        <f t="shared" si="75"/>
        <v>0</v>
      </c>
      <c r="O623" s="1322">
        <f t="shared" si="76"/>
        <v>0</v>
      </c>
      <c r="P623" s="2369">
        <f t="shared" si="77"/>
        <v>1900</v>
      </c>
      <c r="Q623" s="2369">
        <f t="shared" si="78"/>
        <v>1900</v>
      </c>
      <c r="R623" s="654"/>
      <c r="S623" s="654"/>
      <c r="T623" s="654"/>
      <c r="U623" s="654"/>
    </row>
    <row r="624" spans="1:21" ht="14.25" customHeight="1">
      <c r="A624" s="1316"/>
      <c r="B624" s="1317"/>
      <c r="C624" s="1318"/>
      <c r="D624" s="1319"/>
      <c r="E624" s="1318"/>
      <c r="F624" s="1320">
        <f t="shared" si="79"/>
        <v>0</v>
      </c>
      <c r="G624" s="1319"/>
      <c r="H624" s="1318"/>
      <c r="I624" s="1320">
        <f t="shared" si="80"/>
        <v>0</v>
      </c>
      <c r="J624" s="1320">
        <f t="shared" si="73"/>
        <v>0</v>
      </c>
      <c r="K624" s="1320">
        <f t="shared" si="74"/>
        <v>0</v>
      </c>
      <c r="L624" s="1318"/>
      <c r="M624" s="1318"/>
      <c r="N624" s="1321">
        <f t="shared" si="75"/>
        <v>0</v>
      </c>
      <c r="O624" s="1322">
        <f t="shared" si="76"/>
        <v>0</v>
      </c>
      <c r="P624" s="2369">
        <f t="shared" si="77"/>
        <v>1900</v>
      </c>
      <c r="Q624" s="2369">
        <f t="shared" si="78"/>
        <v>1900</v>
      </c>
      <c r="R624" s="654"/>
      <c r="S624" s="654"/>
      <c r="T624" s="654"/>
      <c r="U624" s="654"/>
    </row>
    <row r="625" spans="1:21" ht="14.25" customHeight="1">
      <c r="A625" s="1316"/>
      <c r="B625" s="1317"/>
      <c r="C625" s="1318"/>
      <c r="D625" s="1319"/>
      <c r="E625" s="1318"/>
      <c r="F625" s="1320">
        <f t="shared" si="79"/>
        <v>0</v>
      </c>
      <c r="G625" s="1319"/>
      <c r="H625" s="1318"/>
      <c r="I625" s="1320">
        <f t="shared" si="80"/>
        <v>0</v>
      </c>
      <c r="J625" s="1320">
        <f t="shared" si="73"/>
        <v>0</v>
      </c>
      <c r="K625" s="1320">
        <f t="shared" si="74"/>
        <v>0</v>
      </c>
      <c r="L625" s="1318"/>
      <c r="M625" s="1318"/>
      <c r="N625" s="1321">
        <f t="shared" si="75"/>
        <v>0</v>
      </c>
      <c r="O625" s="1322">
        <f t="shared" si="76"/>
        <v>0</v>
      </c>
      <c r="P625" s="2369">
        <f t="shared" si="77"/>
        <v>1900</v>
      </c>
      <c r="Q625" s="2369">
        <f t="shared" si="78"/>
        <v>1900</v>
      </c>
      <c r="R625" s="654"/>
      <c r="S625" s="654"/>
      <c r="T625" s="654"/>
      <c r="U625" s="654"/>
    </row>
    <row r="626" spans="1:21" ht="14.25" customHeight="1">
      <c r="A626" s="1316"/>
      <c r="B626" s="1317"/>
      <c r="C626" s="1318"/>
      <c r="D626" s="1319"/>
      <c r="E626" s="1318"/>
      <c r="F626" s="1320">
        <f t="shared" si="79"/>
        <v>0</v>
      </c>
      <c r="G626" s="1319"/>
      <c r="H626" s="1318"/>
      <c r="I626" s="1320">
        <f t="shared" si="80"/>
        <v>0</v>
      </c>
      <c r="J626" s="1320">
        <f t="shared" si="73"/>
        <v>0</v>
      </c>
      <c r="K626" s="1320">
        <f t="shared" si="74"/>
        <v>0</v>
      </c>
      <c r="L626" s="1318"/>
      <c r="M626" s="1318"/>
      <c r="N626" s="1321">
        <f t="shared" si="75"/>
        <v>0</v>
      </c>
      <c r="O626" s="1322">
        <f t="shared" si="76"/>
        <v>0</v>
      </c>
      <c r="P626" s="2369">
        <f t="shared" si="77"/>
        <v>1900</v>
      </c>
      <c r="Q626" s="2369">
        <f t="shared" si="78"/>
        <v>1900</v>
      </c>
      <c r="R626" s="654"/>
      <c r="S626" s="654"/>
      <c r="T626" s="654"/>
      <c r="U626" s="654"/>
    </row>
    <row r="627" spans="1:21" ht="14.25" customHeight="1">
      <c r="A627" s="1316"/>
      <c r="B627" s="1317"/>
      <c r="C627" s="1318"/>
      <c r="D627" s="1319"/>
      <c r="E627" s="1318"/>
      <c r="F627" s="1320">
        <f t="shared" si="79"/>
        <v>0</v>
      </c>
      <c r="G627" s="1319"/>
      <c r="H627" s="1318"/>
      <c r="I627" s="1320">
        <f t="shared" si="80"/>
        <v>0</v>
      </c>
      <c r="J627" s="1320">
        <f t="shared" si="73"/>
        <v>0</v>
      </c>
      <c r="K627" s="1320">
        <f t="shared" si="74"/>
        <v>0</v>
      </c>
      <c r="L627" s="1318"/>
      <c r="M627" s="1318"/>
      <c r="N627" s="1321">
        <f t="shared" si="75"/>
        <v>0</v>
      </c>
      <c r="O627" s="1322">
        <f t="shared" si="76"/>
        <v>0</v>
      </c>
      <c r="P627" s="2369">
        <f t="shared" si="77"/>
        <v>1900</v>
      </c>
      <c r="Q627" s="2369">
        <f t="shared" si="78"/>
        <v>1900</v>
      </c>
      <c r="R627" s="654"/>
      <c r="S627" s="654"/>
      <c r="T627" s="654"/>
      <c r="U627" s="654"/>
    </row>
    <row r="628" spans="1:21" ht="14.25" customHeight="1">
      <c r="A628" s="1316"/>
      <c r="B628" s="1317"/>
      <c r="C628" s="1318"/>
      <c r="D628" s="1319"/>
      <c r="E628" s="1318"/>
      <c r="F628" s="1320">
        <f t="shared" si="79"/>
        <v>0</v>
      </c>
      <c r="G628" s="1319"/>
      <c r="H628" s="1318"/>
      <c r="I628" s="1320">
        <f t="shared" si="80"/>
        <v>0</v>
      </c>
      <c r="J628" s="1320">
        <f t="shared" si="73"/>
        <v>0</v>
      </c>
      <c r="K628" s="1320">
        <f t="shared" si="74"/>
        <v>0</v>
      </c>
      <c r="L628" s="1318"/>
      <c r="M628" s="1318"/>
      <c r="N628" s="1321">
        <f t="shared" si="75"/>
        <v>0</v>
      </c>
      <c r="O628" s="1322">
        <f t="shared" si="76"/>
        <v>0</v>
      </c>
      <c r="P628" s="2369">
        <f t="shared" si="77"/>
        <v>1900</v>
      </c>
      <c r="Q628" s="2369">
        <f t="shared" si="78"/>
        <v>1900</v>
      </c>
      <c r="R628" s="654"/>
      <c r="S628" s="654"/>
      <c r="T628" s="654"/>
      <c r="U628" s="654"/>
    </row>
    <row r="629" spans="1:21" ht="14.25" customHeight="1">
      <c r="A629" s="1316"/>
      <c r="B629" s="1317"/>
      <c r="C629" s="1318"/>
      <c r="D629" s="1319"/>
      <c r="E629" s="1318"/>
      <c r="F629" s="1320">
        <f t="shared" si="79"/>
        <v>0</v>
      </c>
      <c r="G629" s="1319"/>
      <c r="H629" s="1318"/>
      <c r="I629" s="1320">
        <f t="shared" si="80"/>
        <v>0</v>
      </c>
      <c r="J629" s="1320">
        <f t="shared" si="73"/>
        <v>0</v>
      </c>
      <c r="K629" s="1320">
        <f t="shared" si="74"/>
        <v>0</v>
      </c>
      <c r="L629" s="1318"/>
      <c r="M629" s="1318"/>
      <c r="N629" s="1321">
        <f t="shared" si="75"/>
        <v>0</v>
      </c>
      <c r="O629" s="1322">
        <f t="shared" si="76"/>
        <v>0</v>
      </c>
      <c r="P629" s="2369">
        <f t="shared" si="77"/>
        <v>1900</v>
      </c>
      <c r="Q629" s="2369">
        <f t="shared" si="78"/>
        <v>1900</v>
      </c>
      <c r="R629" s="654"/>
      <c r="S629" s="654"/>
      <c r="T629" s="654"/>
      <c r="U629" s="654"/>
    </row>
    <row r="630" spans="1:21" ht="14.25" customHeight="1">
      <c r="A630" s="1316"/>
      <c r="B630" s="1317"/>
      <c r="C630" s="1318"/>
      <c r="D630" s="1319"/>
      <c r="E630" s="1318"/>
      <c r="F630" s="1320">
        <f t="shared" si="79"/>
        <v>0</v>
      </c>
      <c r="G630" s="1319"/>
      <c r="H630" s="1318"/>
      <c r="I630" s="1320">
        <f t="shared" si="80"/>
        <v>0</v>
      </c>
      <c r="J630" s="1320">
        <f t="shared" si="73"/>
        <v>0</v>
      </c>
      <c r="K630" s="1320">
        <f t="shared" si="74"/>
        <v>0</v>
      </c>
      <c r="L630" s="1318"/>
      <c r="M630" s="1318"/>
      <c r="N630" s="1321">
        <f t="shared" si="75"/>
        <v>0</v>
      </c>
      <c r="O630" s="1322">
        <f t="shared" si="76"/>
        <v>0</v>
      </c>
      <c r="P630" s="2369">
        <f t="shared" si="77"/>
        <v>1900</v>
      </c>
      <c r="Q630" s="2369">
        <f t="shared" si="78"/>
        <v>1900</v>
      </c>
      <c r="R630" s="654"/>
      <c r="S630" s="654"/>
      <c r="T630" s="654"/>
      <c r="U630" s="654"/>
    </row>
    <row r="631" spans="1:21" ht="14.25" customHeight="1">
      <c r="A631" s="1316"/>
      <c r="B631" s="1317"/>
      <c r="C631" s="1318"/>
      <c r="D631" s="1319"/>
      <c r="E631" s="1318"/>
      <c r="F631" s="1320">
        <f t="shared" si="79"/>
        <v>0</v>
      </c>
      <c r="G631" s="1319"/>
      <c r="H631" s="1318"/>
      <c r="I631" s="1320">
        <f t="shared" si="80"/>
        <v>0</v>
      </c>
      <c r="J631" s="1320">
        <f t="shared" si="73"/>
        <v>0</v>
      </c>
      <c r="K631" s="1320">
        <f t="shared" si="74"/>
        <v>0</v>
      </c>
      <c r="L631" s="1318"/>
      <c r="M631" s="1318"/>
      <c r="N631" s="1321">
        <f t="shared" si="75"/>
        <v>0</v>
      </c>
      <c r="O631" s="1322">
        <f t="shared" si="76"/>
        <v>0</v>
      </c>
      <c r="P631" s="2369">
        <f t="shared" si="77"/>
        <v>1900</v>
      </c>
      <c r="Q631" s="2369">
        <f t="shared" si="78"/>
        <v>1900</v>
      </c>
      <c r="R631" s="654"/>
      <c r="S631" s="654"/>
      <c r="T631" s="654"/>
      <c r="U631" s="654"/>
    </row>
    <row r="632" spans="1:21" ht="14.25" customHeight="1">
      <c r="A632" s="1316"/>
      <c r="B632" s="1317"/>
      <c r="C632" s="1318"/>
      <c r="D632" s="1319"/>
      <c r="E632" s="1318"/>
      <c r="F632" s="1320">
        <f t="shared" si="79"/>
        <v>0</v>
      </c>
      <c r="G632" s="1319"/>
      <c r="H632" s="1318"/>
      <c r="I632" s="1320">
        <f t="shared" si="80"/>
        <v>0</v>
      </c>
      <c r="J632" s="1320">
        <f t="shared" si="73"/>
        <v>0</v>
      </c>
      <c r="K632" s="1320">
        <f t="shared" si="74"/>
        <v>0</v>
      </c>
      <c r="L632" s="1318"/>
      <c r="M632" s="1318"/>
      <c r="N632" s="1321">
        <f t="shared" si="75"/>
        <v>0</v>
      </c>
      <c r="O632" s="1322">
        <f t="shared" si="76"/>
        <v>0</v>
      </c>
      <c r="P632" s="2369">
        <f t="shared" si="77"/>
        <v>1900</v>
      </c>
      <c r="Q632" s="2369">
        <f t="shared" si="78"/>
        <v>1900</v>
      </c>
      <c r="R632" s="654"/>
      <c r="S632" s="654"/>
      <c r="T632" s="654"/>
      <c r="U632" s="654"/>
    </row>
    <row r="633" spans="1:21" ht="14.25" customHeight="1">
      <c r="A633" s="1316"/>
      <c r="B633" s="1317"/>
      <c r="C633" s="1318"/>
      <c r="D633" s="1319"/>
      <c r="E633" s="1318"/>
      <c r="F633" s="1320">
        <f t="shared" si="79"/>
        <v>0</v>
      </c>
      <c r="G633" s="1319"/>
      <c r="H633" s="1318"/>
      <c r="I633" s="1320">
        <f t="shared" si="80"/>
        <v>0</v>
      </c>
      <c r="J633" s="1320">
        <f t="shared" si="73"/>
        <v>0</v>
      </c>
      <c r="K633" s="1320">
        <f t="shared" si="74"/>
        <v>0</v>
      </c>
      <c r="L633" s="1318"/>
      <c r="M633" s="1318"/>
      <c r="N633" s="1321">
        <f t="shared" si="75"/>
        <v>0</v>
      </c>
      <c r="O633" s="1322">
        <f t="shared" si="76"/>
        <v>0</v>
      </c>
      <c r="P633" s="2369">
        <f t="shared" si="77"/>
        <v>1900</v>
      </c>
      <c r="Q633" s="2369">
        <f t="shared" si="78"/>
        <v>1900</v>
      </c>
      <c r="R633" s="654"/>
      <c r="S633" s="654"/>
      <c r="T633" s="654"/>
      <c r="U633" s="654"/>
    </row>
    <row r="634" spans="1:21" ht="14.25" customHeight="1">
      <c r="A634" s="1316"/>
      <c r="B634" s="1317"/>
      <c r="C634" s="1318"/>
      <c r="D634" s="1319"/>
      <c r="E634" s="1318"/>
      <c r="F634" s="1320">
        <f t="shared" si="79"/>
        <v>0</v>
      </c>
      <c r="G634" s="1319"/>
      <c r="H634" s="1318"/>
      <c r="I634" s="1320">
        <f t="shared" si="80"/>
        <v>0</v>
      </c>
      <c r="J634" s="1320">
        <f t="shared" si="73"/>
        <v>0</v>
      </c>
      <c r="K634" s="1320">
        <f t="shared" si="74"/>
        <v>0</v>
      </c>
      <c r="L634" s="1318"/>
      <c r="M634" s="1318"/>
      <c r="N634" s="1321">
        <f t="shared" si="75"/>
        <v>0</v>
      </c>
      <c r="O634" s="1322">
        <f t="shared" si="76"/>
        <v>0</v>
      </c>
      <c r="P634" s="2369">
        <f t="shared" si="77"/>
        <v>1900</v>
      </c>
      <c r="Q634" s="2369">
        <f t="shared" si="78"/>
        <v>1900</v>
      </c>
      <c r="R634" s="654"/>
      <c r="S634" s="654"/>
      <c r="T634" s="654"/>
      <c r="U634" s="654"/>
    </row>
    <row r="635" spans="1:21" ht="14.25" customHeight="1">
      <c r="A635" s="1316"/>
      <c r="B635" s="1317"/>
      <c r="C635" s="1318"/>
      <c r="D635" s="1319"/>
      <c r="E635" s="1318"/>
      <c r="F635" s="1320">
        <f t="shared" si="79"/>
        <v>0</v>
      </c>
      <c r="G635" s="1319"/>
      <c r="H635" s="1318"/>
      <c r="I635" s="1320">
        <f t="shared" si="80"/>
        <v>0</v>
      </c>
      <c r="J635" s="1320">
        <f t="shared" si="73"/>
        <v>0</v>
      </c>
      <c r="K635" s="1320">
        <f t="shared" si="74"/>
        <v>0</v>
      </c>
      <c r="L635" s="1318"/>
      <c r="M635" s="1318"/>
      <c r="N635" s="1321">
        <f t="shared" si="75"/>
        <v>0</v>
      </c>
      <c r="O635" s="1322">
        <f t="shared" si="76"/>
        <v>0</v>
      </c>
      <c r="P635" s="2369">
        <f t="shared" si="77"/>
        <v>1900</v>
      </c>
      <c r="Q635" s="2369">
        <f t="shared" si="78"/>
        <v>1900</v>
      </c>
      <c r="R635" s="654"/>
      <c r="S635" s="654"/>
      <c r="T635" s="654"/>
      <c r="U635" s="654"/>
    </row>
    <row r="636" spans="1:21" ht="14.25" customHeight="1">
      <c r="A636" s="1316"/>
      <c r="B636" s="1317"/>
      <c r="C636" s="1318"/>
      <c r="D636" s="1319"/>
      <c r="E636" s="1318"/>
      <c r="F636" s="1320">
        <f t="shared" si="79"/>
        <v>0</v>
      </c>
      <c r="G636" s="1319"/>
      <c r="H636" s="1318"/>
      <c r="I636" s="1320">
        <f t="shared" si="80"/>
        <v>0</v>
      </c>
      <c r="J636" s="1320">
        <f t="shared" si="73"/>
        <v>0</v>
      </c>
      <c r="K636" s="1320">
        <f t="shared" si="74"/>
        <v>0</v>
      </c>
      <c r="L636" s="1318"/>
      <c r="M636" s="1318"/>
      <c r="N636" s="1321">
        <f t="shared" si="75"/>
        <v>0</v>
      </c>
      <c r="O636" s="1322">
        <f t="shared" si="76"/>
        <v>0</v>
      </c>
      <c r="P636" s="2369">
        <f t="shared" si="77"/>
        <v>1900</v>
      </c>
      <c r="Q636" s="2369">
        <f t="shared" si="78"/>
        <v>1900</v>
      </c>
      <c r="R636" s="654"/>
      <c r="S636" s="654"/>
      <c r="T636" s="654"/>
      <c r="U636" s="654"/>
    </row>
    <row r="637" spans="1:21" ht="14.25" customHeight="1">
      <c r="A637" s="1316"/>
      <c r="B637" s="1317"/>
      <c r="C637" s="1318"/>
      <c r="D637" s="1319"/>
      <c r="E637" s="1318"/>
      <c r="F637" s="1320">
        <f t="shared" si="79"/>
        <v>0</v>
      </c>
      <c r="G637" s="1319"/>
      <c r="H637" s="1318"/>
      <c r="I637" s="1320">
        <f t="shared" si="80"/>
        <v>0</v>
      </c>
      <c r="J637" s="1320">
        <f t="shared" si="73"/>
        <v>0</v>
      </c>
      <c r="K637" s="1320">
        <f t="shared" si="74"/>
        <v>0</v>
      </c>
      <c r="L637" s="1318"/>
      <c r="M637" s="1318"/>
      <c r="N637" s="1321">
        <f t="shared" si="75"/>
        <v>0</v>
      </c>
      <c r="O637" s="1322">
        <f t="shared" si="76"/>
        <v>0</v>
      </c>
      <c r="P637" s="2369">
        <f t="shared" si="77"/>
        <v>1900</v>
      </c>
      <c r="Q637" s="2369">
        <f t="shared" si="78"/>
        <v>1900</v>
      </c>
      <c r="R637" s="654"/>
      <c r="S637" s="654"/>
      <c r="T637" s="654"/>
      <c r="U637" s="654"/>
    </row>
    <row r="638" spans="1:21" ht="14.25" customHeight="1">
      <c r="A638" s="1316"/>
      <c r="B638" s="1317"/>
      <c r="C638" s="1318"/>
      <c r="D638" s="1319"/>
      <c r="E638" s="1318"/>
      <c r="F638" s="1320">
        <f t="shared" si="79"/>
        <v>0</v>
      </c>
      <c r="G638" s="1319"/>
      <c r="H638" s="1318"/>
      <c r="I638" s="1320">
        <f t="shared" si="80"/>
        <v>0</v>
      </c>
      <c r="J638" s="1320">
        <f t="shared" si="73"/>
        <v>0</v>
      </c>
      <c r="K638" s="1320">
        <f t="shared" si="74"/>
        <v>0</v>
      </c>
      <c r="L638" s="1318"/>
      <c r="M638" s="1318"/>
      <c r="N638" s="1321">
        <f t="shared" si="75"/>
        <v>0</v>
      </c>
      <c r="O638" s="1322">
        <f t="shared" si="76"/>
        <v>0</v>
      </c>
      <c r="P638" s="2369">
        <f t="shared" si="77"/>
        <v>1900</v>
      </c>
      <c r="Q638" s="2369">
        <f t="shared" si="78"/>
        <v>1900</v>
      </c>
      <c r="R638" s="654"/>
      <c r="S638" s="654"/>
      <c r="T638" s="654"/>
      <c r="U638" s="654"/>
    </row>
    <row r="639" spans="1:21" ht="14.25" customHeight="1">
      <c r="A639" s="1316"/>
      <c r="B639" s="1317"/>
      <c r="C639" s="1318"/>
      <c r="D639" s="1319"/>
      <c r="E639" s="1318"/>
      <c r="F639" s="1320">
        <f t="shared" si="79"/>
        <v>0</v>
      </c>
      <c r="G639" s="1319"/>
      <c r="H639" s="1318"/>
      <c r="I639" s="1320">
        <f t="shared" si="80"/>
        <v>0</v>
      </c>
      <c r="J639" s="1320">
        <f t="shared" si="73"/>
        <v>0</v>
      </c>
      <c r="K639" s="1320">
        <f t="shared" si="74"/>
        <v>0</v>
      </c>
      <c r="L639" s="1318"/>
      <c r="M639" s="1318"/>
      <c r="N639" s="1321">
        <f t="shared" si="75"/>
        <v>0</v>
      </c>
      <c r="O639" s="1322">
        <f t="shared" si="76"/>
        <v>0</v>
      </c>
      <c r="P639" s="2369">
        <f t="shared" si="77"/>
        <v>1900</v>
      </c>
      <c r="Q639" s="2369">
        <f t="shared" si="78"/>
        <v>1900</v>
      </c>
      <c r="R639" s="654"/>
      <c r="S639" s="654"/>
      <c r="T639" s="654"/>
      <c r="U639" s="654"/>
    </row>
    <row r="640" spans="1:21" ht="14.25" customHeight="1">
      <c r="A640" s="1316"/>
      <c r="B640" s="1317"/>
      <c r="C640" s="1318"/>
      <c r="D640" s="1319"/>
      <c r="E640" s="1318"/>
      <c r="F640" s="1320">
        <f t="shared" si="79"/>
        <v>0</v>
      </c>
      <c r="G640" s="1319"/>
      <c r="H640" s="1318"/>
      <c r="I640" s="1320">
        <f t="shared" si="80"/>
        <v>0</v>
      </c>
      <c r="J640" s="1320">
        <f t="shared" si="73"/>
        <v>0</v>
      </c>
      <c r="K640" s="1320">
        <f t="shared" si="74"/>
        <v>0</v>
      </c>
      <c r="L640" s="1318"/>
      <c r="M640" s="1318"/>
      <c r="N640" s="1321">
        <f t="shared" si="75"/>
        <v>0</v>
      </c>
      <c r="O640" s="1322">
        <f t="shared" si="76"/>
        <v>0</v>
      </c>
      <c r="P640" s="2369">
        <f t="shared" si="77"/>
        <v>1900</v>
      </c>
      <c r="Q640" s="2369">
        <f t="shared" si="78"/>
        <v>1900</v>
      </c>
      <c r="R640" s="654"/>
      <c r="S640" s="654"/>
      <c r="T640" s="654"/>
      <c r="U640" s="654"/>
    </row>
    <row r="641" spans="1:21" ht="14.25" customHeight="1">
      <c r="A641" s="1316"/>
      <c r="B641" s="1317"/>
      <c r="C641" s="1318"/>
      <c r="D641" s="1319"/>
      <c r="E641" s="1318"/>
      <c r="F641" s="1320">
        <f t="shared" si="79"/>
        <v>0</v>
      </c>
      <c r="G641" s="1319"/>
      <c r="H641" s="1318"/>
      <c r="I641" s="1320">
        <f t="shared" si="80"/>
        <v>0</v>
      </c>
      <c r="J641" s="1320">
        <f t="shared" si="73"/>
        <v>0</v>
      </c>
      <c r="K641" s="1320">
        <f t="shared" si="74"/>
        <v>0</v>
      </c>
      <c r="L641" s="1318"/>
      <c r="M641" s="1318"/>
      <c r="N641" s="1321">
        <f t="shared" si="75"/>
        <v>0</v>
      </c>
      <c r="O641" s="1322">
        <f t="shared" si="76"/>
        <v>0</v>
      </c>
      <c r="P641" s="2369">
        <f t="shared" si="77"/>
        <v>1900</v>
      </c>
      <c r="Q641" s="2369">
        <f t="shared" si="78"/>
        <v>1900</v>
      </c>
      <c r="R641" s="654"/>
      <c r="S641" s="654"/>
      <c r="T641" s="654"/>
      <c r="U641" s="654"/>
    </row>
    <row r="642" spans="1:21" ht="14.25" customHeight="1">
      <c r="A642" s="1316"/>
      <c r="B642" s="1317"/>
      <c r="C642" s="1318"/>
      <c r="D642" s="1319"/>
      <c r="E642" s="1318"/>
      <c r="F642" s="1320">
        <f t="shared" si="79"/>
        <v>0</v>
      </c>
      <c r="G642" s="1319"/>
      <c r="H642" s="1318"/>
      <c r="I642" s="1320">
        <f t="shared" si="80"/>
        <v>0</v>
      </c>
      <c r="J642" s="1320">
        <f t="shared" si="73"/>
        <v>0</v>
      </c>
      <c r="K642" s="1320">
        <f t="shared" si="74"/>
        <v>0</v>
      </c>
      <c r="L642" s="1318"/>
      <c r="M642" s="1318"/>
      <c r="N642" s="1321">
        <f t="shared" si="75"/>
        <v>0</v>
      </c>
      <c r="O642" s="1322">
        <f t="shared" si="76"/>
        <v>0</v>
      </c>
      <c r="P642" s="2369">
        <f t="shared" si="77"/>
        <v>1900</v>
      </c>
      <c r="Q642" s="2369">
        <f t="shared" si="78"/>
        <v>1900</v>
      </c>
      <c r="R642" s="654"/>
      <c r="S642" s="654"/>
      <c r="T642" s="654"/>
      <c r="U642" s="654"/>
    </row>
    <row r="643" spans="1:21" ht="14.25" customHeight="1">
      <c r="A643" s="1316"/>
      <c r="B643" s="1317"/>
      <c r="C643" s="1318"/>
      <c r="D643" s="1319"/>
      <c r="E643" s="1318"/>
      <c r="F643" s="1320">
        <f t="shared" si="79"/>
        <v>0</v>
      </c>
      <c r="G643" s="1319"/>
      <c r="H643" s="1318"/>
      <c r="I643" s="1320">
        <f t="shared" si="80"/>
        <v>0</v>
      </c>
      <c r="J643" s="1320">
        <f t="shared" si="73"/>
        <v>0</v>
      </c>
      <c r="K643" s="1320">
        <f t="shared" si="74"/>
        <v>0</v>
      </c>
      <c r="L643" s="1318"/>
      <c r="M643" s="1318"/>
      <c r="N643" s="1321">
        <f t="shared" si="75"/>
        <v>0</v>
      </c>
      <c r="O643" s="1322">
        <f t="shared" si="76"/>
        <v>0</v>
      </c>
      <c r="P643" s="2369">
        <f t="shared" si="77"/>
        <v>1900</v>
      </c>
      <c r="Q643" s="2369">
        <f t="shared" si="78"/>
        <v>1900</v>
      </c>
      <c r="R643" s="654"/>
      <c r="S643" s="654"/>
      <c r="T643" s="654"/>
      <c r="U643" s="654"/>
    </row>
    <row r="644" spans="1:21" ht="14.25" customHeight="1">
      <c r="A644" s="1316"/>
      <c r="B644" s="1317"/>
      <c r="C644" s="1318"/>
      <c r="D644" s="1319"/>
      <c r="E644" s="1318"/>
      <c r="F644" s="1320">
        <f t="shared" si="79"/>
        <v>0</v>
      </c>
      <c r="G644" s="1319"/>
      <c r="H644" s="1318"/>
      <c r="I644" s="1320">
        <f t="shared" si="80"/>
        <v>0</v>
      </c>
      <c r="J644" s="1320">
        <f t="shared" si="73"/>
        <v>0</v>
      </c>
      <c r="K644" s="1320">
        <f t="shared" si="74"/>
        <v>0</v>
      </c>
      <c r="L644" s="1318"/>
      <c r="M644" s="1318"/>
      <c r="N644" s="1321">
        <f t="shared" si="75"/>
        <v>0</v>
      </c>
      <c r="O644" s="1322">
        <f t="shared" si="76"/>
        <v>0</v>
      </c>
      <c r="P644" s="2369">
        <f t="shared" si="77"/>
        <v>1900</v>
      </c>
      <c r="Q644" s="2369">
        <f t="shared" si="78"/>
        <v>1900</v>
      </c>
      <c r="R644" s="654"/>
      <c r="S644" s="654"/>
      <c r="T644" s="654"/>
      <c r="U644" s="654"/>
    </row>
    <row r="645" spans="1:21" ht="14.25" customHeight="1">
      <c r="A645" s="1316"/>
      <c r="B645" s="1317"/>
      <c r="C645" s="1318"/>
      <c r="D645" s="1319"/>
      <c r="E645" s="1318"/>
      <c r="F645" s="1320">
        <f t="shared" si="79"/>
        <v>0</v>
      </c>
      <c r="G645" s="1319"/>
      <c r="H645" s="1318"/>
      <c r="I645" s="1320">
        <f t="shared" si="80"/>
        <v>0</v>
      </c>
      <c r="J645" s="1320">
        <f t="shared" si="73"/>
        <v>0</v>
      </c>
      <c r="K645" s="1320">
        <f t="shared" si="74"/>
        <v>0</v>
      </c>
      <c r="L645" s="1318"/>
      <c r="M645" s="1318"/>
      <c r="N645" s="1321">
        <f t="shared" si="75"/>
        <v>0</v>
      </c>
      <c r="O645" s="1322">
        <f t="shared" si="76"/>
        <v>0</v>
      </c>
      <c r="P645" s="2369">
        <f t="shared" si="77"/>
        <v>1900</v>
      </c>
      <c r="Q645" s="2369">
        <f t="shared" si="78"/>
        <v>1900</v>
      </c>
      <c r="R645" s="654"/>
      <c r="S645" s="654"/>
      <c r="T645" s="654"/>
      <c r="U645" s="654"/>
    </row>
    <row r="646" spans="1:21" ht="14.25" customHeight="1">
      <c r="A646" s="1316"/>
      <c r="B646" s="1317"/>
      <c r="C646" s="1318"/>
      <c r="D646" s="1319"/>
      <c r="E646" s="1318"/>
      <c r="F646" s="1320">
        <f t="shared" si="79"/>
        <v>0</v>
      </c>
      <c r="G646" s="1319"/>
      <c r="H646" s="1318"/>
      <c r="I646" s="1320">
        <f t="shared" si="80"/>
        <v>0</v>
      </c>
      <c r="J646" s="1320">
        <f t="shared" si="73"/>
        <v>0</v>
      </c>
      <c r="K646" s="1320">
        <f t="shared" si="74"/>
        <v>0</v>
      </c>
      <c r="L646" s="1318"/>
      <c r="M646" s="1318"/>
      <c r="N646" s="1321">
        <f t="shared" si="75"/>
        <v>0</v>
      </c>
      <c r="O646" s="1322">
        <f t="shared" si="76"/>
        <v>0</v>
      </c>
      <c r="P646" s="2369">
        <f t="shared" si="77"/>
        <v>1900</v>
      </c>
      <c r="Q646" s="2369">
        <f t="shared" si="78"/>
        <v>1900</v>
      </c>
      <c r="R646" s="654"/>
      <c r="S646" s="654"/>
      <c r="T646" s="654"/>
      <c r="U646" s="654"/>
    </row>
    <row r="647" spans="1:21" ht="14.25" customHeight="1">
      <c r="A647" s="1316"/>
      <c r="B647" s="1317"/>
      <c r="C647" s="1318"/>
      <c r="D647" s="1319"/>
      <c r="E647" s="1318"/>
      <c r="F647" s="1320">
        <f t="shared" si="79"/>
        <v>0</v>
      </c>
      <c r="G647" s="1319"/>
      <c r="H647" s="1318"/>
      <c r="I647" s="1320">
        <f t="shared" si="80"/>
        <v>0</v>
      </c>
      <c r="J647" s="1320">
        <f t="shared" si="73"/>
        <v>0</v>
      </c>
      <c r="K647" s="1320">
        <f t="shared" si="74"/>
        <v>0</v>
      </c>
      <c r="L647" s="1318"/>
      <c r="M647" s="1318"/>
      <c r="N647" s="1321">
        <f t="shared" si="75"/>
        <v>0</v>
      </c>
      <c r="O647" s="1322">
        <f t="shared" si="76"/>
        <v>0</v>
      </c>
      <c r="P647" s="2369">
        <f t="shared" si="77"/>
        <v>1900</v>
      </c>
      <c r="Q647" s="2369">
        <f t="shared" si="78"/>
        <v>1900</v>
      </c>
      <c r="R647" s="654"/>
      <c r="S647" s="654"/>
      <c r="T647" s="654"/>
      <c r="U647" s="654"/>
    </row>
    <row r="648" spans="1:21" ht="14.25" customHeight="1">
      <c r="A648" s="1316"/>
      <c r="B648" s="1317"/>
      <c r="C648" s="1318"/>
      <c r="D648" s="1319"/>
      <c r="E648" s="1318"/>
      <c r="F648" s="1320">
        <f t="shared" si="79"/>
        <v>0</v>
      </c>
      <c r="G648" s="1319"/>
      <c r="H648" s="1318"/>
      <c r="I648" s="1320">
        <f t="shared" si="80"/>
        <v>0</v>
      </c>
      <c r="J648" s="1320">
        <f t="shared" si="73"/>
        <v>0</v>
      </c>
      <c r="K648" s="1320">
        <f t="shared" si="74"/>
        <v>0</v>
      </c>
      <c r="L648" s="1318"/>
      <c r="M648" s="1318"/>
      <c r="N648" s="1321">
        <f t="shared" si="75"/>
        <v>0</v>
      </c>
      <c r="O648" s="1322">
        <f t="shared" si="76"/>
        <v>0</v>
      </c>
      <c r="P648" s="2369">
        <f t="shared" si="77"/>
        <v>1900</v>
      </c>
      <c r="Q648" s="2369">
        <f t="shared" si="78"/>
        <v>1900</v>
      </c>
      <c r="R648" s="654"/>
      <c r="S648" s="654"/>
      <c r="T648" s="654"/>
      <c r="U648" s="654"/>
    </row>
    <row r="649" spans="1:21" ht="14.25" customHeight="1">
      <c r="A649" s="1316"/>
      <c r="B649" s="1317"/>
      <c r="C649" s="1318"/>
      <c r="D649" s="1319"/>
      <c r="E649" s="1318"/>
      <c r="F649" s="1320">
        <f t="shared" si="79"/>
        <v>0</v>
      </c>
      <c r="G649" s="1319"/>
      <c r="H649" s="1318"/>
      <c r="I649" s="1320">
        <f t="shared" si="80"/>
        <v>0</v>
      </c>
      <c r="J649" s="1320">
        <f t="shared" ref="J649:J712" si="81">C649+E649-H649</f>
        <v>0</v>
      </c>
      <c r="K649" s="1320">
        <f t="shared" ref="K649:K712" si="82">C649+F649-I649</f>
        <v>0</v>
      </c>
      <c r="L649" s="1318"/>
      <c r="M649" s="1318"/>
      <c r="N649" s="1321">
        <f t="shared" si="75"/>
        <v>0</v>
      </c>
      <c r="O649" s="1322">
        <f t="shared" si="76"/>
        <v>0</v>
      </c>
      <c r="P649" s="2369">
        <f t="shared" si="77"/>
        <v>1900</v>
      </c>
      <c r="Q649" s="2369">
        <f t="shared" si="78"/>
        <v>1900</v>
      </c>
      <c r="R649" s="654"/>
      <c r="S649" s="654"/>
      <c r="T649" s="654"/>
      <c r="U649" s="654"/>
    </row>
    <row r="650" spans="1:21" ht="14.25" customHeight="1">
      <c r="A650" s="1316"/>
      <c r="B650" s="1317"/>
      <c r="C650" s="1318"/>
      <c r="D650" s="1319"/>
      <c r="E650" s="1318"/>
      <c r="F650" s="1320">
        <f t="shared" si="79"/>
        <v>0</v>
      </c>
      <c r="G650" s="1319"/>
      <c r="H650" s="1318"/>
      <c r="I650" s="1320">
        <f t="shared" si="80"/>
        <v>0</v>
      </c>
      <c r="J650" s="1320">
        <f t="shared" si="81"/>
        <v>0</v>
      </c>
      <c r="K650" s="1320">
        <f t="shared" si="82"/>
        <v>0</v>
      </c>
      <c r="L650" s="1318"/>
      <c r="M650" s="1318"/>
      <c r="N650" s="1321">
        <f t="shared" ref="N650:N713" si="83">IF(M650&lt;&gt;0,ROUND(B650*K650,2)+M650,IF(ABS(ROUND(K650*B650,2)-L650)&lt;3,L650,MIN(ROUND(K650*B650,2),L650)))</f>
        <v>0</v>
      </c>
      <c r="O650" s="1322">
        <f t="shared" ref="O650:O713" si="84">IF(ISERROR(L650-N650),"",IF(ABS(L650-N650)&lt;3,0,L650-N650))</f>
        <v>0</v>
      </c>
      <c r="P650" s="2369">
        <f t="shared" ref="P650:P713" si="85">IFERROR(YEAR(D650),0)</f>
        <v>1900</v>
      </c>
      <c r="Q650" s="2369">
        <f t="shared" ref="Q650:Q713" si="86">IFERROR(YEAR(G650),0)</f>
        <v>1900</v>
      </c>
      <c r="R650" s="654"/>
      <c r="S650" s="654"/>
      <c r="T650" s="654"/>
      <c r="U650" s="654"/>
    </row>
    <row r="651" spans="1:21" ht="14.25" customHeight="1">
      <c r="A651" s="1316"/>
      <c r="B651" s="1317"/>
      <c r="C651" s="1318"/>
      <c r="D651" s="1319"/>
      <c r="E651" s="1318"/>
      <c r="F651" s="1320">
        <f t="shared" ref="F651:F714" si="87">E651*(12-MONTH(D651))/12</f>
        <v>0</v>
      </c>
      <c r="G651" s="1319"/>
      <c r="H651" s="1318"/>
      <c r="I651" s="1320">
        <f t="shared" ref="I651:I714" si="88">H651*(12-MONTH(G651))/12</f>
        <v>0</v>
      </c>
      <c r="J651" s="1320">
        <f t="shared" si="81"/>
        <v>0</v>
      </c>
      <c r="K651" s="1320">
        <f t="shared" si="82"/>
        <v>0</v>
      </c>
      <c r="L651" s="1318"/>
      <c r="M651" s="1318"/>
      <c r="N651" s="1321">
        <f t="shared" si="83"/>
        <v>0</v>
      </c>
      <c r="O651" s="1322">
        <f t="shared" si="84"/>
        <v>0</v>
      </c>
      <c r="P651" s="2369">
        <f t="shared" si="85"/>
        <v>1900</v>
      </c>
      <c r="Q651" s="2369">
        <f t="shared" si="86"/>
        <v>1900</v>
      </c>
      <c r="R651" s="654"/>
      <c r="S651" s="654"/>
      <c r="T651" s="654"/>
      <c r="U651" s="654"/>
    </row>
    <row r="652" spans="1:21" ht="14.25" customHeight="1">
      <c r="A652" s="1316"/>
      <c r="B652" s="1317"/>
      <c r="C652" s="1318"/>
      <c r="D652" s="1319"/>
      <c r="E652" s="1318"/>
      <c r="F652" s="1320">
        <f t="shared" si="87"/>
        <v>0</v>
      </c>
      <c r="G652" s="1319"/>
      <c r="H652" s="1318"/>
      <c r="I652" s="1320">
        <f t="shared" si="88"/>
        <v>0</v>
      </c>
      <c r="J652" s="1320">
        <f t="shared" si="81"/>
        <v>0</v>
      </c>
      <c r="K652" s="1320">
        <f t="shared" si="82"/>
        <v>0</v>
      </c>
      <c r="L652" s="1318"/>
      <c r="M652" s="1318"/>
      <c r="N652" s="1321">
        <f t="shared" si="83"/>
        <v>0</v>
      </c>
      <c r="O652" s="1322">
        <f t="shared" si="84"/>
        <v>0</v>
      </c>
      <c r="P652" s="2369">
        <f t="shared" si="85"/>
        <v>1900</v>
      </c>
      <c r="Q652" s="2369">
        <f t="shared" si="86"/>
        <v>1900</v>
      </c>
      <c r="R652" s="654"/>
      <c r="S652" s="654"/>
      <c r="T652" s="654"/>
      <c r="U652" s="654"/>
    </row>
    <row r="653" spans="1:21" ht="14.25" customHeight="1">
      <c r="A653" s="1316"/>
      <c r="B653" s="1317"/>
      <c r="C653" s="1318"/>
      <c r="D653" s="1319"/>
      <c r="E653" s="1318"/>
      <c r="F653" s="1320">
        <f t="shared" si="87"/>
        <v>0</v>
      </c>
      <c r="G653" s="1319"/>
      <c r="H653" s="1318"/>
      <c r="I653" s="1320">
        <f t="shared" si="88"/>
        <v>0</v>
      </c>
      <c r="J653" s="1320">
        <f t="shared" si="81"/>
        <v>0</v>
      </c>
      <c r="K653" s="1320">
        <f t="shared" si="82"/>
        <v>0</v>
      </c>
      <c r="L653" s="1318"/>
      <c r="M653" s="1318"/>
      <c r="N653" s="1321">
        <f t="shared" si="83"/>
        <v>0</v>
      </c>
      <c r="O653" s="1322">
        <f t="shared" si="84"/>
        <v>0</v>
      </c>
      <c r="P653" s="2369">
        <f t="shared" si="85"/>
        <v>1900</v>
      </c>
      <c r="Q653" s="2369">
        <f t="shared" si="86"/>
        <v>1900</v>
      </c>
      <c r="R653" s="654"/>
      <c r="S653" s="654"/>
      <c r="T653" s="654"/>
      <c r="U653" s="654"/>
    </row>
    <row r="654" spans="1:21" ht="14.25" customHeight="1">
      <c r="A654" s="1316"/>
      <c r="B654" s="1317"/>
      <c r="C654" s="1318"/>
      <c r="D654" s="1319"/>
      <c r="E654" s="1318"/>
      <c r="F654" s="1320">
        <f t="shared" si="87"/>
        <v>0</v>
      </c>
      <c r="G654" s="1319"/>
      <c r="H654" s="1318"/>
      <c r="I654" s="1320">
        <f t="shared" si="88"/>
        <v>0</v>
      </c>
      <c r="J654" s="1320">
        <f t="shared" si="81"/>
        <v>0</v>
      </c>
      <c r="K654" s="1320">
        <f t="shared" si="82"/>
        <v>0</v>
      </c>
      <c r="L654" s="1318"/>
      <c r="M654" s="1318"/>
      <c r="N654" s="1321">
        <f t="shared" si="83"/>
        <v>0</v>
      </c>
      <c r="O654" s="1322">
        <f t="shared" si="84"/>
        <v>0</v>
      </c>
      <c r="P654" s="2369">
        <f t="shared" si="85"/>
        <v>1900</v>
      </c>
      <c r="Q654" s="2369">
        <f t="shared" si="86"/>
        <v>1900</v>
      </c>
      <c r="R654" s="654"/>
      <c r="S654" s="654"/>
      <c r="T654" s="654"/>
      <c r="U654" s="654"/>
    </row>
    <row r="655" spans="1:21" ht="14.25" customHeight="1">
      <c r="A655" s="1316"/>
      <c r="B655" s="1317"/>
      <c r="C655" s="1318"/>
      <c r="D655" s="1319"/>
      <c r="E655" s="1318"/>
      <c r="F655" s="1320">
        <f t="shared" si="87"/>
        <v>0</v>
      </c>
      <c r="G655" s="1319"/>
      <c r="H655" s="1318"/>
      <c r="I655" s="1320">
        <f t="shared" si="88"/>
        <v>0</v>
      </c>
      <c r="J655" s="1320">
        <f t="shared" si="81"/>
        <v>0</v>
      </c>
      <c r="K655" s="1320">
        <f t="shared" si="82"/>
        <v>0</v>
      </c>
      <c r="L655" s="1318"/>
      <c r="M655" s="1318"/>
      <c r="N655" s="1321">
        <f t="shared" si="83"/>
        <v>0</v>
      </c>
      <c r="O655" s="1322">
        <f t="shared" si="84"/>
        <v>0</v>
      </c>
      <c r="P655" s="2369">
        <f t="shared" si="85"/>
        <v>1900</v>
      </c>
      <c r="Q655" s="2369">
        <f t="shared" si="86"/>
        <v>1900</v>
      </c>
      <c r="R655" s="654"/>
      <c r="S655" s="654"/>
      <c r="T655" s="654"/>
      <c r="U655" s="654"/>
    </row>
    <row r="656" spans="1:21" ht="14.25" customHeight="1">
      <c r="A656" s="1316"/>
      <c r="B656" s="1317"/>
      <c r="C656" s="1318"/>
      <c r="D656" s="1319"/>
      <c r="E656" s="1318"/>
      <c r="F656" s="1320">
        <f t="shared" si="87"/>
        <v>0</v>
      </c>
      <c r="G656" s="1319"/>
      <c r="H656" s="1318"/>
      <c r="I656" s="1320">
        <f t="shared" si="88"/>
        <v>0</v>
      </c>
      <c r="J656" s="1320">
        <f t="shared" si="81"/>
        <v>0</v>
      </c>
      <c r="K656" s="1320">
        <f t="shared" si="82"/>
        <v>0</v>
      </c>
      <c r="L656" s="1318"/>
      <c r="M656" s="1318"/>
      <c r="N656" s="1321">
        <f t="shared" si="83"/>
        <v>0</v>
      </c>
      <c r="O656" s="1322">
        <f t="shared" si="84"/>
        <v>0</v>
      </c>
      <c r="P656" s="2369">
        <f t="shared" si="85"/>
        <v>1900</v>
      </c>
      <c r="Q656" s="2369">
        <f t="shared" si="86"/>
        <v>1900</v>
      </c>
      <c r="R656" s="654"/>
      <c r="S656" s="654"/>
      <c r="T656" s="654"/>
      <c r="U656" s="654"/>
    </row>
    <row r="657" spans="1:21" ht="14.25" customHeight="1">
      <c r="A657" s="1316"/>
      <c r="B657" s="1317"/>
      <c r="C657" s="1318"/>
      <c r="D657" s="1319"/>
      <c r="E657" s="1318"/>
      <c r="F657" s="1320">
        <f t="shared" si="87"/>
        <v>0</v>
      </c>
      <c r="G657" s="1319"/>
      <c r="H657" s="1318"/>
      <c r="I657" s="1320">
        <f t="shared" si="88"/>
        <v>0</v>
      </c>
      <c r="J657" s="1320">
        <f t="shared" si="81"/>
        <v>0</v>
      </c>
      <c r="K657" s="1320">
        <f t="shared" si="82"/>
        <v>0</v>
      </c>
      <c r="L657" s="1318"/>
      <c r="M657" s="1318"/>
      <c r="N657" s="1321">
        <f t="shared" si="83"/>
        <v>0</v>
      </c>
      <c r="O657" s="1322">
        <f t="shared" si="84"/>
        <v>0</v>
      </c>
      <c r="P657" s="2369">
        <f t="shared" si="85"/>
        <v>1900</v>
      </c>
      <c r="Q657" s="2369">
        <f t="shared" si="86"/>
        <v>1900</v>
      </c>
      <c r="R657" s="654"/>
      <c r="S657" s="654"/>
      <c r="T657" s="654"/>
      <c r="U657" s="654"/>
    </row>
    <row r="658" spans="1:21" ht="14.25" customHeight="1">
      <c r="A658" s="1316"/>
      <c r="B658" s="1317"/>
      <c r="C658" s="1318"/>
      <c r="D658" s="1319"/>
      <c r="E658" s="1318"/>
      <c r="F658" s="1320">
        <f t="shared" si="87"/>
        <v>0</v>
      </c>
      <c r="G658" s="1319"/>
      <c r="H658" s="1318"/>
      <c r="I658" s="1320">
        <f t="shared" si="88"/>
        <v>0</v>
      </c>
      <c r="J658" s="1320">
        <f t="shared" si="81"/>
        <v>0</v>
      </c>
      <c r="K658" s="1320">
        <f t="shared" si="82"/>
        <v>0</v>
      </c>
      <c r="L658" s="1318"/>
      <c r="M658" s="1318"/>
      <c r="N658" s="1321">
        <f t="shared" si="83"/>
        <v>0</v>
      </c>
      <c r="O658" s="1322">
        <f t="shared" si="84"/>
        <v>0</v>
      </c>
      <c r="P658" s="2369">
        <f t="shared" si="85"/>
        <v>1900</v>
      </c>
      <c r="Q658" s="2369">
        <f t="shared" si="86"/>
        <v>1900</v>
      </c>
      <c r="R658" s="654"/>
      <c r="S658" s="654"/>
      <c r="T658" s="654"/>
      <c r="U658" s="654"/>
    </row>
    <row r="659" spans="1:21" ht="14.25" customHeight="1">
      <c r="A659" s="1316"/>
      <c r="B659" s="1317"/>
      <c r="C659" s="1318"/>
      <c r="D659" s="1319"/>
      <c r="E659" s="1318"/>
      <c r="F659" s="1320">
        <f t="shared" si="87"/>
        <v>0</v>
      </c>
      <c r="G659" s="1319"/>
      <c r="H659" s="1318"/>
      <c r="I659" s="1320">
        <f t="shared" si="88"/>
        <v>0</v>
      </c>
      <c r="J659" s="1320">
        <f t="shared" si="81"/>
        <v>0</v>
      </c>
      <c r="K659" s="1320">
        <f t="shared" si="82"/>
        <v>0</v>
      </c>
      <c r="L659" s="1318"/>
      <c r="M659" s="1318"/>
      <c r="N659" s="1321">
        <f t="shared" si="83"/>
        <v>0</v>
      </c>
      <c r="O659" s="1322">
        <f t="shared" si="84"/>
        <v>0</v>
      </c>
      <c r="P659" s="2369">
        <f t="shared" si="85"/>
        <v>1900</v>
      </c>
      <c r="Q659" s="2369">
        <f t="shared" si="86"/>
        <v>1900</v>
      </c>
      <c r="R659" s="654"/>
      <c r="S659" s="654"/>
      <c r="T659" s="654"/>
      <c r="U659" s="654"/>
    </row>
    <row r="660" spans="1:21" ht="14.25" customHeight="1">
      <c r="A660" s="1316"/>
      <c r="B660" s="1317"/>
      <c r="C660" s="1318"/>
      <c r="D660" s="1319"/>
      <c r="E660" s="1318"/>
      <c r="F660" s="1320">
        <f t="shared" si="87"/>
        <v>0</v>
      </c>
      <c r="G660" s="1319"/>
      <c r="H660" s="1318"/>
      <c r="I660" s="1320">
        <f t="shared" si="88"/>
        <v>0</v>
      </c>
      <c r="J660" s="1320">
        <f t="shared" si="81"/>
        <v>0</v>
      </c>
      <c r="K660" s="1320">
        <f t="shared" si="82"/>
        <v>0</v>
      </c>
      <c r="L660" s="1318"/>
      <c r="M660" s="1318"/>
      <c r="N660" s="1321">
        <f t="shared" si="83"/>
        <v>0</v>
      </c>
      <c r="O660" s="1322">
        <f t="shared" si="84"/>
        <v>0</v>
      </c>
      <c r="P660" s="2369">
        <f t="shared" si="85"/>
        <v>1900</v>
      </c>
      <c r="Q660" s="2369">
        <f t="shared" si="86"/>
        <v>1900</v>
      </c>
      <c r="R660" s="654"/>
      <c r="S660" s="654"/>
      <c r="T660" s="654"/>
      <c r="U660" s="654"/>
    </row>
    <row r="661" spans="1:21" ht="14.25" customHeight="1">
      <c r="A661" s="1316"/>
      <c r="B661" s="1317"/>
      <c r="C661" s="1318"/>
      <c r="D661" s="1319"/>
      <c r="E661" s="1318"/>
      <c r="F661" s="1320">
        <f t="shared" si="87"/>
        <v>0</v>
      </c>
      <c r="G661" s="1319"/>
      <c r="H661" s="1318"/>
      <c r="I661" s="1320">
        <f t="shared" si="88"/>
        <v>0</v>
      </c>
      <c r="J661" s="1320">
        <f t="shared" si="81"/>
        <v>0</v>
      </c>
      <c r="K661" s="1320">
        <f t="shared" si="82"/>
        <v>0</v>
      </c>
      <c r="L661" s="1318"/>
      <c r="M661" s="1318"/>
      <c r="N661" s="1321">
        <f t="shared" si="83"/>
        <v>0</v>
      </c>
      <c r="O661" s="1322">
        <f t="shared" si="84"/>
        <v>0</v>
      </c>
      <c r="P661" s="2369">
        <f t="shared" si="85"/>
        <v>1900</v>
      </c>
      <c r="Q661" s="2369">
        <f t="shared" si="86"/>
        <v>1900</v>
      </c>
      <c r="R661" s="654"/>
      <c r="S661" s="654"/>
      <c r="T661" s="654"/>
      <c r="U661" s="654"/>
    </row>
    <row r="662" spans="1:21" ht="14.25" customHeight="1">
      <c r="A662" s="1316"/>
      <c r="B662" s="1317"/>
      <c r="C662" s="1318"/>
      <c r="D662" s="1319"/>
      <c r="E662" s="1318"/>
      <c r="F662" s="1320">
        <f t="shared" si="87"/>
        <v>0</v>
      </c>
      <c r="G662" s="1319"/>
      <c r="H662" s="1318"/>
      <c r="I662" s="1320">
        <f t="shared" si="88"/>
        <v>0</v>
      </c>
      <c r="J662" s="1320">
        <f t="shared" si="81"/>
        <v>0</v>
      </c>
      <c r="K662" s="1320">
        <f t="shared" si="82"/>
        <v>0</v>
      </c>
      <c r="L662" s="1318"/>
      <c r="M662" s="1318"/>
      <c r="N662" s="1321">
        <f t="shared" si="83"/>
        <v>0</v>
      </c>
      <c r="O662" s="1322">
        <f t="shared" si="84"/>
        <v>0</v>
      </c>
      <c r="P662" s="2369">
        <f t="shared" si="85"/>
        <v>1900</v>
      </c>
      <c r="Q662" s="2369">
        <f t="shared" si="86"/>
        <v>1900</v>
      </c>
      <c r="R662" s="654"/>
      <c r="S662" s="654"/>
      <c r="T662" s="654"/>
      <c r="U662" s="654"/>
    </row>
    <row r="663" spans="1:21" ht="14.25" customHeight="1">
      <c r="A663" s="1316"/>
      <c r="B663" s="1317"/>
      <c r="C663" s="1318"/>
      <c r="D663" s="1319"/>
      <c r="E663" s="1318"/>
      <c r="F663" s="1320">
        <f t="shared" si="87"/>
        <v>0</v>
      </c>
      <c r="G663" s="1319"/>
      <c r="H663" s="1318"/>
      <c r="I663" s="1320">
        <f t="shared" si="88"/>
        <v>0</v>
      </c>
      <c r="J663" s="1320">
        <f t="shared" si="81"/>
        <v>0</v>
      </c>
      <c r="K663" s="1320">
        <f t="shared" si="82"/>
        <v>0</v>
      </c>
      <c r="L663" s="1318"/>
      <c r="M663" s="1318"/>
      <c r="N663" s="1321">
        <f t="shared" si="83"/>
        <v>0</v>
      </c>
      <c r="O663" s="1322">
        <f t="shared" si="84"/>
        <v>0</v>
      </c>
      <c r="P663" s="2369">
        <f t="shared" si="85"/>
        <v>1900</v>
      </c>
      <c r="Q663" s="2369">
        <f t="shared" si="86"/>
        <v>1900</v>
      </c>
      <c r="R663" s="654"/>
      <c r="S663" s="654"/>
      <c r="T663" s="654"/>
      <c r="U663" s="654"/>
    </row>
    <row r="664" spans="1:21" ht="14.25" customHeight="1">
      <c r="A664" s="1316"/>
      <c r="B664" s="1317"/>
      <c r="C664" s="1318"/>
      <c r="D664" s="1319"/>
      <c r="E664" s="1318"/>
      <c r="F664" s="1320">
        <f t="shared" si="87"/>
        <v>0</v>
      </c>
      <c r="G664" s="1319"/>
      <c r="H664" s="1318"/>
      <c r="I664" s="1320">
        <f t="shared" si="88"/>
        <v>0</v>
      </c>
      <c r="J664" s="1320">
        <f t="shared" si="81"/>
        <v>0</v>
      </c>
      <c r="K664" s="1320">
        <f t="shared" si="82"/>
        <v>0</v>
      </c>
      <c r="L664" s="1318"/>
      <c r="M664" s="1318"/>
      <c r="N664" s="1321">
        <f t="shared" si="83"/>
        <v>0</v>
      </c>
      <c r="O664" s="1322">
        <f t="shared" si="84"/>
        <v>0</v>
      </c>
      <c r="P664" s="2369">
        <f t="shared" si="85"/>
        <v>1900</v>
      </c>
      <c r="Q664" s="2369">
        <f t="shared" si="86"/>
        <v>1900</v>
      </c>
      <c r="R664" s="654"/>
      <c r="S664" s="654"/>
      <c r="T664" s="654"/>
      <c r="U664" s="654"/>
    </row>
    <row r="665" spans="1:21" ht="14.25" customHeight="1">
      <c r="A665" s="1316"/>
      <c r="B665" s="1317"/>
      <c r="C665" s="1318"/>
      <c r="D665" s="1319"/>
      <c r="E665" s="1318"/>
      <c r="F665" s="1320">
        <f t="shared" si="87"/>
        <v>0</v>
      </c>
      <c r="G665" s="1319"/>
      <c r="H665" s="1318"/>
      <c r="I665" s="1320">
        <f t="shared" si="88"/>
        <v>0</v>
      </c>
      <c r="J665" s="1320">
        <f t="shared" si="81"/>
        <v>0</v>
      </c>
      <c r="K665" s="1320">
        <f t="shared" si="82"/>
        <v>0</v>
      </c>
      <c r="L665" s="1318"/>
      <c r="M665" s="1318"/>
      <c r="N665" s="1321">
        <f t="shared" si="83"/>
        <v>0</v>
      </c>
      <c r="O665" s="1322">
        <f t="shared" si="84"/>
        <v>0</v>
      </c>
      <c r="P665" s="2369">
        <f t="shared" si="85"/>
        <v>1900</v>
      </c>
      <c r="Q665" s="2369">
        <f t="shared" si="86"/>
        <v>1900</v>
      </c>
      <c r="R665" s="654"/>
      <c r="S665" s="654"/>
      <c r="T665" s="654"/>
      <c r="U665" s="654"/>
    </row>
    <row r="666" spans="1:21" ht="14.25" customHeight="1">
      <c r="A666" s="1316"/>
      <c r="B666" s="1317"/>
      <c r="C666" s="1318"/>
      <c r="D666" s="1319"/>
      <c r="E666" s="1318"/>
      <c r="F666" s="1320">
        <f t="shared" si="87"/>
        <v>0</v>
      </c>
      <c r="G666" s="1319"/>
      <c r="H666" s="1318"/>
      <c r="I666" s="1320">
        <f t="shared" si="88"/>
        <v>0</v>
      </c>
      <c r="J666" s="1320">
        <f t="shared" si="81"/>
        <v>0</v>
      </c>
      <c r="K666" s="1320">
        <f t="shared" si="82"/>
        <v>0</v>
      </c>
      <c r="L666" s="1318"/>
      <c r="M666" s="1318"/>
      <c r="N666" s="1321">
        <f t="shared" si="83"/>
        <v>0</v>
      </c>
      <c r="O666" s="1322">
        <f t="shared" si="84"/>
        <v>0</v>
      </c>
      <c r="P666" s="2369">
        <f t="shared" si="85"/>
        <v>1900</v>
      </c>
      <c r="Q666" s="2369">
        <f t="shared" si="86"/>
        <v>1900</v>
      </c>
      <c r="R666" s="654"/>
      <c r="S666" s="654"/>
      <c r="T666" s="654"/>
      <c r="U666" s="654"/>
    </row>
    <row r="667" spans="1:21" ht="14.25" customHeight="1">
      <c r="A667" s="1316"/>
      <c r="B667" s="1317"/>
      <c r="C667" s="1318"/>
      <c r="D667" s="1319"/>
      <c r="E667" s="1318"/>
      <c r="F667" s="1320">
        <f t="shared" si="87"/>
        <v>0</v>
      </c>
      <c r="G667" s="1319"/>
      <c r="H667" s="1318"/>
      <c r="I667" s="1320">
        <f t="shared" si="88"/>
        <v>0</v>
      </c>
      <c r="J667" s="1320">
        <f t="shared" si="81"/>
        <v>0</v>
      </c>
      <c r="K667" s="1320">
        <f t="shared" si="82"/>
        <v>0</v>
      </c>
      <c r="L667" s="1318"/>
      <c r="M667" s="1318"/>
      <c r="N667" s="1321">
        <f t="shared" si="83"/>
        <v>0</v>
      </c>
      <c r="O667" s="1322">
        <f t="shared" si="84"/>
        <v>0</v>
      </c>
      <c r="P667" s="2369">
        <f t="shared" si="85"/>
        <v>1900</v>
      </c>
      <c r="Q667" s="2369">
        <f t="shared" si="86"/>
        <v>1900</v>
      </c>
      <c r="R667" s="654"/>
      <c r="S667" s="654"/>
      <c r="T667" s="654"/>
      <c r="U667" s="654"/>
    </row>
    <row r="668" spans="1:21" ht="14.25" customHeight="1">
      <c r="A668" s="1316"/>
      <c r="B668" s="1317"/>
      <c r="C668" s="1318"/>
      <c r="D668" s="1319"/>
      <c r="E668" s="1318"/>
      <c r="F668" s="1320">
        <f t="shared" si="87"/>
        <v>0</v>
      </c>
      <c r="G668" s="1319"/>
      <c r="H668" s="1318"/>
      <c r="I668" s="1320">
        <f t="shared" si="88"/>
        <v>0</v>
      </c>
      <c r="J668" s="1320">
        <f t="shared" si="81"/>
        <v>0</v>
      </c>
      <c r="K668" s="1320">
        <f t="shared" si="82"/>
        <v>0</v>
      </c>
      <c r="L668" s="1318"/>
      <c r="M668" s="1318"/>
      <c r="N668" s="1321">
        <f t="shared" si="83"/>
        <v>0</v>
      </c>
      <c r="O668" s="1322">
        <f t="shared" si="84"/>
        <v>0</v>
      </c>
      <c r="P668" s="2369">
        <f t="shared" si="85"/>
        <v>1900</v>
      </c>
      <c r="Q668" s="2369">
        <f t="shared" si="86"/>
        <v>1900</v>
      </c>
      <c r="R668" s="654"/>
      <c r="S668" s="654"/>
      <c r="T668" s="654"/>
      <c r="U668" s="654"/>
    </row>
    <row r="669" spans="1:21" ht="14.25" customHeight="1">
      <c r="A669" s="1316"/>
      <c r="B669" s="1317"/>
      <c r="C669" s="1318"/>
      <c r="D669" s="1319"/>
      <c r="E669" s="1318"/>
      <c r="F669" s="1320">
        <f t="shared" si="87"/>
        <v>0</v>
      </c>
      <c r="G669" s="1319"/>
      <c r="H669" s="1318"/>
      <c r="I669" s="1320">
        <f t="shared" si="88"/>
        <v>0</v>
      </c>
      <c r="J669" s="1320">
        <f t="shared" si="81"/>
        <v>0</v>
      </c>
      <c r="K669" s="1320">
        <f t="shared" si="82"/>
        <v>0</v>
      </c>
      <c r="L669" s="1318"/>
      <c r="M669" s="1318"/>
      <c r="N669" s="1321">
        <f t="shared" si="83"/>
        <v>0</v>
      </c>
      <c r="O669" s="1322">
        <f t="shared" si="84"/>
        <v>0</v>
      </c>
      <c r="P669" s="2369">
        <f t="shared" si="85"/>
        <v>1900</v>
      </c>
      <c r="Q669" s="2369">
        <f t="shared" si="86"/>
        <v>1900</v>
      </c>
      <c r="R669" s="654"/>
      <c r="S669" s="654"/>
      <c r="T669" s="654"/>
      <c r="U669" s="654"/>
    </row>
    <row r="670" spans="1:21" ht="14.25" customHeight="1">
      <c r="A670" s="1316"/>
      <c r="B670" s="1317"/>
      <c r="C670" s="1318"/>
      <c r="D670" s="1319"/>
      <c r="E670" s="1318"/>
      <c r="F670" s="1320">
        <f t="shared" si="87"/>
        <v>0</v>
      </c>
      <c r="G670" s="1319"/>
      <c r="H670" s="1318"/>
      <c r="I670" s="1320">
        <f t="shared" si="88"/>
        <v>0</v>
      </c>
      <c r="J670" s="1320">
        <f t="shared" si="81"/>
        <v>0</v>
      </c>
      <c r="K670" s="1320">
        <f t="shared" si="82"/>
        <v>0</v>
      </c>
      <c r="L670" s="1318"/>
      <c r="M670" s="1318"/>
      <c r="N670" s="1321">
        <f t="shared" si="83"/>
        <v>0</v>
      </c>
      <c r="O670" s="1322">
        <f t="shared" si="84"/>
        <v>0</v>
      </c>
      <c r="P670" s="2369">
        <f t="shared" si="85"/>
        <v>1900</v>
      </c>
      <c r="Q670" s="2369">
        <f t="shared" si="86"/>
        <v>1900</v>
      </c>
      <c r="R670" s="654"/>
      <c r="S670" s="654"/>
      <c r="T670" s="654"/>
      <c r="U670" s="654"/>
    </row>
    <row r="671" spans="1:21" ht="14.25" customHeight="1">
      <c r="A671" s="1316"/>
      <c r="B671" s="1317"/>
      <c r="C671" s="1318"/>
      <c r="D671" s="1319"/>
      <c r="E671" s="1318"/>
      <c r="F671" s="1320">
        <f t="shared" si="87"/>
        <v>0</v>
      </c>
      <c r="G671" s="1319"/>
      <c r="H671" s="1318"/>
      <c r="I671" s="1320">
        <f t="shared" si="88"/>
        <v>0</v>
      </c>
      <c r="J671" s="1320">
        <f t="shared" si="81"/>
        <v>0</v>
      </c>
      <c r="K671" s="1320">
        <f t="shared" si="82"/>
        <v>0</v>
      </c>
      <c r="L671" s="1318"/>
      <c r="M671" s="1318"/>
      <c r="N671" s="1321">
        <f t="shared" si="83"/>
        <v>0</v>
      </c>
      <c r="O671" s="1322">
        <f t="shared" si="84"/>
        <v>0</v>
      </c>
      <c r="P671" s="2369">
        <f t="shared" si="85"/>
        <v>1900</v>
      </c>
      <c r="Q671" s="2369">
        <f t="shared" si="86"/>
        <v>1900</v>
      </c>
      <c r="R671" s="654"/>
      <c r="S671" s="654"/>
      <c r="T671" s="654"/>
      <c r="U671" s="654"/>
    </row>
    <row r="672" spans="1:21" ht="14.25" customHeight="1">
      <c r="A672" s="1316"/>
      <c r="B672" s="1317"/>
      <c r="C672" s="1318"/>
      <c r="D672" s="1319"/>
      <c r="E672" s="1318"/>
      <c r="F672" s="1320">
        <f t="shared" si="87"/>
        <v>0</v>
      </c>
      <c r="G672" s="1319"/>
      <c r="H672" s="1318"/>
      <c r="I672" s="1320">
        <f t="shared" si="88"/>
        <v>0</v>
      </c>
      <c r="J672" s="1320">
        <f t="shared" si="81"/>
        <v>0</v>
      </c>
      <c r="K672" s="1320">
        <f t="shared" si="82"/>
        <v>0</v>
      </c>
      <c r="L672" s="1318"/>
      <c r="M672" s="1318"/>
      <c r="N672" s="1321">
        <f t="shared" si="83"/>
        <v>0</v>
      </c>
      <c r="O672" s="1322">
        <f t="shared" si="84"/>
        <v>0</v>
      </c>
      <c r="P672" s="2369">
        <f t="shared" si="85"/>
        <v>1900</v>
      </c>
      <c r="Q672" s="2369">
        <f t="shared" si="86"/>
        <v>1900</v>
      </c>
      <c r="R672" s="654"/>
      <c r="S672" s="654"/>
      <c r="T672" s="654"/>
      <c r="U672" s="654"/>
    </row>
    <row r="673" spans="1:21" ht="14.25" customHeight="1">
      <c r="A673" s="1316"/>
      <c r="B673" s="1317"/>
      <c r="C673" s="1318"/>
      <c r="D673" s="1319"/>
      <c r="E673" s="1318"/>
      <c r="F673" s="1320">
        <f t="shared" si="87"/>
        <v>0</v>
      </c>
      <c r="G673" s="1319"/>
      <c r="H673" s="1318"/>
      <c r="I673" s="1320">
        <f t="shared" si="88"/>
        <v>0</v>
      </c>
      <c r="J673" s="1320">
        <f t="shared" si="81"/>
        <v>0</v>
      </c>
      <c r="K673" s="1320">
        <f t="shared" si="82"/>
        <v>0</v>
      </c>
      <c r="L673" s="1318"/>
      <c r="M673" s="1318"/>
      <c r="N673" s="1321">
        <f t="shared" si="83"/>
        <v>0</v>
      </c>
      <c r="O673" s="1322">
        <f t="shared" si="84"/>
        <v>0</v>
      </c>
      <c r="P673" s="2369">
        <f t="shared" si="85"/>
        <v>1900</v>
      </c>
      <c r="Q673" s="2369">
        <f t="shared" si="86"/>
        <v>1900</v>
      </c>
      <c r="R673" s="654"/>
      <c r="S673" s="654"/>
      <c r="T673" s="654"/>
      <c r="U673" s="654"/>
    </row>
    <row r="674" spans="1:21" ht="14.25" customHeight="1">
      <c r="A674" s="1316"/>
      <c r="B674" s="1317"/>
      <c r="C674" s="1318"/>
      <c r="D674" s="1319"/>
      <c r="E674" s="1318"/>
      <c r="F674" s="1320">
        <f t="shared" si="87"/>
        <v>0</v>
      </c>
      <c r="G674" s="1319"/>
      <c r="H674" s="1318"/>
      <c r="I674" s="1320">
        <f t="shared" si="88"/>
        <v>0</v>
      </c>
      <c r="J674" s="1320">
        <f t="shared" si="81"/>
        <v>0</v>
      </c>
      <c r="K674" s="1320">
        <f t="shared" si="82"/>
        <v>0</v>
      </c>
      <c r="L674" s="1318"/>
      <c r="M674" s="1318"/>
      <c r="N674" s="1321">
        <f t="shared" si="83"/>
        <v>0</v>
      </c>
      <c r="O674" s="1322">
        <f t="shared" si="84"/>
        <v>0</v>
      </c>
      <c r="P674" s="2369">
        <f t="shared" si="85"/>
        <v>1900</v>
      </c>
      <c r="Q674" s="2369">
        <f t="shared" si="86"/>
        <v>1900</v>
      </c>
      <c r="R674" s="654"/>
      <c r="S674" s="654"/>
      <c r="T674" s="654"/>
      <c r="U674" s="654"/>
    </row>
    <row r="675" spans="1:21" ht="14.25" customHeight="1">
      <c r="A675" s="1316"/>
      <c r="B675" s="1317"/>
      <c r="C675" s="1318"/>
      <c r="D675" s="1319"/>
      <c r="E675" s="1318"/>
      <c r="F675" s="1320">
        <f t="shared" si="87"/>
        <v>0</v>
      </c>
      <c r="G675" s="1319"/>
      <c r="H675" s="1318"/>
      <c r="I675" s="1320">
        <f t="shared" si="88"/>
        <v>0</v>
      </c>
      <c r="J675" s="1320">
        <f t="shared" si="81"/>
        <v>0</v>
      </c>
      <c r="K675" s="1320">
        <f t="shared" si="82"/>
        <v>0</v>
      </c>
      <c r="L675" s="1318"/>
      <c r="M675" s="1318"/>
      <c r="N675" s="1321">
        <f t="shared" si="83"/>
        <v>0</v>
      </c>
      <c r="O675" s="1322">
        <f t="shared" si="84"/>
        <v>0</v>
      </c>
      <c r="P675" s="2369">
        <f t="shared" si="85"/>
        <v>1900</v>
      </c>
      <c r="Q675" s="2369">
        <f t="shared" si="86"/>
        <v>1900</v>
      </c>
      <c r="R675" s="654"/>
      <c r="S675" s="654"/>
      <c r="T675" s="654"/>
      <c r="U675" s="654"/>
    </row>
    <row r="676" spans="1:21" ht="14.25" customHeight="1">
      <c r="A676" s="1316"/>
      <c r="B676" s="1317"/>
      <c r="C676" s="1318"/>
      <c r="D676" s="1319"/>
      <c r="E676" s="1318"/>
      <c r="F676" s="1320">
        <f t="shared" si="87"/>
        <v>0</v>
      </c>
      <c r="G676" s="1319"/>
      <c r="H676" s="1318"/>
      <c r="I676" s="1320">
        <f t="shared" si="88"/>
        <v>0</v>
      </c>
      <c r="J676" s="1320">
        <f t="shared" si="81"/>
        <v>0</v>
      </c>
      <c r="K676" s="1320">
        <f t="shared" si="82"/>
        <v>0</v>
      </c>
      <c r="L676" s="1318"/>
      <c r="M676" s="1318"/>
      <c r="N676" s="1321">
        <f t="shared" si="83"/>
        <v>0</v>
      </c>
      <c r="O676" s="1322">
        <f t="shared" si="84"/>
        <v>0</v>
      </c>
      <c r="P676" s="2369">
        <f t="shared" si="85"/>
        <v>1900</v>
      </c>
      <c r="Q676" s="2369">
        <f t="shared" si="86"/>
        <v>1900</v>
      </c>
      <c r="R676" s="654"/>
      <c r="S676" s="654"/>
      <c r="T676" s="654"/>
      <c r="U676" s="654"/>
    </row>
    <row r="677" spans="1:21" ht="14.25" customHeight="1">
      <c r="A677" s="1316"/>
      <c r="B677" s="1317"/>
      <c r="C677" s="1318"/>
      <c r="D677" s="1319"/>
      <c r="E677" s="1318"/>
      <c r="F677" s="1320">
        <f t="shared" si="87"/>
        <v>0</v>
      </c>
      <c r="G677" s="1319"/>
      <c r="H677" s="1318"/>
      <c r="I677" s="1320">
        <f t="shared" si="88"/>
        <v>0</v>
      </c>
      <c r="J677" s="1320">
        <f t="shared" si="81"/>
        <v>0</v>
      </c>
      <c r="K677" s="1320">
        <f t="shared" si="82"/>
        <v>0</v>
      </c>
      <c r="L677" s="1318"/>
      <c r="M677" s="1318"/>
      <c r="N677" s="1321">
        <f t="shared" si="83"/>
        <v>0</v>
      </c>
      <c r="O677" s="1322">
        <f t="shared" si="84"/>
        <v>0</v>
      </c>
      <c r="P677" s="2369">
        <f t="shared" si="85"/>
        <v>1900</v>
      </c>
      <c r="Q677" s="2369">
        <f t="shared" si="86"/>
        <v>1900</v>
      </c>
      <c r="R677" s="654"/>
      <c r="S677" s="654"/>
      <c r="T677" s="654"/>
      <c r="U677" s="654"/>
    </row>
    <row r="678" spans="1:21" ht="14.25" customHeight="1">
      <c r="A678" s="1316"/>
      <c r="B678" s="1317"/>
      <c r="C678" s="1318"/>
      <c r="D678" s="1319"/>
      <c r="E678" s="1318"/>
      <c r="F678" s="1320">
        <f t="shared" si="87"/>
        <v>0</v>
      </c>
      <c r="G678" s="1319"/>
      <c r="H678" s="1318"/>
      <c r="I678" s="1320">
        <f t="shared" si="88"/>
        <v>0</v>
      </c>
      <c r="J678" s="1320">
        <f t="shared" si="81"/>
        <v>0</v>
      </c>
      <c r="K678" s="1320">
        <f t="shared" si="82"/>
        <v>0</v>
      </c>
      <c r="L678" s="1318"/>
      <c r="M678" s="1318"/>
      <c r="N678" s="1321">
        <f t="shared" si="83"/>
        <v>0</v>
      </c>
      <c r="O678" s="1322">
        <f t="shared" si="84"/>
        <v>0</v>
      </c>
      <c r="P678" s="2369">
        <f t="shared" si="85"/>
        <v>1900</v>
      </c>
      <c r="Q678" s="2369">
        <f t="shared" si="86"/>
        <v>1900</v>
      </c>
      <c r="R678" s="654"/>
      <c r="S678" s="654"/>
      <c r="T678" s="654"/>
      <c r="U678" s="654"/>
    </row>
    <row r="679" spans="1:21" ht="14.25" customHeight="1">
      <c r="A679" s="1316"/>
      <c r="B679" s="1317"/>
      <c r="C679" s="1318"/>
      <c r="D679" s="1319"/>
      <c r="E679" s="1318"/>
      <c r="F679" s="1320">
        <f t="shared" si="87"/>
        <v>0</v>
      </c>
      <c r="G679" s="1319"/>
      <c r="H679" s="1318"/>
      <c r="I679" s="1320">
        <f t="shared" si="88"/>
        <v>0</v>
      </c>
      <c r="J679" s="1320">
        <f t="shared" si="81"/>
        <v>0</v>
      </c>
      <c r="K679" s="1320">
        <f t="shared" si="82"/>
        <v>0</v>
      </c>
      <c r="L679" s="1318"/>
      <c r="M679" s="1318"/>
      <c r="N679" s="1321">
        <f t="shared" si="83"/>
        <v>0</v>
      </c>
      <c r="O679" s="1322">
        <f t="shared" si="84"/>
        <v>0</v>
      </c>
      <c r="P679" s="2369">
        <f t="shared" si="85"/>
        <v>1900</v>
      </c>
      <c r="Q679" s="2369">
        <f t="shared" si="86"/>
        <v>1900</v>
      </c>
      <c r="R679" s="654"/>
      <c r="S679" s="654"/>
      <c r="T679" s="654"/>
      <c r="U679" s="654"/>
    </row>
    <row r="680" spans="1:21" ht="14.25" customHeight="1">
      <c r="A680" s="1316"/>
      <c r="B680" s="1317"/>
      <c r="C680" s="1318"/>
      <c r="D680" s="1319"/>
      <c r="E680" s="1318"/>
      <c r="F680" s="1320">
        <f t="shared" si="87"/>
        <v>0</v>
      </c>
      <c r="G680" s="1319"/>
      <c r="H680" s="1318"/>
      <c r="I680" s="1320">
        <f t="shared" si="88"/>
        <v>0</v>
      </c>
      <c r="J680" s="1320">
        <f t="shared" si="81"/>
        <v>0</v>
      </c>
      <c r="K680" s="1320">
        <f t="shared" si="82"/>
        <v>0</v>
      </c>
      <c r="L680" s="1318"/>
      <c r="M680" s="1318"/>
      <c r="N680" s="1321">
        <f t="shared" si="83"/>
        <v>0</v>
      </c>
      <c r="O680" s="1322">
        <f t="shared" si="84"/>
        <v>0</v>
      </c>
      <c r="P680" s="2369">
        <f t="shared" si="85"/>
        <v>1900</v>
      </c>
      <c r="Q680" s="2369">
        <f t="shared" si="86"/>
        <v>1900</v>
      </c>
      <c r="R680" s="654"/>
      <c r="S680" s="654"/>
      <c r="T680" s="654"/>
      <c r="U680" s="654"/>
    </row>
    <row r="681" spans="1:21" ht="14.25" customHeight="1">
      <c r="A681" s="1316"/>
      <c r="B681" s="1317"/>
      <c r="C681" s="1318"/>
      <c r="D681" s="1319"/>
      <c r="E681" s="1318"/>
      <c r="F681" s="1320">
        <f t="shared" si="87"/>
        <v>0</v>
      </c>
      <c r="G681" s="1319"/>
      <c r="H681" s="1318"/>
      <c r="I681" s="1320">
        <f t="shared" si="88"/>
        <v>0</v>
      </c>
      <c r="J681" s="1320">
        <f t="shared" si="81"/>
        <v>0</v>
      </c>
      <c r="K681" s="1320">
        <f t="shared" si="82"/>
        <v>0</v>
      </c>
      <c r="L681" s="1318"/>
      <c r="M681" s="1318"/>
      <c r="N681" s="1321">
        <f t="shared" si="83"/>
        <v>0</v>
      </c>
      <c r="O681" s="1322">
        <f t="shared" si="84"/>
        <v>0</v>
      </c>
      <c r="P681" s="2369">
        <f t="shared" si="85"/>
        <v>1900</v>
      </c>
      <c r="Q681" s="2369">
        <f t="shared" si="86"/>
        <v>1900</v>
      </c>
      <c r="R681" s="654"/>
      <c r="S681" s="654"/>
      <c r="T681" s="654"/>
      <c r="U681" s="654"/>
    </row>
    <row r="682" spans="1:21" ht="14.25" customHeight="1">
      <c r="A682" s="1316"/>
      <c r="B682" s="1317"/>
      <c r="C682" s="1318"/>
      <c r="D682" s="1319"/>
      <c r="E682" s="1318"/>
      <c r="F682" s="1320">
        <f t="shared" si="87"/>
        <v>0</v>
      </c>
      <c r="G682" s="1319"/>
      <c r="H682" s="1318"/>
      <c r="I682" s="1320">
        <f t="shared" si="88"/>
        <v>0</v>
      </c>
      <c r="J682" s="1320">
        <f t="shared" si="81"/>
        <v>0</v>
      </c>
      <c r="K682" s="1320">
        <f t="shared" si="82"/>
        <v>0</v>
      </c>
      <c r="L682" s="1318"/>
      <c r="M682" s="1318"/>
      <c r="N682" s="1321">
        <f t="shared" si="83"/>
        <v>0</v>
      </c>
      <c r="O682" s="1322">
        <f t="shared" si="84"/>
        <v>0</v>
      </c>
      <c r="P682" s="2369">
        <f t="shared" si="85"/>
        <v>1900</v>
      </c>
      <c r="Q682" s="2369">
        <f t="shared" si="86"/>
        <v>1900</v>
      </c>
      <c r="R682" s="654"/>
      <c r="S682" s="654"/>
      <c r="T682" s="654"/>
      <c r="U682" s="654"/>
    </row>
    <row r="683" spans="1:21" ht="14.25" customHeight="1">
      <c r="A683" s="1316"/>
      <c r="B683" s="1317"/>
      <c r="C683" s="1318"/>
      <c r="D683" s="1319"/>
      <c r="E683" s="1318"/>
      <c r="F683" s="1320">
        <f t="shared" si="87"/>
        <v>0</v>
      </c>
      <c r="G683" s="1319"/>
      <c r="H683" s="1318"/>
      <c r="I683" s="1320">
        <f t="shared" si="88"/>
        <v>0</v>
      </c>
      <c r="J683" s="1320">
        <f t="shared" si="81"/>
        <v>0</v>
      </c>
      <c r="K683" s="1320">
        <f t="shared" si="82"/>
        <v>0</v>
      </c>
      <c r="L683" s="1318"/>
      <c r="M683" s="1318"/>
      <c r="N683" s="1321">
        <f t="shared" si="83"/>
        <v>0</v>
      </c>
      <c r="O683" s="1322">
        <f t="shared" si="84"/>
        <v>0</v>
      </c>
      <c r="P683" s="2369">
        <f t="shared" si="85"/>
        <v>1900</v>
      </c>
      <c r="Q683" s="2369">
        <f t="shared" si="86"/>
        <v>1900</v>
      </c>
      <c r="R683" s="654"/>
      <c r="S683" s="654"/>
      <c r="T683" s="654"/>
      <c r="U683" s="654"/>
    </row>
    <row r="684" spans="1:21" ht="14.25" customHeight="1">
      <c r="A684" s="1316"/>
      <c r="B684" s="1317"/>
      <c r="C684" s="1318"/>
      <c r="D684" s="1319"/>
      <c r="E684" s="1318"/>
      <c r="F684" s="1320">
        <f t="shared" si="87"/>
        <v>0</v>
      </c>
      <c r="G684" s="1319"/>
      <c r="H684" s="1318"/>
      <c r="I684" s="1320">
        <f t="shared" si="88"/>
        <v>0</v>
      </c>
      <c r="J684" s="1320">
        <f t="shared" si="81"/>
        <v>0</v>
      </c>
      <c r="K684" s="1320">
        <f t="shared" si="82"/>
        <v>0</v>
      </c>
      <c r="L684" s="1318"/>
      <c r="M684" s="1318"/>
      <c r="N684" s="1321">
        <f t="shared" si="83"/>
        <v>0</v>
      </c>
      <c r="O684" s="1322">
        <f t="shared" si="84"/>
        <v>0</v>
      </c>
      <c r="P684" s="2369">
        <f t="shared" si="85"/>
        <v>1900</v>
      </c>
      <c r="Q684" s="2369">
        <f t="shared" si="86"/>
        <v>1900</v>
      </c>
      <c r="R684" s="654"/>
      <c r="S684" s="654"/>
      <c r="T684" s="654"/>
      <c r="U684" s="654"/>
    </row>
    <row r="685" spans="1:21" ht="14.25" customHeight="1">
      <c r="A685" s="1316"/>
      <c r="B685" s="1317"/>
      <c r="C685" s="1318"/>
      <c r="D685" s="1319"/>
      <c r="E685" s="1318"/>
      <c r="F685" s="1320">
        <f t="shared" si="87"/>
        <v>0</v>
      </c>
      <c r="G685" s="1319"/>
      <c r="H685" s="1318"/>
      <c r="I685" s="1320">
        <f t="shared" si="88"/>
        <v>0</v>
      </c>
      <c r="J685" s="1320">
        <f t="shared" si="81"/>
        <v>0</v>
      </c>
      <c r="K685" s="1320">
        <f t="shared" si="82"/>
        <v>0</v>
      </c>
      <c r="L685" s="1318"/>
      <c r="M685" s="1318"/>
      <c r="N685" s="1321">
        <f t="shared" si="83"/>
        <v>0</v>
      </c>
      <c r="O685" s="1322">
        <f t="shared" si="84"/>
        <v>0</v>
      </c>
      <c r="P685" s="2369">
        <f t="shared" si="85"/>
        <v>1900</v>
      </c>
      <c r="Q685" s="2369">
        <f t="shared" si="86"/>
        <v>1900</v>
      </c>
      <c r="R685" s="654"/>
      <c r="S685" s="654"/>
      <c r="T685" s="654"/>
      <c r="U685" s="654"/>
    </row>
    <row r="686" spans="1:21" ht="14.25" customHeight="1">
      <c r="A686" s="1316"/>
      <c r="B686" s="1317"/>
      <c r="C686" s="1318"/>
      <c r="D686" s="1319"/>
      <c r="E686" s="1318"/>
      <c r="F686" s="1320">
        <f t="shared" si="87"/>
        <v>0</v>
      </c>
      <c r="G686" s="1319"/>
      <c r="H686" s="1318"/>
      <c r="I686" s="1320">
        <f t="shared" si="88"/>
        <v>0</v>
      </c>
      <c r="J686" s="1320">
        <f t="shared" si="81"/>
        <v>0</v>
      </c>
      <c r="K686" s="1320">
        <f t="shared" si="82"/>
        <v>0</v>
      </c>
      <c r="L686" s="1318"/>
      <c r="M686" s="1318"/>
      <c r="N686" s="1321">
        <f t="shared" si="83"/>
        <v>0</v>
      </c>
      <c r="O686" s="1322">
        <f t="shared" si="84"/>
        <v>0</v>
      </c>
      <c r="P686" s="2369">
        <f t="shared" si="85"/>
        <v>1900</v>
      </c>
      <c r="Q686" s="2369">
        <f t="shared" si="86"/>
        <v>1900</v>
      </c>
      <c r="R686" s="654"/>
      <c r="S686" s="654"/>
      <c r="T686" s="654"/>
      <c r="U686" s="654"/>
    </row>
    <row r="687" spans="1:21" ht="14.25" customHeight="1">
      <c r="A687" s="1316"/>
      <c r="B687" s="1317"/>
      <c r="C687" s="1318"/>
      <c r="D687" s="1319"/>
      <c r="E687" s="1318"/>
      <c r="F687" s="1320">
        <f t="shared" si="87"/>
        <v>0</v>
      </c>
      <c r="G687" s="1319"/>
      <c r="H687" s="1318"/>
      <c r="I687" s="1320">
        <f t="shared" si="88"/>
        <v>0</v>
      </c>
      <c r="J687" s="1320">
        <f t="shared" si="81"/>
        <v>0</v>
      </c>
      <c r="K687" s="1320">
        <f t="shared" si="82"/>
        <v>0</v>
      </c>
      <c r="L687" s="1318"/>
      <c r="M687" s="1318"/>
      <c r="N687" s="1321">
        <f t="shared" si="83"/>
        <v>0</v>
      </c>
      <c r="O687" s="1322">
        <f t="shared" si="84"/>
        <v>0</v>
      </c>
      <c r="P687" s="2369">
        <f t="shared" si="85"/>
        <v>1900</v>
      </c>
      <c r="Q687" s="2369">
        <f t="shared" si="86"/>
        <v>1900</v>
      </c>
      <c r="R687" s="654"/>
      <c r="S687" s="654"/>
      <c r="T687" s="654"/>
      <c r="U687" s="654"/>
    </row>
    <row r="688" spans="1:21" ht="14.25" customHeight="1">
      <c r="A688" s="1316"/>
      <c r="B688" s="1317"/>
      <c r="C688" s="1318"/>
      <c r="D688" s="1319"/>
      <c r="E688" s="1318"/>
      <c r="F688" s="1320">
        <f t="shared" si="87"/>
        <v>0</v>
      </c>
      <c r="G688" s="1319"/>
      <c r="H688" s="1318"/>
      <c r="I688" s="1320">
        <f t="shared" si="88"/>
        <v>0</v>
      </c>
      <c r="J688" s="1320">
        <f t="shared" si="81"/>
        <v>0</v>
      </c>
      <c r="K688" s="1320">
        <f t="shared" si="82"/>
        <v>0</v>
      </c>
      <c r="L688" s="1318"/>
      <c r="M688" s="1318"/>
      <c r="N688" s="1321">
        <f t="shared" si="83"/>
        <v>0</v>
      </c>
      <c r="O688" s="1322">
        <f t="shared" si="84"/>
        <v>0</v>
      </c>
      <c r="P688" s="2369">
        <f t="shared" si="85"/>
        <v>1900</v>
      </c>
      <c r="Q688" s="2369">
        <f t="shared" si="86"/>
        <v>1900</v>
      </c>
      <c r="R688" s="654"/>
      <c r="S688" s="654"/>
      <c r="T688" s="654"/>
      <c r="U688" s="654"/>
    </row>
    <row r="689" spans="1:21" ht="14.25" customHeight="1">
      <c r="A689" s="1316"/>
      <c r="B689" s="1317"/>
      <c r="C689" s="1318"/>
      <c r="D689" s="1319"/>
      <c r="E689" s="1318"/>
      <c r="F689" s="1320">
        <f t="shared" si="87"/>
        <v>0</v>
      </c>
      <c r="G689" s="1319"/>
      <c r="H689" s="1318"/>
      <c r="I689" s="1320">
        <f t="shared" si="88"/>
        <v>0</v>
      </c>
      <c r="J689" s="1320">
        <f t="shared" si="81"/>
        <v>0</v>
      </c>
      <c r="K689" s="1320">
        <f t="shared" si="82"/>
        <v>0</v>
      </c>
      <c r="L689" s="1318"/>
      <c r="M689" s="1318"/>
      <c r="N689" s="1321">
        <f t="shared" si="83"/>
        <v>0</v>
      </c>
      <c r="O689" s="1322">
        <f t="shared" si="84"/>
        <v>0</v>
      </c>
      <c r="P689" s="2369">
        <f t="shared" si="85"/>
        <v>1900</v>
      </c>
      <c r="Q689" s="2369">
        <f t="shared" si="86"/>
        <v>1900</v>
      </c>
      <c r="R689" s="654"/>
      <c r="S689" s="654"/>
      <c r="T689" s="654"/>
      <c r="U689" s="654"/>
    </row>
    <row r="690" spans="1:21" ht="14.25" customHeight="1">
      <c r="A690" s="1316"/>
      <c r="B690" s="1317"/>
      <c r="C690" s="1318"/>
      <c r="D690" s="1319"/>
      <c r="E690" s="1318"/>
      <c r="F690" s="1320">
        <f t="shared" si="87"/>
        <v>0</v>
      </c>
      <c r="G690" s="1319"/>
      <c r="H690" s="1318"/>
      <c r="I690" s="1320">
        <f t="shared" si="88"/>
        <v>0</v>
      </c>
      <c r="J690" s="1320">
        <f t="shared" si="81"/>
        <v>0</v>
      </c>
      <c r="K690" s="1320">
        <f t="shared" si="82"/>
        <v>0</v>
      </c>
      <c r="L690" s="1318"/>
      <c r="M690" s="1318"/>
      <c r="N690" s="1321">
        <f t="shared" si="83"/>
        <v>0</v>
      </c>
      <c r="O690" s="1322">
        <f t="shared" si="84"/>
        <v>0</v>
      </c>
      <c r="P690" s="2369">
        <f t="shared" si="85"/>
        <v>1900</v>
      </c>
      <c r="Q690" s="2369">
        <f t="shared" si="86"/>
        <v>1900</v>
      </c>
      <c r="R690" s="654"/>
      <c r="S690" s="654"/>
      <c r="T690" s="654"/>
      <c r="U690" s="654"/>
    </row>
    <row r="691" spans="1:21" ht="14.25" customHeight="1">
      <c r="A691" s="1316"/>
      <c r="B691" s="1317"/>
      <c r="C691" s="1318"/>
      <c r="D691" s="1319"/>
      <c r="E691" s="1318"/>
      <c r="F691" s="1320">
        <f t="shared" si="87"/>
        <v>0</v>
      </c>
      <c r="G691" s="1319"/>
      <c r="H691" s="1318"/>
      <c r="I691" s="1320">
        <f t="shared" si="88"/>
        <v>0</v>
      </c>
      <c r="J691" s="1320">
        <f t="shared" si="81"/>
        <v>0</v>
      </c>
      <c r="K691" s="1320">
        <f t="shared" si="82"/>
        <v>0</v>
      </c>
      <c r="L691" s="1318"/>
      <c r="M691" s="1318"/>
      <c r="N691" s="1321">
        <f t="shared" si="83"/>
        <v>0</v>
      </c>
      <c r="O691" s="1322">
        <f t="shared" si="84"/>
        <v>0</v>
      </c>
      <c r="P691" s="2369">
        <f t="shared" si="85"/>
        <v>1900</v>
      </c>
      <c r="Q691" s="2369">
        <f t="shared" si="86"/>
        <v>1900</v>
      </c>
      <c r="R691" s="654"/>
      <c r="S691" s="654"/>
      <c r="T691" s="654"/>
      <c r="U691" s="654"/>
    </row>
    <row r="692" spans="1:21" ht="14.25" customHeight="1">
      <c r="A692" s="1316"/>
      <c r="B692" s="1317"/>
      <c r="C692" s="1318"/>
      <c r="D692" s="1319"/>
      <c r="E692" s="1318"/>
      <c r="F692" s="1320">
        <f t="shared" si="87"/>
        <v>0</v>
      </c>
      <c r="G692" s="1319"/>
      <c r="H692" s="1318"/>
      <c r="I692" s="1320">
        <f t="shared" si="88"/>
        <v>0</v>
      </c>
      <c r="J692" s="1320">
        <f t="shared" si="81"/>
        <v>0</v>
      </c>
      <c r="K692" s="1320">
        <f t="shared" si="82"/>
        <v>0</v>
      </c>
      <c r="L692" s="1318"/>
      <c r="M692" s="1318"/>
      <c r="N692" s="1321">
        <f t="shared" si="83"/>
        <v>0</v>
      </c>
      <c r="O692" s="1322">
        <f t="shared" si="84"/>
        <v>0</v>
      </c>
      <c r="P692" s="2369">
        <f t="shared" si="85"/>
        <v>1900</v>
      </c>
      <c r="Q692" s="2369">
        <f t="shared" si="86"/>
        <v>1900</v>
      </c>
      <c r="R692" s="654"/>
      <c r="S692" s="654"/>
      <c r="T692" s="654"/>
      <c r="U692" s="654"/>
    </row>
    <row r="693" spans="1:21" ht="14.25" customHeight="1">
      <c r="A693" s="1316"/>
      <c r="B693" s="1317"/>
      <c r="C693" s="1318"/>
      <c r="D693" s="1319"/>
      <c r="E693" s="1318"/>
      <c r="F693" s="1320">
        <f t="shared" si="87"/>
        <v>0</v>
      </c>
      <c r="G693" s="1319"/>
      <c r="H693" s="1318"/>
      <c r="I693" s="1320">
        <f t="shared" si="88"/>
        <v>0</v>
      </c>
      <c r="J693" s="1320">
        <f t="shared" si="81"/>
        <v>0</v>
      </c>
      <c r="K693" s="1320">
        <f t="shared" si="82"/>
        <v>0</v>
      </c>
      <c r="L693" s="1318"/>
      <c r="M693" s="1318"/>
      <c r="N693" s="1321">
        <f t="shared" si="83"/>
        <v>0</v>
      </c>
      <c r="O693" s="1322">
        <f t="shared" si="84"/>
        <v>0</v>
      </c>
      <c r="P693" s="2369">
        <f t="shared" si="85"/>
        <v>1900</v>
      </c>
      <c r="Q693" s="2369">
        <f t="shared" si="86"/>
        <v>1900</v>
      </c>
      <c r="R693" s="654"/>
      <c r="S693" s="654"/>
      <c r="T693" s="654"/>
      <c r="U693" s="654"/>
    </row>
    <row r="694" spans="1:21" ht="14.25" customHeight="1">
      <c r="A694" s="1316"/>
      <c r="B694" s="1317"/>
      <c r="C694" s="1318"/>
      <c r="D694" s="1319"/>
      <c r="E694" s="1318"/>
      <c r="F694" s="1320">
        <f t="shared" si="87"/>
        <v>0</v>
      </c>
      <c r="G694" s="1319"/>
      <c r="H694" s="1318"/>
      <c r="I694" s="1320">
        <f t="shared" si="88"/>
        <v>0</v>
      </c>
      <c r="J694" s="1320">
        <f t="shared" si="81"/>
        <v>0</v>
      </c>
      <c r="K694" s="1320">
        <f t="shared" si="82"/>
        <v>0</v>
      </c>
      <c r="L694" s="1318"/>
      <c r="M694" s="1318"/>
      <c r="N694" s="1321">
        <f t="shared" si="83"/>
        <v>0</v>
      </c>
      <c r="O694" s="1322">
        <f t="shared" si="84"/>
        <v>0</v>
      </c>
      <c r="P694" s="2369">
        <f t="shared" si="85"/>
        <v>1900</v>
      </c>
      <c r="Q694" s="2369">
        <f t="shared" si="86"/>
        <v>1900</v>
      </c>
      <c r="R694" s="654"/>
      <c r="S694" s="654"/>
      <c r="T694" s="654"/>
      <c r="U694" s="654"/>
    </row>
    <row r="695" spans="1:21" ht="14.25" customHeight="1">
      <c r="A695" s="1316"/>
      <c r="B695" s="1317"/>
      <c r="C695" s="1318"/>
      <c r="D695" s="1319"/>
      <c r="E695" s="1318"/>
      <c r="F695" s="1320">
        <f t="shared" si="87"/>
        <v>0</v>
      </c>
      <c r="G695" s="1319"/>
      <c r="H695" s="1318"/>
      <c r="I695" s="1320">
        <f t="shared" si="88"/>
        <v>0</v>
      </c>
      <c r="J695" s="1320">
        <f t="shared" si="81"/>
        <v>0</v>
      </c>
      <c r="K695" s="1320">
        <f t="shared" si="82"/>
        <v>0</v>
      </c>
      <c r="L695" s="1318"/>
      <c r="M695" s="1318"/>
      <c r="N695" s="1321">
        <f t="shared" si="83"/>
        <v>0</v>
      </c>
      <c r="O695" s="1322">
        <f t="shared" si="84"/>
        <v>0</v>
      </c>
      <c r="P695" s="2369">
        <f t="shared" si="85"/>
        <v>1900</v>
      </c>
      <c r="Q695" s="2369">
        <f t="shared" si="86"/>
        <v>1900</v>
      </c>
      <c r="R695" s="654"/>
      <c r="S695" s="654"/>
      <c r="T695" s="654"/>
      <c r="U695" s="654"/>
    </row>
    <row r="696" spans="1:21" ht="14.25" customHeight="1">
      <c r="A696" s="1316"/>
      <c r="B696" s="1317"/>
      <c r="C696" s="1318"/>
      <c r="D696" s="1319"/>
      <c r="E696" s="1318"/>
      <c r="F696" s="1320">
        <f t="shared" si="87"/>
        <v>0</v>
      </c>
      <c r="G696" s="1319"/>
      <c r="H696" s="1318"/>
      <c r="I696" s="1320">
        <f t="shared" si="88"/>
        <v>0</v>
      </c>
      <c r="J696" s="1320">
        <f t="shared" si="81"/>
        <v>0</v>
      </c>
      <c r="K696" s="1320">
        <f t="shared" si="82"/>
        <v>0</v>
      </c>
      <c r="L696" s="1318"/>
      <c r="M696" s="1318"/>
      <c r="N696" s="1321">
        <f t="shared" si="83"/>
        <v>0</v>
      </c>
      <c r="O696" s="1322">
        <f t="shared" si="84"/>
        <v>0</v>
      </c>
      <c r="P696" s="2369">
        <f t="shared" si="85"/>
        <v>1900</v>
      </c>
      <c r="Q696" s="2369">
        <f t="shared" si="86"/>
        <v>1900</v>
      </c>
      <c r="R696" s="654"/>
      <c r="S696" s="654"/>
      <c r="T696" s="654"/>
      <c r="U696" s="654"/>
    </row>
    <row r="697" spans="1:21" ht="14.25" customHeight="1">
      <c r="A697" s="1316"/>
      <c r="B697" s="1317"/>
      <c r="C697" s="1318"/>
      <c r="D697" s="1319"/>
      <c r="E697" s="1318"/>
      <c r="F697" s="1320">
        <f t="shared" si="87"/>
        <v>0</v>
      </c>
      <c r="G697" s="1319"/>
      <c r="H697" s="1318"/>
      <c r="I697" s="1320">
        <f t="shared" si="88"/>
        <v>0</v>
      </c>
      <c r="J697" s="1320">
        <f t="shared" si="81"/>
        <v>0</v>
      </c>
      <c r="K697" s="1320">
        <f t="shared" si="82"/>
        <v>0</v>
      </c>
      <c r="L697" s="1318"/>
      <c r="M697" s="1318"/>
      <c r="N697" s="1321">
        <f t="shared" si="83"/>
        <v>0</v>
      </c>
      <c r="O697" s="1322">
        <f t="shared" si="84"/>
        <v>0</v>
      </c>
      <c r="P697" s="2369">
        <f t="shared" si="85"/>
        <v>1900</v>
      </c>
      <c r="Q697" s="2369">
        <f t="shared" si="86"/>
        <v>1900</v>
      </c>
      <c r="R697" s="654"/>
      <c r="S697" s="654"/>
      <c r="T697" s="654"/>
      <c r="U697" s="654"/>
    </row>
    <row r="698" spans="1:21" ht="14.25" customHeight="1">
      <c r="A698" s="1316"/>
      <c r="B698" s="1317"/>
      <c r="C698" s="1318"/>
      <c r="D698" s="1319"/>
      <c r="E698" s="1318"/>
      <c r="F698" s="1320">
        <f t="shared" si="87"/>
        <v>0</v>
      </c>
      <c r="G698" s="1319"/>
      <c r="H698" s="1318"/>
      <c r="I698" s="1320">
        <f t="shared" si="88"/>
        <v>0</v>
      </c>
      <c r="J698" s="1320">
        <f t="shared" si="81"/>
        <v>0</v>
      </c>
      <c r="K698" s="1320">
        <f t="shared" si="82"/>
        <v>0</v>
      </c>
      <c r="L698" s="1318"/>
      <c r="M698" s="1318"/>
      <c r="N698" s="1321">
        <f t="shared" si="83"/>
        <v>0</v>
      </c>
      <c r="O698" s="1322">
        <f t="shared" si="84"/>
        <v>0</v>
      </c>
      <c r="P698" s="2369">
        <f t="shared" si="85"/>
        <v>1900</v>
      </c>
      <c r="Q698" s="2369">
        <f t="shared" si="86"/>
        <v>1900</v>
      </c>
      <c r="R698" s="654"/>
      <c r="S698" s="654"/>
      <c r="T698" s="654"/>
      <c r="U698" s="654"/>
    </row>
    <row r="699" spans="1:21" ht="14.25" customHeight="1">
      <c r="A699" s="1316"/>
      <c r="B699" s="1317"/>
      <c r="C699" s="1318"/>
      <c r="D699" s="1319"/>
      <c r="E699" s="1318"/>
      <c r="F699" s="1320">
        <f t="shared" si="87"/>
        <v>0</v>
      </c>
      <c r="G699" s="1319"/>
      <c r="H699" s="1318"/>
      <c r="I699" s="1320">
        <f t="shared" si="88"/>
        <v>0</v>
      </c>
      <c r="J699" s="1320">
        <f t="shared" si="81"/>
        <v>0</v>
      </c>
      <c r="K699" s="1320">
        <f t="shared" si="82"/>
        <v>0</v>
      </c>
      <c r="L699" s="1318"/>
      <c r="M699" s="1318"/>
      <c r="N699" s="1321">
        <f t="shared" si="83"/>
        <v>0</v>
      </c>
      <c r="O699" s="1322">
        <f t="shared" si="84"/>
        <v>0</v>
      </c>
      <c r="P699" s="2369">
        <f t="shared" si="85"/>
        <v>1900</v>
      </c>
      <c r="Q699" s="2369">
        <f t="shared" si="86"/>
        <v>1900</v>
      </c>
      <c r="R699" s="654"/>
      <c r="S699" s="654"/>
      <c r="T699" s="654"/>
      <c r="U699" s="654"/>
    </row>
    <row r="700" spans="1:21" ht="14.25" customHeight="1">
      <c r="A700" s="1316"/>
      <c r="B700" s="1317"/>
      <c r="C700" s="1318"/>
      <c r="D700" s="1319"/>
      <c r="E700" s="1318"/>
      <c r="F700" s="1320">
        <f t="shared" si="87"/>
        <v>0</v>
      </c>
      <c r="G700" s="1319"/>
      <c r="H700" s="1318"/>
      <c r="I700" s="1320">
        <f t="shared" si="88"/>
        <v>0</v>
      </c>
      <c r="J700" s="1320">
        <f t="shared" si="81"/>
        <v>0</v>
      </c>
      <c r="K700" s="1320">
        <f t="shared" si="82"/>
        <v>0</v>
      </c>
      <c r="L700" s="1318"/>
      <c r="M700" s="1318"/>
      <c r="N700" s="1321">
        <f t="shared" si="83"/>
        <v>0</v>
      </c>
      <c r="O700" s="1322">
        <f t="shared" si="84"/>
        <v>0</v>
      </c>
      <c r="P700" s="2369">
        <f t="shared" si="85"/>
        <v>1900</v>
      </c>
      <c r="Q700" s="2369">
        <f t="shared" si="86"/>
        <v>1900</v>
      </c>
      <c r="R700" s="654"/>
      <c r="S700" s="654"/>
      <c r="T700" s="654"/>
      <c r="U700" s="654"/>
    </row>
    <row r="701" spans="1:21" ht="14.25" customHeight="1">
      <c r="A701" s="1316"/>
      <c r="B701" s="1317"/>
      <c r="C701" s="1318"/>
      <c r="D701" s="1319"/>
      <c r="E701" s="1318"/>
      <c r="F701" s="1320">
        <f t="shared" si="87"/>
        <v>0</v>
      </c>
      <c r="G701" s="1319"/>
      <c r="H701" s="1318"/>
      <c r="I701" s="1320">
        <f t="shared" si="88"/>
        <v>0</v>
      </c>
      <c r="J701" s="1320">
        <f t="shared" si="81"/>
        <v>0</v>
      </c>
      <c r="K701" s="1320">
        <f t="shared" si="82"/>
        <v>0</v>
      </c>
      <c r="L701" s="1318"/>
      <c r="M701" s="1318"/>
      <c r="N701" s="1321">
        <f t="shared" si="83"/>
        <v>0</v>
      </c>
      <c r="O701" s="1322">
        <f t="shared" si="84"/>
        <v>0</v>
      </c>
      <c r="P701" s="2369">
        <f t="shared" si="85"/>
        <v>1900</v>
      </c>
      <c r="Q701" s="2369">
        <f t="shared" si="86"/>
        <v>1900</v>
      </c>
      <c r="R701" s="654"/>
      <c r="S701" s="654"/>
      <c r="T701" s="654"/>
      <c r="U701" s="654"/>
    </row>
    <row r="702" spans="1:21" ht="14.25" customHeight="1">
      <c r="A702" s="1316"/>
      <c r="B702" s="1317"/>
      <c r="C702" s="1318"/>
      <c r="D702" s="1319"/>
      <c r="E702" s="1318"/>
      <c r="F702" s="1320">
        <f t="shared" si="87"/>
        <v>0</v>
      </c>
      <c r="G702" s="1319"/>
      <c r="H702" s="1318"/>
      <c r="I702" s="1320">
        <f t="shared" si="88"/>
        <v>0</v>
      </c>
      <c r="J702" s="1320">
        <f t="shared" si="81"/>
        <v>0</v>
      </c>
      <c r="K702" s="1320">
        <f t="shared" si="82"/>
        <v>0</v>
      </c>
      <c r="L702" s="1318"/>
      <c r="M702" s="1318"/>
      <c r="N702" s="1321">
        <f t="shared" si="83"/>
        <v>0</v>
      </c>
      <c r="O702" s="1322">
        <f t="shared" si="84"/>
        <v>0</v>
      </c>
      <c r="P702" s="2369">
        <f t="shared" si="85"/>
        <v>1900</v>
      </c>
      <c r="Q702" s="2369">
        <f t="shared" si="86"/>
        <v>1900</v>
      </c>
      <c r="R702" s="654"/>
      <c r="S702" s="654"/>
      <c r="T702" s="654"/>
      <c r="U702" s="654"/>
    </row>
    <row r="703" spans="1:21" ht="14.25" customHeight="1">
      <c r="A703" s="1316"/>
      <c r="B703" s="1317"/>
      <c r="C703" s="1318"/>
      <c r="D703" s="1319"/>
      <c r="E703" s="1318"/>
      <c r="F703" s="1320">
        <f t="shared" si="87"/>
        <v>0</v>
      </c>
      <c r="G703" s="1319"/>
      <c r="H703" s="1318"/>
      <c r="I703" s="1320">
        <f t="shared" si="88"/>
        <v>0</v>
      </c>
      <c r="J703" s="1320">
        <f t="shared" si="81"/>
        <v>0</v>
      </c>
      <c r="K703" s="1320">
        <f t="shared" si="82"/>
        <v>0</v>
      </c>
      <c r="L703" s="1318"/>
      <c r="M703" s="1318"/>
      <c r="N703" s="1321">
        <f t="shared" si="83"/>
        <v>0</v>
      </c>
      <c r="O703" s="1322">
        <f t="shared" si="84"/>
        <v>0</v>
      </c>
      <c r="P703" s="2369">
        <f t="shared" si="85"/>
        <v>1900</v>
      </c>
      <c r="Q703" s="2369">
        <f t="shared" si="86"/>
        <v>1900</v>
      </c>
      <c r="R703" s="654"/>
      <c r="S703" s="654"/>
      <c r="T703" s="654"/>
      <c r="U703" s="654"/>
    </row>
    <row r="704" spans="1:21" ht="14.25" customHeight="1">
      <c r="A704" s="1316"/>
      <c r="B704" s="1317"/>
      <c r="C704" s="1318"/>
      <c r="D704" s="1319"/>
      <c r="E704" s="1318"/>
      <c r="F704" s="1320">
        <f t="shared" si="87"/>
        <v>0</v>
      </c>
      <c r="G704" s="1319"/>
      <c r="H704" s="1318"/>
      <c r="I704" s="1320">
        <f t="shared" si="88"/>
        <v>0</v>
      </c>
      <c r="J704" s="1320">
        <f t="shared" si="81"/>
        <v>0</v>
      </c>
      <c r="K704" s="1320">
        <f t="shared" si="82"/>
        <v>0</v>
      </c>
      <c r="L704" s="1318"/>
      <c r="M704" s="1318"/>
      <c r="N704" s="1321">
        <f t="shared" si="83"/>
        <v>0</v>
      </c>
      <c r="O704" s="1322">
        <f t="shared" si="84"/>
        <v>0</v>
      </c>
      <c r="P704" s="2369">
        <f t="shared" si="85"/>
        <v>1900</v>
      </c>
      <c r="Q704" s="2369">
        <f t="shared" si="86"/>
        <v>1900</v>
      </c>
      <c r="R704" s="654"/>
      <c r="S704" s="654"/>
      <c r="T704" s="654"/>
      <c r="U704" s="654"/>
    </row>
    <row r="705" spans="1:21" ht="14.25" customHeight="1">
      <c r="A705" s="1316"/>
      <c r="B705" s="1317"/>
      <c r="C705" s="1318"/>
      <c r="D705" s="1319"/>
      <c r="E705" s="1318"/>
      <c r="F705" s="1320">
        <f t="shared" si="87"/>
        <v>0</v>
      </c>
      <c r="G705" s="1319"/>
      <c r="H705" s="1318"/>
      <c r="I705" s="1320">
        <f t="shared" si="88"/>
        <v>0</v>
      </c>
      <c r="J705" s="1320">
        <f t="shared" si="81"/>
        <v>0</v>
      </c>
      <c r="K705" s="1320">
        <f t="shared" si="82"/>
        <v>0</v>
      </c>
      <c r="L705" s="1318"/>
      <c r="M705" s="1318"/>
      <c r="N705" s="1321">
        <f t="shared" si="83"/>
        <v>0</v>
      </c>
      <c r="O705" s="1322">
        <f t="shared" si="84"/>
        <v>0</v>
      </c>
      <c r="P705" s="2369">
        <f t="shared" si="85"/>
        <v>1900</v>
      </c>
      <c r="Q705" s="2369">
        <f t="shared" si="86"/>
        <v>1900</v>
      </c>
      <c r="R705" s="654"/>
      <c r="S705" s="654"/>
      <c r="T705" s="654"/>
      <c r="U705" s="654"/>
    </row>
    <row r="706" spans="1:21" ht="14.25" customHeight="1">
      <c r="A706" s="1316"/>
      <c r="B706" s="1317"/>
      <c r="C706" s="1318"/>
      <c r="D706" s="1319"/>
      <c r="E706" s="1318"/>
      <c r="F706" s="1320">
        <f t="shared" si="87"/>
        <v>0</v>
      </c>
      <c r="G706" s="1319"/>
      <c r="H706" s="1318"/>
      <c r="I706" s="1320">
        <f t="shared" si="88"/>
        <v>0</v>
      </c>
      <c r="J706" s="1320">
        <f t="shared" si="81"/>
        <v>0</v>
      </c>
      <c r="K706" s="1320">
        <f t="shared" si="82"/>
        <v>0</v>
      </c>
      <c r="L706" s="1318"/>
      <c r="M706" s="1318"/>
      <c r="N706" s="1321">
        <f t="shared" si="83"/>
        <v>0</v>
      </c>
      <c r="O706" s="1322">
        <f t="shared" si="84"/>
        <v>0</v>
      </c>
      <c r="P706" s="2369">
        <f t="shared" si="85"/>
        <v>1900</v>
      </c>
      <c r="Q706" s="2369">
        <f t="shared" si="86"/>
        <v>1900</v>
      </c>
      <c r="R706" s="654"/>
      <c r="S706" s="654"/>
      <c r="T706" s="654"/>
      <c r="U706" s="654"/>
    </row>
    <row r="707" spans="1:21" ht="14.25" customHeight="1">
      <c r="A707" s="1316"/>
      <c r="B707" s="1317"/>
      <c r="C707" s="1318"/>
      <c r="D707" s="1319"/>
      <c r="E707" s="1318"/>
      <c r="F707" s="1320">
        <f t="shared" si="87"/>
        <v>0</v>
      </c>
      <c r="G707" s="1319"/>
      <c r="H707" s="1318"/>
      <c r="I707" s="1320">
        <f t="shared" si="88"/>
        <v>0</v>
      </c>
      <c r="J707" s="1320">
        <f t="shared" si="81"/>
        <v>0</v>
      </c>
      <c r="K707" s="1320">
        <f t="shared" si="82"/>
        <v>0</v>
      </c>
      <c r="L707" s="1318"/>
      <c r="M707" s="1318"/>
      <c r="N707" s="1321">
        <f t="shared" si="83"/>
        <v>0</v>
      </c>
      <c r="O707" s="1322">
        <f t="shared" si="84"/>
        <v>0</v>
      </c>
      <c r="P707" s="2369">
        <f t="shared" si="85"/>
        <v>1900</v>
      </c>
      <c r="Q707" s="2369">
        <f t="shared" si="86"/>
        <v>1900</v>
      </c>
      <c r="R707" s="654"/>
      <c r="S707" s="654"/>
      <c r="T707" s="654"/>
      <c r="U707" s="654"/>
    </row>
    <row r="708" spans="1:21" ht="14.25" customHeight="1">
      <c r="A708" s="1316"/>
      <c r="B708" s="1317"/>
      <c r="C708" s="1318"/>
      <c r="D708" s="1319"/>
      <c r="E708" s="1318"/>
      <c r="F708" s="1320">
        <f t="shared" si="87"/>
        <v>0</v>
      </c>
      <c r="G708" s="1319"/>
      <c r="H708" s="1318"/>
      <c r="I708" s="1320">
        <f t="shared" si="88"/>
        <v>0</v>
      </c>
      <c r="J708" s="1320">
        <f t="shared" si="81"/>
        <v>0</v>
      </c>
      <c r="K708" s="1320">
        <f t="shared" si="82"/>
        <v>0</v>
      </c>
      <c r="L708" s="1318"/>
      <c r="M708" s="1318"/>
      <c r="N708" s="1321">
        <f t="shared" si="83"/>
        <v>0</v>
      </c>
      <c r="O708" s="1322">
        <f t="shared" si="84"/>
        <v>0</v>
      </c>
      <c r="P708" s="2369">
        <f t="shared" si="85"/>
        <v>1900</v>
      </c>
      <c r="Q708" s="2369">
        <f t="shared" si="86"/>
        <v>1900</v>
      </c>
      <c r="R708" s="654"/>
      <c r="S708" s="654"/>
      <c r="T708" s="654"/>
      <c r="U708" s="654"/>
    </row>
    <row r="709" spans="1:21" ht="14.25" customHeight="1">
      <c r="A709" s="1316"/>
      <c r="B709" s="1317"/>
      <c r="C709" s="1318"/>
      <c r="D709" s="1319"/>
      <c r="E709" s="1318"/>
      <c r="F709" s="1320">
        <f t="shared" si="87"/>
        <v>0</v>
      </c>
      <c r="G709" s="1319"/>
      <c r="H709" s="1318"/>
      <c r="I709" s="1320">
        <f t="shared" si="88"/>
        <v>0</v>
      </c>
      <c r="J709" s="1320">
        <f t="shared" si="81"/>
        <v>0</v>
      </c>
      <c r="K709" s="1320">
        <f t="shared" si="82"/>
        <v>0</v>
      </c>
      <c r="L709" s="1318"/>
      <c r="M709" s="1318"/>
      <c r="N709" s="1321">
        <f t="shared" si="83"/>
        <v>0</v>
      </c>
      <c r="O709" s="1322">
        <f t="shared" si="84"/>
        <v>0</v>
      </c>
      <c r="P709" s="2369">
        <f t="shared" si="85"/>
        <v>1900</v>
      </c>
      <c r="Q709" s="2369">
        <f t="shared" si="86"/>
        <v>1900</v>
      </c>
      <c r="R709" s="654"/>
      <c r="S709" s="654"/>
      <c r="T709" s="654"/>
      <c r="U709" s="654"/>
    </row>
    <row r="710" spans="1:21" ht="14.25" customHeight="1">
      <c r="A710" s="1316"/>
      <c r="B710" s="1317"/>
      <c r="C710" s="1318"/>
      <c r="D710" s="1319"/>
      <c r="E710" s="1318"/>
      <c r="F710" s="1320">
        <f t="shared" si="87"/>
        <v>0</v>
      </c>
      <c r="G710" s="1319"/>
      <c r="H710" s="1318"/>
      <c r="I710" s="1320">
        <f t="shared" si="88"/>
        <v>0</v>
      </c>
      <c r="J710" s="1320">
        <f t="shared" si="81"/>
        <v>0</v>
      </c>
      <c r="K710" s="1320">
        <f t="shared" si="82"/>
        <v>0</v>
      </c>
      <c r="L710" s="1318"/>
      <c r="M710" s="1318"/>
      <c r="N710" s="1321">
        <f t="shared" si="83"/>
        <v>0</v>
      </c>
      <c r="O710" s="1322">
        <f t="shared" si="84"/>
        <v>0</v>
      </c>
      <c r="P710" s="2369">
        <f t="shared" si="85"/>
        <v>1900</v>
      </c>
      <c r="Q710" s="2369">
        <f t="shared" si="86"/>
        <v>1900</v>
      </c>
      <c r="R710" s="654"/>
      <c r="S710" s="654"/>
      <c r="T710" s="654"/>
      <c r="U710" s="654"/>
    </row>
    <row r="711" spans="1:21" ht="14.25" customHeight="1">
      <c r="A711" s="1316"/>
      <c r="B711" s="1317"/>
      <c r="C711" s="1318"/>
      <c r="D711" s="1319"/>
      <c r="E711" s="1318"/>
      <c r="F711" s="1320">
        <f t="shared" si="87"/>
        <v>0</v>
      </c>
      <c r="G711" s="1319"/>
      <c r="H711" s="1318"/>
      <c r="I711" s="1320">
        <f t="shared" si="88"/>
        <v>0</v>
      </c>
      <c r="J711" s="1320">
        <f t="shared" si="81"/>
        <v>0</v>
      </c>
      <c r="K711" s="1320">
        <f t="shared" si="82"/>
        <v>0</v>
      </c>
      <c r="L711" s="1318"/>
      <c r="M711" s="1318"/>
      <c r="N711" s="1321">
        <f t="shared" si="83"/>
        <v>0</v>
      </c>
      <c r="O711" s="1322">
        <f t="shared" si="84"/>
        <v>0</v>
      </c>
      <c r="P711" s="2369">
        <f t="shared" si="85"/>
        <v>1900</v>
      </c>
      <c r="Q711" s="2369">
        <f t="shared" si="86"/>
        <v>1900</v>
      </c>
      <c r="R711" s="654"/>
      <c r="S711" s="654"/>
      <c r="T711" s="654"/>
      <c r="U711" s="654"/>
    </row>
    <row r="712" spans="1:21" ht="14.25" customHeight="1">
      <c r="A712" s="1316"/>
      <c r="B712" s="1317"/>
      <c r="C712" s="1318"/>
      <c r="D712" s="1319"/>
      <c r="E712" s="1318"/>
      <c r="F712" s="1320">
        <f t="shared" si="87"/>
        <v>0</v>
      </c>
      <c r="G712" s="1319"/>
      <c r="H712" s="1318"/>
      <c r="I712" s="1320">
        <f t="shared" si="88"/>
        <v>0</v>
      </c>
      <c r="J712" s="1320">
        <f t="shared" si="81"/>
        <v>0</v>
      </c>
      <c r="K712" s="1320">
        <f t="shared" si="82"/>
        <v>0</v>
      </c>
      <c r="L712" s="1318"/>
      <c r="M712" s="1318"/>
      <c r="N712" s="1321">
        <f t="shared" si="83"/>
        <v>0</v>
      </c>
      <c r="O712" s="1322">
        <f t="shared" si="84"/>
        <v>0</v>
      </c>
      <c r="P712" s="2369">
        <f t="shared" si="85"/>
        <v>1900</v>
      </c>
      <c r="Q712" s="2369">
        <f t="shared" si="86"/>
        <v>1900</v>
      </c>
      <c r="R712" s="654"/>
      <c r="S712" s="654"/>
      <c r="T712" s="654"/>
      <c r="U712" s="654"/>
    </row>
    <row r="713" spans="1:21" ht="14.25" customHeight="1">
      <c r="A713" s="1316"/>
      <c r="B713" s="1317"/>
      <c r="C713" s="1318"/>
      <c r="D713" s="1319"/>
      <c r="E713" s="1318"/>
      <c r="F713" s="1320">
        <f t="shared" si="87"/>
        <v>0</v>
      </c>
      <c r="G713" s="1319"/>
      <c r="H713" s="1318"/>
      <c r="I713" s="1320">
        <f t="shared" si="88"/>
        <v>0</v>
      </c>
      <c r="J713" s="1320">
        <f t="shared" ref="J713:J776" si="89">C713+E713-H713</f>
        <v>0</v>
      </c>
      <c r="K713" s="1320">
        <f t="shared" ref="K713:K776" si="90">C713+F713-I713</f>
        <v>0</v>
      </c>
      <c r="L713" s="1318"/>
      <c r="M713" s="1318"/>
      <c r="N713" s="1321">
        <f t="shared" si="83"/>
        <v>0</v>
      </c>
      <c r="O713" s="1322">
        <f t="shared" si="84"/>
        <v>0</v>
      </c>
      <c r="P713" s="2369">
        <f t="shared" si="85"/>
        <v>1900</v>
      </c>
      <c r="Q713" s="2369">
        <f t="shared" si="86"/>
        <v>1900</v>
      </c>
      <c r="R713" s="654"/>
      <c r="S713" s="654"/>
      <c r="T713" s="654"/>
      <c r="U713" s="654"/>
    </row>
    <row r="714" spans="1:21" ht="14.25" customHeight="1">
      <c r="A714" s="1316"/>
      <c r="B714" s="1317"/>
      <c r="C714" s="1318"/>
      <c r="D714" s="1319"/>
      <c r="E714" s="1318"/>
      <c r="F714" s="1320">
        <f t="shared" si="87"/>
        <v>0</v>
      </c>
      <c r="G714" s="1319"/>
      <c r="H714" s="1318"/>
      <c r="I714" s="1320">
        <f t="shared" si="88"/>
        <v>0</v>
      </c>
      <c r="J714" s="1320">
        <f t="shared" si="89"/>
        <v>0</v>
      </c>
      <c r="K714" s="1320">
        <f t="shared" si="90"/>
        <v>0</v>
      </c>
      <c r="L714" s="1318"/>
      <c r="M714" s="1318"/>
      <c r="N714" s="1321">
        <f t="shared" ref="N714:N777" si="91">IF(M714&lt;&gt;0,ROUND(B714*K714,2)+M714,IF(ABS(ROUND(K714*B714,2)-L714)&lt;3,L714,MIN(ROUND(K714*B714,2),L714)))</f>
        <v>0</v>
      </c>
      <c r="O714" s="1322">
        <f t="shared" ref="O714:O777" si="92">IF(ISERROR(L714-N714),"",IF(ABS(L714-N714)&lt;3,0,L714-N714))</f>
        <v>0</v>
      </c>
      <c r="P714" s="2369">
        <f t="shared" ref="P714:P777" si="93">IFERROR(YEAR(D714),0)</f>
        <v>1900</v>
      </c>
      <c r="Q714" s="2369">
        <f t="shared" ref="Q714:Q777" si="94">IFERROR(YEAR(G714),0)</f>
        <v>1900</v>
      </c>
      <c r="R714" s="654"/>
      <c r="S714" s="654"/>
      <c r="T714" s="654"/>
      <c r="U714" s="654"/>
    </row>
    <row r="715" spans="1:21" ht="14.25" customHeight="1">
      <c r="A715" s="1316"/>
      <c r="B715" s="1317"/>
      <c r="C715" s="1318"/>
      <c r="D715" s="1319"/>
      <c r="E715" s="1318"/>
      <c r="F715" s="1320">
        <f t="shared" ref="F715:F778" si="95">E715*(12-MONTH(D715))/12</f>
        <v>0</v>
      </c>
      <c r="G715" s="1319"/>
      <c r="H715" s="1318"/>
      <c r="I715" s="1320">
        <f t="shared" ref="I715:I778" si="96">H715*(12-MONTH(G715))/12</f>
        <v>0</v>
      </c>
      <c r="J715" s="1320">
        <f t="shared" si="89"/>
        <v>0</v>
      </c>
      <c r="K715" s="1320">
        <f t="shared" si="90"/>
        <v>0</v>
      </c>
      <c r="L715" s="1318"/>
      <c r="M715" s="1318"/>
      <c r="N715" s="1321">
        <f t="shared" si="91"/>
        <v>0</v>
      </c>
      <c r="O715" s="1322">
        <f t="shared" si="92"/>
        <v>0</v>
      </c>
      <c r="P715" s="2369">
        <f t="shared" si="93"/>
        <v>1900</v>
      </c>
      <c r="Q715" s="2369">
        <f t="shared" si="94"/>
        <v>1900</v>
      </c>
      <c r="R715" s="654"/>
      <c r="S715" s="654"/>
      <c r="T715" s="654"/>
      <c r="U715" s="654"/>
    </row>
    <row r="716" spans="1:21" ht="14.25" customHeight="1">
      <c r="A716" s="1316"/>
      <c r="B716" s="1317"/>
      <c r="C716" s="1318"/>
      <c r="D716" s="1319"/>
      <c r="E716" s="1318"/>
      <c r="F716" s="1320">
        <f t="shared" si="95"/>
        <v>0</v>
      </c>
      <c r="G716" s="1319"/>
      <c r="H716" s="1318"/>
      <c r="I716" s="1320">
        <f t="shared" si="96"/>
        <v>0</v>
      </c>
      <c r="J716" s="1320">
        <f t="shared" si="89"/>
        <v>0</v>
      </c>
      <c r="K716" s="1320">
        <f t="shared" si="90"/>
        <v>0</v>
      </c>
      <c r="L716" s="1318"/>
      <c r="M716" s="1318"/>
      <c r="N716" s="1321">
        <f t="shared" si="91"/>
        <v>0</v>
      </c>
      <c r="O716" s="1322">
        <f t="shared" si="92"/>
        <v>0</v>
      </c>
      <c r="P716" s="2369">
        <f t="shared" si="93"/>
        <v>1900</v>
      </c>
      <c r="Q716" s="2369">
        <f t="shared" si="94"/>
        <v>1900</v>
      </c>
      <c r="R716" s="654"/>
      <c r="S716" s="654"/>
      <c r="T716" s="654"/>
      <c r="U716" s="654"/>
    </row>
    <row r="717" spans="1:21" ht="14.25" customHeight="1">
      <c r="A717" s="1316"/>
      <c r="B717" s="1317"/>
      <c r="C717" s="1318"/>
      <c r="D717" s="1319"/>
      <c r="E717" s="1318"/>
      <c r="F717" s="1320">
        <f t="shared" si="95"/>
        <v>0</v>
      </c>
      <c r="G717" s="1319"/>
      <c r="H717" s="1318"/>
      <c r="I717" s="1320">
        <f t="shared" si="96"/>
        <v>0</v>
      </c>
      <c r="J717" s="1320">
        <f t="shared" si="89"/>
        <v>0</v>
      </c>
      <c r="K717" s="1320">
        <f t="shared" si="90"/>
        <v>0</v>
      </c>
      <c r="L717" s="1318"/>
      <c r="M717" s="1318"/>
      <c r="N717" s="1321">
        <f t="shared" si="91"/>
        <v>0</v>
      </c>
      <c r="O717" s="1322">
        <f t="shared" si="92"/>
        <v>0</v>
      </c>
      <c r="P717" s="2369">
        <f t="shared" si="93"/>
        <v>1900</v>
      </c>
      <c r="Q717" s="2369">
        <f t="shared" si="94"/>
        <v>1900</v>
      </c>
      <c r="R717" s="654"/>
      <c r="S717" s="654"/>
      <c r="T717" s="654"/>
      <c r="U717" s="654"/>
    </row>
    <row r="718" spans="1:21" ht="14.25" customHeight="1">
      <c r="A718" s="1316"/>
      <c r="B718" s="1317"/>
      <c r="C718" s="1318"/>
      <c r="D718" s="1319"/>
      <c r="E718" s="1318"/>
      <c r="F718" s="1320">
        <f t="shared" si="95"/>
        <v>0</v>
      </c>
      <c r="G718" s="1319"/>
      <c r="H718" s="1318"/>
      <c r="I718" s="1320">
        <f t="shared" si="96"/>
        <v>0</v>
      </c>
      <c r="J718" s="1320">
        <f t="shared" si="89"/>
        <v>0</v>
      </c>
      <c r="K718" s="1320">
        <f t="shared" si="90"/>
        <v>0</v>
      </c>
      <c r="L718" s="1318"/>
      <c r="M718" s="1318"/>
      <c r="N718" s="1321">
        <f t="shared" si="91"/>
        <v>0</v>
      </c>
      <c r="O718" s="1322">
        <f t="shared" si="92"/>
        <v>0</v>
      </c>
      <c r="P718" s="2369">
        <f t="shared" si="93"/>
        <v>1900</v>
      </c>
      <c r="Q718" s="2369">
        <f t="shared" si="94"/>
        <v>1900</v>
      </c>
      <c r="R718" s="654"/>
      <c r="S718" s="654"/>
      <c r="T718" s="654"/>
      <c r="U718" s="654"/>
    </row>
    <row r="719" spans="1:21" ht="14.25" customHeight="1">
      <c r="A719" s="1316"/>
      <c r="B719" s="1317"/>
      <c r="C719" s="1318"/>
      <c r="D719" s="1319"/>
      <c r="E719" s="1318"/>
      <c r="F719" s="1320">
        <f t="shared" si="95"/>
        <v>0</v>
      </c>
      <c r="G719" s="1319"/>
      <c r="H719" s="1318"/>
      <c r="I719" s="1320">
        <f t="shared" si="96"/>
        <v>0</v>
      </c>
      <c r="J719" s="1320">
        <f t="shared" si="89"/>
        <v>0</v>
      </c>
      <c r="K719" s="1320">
        <f t="shared" si="90"/>
        <v>0</v>
      </c>
      <c r="L719" s="1318"/>
      <c r="M719" s="1318"/>
      <c r="N719" s="1321">
        <f t="shared" si="91"/>
        <v>0</v>
      </c>
      <c r="O719" s="1322">
        <f t="shared" si="92"/>
        <v>0</v>
      </c>
      <c r="P719" s="2369">
        <f t="shared" si="93"/>
        <v>1900</v>
      </c>
      <c r="Q719" s="2369">
        <f t="shared" si="94"/>
        <v>1900</v>
      </c>
      <c r="R719" s="654"/>
      <c r="S719" s="654"/>
      <c r="T719" s="654"/>
      <c r="U719" s="654"/>
    </row>
    <row r="720" spans="1:21" ht="14.25" customHeight="1">
      <c r="A720" s="1316"/>
      <c r="B720" s="1317"/>
      <c r="C720" s="1318"/>
      <c r="D720" s="1319"/>
      <c r="E720" s="1318"/>
      <c r="F720" s="1320">
        <f t="shared" si="95"/>
        <v>0</v>
      </c>
      <c r="G720" s="1319"/>
      <c r="H720" s="1318"/>
      <c r="I720" s="1320">
        <f t="shared" si="96"/>
        <v>0</v>
      </c>
      <c r="J720" s="1320">
        <f t="shared" si="89"/>
        <v>0</v>
      </c>
      <c r="K720" s="1320">
        <f t="shared" si="90"/>
        <v>0</v>
      </c>
      <c r="L720" s="1318"/>
      <c r="M720" s="1318"/>
      <c r="N720" s="1321">
        <f t="shared" si="91"/>
        <v>0</v>
      </c>
      <c r="O720" s="1322">
        <f t="shared" si="92"/>
        <v>0</v>
      </c>
      <c r="P720" s="2369">
        <f t="shared" si="93"/>
        <v>1900</v>
      </c>
      <c r="Q720" s="2369">
        <f t="shared" si="94"/>
        <v>1900</v>
      </c>
      <c r="R720" s="654"/>
      <c r="S720" s="654"/>
      <c r="T720" s="654"/>
      <c r="U720" s="654"/>
    </row>
    <row r="721" spans="1:21" ht="14.25" customHeight="1">
      <c r="A721" s="1316"/>
      <c r="B721" s="1317"/>
      <c r="C721" s="1318"/>
      <c r="D721" s="1319"/>
      <c r="E721" s="1318"/>
      <c r="F721" s="1320">
        <f t="shared" si="95"/>
        <v>0</v>
      </c>
      <c r="G721" s="1319"/>
      <c r="H721" s="1318"/>
      <c r="I721" s="1320">
        <f t="shared" si="96"/>
        <v>0</v>
      </c>
      <c r="J721" s="1320">
        <f t="shared" si="89"/>
        <v>0</v>
      </c>
      <c r="K721" s="1320">
        <f t="shared" si="90"/>
        <v>0</v>
      </c>
      <c r="L721" s="1318"/>
      <c r="M721" s="1318"/>
      <c r="N721" s="1321">
        <f t="shared" si="91"/>
        <v>0</v>
      </c>
      <c r="O721" s="1322">
        <f t="shared" si="92"/>
        <v>0</v>
      </c>
      <c r="P721" s="2369">
        <f t="shared" si="93"/>
        <v>1900</v>
      </c>
      <c r="Q721" s="2369">
        <f t="shared" si="94"/>
        <v>1900</v>
      </c>
      <c r="R721" s="654"/>
      <c r="S721" s="654"/>
      <c r="T721" s="654"/>
      <c r="U721" s="654"/>
    </row>
    <row r="722" spans="1:21" ht="14.25" customHeight="1">
      <c r="A722" s="1316"/>
      <c r="B722" s="1317"/>
      <c r="C722" s="1318"/>
      <c r="D722" s="1319"/>
      <c r="E722" s="1318"/>
      <c r="F722" s="1320">
        <f t="shared" si="95"/>
        <v>0</v>
      </c>
      <c r="G722" s="1319"/>
      <c r="H722" s="1318"/>
      <c r="I722" s="1320">
        <f t="shared" si="96"/>
        <v>0</v>
      </c>
      <c r="J722" s="1320">
        <f t="shared" si="89"/>
        <v>0</v>
      </c>
      <c r="K722" s="1320">
        <f t="shared" si="90"/>
        <v>0</v>
      </c>
      <c r="L722" s="1318"/>
      <c r="M722" s="1318"/>
      <c r="N722" s="1321">
        <f t="shared" si="91"/>
        <v>0</v>
      </c>
      <c r="O722" s="1322">
        <f t="shared" si="92"/>
        <v>0</v>
      </c>
      <c r="P722" s="2369">
        <f t="shared" si="93"/>
        <v>1900</v>
      </c>
      <c r="Q722" s="2369">
        <f t="shared" si="94"/>
        <v>1900</v>
      </c>
      <c r="R722" s="654"/>
      <c r="S722" s="654"/>
      <c r="T722" s="654"/>
      <c r="U722" s="654"/>
    </row>
    <row r="723" spans="1:21" ht="14.25" customHeight="1">
      <c r="A723" s="1316"/>
      <c r="B723" s="1317"/>
      <c r="C723" s="1318"/>
      <c r="D723" s="1319"/>
      <c r="E723" s="1318"/>
      <c r="F723" s="1320">
        <f t="shared" si="95"/>
        <v>0</v>
      </c>
      <c r="G723" s="1319"/>
      <c r="H723" s="1318"/>
      <c r="I723" s="1320">
        <f t="shared" si="96"/>
        <v>0</v>
      </c>
      <c r="J723" s="1320">
        <f t="shared" si="89"/>
        <v>0</v>
      </c>
      <c r="K723" s="1320">
        <f t="shared" si="90"/>
        <v>0</v>
      </c>
      <c r="L723" s="1318"/>
      <c r="M723" s="1318"/>
      <c r="N723" s="1321">
        <f t="shared" si="91"/>
        <v>0</v>
      </c>
      <c r="O723" s="1322">
        <f t="shared" si="92"/>
        <v>0</v>
      </c>
      <c r="P723" s="2369">
        <f t="shared" si="93"/>
        <v>1900</v>
      </c>
      <c r="Q723" s="2369">
        <f t="shared" si="94"/>
        <v>1900</v>
      </c>
      <c r="R723" s="654"/>
      <c r="S723" s="654"/>
      <c r="T723" s="654"/>
      <c r="U723" s="654"/>
    </row>
    <row r="724" spans="1:21" ht="14.25" customHeight="1">
      <c r="A724" s="1316"/>
      <c r="B724" s="1317"/>
      <c r="C724" s="1318"/>
      <c r="D724" s="1319"/>
      <c r="E724" s="1318"/>
      <c r="F724" s="1320">
        <f t="shared" si="95"/>
        <v>0</v>
      </c>
      <c r="G724" s="1319"/>
      <c r="H724" s="1318"/>
      <c r="I724" s="1320">
        <f t="shared" si="96"/>
        <v>0</v>
      </c>
      <c r="J724" s="1320">
        <f t="shared" si="89"/>
        <v>0</v>
      </c>
      <c r="K724" s="1320">
        <f t="shared" si="90"/>
        <v>0</v>
      </c>
      <c r="L724" s="1318"/>
      <c r="M724" s="1318"/>
      <c r="N724" s="1321">
        <f t="shared" si="91"/>
        <v>0</v>
      </c>
      <c r="O724" s="1322">
        <f t="shared" si="92"/>
        <v>0</v>
      </c>
      <c r="P724" s="2369">
        <f t="shared" si="93"/>
        <v>1900</v>
      </c>
      <c r="Q724" s="2369">
        <f t="shared" si="94"/>
        <v>1900</v>
      </c>
      <c r="R724" s="654"/>
      <c r="S724" s="654"/>
      <c r="T724" s="654"/>
      <c r="U724" s="654"/>
    </row>
    <row r="725" spans="1:21" ht="14.25" customHeight="1">
      <c r="A725" s="1316"/>
      <c r="B725" s="1317"/>
      <c r="C725" s="1318"/>
      <c r="D725" s="1319"/>
      <c r="E725" s="1318"/>
      <c r="F725" s="1320">
        <f t="shared" si="95"/>
        <v>0</v>
      </c>
      <c r="G725" s="1319"/>
      <c r="H725" s="1318"/>
      <c r="I725" s="1320">
        <f t="shared" si="96"/>
        <v>0</v>
      </c>
      <c r="J725" s="1320">
        <f t="shared" si="89"/>
        <v>0</v>
      </c>
      <c r="K725" s="1320">
        <f t="shared" si="90"/>
        <v>0</v>
      </c>
      <c r="L725" s="1318"/>
      <c r="M725" s="1318"/>
      <c r="N725" s="1321">
        <f t="shared" si="91"/>
        <v>0</v>
      </c>
      <c r="O725" s="1322">
        <f t="shared" si="92"/>
        <v>0</v>
      </c>
      <c r="P725" s="2369">
        <f t="shared" si="93"/>
        <v>1900</v>
      </c>
      <c r="Q725" s="2369">
        <f t="shared" si="94"/>
        <v>1900</v>
      </c>
      <c r="R725" s="654"/>
      <c r="S725" s="654"/>
      <c r="T725" s="654"/>
      <c r="U725" s="654"/>
    </row>
    <row r="726" spans="1:21" ht="14.25" customHeight="1">
      <c r="A726" s="1316"/>
      <c r="B726" s="1317"/>
      <c r="C726" s="1318"/>
      <c r="D726" s="1319"/>
      <c r="E726" s="1318"/>
      <c r="F726" s="1320">
        <f t="shared" si="95"/>
        <v>0</v>
      </c>
      <c r="G726" s="1319"/>
      <c r="H726" s="1318"/>
      <c r="I726" s="1320">
        <f t="shared" si="96"/>
        <v>0</v>
      </c>
      <c r="J726" s="1320">
        <f t="shared" si="89"/>
        <v>0</v>
      </c>
      <c r="K726" s="1320">
        <f t="shared" si="90"/>
        <v>0</v>
      </c>
      <c r="L726" s="1318"/>
      <c r="M726" s="1318"/>
      <c r="N726" s="1321">
        <f t="shared" si="91"/>
        <v>0</v>
      </c>
      <c r="O726" s="1322">
        <f t="shared" si="92"/>
        <v>0</v>
      </c>
      <c r="P726" s="2369">
        <f t="shared" si="93"/>
        <v>1900</v>
      </c>
      <c r="Q726" s="2369">
        <f t="shared" si="94"/>
        <v>1900</v>
      </c>
      <c r="R726" s="654"/>
      <c r="S726" s="654"/>
      <c r="T726" s="654"/>
      <c r="U726" s="654"/>
    </row>
    <row r="727" spans="1:21" ht="14.25" customHeight="1">
      <c r="A727" s="1316"/>
      <c r="B727" s="1317"/>
      <c r="C727" s="1318"/>
      <c r="D727" s="1319"/>
      <c r="E727" s="1318"/>
      <c r="F727" s="1320">
        <f t="shared" si="95"/>
        <v>0</v>
      </c>
      <c r="G727" s="1319"/>
      <c r="H727" s="1318"/>
      <c r="I727" s="1320">
        <f t="shared" si="96"/>
        <v>0</v>
      </c>
      <c r="J727" s="1320">
        <f t="shared" si="89"/>
        <v>0</v>
      </c>
      <c r="K727" s="1320">
        <f t="shared" si="90"/>
        <v>0</v>
      </c>
      <c r="L727" s="1318"/>
      <c r="M727" s="1318"/>
      <c r="N727" s="1321">
        <f t="shared" si="91"/>
        <v>0</v>
      </c>
      <c r="O727" s="1322">
        <f t="shared" si="92"/>
        <v>0</v>
      </c>
      <c r="P727" s="2369">
        <f t="shared" si="93"/>
        <v>1900</v>
      </c>
      <c r="Q727" s="2369">
        <f t="shared" si="94"/>
        <v>1900</v>
      </c>
      <c r="R727" s="654"/>
      <c r="S727" s="654"/>
      <c r="T727" s="654"/>
      <c r="U727" s="654"/>
    </row>
    <row r="728" spans="1:21" ht="14.25" customHeight="1">
      <c r="A728" s="1316"/>
      <c r="B728" s="1317"/>
      <c r="C728" s="1318"/>
      <c r="D728" s="1319"/>
      <c r="E728" s="1318"/>
      <c r="F728" s="1320">
        <f t="shared" si="95"/>
        <v>0</v>
      </c>
      <c r="G728" s="1319"/>
      <c r="H728" s="1318"/>
      <c r="I728" s="1320">
        <f t="shared" si="96"/>
        <v>0</v>
      </c>
      <c r="J728" s="1320">
        <f t="shared" si="89"/>
        <v>0</v>
      </c>
      <c r="K728" s="1320">
        <f t="shared" si="90"/>
        <v>0</v>
      </c>
      <c r="L728" s="1318"/>
      <c r="M728" s="1318"/>
      <c r="N728" s="1321">
        <f t="shared" si="91"/>
        <v>0</v>
      </c>
      <c r="O728" s="1322">
        <f t="shared" si="92"/>
        <v>0</v>
      </c>
      <c r="P728" s="2369">
        <f t="shared" si="93"/>
        <v>1900</v>
      </c>
      <c r="Q728" s="2369">
        <f t="shared" si="94"/>
        <v>1900</v>
      </c>
      <c r="R728" s="654"/>
      <c r="S728" s="654"/>
      <c r="T728" s="654"/>
      <c r="U728" s="654"/>
    </row>
    <row r="729" spans="1:21" ht="14.25" customHeight="1">
      <c r="A729" s="1316"/>
      <c r="B729" s="1317"/>
      <c r="C729" s="1318"/>
      <c r="D729" s="1319"/>
      <c r="E729" s="1318"/>
      <c r="F729" s="1320">
        <f t="shared" si="95"/>
        <v>0</v>
      </c>
      <c r="G729" s="1319"/>
      <c r="H729" s="1318"/>
      <c r="I729" s="1320">
        <f t="shared" si="96"/>
        <v>0</v>
      </c>
      <c r="J729" s="1320">
        <f t="shared" si="89"/>
        <v>0</v>
      </c>
      <c r="K729" s="1320">
        <f t="shared" si="90"/>
        <v>0</v>
      </c>
      <c r="L729" s="1318"/>
      <c r="M729" s="1318"/>
      <c r="N729" s="1321">
        <f t="shared" si="91"/>
        <v>0</v>
      </c>
      <c r="O729" s="1322">
        <f t="shared" si="92"/>
        <v>0</v>
      </c>
      <c r="P729" s="2369">
        <f t="shared" si="93"/>
        <v>1900</v>
      </c>
      <c r="Q729" s="2369">
        <f t="shared" si="94"/>
        <v>1900</v>
      </c>
      <c r="R729" s="654"/>
      <c r="S729" s="654"/>
      <c r="T729" s="654"/>
      <c r="U729" s="654"/>
    </row>
    <row r="730" spans="1:21" ht="14.25" customHeight="1">
      <c r="A730" s="1316"/>
      <c r="B730" s="1317"/>
      <c r="C730" s="1318"/>
      <c r="D730" s="1319"/>
      <c r="E730" s="1318"/>
      <c r="F730" s="1320">
        <f t="shared" si="95"/>
        <v>0</v>
      </c>
      <c r="G730" s="1319"/>
      <c r="H730" s="1318"/>
      <c r="I730" s="1320">
        <f t="shared" si="96"/>
        <v>0</v>
      </c>
      <c r="J730" s="1320">
        <f t="shared" si="89"/>
        <v>0</v>
      </c>
      <c r="K730" s="1320">
        <f t="shared" si="90"/>
        <v>0</v>
      </c>
      <c r="L730" s="1318"/>
      <c r="M730" s="1318"/>
      <c r="N730" s="1321">
        <f t="shared" si="91"/>
        <v>0</v>
      </c>
      <c r="O730" s="1322">
        <f t="shared" si="92"/>
        <v>0</v>
      </c>
      <c r="P730" s="2369">
        <f t="shared" si="93"/>
        <v>1900</v>
      </c>
      <c r="Q730" s="2369">
        <f t="shared" si="94"/>
        <v>1900</v>
      </c>
      <c r="R730" s="654"/>
      <c r="S730" s="654"/>
      <c r="T730" s="654"/>
      <c r="U730" s="654"/>
    </row>
    <row r="731" spans="1:21" ht="14.25" customHeight="1">
      <c r="A731" s="1316"/>
      <c r="B731" s="1317"/>
      <c r="C731" s="1318"/>
      <c r="D731" s="1319"/>
      <c r="E731" s="1318"/>
      <c r="F731" s="1320">
        <f t="shared" si="95"/>
        <v>0</v>
      </c>
      <c r="G731" s="1319"/>
      <c r="H731" s="1318"/>
      <c r="I731" s="1320">
        <f t="shared" si="96"/>
        <v>0</v>
      </c>
      <c r="J731" s="1320">
        <f t="shared" si="89"/>
        <v>0</v>
      </c>
      <c r="K731" s="1320">
        <f t="shared" si="90"/>
        <v>0</v>
      </c>
      <c r="L731" s="1318"/>
      <c r="M731" s="1318"/>
      <c r="N731" s="1321">
        <f t="shared" si="91"/>
        <v>0</v>
      </c>
      <c r="O731" s="1322">
        <f t="shared" si="92"/>
        <v>0</v>
      </c>
      <c r="P731" s="2369">
        <f t="shared" si="93"/>
        <v>1900</v>
      </c>
      <c r="Q731" s="2369">
        <f t="shared" si="94"/>
        <v>1900</v>
      </c>
      <c r="R731" s="654"/>
      <c r="S731" s="654"/>
      <c r="T731" s="654"/>
      <c r="U731" s="654"/>
    </row>
    <row r="732" spans="1:21" ht="14.25" customHeight="1">
      <c r="A732" s="1316"/>
      <c r="B732" s="1317"/>
      <c r="C732" s="1318"/>
      <c r="D732" s="1319"/>
      <c r="E732" s="1318"/>
      <c r="F732" s="1320">
        <f t="shared" si="95"/>
        <v>0</v>
      </c>
      <c r="G732" s="1319"/>
      <c r="H732" s="1318"/>
      <c r="I732" s="1320">
        <f t="shared" si="96"/>
        <v>0</v>
      </c>
      <c r="J732" s="1320">
        <f t="shared" si="89"/>
        <v>0</v>
      </c>
      <c r="K732" s="1320">
        <f t="shared" si="90"/>
        <v>0</v>
      </c>
      <c r="L732" s="1318"/>
      <c r="M732" s="1318"/>
      <c r="N732" s="1321">
        <f t="shared" si="91"/>
        <v>0</v>
      </c>
      <c r="O732" s="1322">
        <f t="shared" si="92"/>
        <v>0</v>
      </c>
      <c r="P732" s="2369">
        <f t="shared" si="93"/>
        <v>1900</v>
      </c>
      <c r="Q732" s="2369">
        <f t="shared" si="94"/>
        <v>1900</v>
      </c>
      <c r="R732" s="654"/>
      <c r="S732" s="654"/>
      <c r="T732" s="654"/>
      <c r="U732" s="654"/>
    </row>
    <row r="733" spans="1:21" ht="14.25" customHeight="1">
      <c r="A733" s="1316"/>
      <c r="B733" s="1317"/>
      <c r="C733" s="1318"/>
      <c r="D733" s="1319"/>
      <c r="E733" s="1318"/>
      <c r="F733" s="1320">
        <f t="shared" si="95"/>
        <v>0</v>
      </c>
      <c r="G733" s="1319"/>
      <c r="H733" s="1318"/>
      <c r="I733" s="1320">
        <f t="shared" si="96"/>
        <v>0</v>
      </c>
      <c r="J733" s="1320">
        <f t="shared" si="89"/>
        <v>0</v>
      </c>
      <c r="K733" s="1320">
        <f t="shared" si="90"/>
        <v>0</v>
      </c>
      <c r="L733" s="1318"/>
      <c r="M733" s="1318"/>
      <c r="N733" s="1321">
        <f t="shared" si="91"/>
        <v>0</v>
      </c>
      <c r="O733" s="1322">
        <f t="shared" si="92"/>
        <v>0</v>
      </c>
      <c r="P733" s="2369">
        <f t="shared" si="93"/>
        <v>1900</v>
      </c>
      <c r="Q733" s="2369">
        <f t="shared" si="94"/>
        <v>1900</v>
      </c>
      <c r="R733" s="654"/>
      <c r="S733" s="654"/>
      <c r="T733" s="654"/>
      <c r="U733" s="654"/>
    </row>
    <row r="734" spans="1:21" ht="14.25" customHeight="1">
      <c r="A734" s="1316"/>
      <c r="B734" s="1317"/>
      <c r="C734" s="1318"/>
      <c r="D734" s="1319"/>
      <c r="E734" s="1318"/>
      <c r="F734" s="1320">
        <f t="shared" si="95"/>
        <v>0</v>
      </c>
      <c r="G734" s="1319"/>
      <c r="H734" s="1318"/>
      <c r="I734" s="1320">
        <f t="shared" si="96"/>
        <v>0</v>
      </c>
      <c r="J734" s="1320">
        <f t="shared" si="89"/>
        <v>0</v>
      </c>
      <c r="K734" s="1320">
        <f t="shared" si="90"/>
        <v>0</v>
      </c>
      <c r="L734" s="1318"/>
      <c r="M734" s="1318"/>
      <c r="N734" s="1321">
        <f t="shared" si="91"/>
        <v>0</v>
      </c>
      <c r="O734" s="1322">
        <f t="shared" si="92"/>
        <v>0</v>
      </c>
      <c r="P734" s="2369">
        <f t="shared" si="93"/>
        <v>1900</v>
      </c>
      <c r="Q734" s="2369">
        <f t="shared" si="94"/>
        <v>1900</v>
      </c>
      <c r="R734" s="654"/>
      <c r="S734" s="654"/>
      <c r="T734" s="654"/>
      <c r="U734" s="654"/>
    </row>
    <row r="735" spans="1:21" ht="14.25" customHeight="1">
      <c r="A735" s="1316"/>
      <c r="B735" s="1317"/>
      <c r="C735" s="1318"/>
      <c r="D735" s="1319"/>
      <c r="E735" s="1318"/>
      <c r="F735" s="1320">
        <f t="shared" si="95"/>
        <v>0</v>
      </c>
      <c r="G735" s="1319"/>
      <c r="H735" s="1318"/>
      <c r="I735" s="1320">
        <f t="shared" si="96"/>
        <v>0</v>
      </c>
      <c r="J735" s="1320">
        <f t="shared" si="89"/>
        <v>0</v>
      </c>
      <c r="K735" s="1320">
        <f t="shared" si="90"/>
        <v>0</v>
      </c>
      <c r="L735" s="1318"/>
      <c r="M735" s="1318"/>
      <c r="N735" s="1321">
        <f t="shared" si="91"/>
        <v>0</v>
      </c>
      <c r="O735" s="1322">
        <f t="shared" si="92"/>
        <v>0</v>
      </c>
      <c r="P735" s="2369">
        <f t="shared" si="93"/>
        <v>1900</v>
      </c>
      <c r="Q735" s="2369">
        <f t="shared" si="94"/>
        <v>1900</v>
      </c>
      <c r="R735" s="654"/>
      <c r="S735" s="654"/>
      <c r="T735" s="654"/>
      <c r="U735" s="654"/>
    </row>
    <row r="736" spans="1:21" ht="14.25" customHeight="1">
      <c r="A736" s="1316"/>
      <c r="B736" s="1317"/>
      <c r="C736" s="1318"/>
      <c r="D736" s="1319"/>
      <c r="E736" s="1318"/>
      <c r="F736" s="1320">
        <f t="shared" si="95"/>
        <v>0</v>
      </c>
      <c r="G736" s="1319"/>
      <c r="H736" s="1318"/>
      <c r="I736" s="1320">
        <f t="shared" si="96"/>
        <v>0</v>
      </c>
      <c r="J736" s="1320">
        <f t="shared" si="89"/>
        <v>0</v>
      </c>
      <c r="K736" s="1320">
        <f t="shared" si="90"/>
        <v>0</v>
      </c>
      <c r="L736" s="1318"/>
      <c r="M736" s="1318"/>
      <c r="N736" s="1321">
        <f t="shared" si="91"/>
        <v>0</v>
      </c>
      <c r="O736" s="1322">
        <f t="shared" si="92"/>
        <v>0</v>
      </c>
      <c r="P736" s="2369">
        <f t="shared" si="93"/>
        <v>1900</v>
      </c>
      <c r="Q736" s="2369">
        <f t="shared" si="94"/>
        <v>1900</v>
      </c>
      <c r="R736" s="654"/>
      <c r="S736" s="654"/>
      <c r="T736" s="654"/>
      <c r="U736" s="654"/>
    </row>
    <row r="737" spans="1:21" ht="14.25" customHeight="1">
      <c r="A737" s="1316"/>
      <c r="B737" s="1317"/>
      <c r="C737" s="1318"/>
      <c r="D737" s="1319"/>
      <c r="E737" s="1318"/>
      <c r="F737" s="1320">
        <f t="shared" si="95"/>
        <v>0</v>
      </c>
      <c r="G737" s="1319"/>
      <c r="H737" s="1318"/>
      <c r="I737" s="1320">
        <f t="shared" si="96"/>
        <v>0</v>
      </c>
      <c r="J737" s="1320">
        <f t="shared" si="89"/>
        <v>0</v>
      </c>
      <c r="K737" s="1320">
        <f t="shared" si="90"/>
        <v>0</v>
      </c>
      <c r="L737" s="1318"/>
      <c r="M737" s="1318"/>
      <c r="N737" s="1321">
        <f t="shared" si="91"/>
        <v>0</v>
      </c>
      <c r="O737" s="1322">
        <f t="shared" si="92"/>
        <v>0</v>
      </c>
      <c r="P737" s="2369">
        <f t="shared" si="93"/>
        <v>1900</v>
      </c>
      <c r="Q737" s="2369">
        <f t="shared" si="94"/>
        <v>1900</v>
      </c>
      <c r="R737" s="654"/>
      <c r="S737" s="654"/>
      <c r="T737" s="654"/>
      <c r="U737" s="654"/>
    </row>
    <row r="738" spans="1:21" ht="14.25" customHeight="1">
      <c r="A738" s="1316"/>
      <c r="B738" s="1317"/>
      <c r="C738" s="1318"/>
      <c r="D738" s="1319"/>
      <c r="E738" s="1318"/>
      <c r="F738" s="1320">
        <f t="shared" si="95"/>
        <v>0</v>
      </c>
      <c r="G738" s="1319"/>
      <c r="H738" s="1318"/>
      <c r="I738" s="1320">
        <f t="shared" si="96"/>
        <v>0</v>
      </c>
      <c r="J738" s="1320">
        <f t="shared" si="89"/>
        <v>0</v>
      </c>
      <c r="K738" s="1320">
        <f t="shared" si="90"/>
        <v>0</v>
      </c>
      <c r="L738" s="1318"/>
      <c r="M738" s="1318"/>
      <c r="N738" s="1321">
        <f t="shared" si="91"/>
        <v>0</v>
      </c>
      <c r="O738" s="1322">
        <f t="shared" si="92"/>
        <v>0</v>
      </c>
      <c r="P738" s="2369">
        <f t="shared" si="93"/>
        <v>1900</v>
      </c>
      <c r="Q738" s="2369">
        <f t="shared" si="94"/>
        <v>1900</v>
      </c>
      <c r="R738" s="654"/>
      <c r="S738" s="654"/>
      <c r="T738" s="654"/>
      <c r="U738" s="654"/>
    </row>
    <row r="739" spans="1:21" ht="14.25" customHeight="1">
      <c r="A739" s="1316"/>
      <c r="B739" s="1317"/>
      <c r="C739" s="1318"/>
      <c r="D739" s="1319"/>
      <c r="E739" s="1318"/>
      <c r="F739" s="1320">
        <f t="shared" si="95"/>
        <v>0</v>
      </c>
      <c r="G739" s="1319"/>
      <c r="H739" s="1318"/>
      <c r="I739" s="1320">
        <f t="shared" si="96"/>
        <v>0</v>
      </c>
      <c r="J739" s="1320">
        <f t="shared" si="89"/>
        <v>0</v>
      </c>
      <c r="K739" s="1320">
        <f t="shared" si="90"/>
        <v>0</v>
      </c>
      <c r="L739" s="1318"/>
      <c r="M739" s="1318"/>
      <c r="N739" s="1321">
        <f t="shared" si="91"/>
        <v>0</v>
      </c>
      <c r="O739" s="1322">
        <f t="shared" si="92"/>
        <v>0</v>
      </c>
      <c r="P739" s="2369">
        <f t="shared" si="93"/>
        <v>1900</v>
      </c>
      <c r="Q739" s="2369">
        <f t="shared" si="94"/>
        <v>1900</v>
      </c>
      <c r="R739" s="654"/>
      <c r="S739" s="654"/>
      <c r="T739" s="654"/>
      <c r="U739" s="654"/>
    </row>
    <row r="740" spans="1:21" ht="14.25" customHeight="1">
      <c r="A740" s="1316"/>
      <c r="B740" s="1317"/>
      <c r="C740" s="1318"/>
      <c r="D740" s="1319"/>
      <c r="E740" s="1318"/>
      <c r="F740" s="1320">
        <f t="shared" si="95"/>
        <v>0</v>
      </c>
      <c r="G740" s="1319"/>
      <c r="H740" s="1318"/>
      <c r="I740" s="1320">
        <f t="shared" si="96"/>
        <v>0</v>
      </c>
      <c r="J740" s="1320">
        <f t="shared" si="89"/>
        <v>0</v>
      </c>
      <c r="K740" s="1320">
        <f t="shared" si="90"/>
        <v>0</v>
      </c>
      <c r="L740" s="1318"/>
      <c r="M740" s="1318"/>
      <c r="N740" s="1321">
        <f t="shared" si="91"/>
        <v>0</v>
      </c>
      <c r="O740" s="1322">
        <f t="shared" si="92"/>
        <v>0</v>
      </c>
      <c r="P740" s="2369">
        <f t="shared" si="93"/>
        <v>1900</v>
      </c>
      <c r="Q740" s="2369">
        <f t="shared" si="94"/>
        <v>1900</v>
      </c>
      <c r="R740" s="654"/>
      <c r="S740" s="654"/>
      <c r="T740" s="654"/>
      <c r="U740" s="654"/>
    </row>
    <row r="741" spans="1:21" ht="14.25" customHeight="1">
      <c r="A741" s="1316"/>
      <c r="B741" s="1317"/>
      <c r="C741" s="1318"/>
      <c r="D741" s="1319"/>
      <c r="E741" s="1318"/>
      <c r="F741" s="1320">
        <f t="shared" si="95"/>
        <v>0</v>
      </c>
      <c r="G741" s="1319"/>
      <c r="H741" s="1318"/>
      <c r="I741" s="1320">
        <f t="shared" si="96"/>
        <v>0</v>
      </c>
      <c r="J741" s="1320">
        <f t="shared" si="89"/>
        <v>0</v>
      </c>
      <c r="K741" s="1320">
        <f t="shared" si="90"/>
        <v>0</v>
      </c>
      <c r="L741" s="1318"/>
      <c r="M741" s="1318"/>
      <c r="N741" s="1321">
        <f t="shared" si="91"/>
        <v>0</v>
      </c>
      <c r="O741" s="1322">
        <f t="shared" si="92"/>
        <v>0</v>
      </c>
      <c r="P741" s="2369">
        <f t="shared" si="93"/>
        <v>1900</v>
      </c>
      <c r="Q741" s="2369">
        <f t="shared" si="94"/>
        <v>1900</v>
      </c>
      <c r="R741" s="654"/>
      <c r="S741" s="654"/>
      <c r="T741" s="654"/>
      <c r="U741" s="654"/>
    </row>
    <row r="742" spans="1:21" ht="14.25" customHeight="1">
      <c r="A742" s="1316"/>
      <c r="B742" s="1317"/>
      <c r="C742" s="1318"/>
      <c r="D742" s="1319"/>
      <c r="E742" s="1318"/>
      <c r="F742" s="1320">
        <f t="shared" si="95"/>
        <v>0</v>
      </c>
      <c r="G742" s="1319"/>
      <c r="H742" s="1318"/>
      <c r="I742" s="1320">
        <f t="shared" si="96"/>
        <v>0</v>
      </c>
      <c r="J742" s="1320">
        <f t="shared" si="89"/>
        <v>0</v>
      </c>
      <c r="K742" s="1320">
        <f t="shared" si="90"/>
        <v>0</v>
      </c>
      <c r="L742" s="1318"/>
      <c r="M742" s="1318"/>
      <c r="N742" s="1321">
        <f t="shared" si="91"/>
        <v>0</v>
      </c>
      <c r="O742" s="1322">
        <f t="shared" si="92"/>
        <v>0</v>
      </c>
      <c r="P742" s="2369">
        <f t="shared" si="93"/>
        <v>1900</v>
      </c>
      <c r="Q742" s="2369">
        <f t="shared" si="94"/>
        <v>1900</v>
      </c>
      <c r="R742" s="654"/>
      <c r="S742" s="654"/>
      <c r="T742" s="654"/>
      <c r="U742" s="654"/>
    </row>
    <row r="743" spans="1:21" ht="14.25" customHeight="1">
      <c r="A743" s="1316"/>
      <c r="B743" s="1317"/>
      <c r="C743" s="1318"/>
      <c r="D743" s="1319"/>
      <c r="E743" s="1318"/>
      <c r="F743" s="1320">
        <f t="shared" si="95"/>
        <v>0</v>
      </c>
      <c r="G743" s="1319"/>
      <c r="H743" s="1318"/>
      <c r="I743" s="1320">
        <f t="shared" si="96"/>
        <v>0</v>
      </c>
      <c r="J743" s="1320">
        <f t="shared" si="89"/>
        <v>0</v>
      </c>
      <c r="K743" s="1320">
        <f t="shared" si="90"/>
        <v>0</v>
      </c>
      <c r="L743" s="1318"/>
      <c r="M743" s="1318"/>
      <c r="N743" s="1321">
        <f t="shared" si="91"/>
        <v>0</v>
      </c>
      <c r="O743" s="1322">
        <f t="shared" si="92"/>
        <v>0</v>
      </c>
      <c r="P743" s="2369">
        <f t="shared" si="93"/>
        <v>1900</v>
      </c>
      <c r="Q743" s="2369">
        <f t="shared" si="94"/>
        <v>1900</v>
      </c>
      <c r="R743" s="654"/>
      <c r="S743" s="654"/>
      <c r="T743" s="654"/>
      <c r="U743" s="654"/>
    </row>
    <row r="744" spans="1:21" ht="14.25" customHeight="1">
      <c r="A744" s="1316"/>
      <c r="B744" s="1317"/>
      <c r="C744" s="1318"/>
      <c r="D744" s="1319"/>
      <c r="E744" s="1318"/>
      <c r="F744" s="1320">
        <f t="shared" si="95"/>
        <v>0</v>
      </c>
      <c r="G744" s="1319"/>
      <c r="H744" s="1318"/>
      <c r="I744" s="1320">
        <f t="shared" si="96"/>
        <v>0</v>
      </c>
      <c r="J744" s="1320">
        <f t="shared" si="89"/>
        <v>0</v>
      </c>
      <c r="K744" s="1320">
        <f t="shared" si="90"/>
        <v>0</v>
      </c>
      <c r="L744" s="1318"/>
      <c r="M744" s="1318"/>
      <c r="N744" s="1321">
        <f t="shared" si="91"/>
        <v>0</v>
      </c>
      <c r="O744" s="1322">
        <f t="shared" si="92"/>
        <v>0</v>
      </c>
      <c r="P744" s="2369">
        <f t="shared" si="93"/>
        <v>1900</v>
      </c>
      <c r="Q744" s="2369">
        <f t="shared" si="94"/>
        <v>1900</v>
      </c>
      <c r="R744" s="654"/>
      <c r="S744" s="654"/>
      <c r="T744" s="654"/>
      <c r="U744" s="654"/>
    </row>
    <row r="745" spans="1:21" ht="14.25" customHeight="1">
      <c r="A745" s="1316"/>
      <c r="B745" s="1317"/>
      <c r="C745" s="1318"/>
      <c r="D745" s="1319"/>
      <c r="E745" s="1318"/>
      <c r="F745" s="1320">
        <f t="shared" si="95"/>
        <v>0</v>
      </c>
      <c r="G745" s="1319"/>
      <c r="H745" s="1318"/>
      <c r="I745" s="1320">
        <f t="shared" si="96"/>
        <v>0</v>
      </c>
      <c r="J745" s="1320">
        <f t="shared" si="89"/>
        <v>0</v>
      </c>
      <c r="K745" s="1320">
        <f t="shared" si="90"/>
        <v>0</v>
      </c>
      <c r="L745" s="1318"/>
      <c r="M745" s="1318"/>
      <c r="N745" s="1321">
        <f t="shared" si="91"/>
        <v>0</v>
      </c>
      <c r="O745" s="1322">
        <f t="shared" si="92"/>
        <v>0</v>
      </c>
      <c r="P745" s="2369">
        <f t="shared" si="93"/>
        <v>1900</v>
      </c>
      <c r="Q745" s="2369">
        <f t="shared" si="94"/>
        <v>1900</v>
      </c>
      <c r="R745" s="654"/>
      <c r="S745" s="654"/>
      <c r="T745" s="654"/>
      <c r="U745" s="654"/>
    </row>
    <row r="746" spans="1:21" ht="14.25" customHeight="1">
      <c r="A746" s="1316"/>
      <c r="B746" s="1317"/>
      <c r="C746" s="1318"/>
      <c r="D746" s="1319"/>
      <c r="E746" s="1318"/>
      <c r="F746" s="1320">
        <f t="shared" si="95"/>
        <v>0</v>
      </c>
      <c r="G746" s="1319"/>
      <c r="H746" s="1318"/>
      <c r="I746" s="1320">
        <f t="shared" si="96"/>
        <v>0</v>
      </c>
      <c r="J746" s="1320">
        <f t="shared" si="89"/>
        <v>0</v>
      </c>
      <c r="K746" s="1320">
        <f t="shared" si="90"/>
        <v>0</v>
      </c>
      <c r="L746" s="1318"/>
      <c r="M746" s="1318"/>
      <c r="N746" s="1321">
        <f t="shared" si="91"/>
        <v>0</v>
      </c>
      <c r="O746" s="1322">
        <f t="shared" si="92"/>
        <v>0</v>
      </c>
      <c r="P746" s="2369">
        <f t="shared" si="93"/>
        <v>1900</v>
      </c>
      <c r="Q746" s="2369">
        <f t="shared" si="94"/>
        <v>1900</v>
      </c>
      <c r="R746" s="654"/>
      <c r="S746" s="654"/>
      <c r="T746" s="654"/>
      <c r="U746" s="654"/>
    </row>
    <row r="747" spans="1:21" ht="14.25" customHeight="1">
      <c r="A747" s="1316"/>
      <c r="B747" s="1317"/>
      <c r="C747" s="1318"/>
      <c r="D747" s="1319"/>
      <c r="E747" s="1318"/>
      <c r="F747" s="1320">
        <f t="shared" si="95"/>
        <v>0</v>
      </c>
      <c r="G747" s="1319"/>
      <c r="H747" s="1318"/>
      <c r="I747" s="1320">
        <f t="shared" si="96"/>
        <v>0</v>
      </c>
      <c r="J747" s="1320">
        <f t="shared" si="89"/>
        <v>0</v>
      </c>
      <c r="K747" s="1320">
        <f t="shared" si="90"/>
        <v>0</v>
      </c>
      <c r="L747" s="1318"/>
      <c r="M747" s="1318"/>
      <c r="N747" s="1321">
        <f t="shared" si="91"/>
        <v>0</v>
      </c>
      <c r="O747" s="1322">
        <f t="shared" si="92"/>
        <v>0</v>
      </c>
      <c r="P747" s="2369">
        <f t="shared" si="93"/>
        <v>1900</v>
      </c>
      <c r="Q747" s="2369">
        <f t="shared" si="94"/>
        <v>1900</v>
      </c>
      <c r="R747" s="654"/>
      <c r="S747" s="654"/>
      <c r="T747" s="654"/>
      <c r="U747" s="654"/>
    </row>
    <row r="748" spans="1:21" ht="14.25" customHeight="1">
      <c r="A748" s="1316"/>
      <c r="B748" s="1317"/>
      <c r="C748" s="1318"/>
      <c r="D748" s="1319"/>
      <c r="E748" s="1318"/>
      <c r="F748" s="1320">
        <f t="shared" si="95"/>
        <v>0</v>
      </c>
      <c r="G748" s="1319"/>
      <c r="H748" s="1318"/>
      <c r="I748" s="1320">
        <f t="shared" si="96"/>
        <v>0</v>
      </c>
      <c r="J748" s="1320">
        <f t="shared" si="89"/>
        <v>0</v>
      </c>
      <c r="K748" s="1320">
        <f t="shared" si="90"/>
        <v>0</v>
      </c>
      <c r="L748" s="1318"/>
      <c r="M748" s="1318"/>
      <c r="N748" s="1321">
        <f t="shared" si="91"/>
        <v>0</v>
      </c>
      <c r="O748" s="1322">
        <f t="shared" si="92"/>
        <v>0</v>
      </c>
      <c r="P748" s="2369">
        <f t="shared" si="93"/>
        <v>1900</v>
      </c>
      <c r="Q748" s="2369">
        <f t="shared" si="94"/>
        <v>1900</v>
      </c>
      <c r="R748" s="654"/>
      <c r="S748" s="654"/>
      <c r="T748" s="654"/>
      <c r="U748" s="654"/>
    </row>
    <row r="749" spans="1:21" ht="14.25" customHeight="1">
      <c r="A749" s="1316"/>
      <c r="B749" s="1317"/>
      <c r="C749" s="1318"/>
      <c r="D749" s="1319"/>
      <c r="E749" s="1318"/>
      <c r="F749" s="1320">
        <f t="shared" si="95"/>
        <v>0</v>
      </c>
      <c r="G749" s="1319"/>
      <c r="H749" s="1318"/>
      <c r="I749" s="1320">
        <f t="shared" si="96"/>
        <v>0</v>
      </c>
      <c r="J749" s="1320">
        <f t="shared" si="89"/>
        <v>0</v>
      </c>
      <c r="K749" s="1320">
        <f t="shared" si="90"/>
        <v>0</v>
      </c>
      <c r="L749" s="1318"/>
      <c r="M749" s="1318"/>
      <c r="N749" s="1321">
        <f t="shared" si="91"/>
        <v>0</v>
      </c>
      <c r="O749" s="1322">
        <f t="shared" si="92"/>
        <v>0</v>
      </c>
      <c r="P749" s="2369">
        <f t="shared" si="93"/>
        <v>1900</v>
      </c>
      <c r="Q749" s="2369">
        <f t="shared" si="94"/>
        <v>1900</v>
      </c>
      <c r="R749" s="654"/>
      <c r="S749" s="654"/>
      <c r="T749" s="654"/>
      <c r="U749" s="654"/>
    </row>
    <row r="750" spans="1:21" ht="14.25" customHeight="1">
      <c r="A750" s="1316"/>
      <c r="B750" s="1317"/>
      <c r="C750" s="1318"/>
      <c r="D750" s="1319"/>
      <c r="E750" s="1318"/>
      <c r="F750" s="1320">
        <f t="shared" si="95"/>
        <v>0</v>
      </c>
      <c r="G750" s="1319"/>
      <c r="H750" s="1318"/>
      <c r="I750" s="1320">
        <f t="shared" si="96"/>
        <v>0</v>
      </c>
      <c r="J750" s="1320">
        <f t="shared" si="89"/>
        <v>0</v>
      </c>
      <c r="K750" s="1320">
        <f t="shared" si="90"/>
        <v>0</v>
      </c>
      <c r="L750" s="1318"/>
      <c r="M750" s="1318"/>
      <c r="N750" s="1321">
        <f t="shared" si="91"/>
        <v>0</v>
      </c>
      <c r="O750" s="1322">
        <f t="shared" si="92"/>
        <v>0</v>
      </c>
      <c r="P750" s="2369">
        <f t="shared" si="93"/>
        <v>1900</v>
      </c>
      <c r="Q750" s="2369">
        <f t="shared" si="94"/>
        <v>1900</v>
      </c>
      <c r="R750" s="654"/>
      <c r="S750" s="654"/>
      <c r="T750" s="654"/>
      <c r="U750" s="654"/>
    </row>
    <row r="751" spans="1:21" ht="14.25" customHeight="1">
      <c r="A751" s="1316"/>
      <c r="B751" s="1317"/>
      <c r="C751" s="1318"/>
      <c r="D751" s="1319"/>
      <c r="E751" s="1318"/>
      <c r="F751" s="1320">
        <f t="shared" si="95"/>
        <v>0</v>
      </c>
      <c r="G751" s="1319"/>
      <c r="H751" s="1318"/>
      <c r="I751" s="1320">
        <f t="shared" si="96"/>
        <v>0</v>
      </c>
      <c r="J751" s="1320">
        <f t="shared" si="89"/>
        <v>0</v>
      </c>
      <c r="K751" s="1320">
        <f t="shared" si="90"/>
        <v>0</v>
      </c>
      <c r="L751" s="1318"/>
      <c r="M751" s="1318"/>
      <c r="N751" s="1321">
        <f t="shared" si="91"/>
        <v>0</v>
      </c>
      <c r="O751" s="1322">
        <f t="shared" si="92"/>
        <v>0</v>
      </c>
      <c r="P751" s="2369">
        <f t="shared" si="93"/>
        <v>1900</v>
      </c>
      <c r="Q751" s="2369">
        <f t="shared" si="94"/>
        <v>1900</v>
      </c>
      <c r="R751" s="654"/>
      <c r="S751" s="654"/>
      <c r="T751" s="654"/>
      <c r="U751" s="654"/>
    </row>
    <row r="752" spans="1:21" ht="14.25" customHeight="1">
      <c r="A752" s="1316"/>
      <c r="B752" s="1317"/>
      <c r="C752" s="1318"/>
      <c r="D752" s="1319"/>
      <c r="E752" s="1318"/>
      <c r="F752" s="1320">
        <f t="shared" si="95"/>
        <v>0</v>
      </c>
      <c r="G752" s="1319"/>
      <c r="H752" s="1318"/>
      <c r="I752" s="1320">
        <f t="shared" si="96"/>
        <v>0</v>
      </c>
      <c r="J752" s="1320">
        <f t="shared" si="89"/>
        <v>0</v>
      </c>
      <c r="K752" s="1320">
        <f t="shared" si="90"/>
        <v>0</v>
      </c>
      <c r="L752" s="1318"/>
      <c r="M752" s="1318"/>
      <c r="N752" s="1321">
        <f t="shared" si="91"/>
        <v>0</v>
      </c>
      <c r="O752" s="1322">
        <f t="shared" si="92"/>
        <v>0</v>
      </c>
      <c r="P752" s="2369">
        <f t="shared" si="93"/>
        <v>1900</v>
      </c>
      <c r="Q752" s="2369">
        <f t="shared" si="94"/>
        <v>1900</v>
      </c>
      <c r="R752" s="654"/>
      <c r="S752" s="654"/>
      <c r="T752" s="654"/>
      <c r="U752" s="654"/>
    </row>
    <row r="753" spans="1:21" ht="14.25" customHeight="1">
      <c r="A753" s="1316"/>
      <c r="B753" s="1317"/>
      <c r="C753" s="1318"/>
      <c r="D753" s="1319"/>
      <c r="E753" s="1318"/>
      <c r="F753" s="1320">
        <f t="shared" si="95"/>
        <v>0</v>
      </c>
      <c r="G753" s="1319"/>
      <c r="H753" s="1318"/>
      <c r="I753" s="1320">
        <f t="shared" si="96"/>
        <v>0</v>
      </c>
      <c r="J753" s="1320">
        <f t="shared" si="89"/>
        <v>0</v>
      </c>
      <c r="K753" s="1320">
        <f t="shared" si="90"/>
        <v>0</v>
      </c>
      <c r="L753" s="1318"/>
      <c r="M753" s="1318"/>
      <c r="N753" s="1321">
        <f t="shared" si="91"/>
        <v>0</v>
      </c>
      <c r="O753" s="1322">
        <f t="shared" si="92"/>
        <v>0</v>
      </c>
      <c r="P753" s="2369">
        <f t="shared" si="93"/>
        <v>1900</v>
      </c>
      <c r="Q753" s="2369">
        <f t="shared" si="94"/>
        <v>1900</v>
      </c>
      <c r="R753" s="654"/>
      <c r="S753" s="654"/>
      <c r="T753" s="654"/>
      <c r="U753" s="654"/>
    </row>
    <row r="754" spans="1:21" ht="14.25" customHeight="1">
      <c r="A754" s="1316"/>
      <c r="B754" s="1317"/>
      <c r="C754" s="1318"/>
      <c r="D754" s="1319"/>
      <c r="E754" s="1318"/>
      <c r="F754" s="1320">
        <f t="shared" si="95"/>
        <v>0</v>
      </c>
      <c r="G754" s="1319"/>
      <c r="H754" s="1318"/>
      <c r="I754" s="1320">
        <f t="shared" si="96"/>
        <v>0</v>
      </c>
      <c r="J754" s="1320">
        <f t="shared" si="89"/>
        <v>0</v>
      </c>
      <c r="K754" s="1320">
        <f t="shared" si="90"/>
        <v>0</v>
      </c>
      <c r="L754" s="1318"/>
      <c r="M754" s="1318"/>
      <c r="N754" s="1321">
        <f t="shared" si="91"/>
        <v>0</v>
      </c>
      <c r="O754" s="1322">
        <f t="shared" si="92"/>
        <v>0</v>
      </c>
      <c r="P754" s="2369">
        <f t="shared" si="93"/>
        <v>1900</v>
      </c>
      <c r="Q754" s="2369">
        <f t="shared" si="94"/>
        <v>1900</v>
      </c>
      <c r="R754" s="654"/>
      <c r="S754" s="654"/>
      <c r="T754" s="654"/>
      <c r="U754" s="654"/>
    </row>
    <row r="755" spans="1:21" ht="14.25" customHeight="1">
      <c r="A755" s="1316"/>
      <c r="B755" s="1317"/>
      <c r="C755" s="1318"/>
      <c r="D755" s="1319"/>
      <c r="E755" s="1318"/>
      <c r="F755" s="1320">
        <f t="shared" si="95"/>
        <v>0</v>
      </c>
      <c r="G755" s="1319"/>
      <c r="H755" s="1318"/>
      <c r="I755" s="1320">
        <f t="shared" si="96"/>
        <v>0</v>
      </c>
      <c r="J755" s="1320">
        <f t="shared" si="89"/>
        <v>0</v>
      </c>
      <c r="K755" s="1320">
        <f t="shared" si="90"/>
        <v>0</v>
      </c>
      <c r="L755" s="1318"/>
      <c r="M755" s="1318"/>
      <c r="N755" s="1321">
        <f t="shared" si="91"/>
        <v>0</v>
      </c>
      <c r="O755" s="1322">
        <f t="shared" si="92"/>
        <v>0</v>
      </c>
      <c r="P755" s="2369">
        <f t="shared" si="93"/>
        <v>1900</v>
      </c>
      <c r="Q755" s="2369">
        <f t="shared" si="94"/>
        <v>1900</v>
      </c>
      <c r="R755" s="654"/>
      <c r="S755" s="654"/>
      <c r="T755" s="654"/>
      <c r="U755" s="654"/>
    </row>
    <row r="756" spans="1:21" ht="14.25" customHeight="1">
      <c r="A756" s="1316"/>
      <c r="B756" s="1317"/>
      <c r="C756" s="1318"/>
      <c r="D756" s="1319"/>
      <c r="E756" s="1318"/>
      <c r="F756" s="1320">
        <f t="shared" si="95"/>
        <v>0</v>
      </c>
      <c r="G756" s="1319"/>
      <c r="H756" s="1318"/>
      <c r="I756" s="1320">
        <f t="shared" si="96"/>
        <v>0</v>
      </c>
      <c r="J756" s="1320">
        <f t="shared" si="89"/>
        <v>0</v>
      </c>
      <c r="K756" s="1320">
        <f t="shared" si="90"/>
        <v>0</v>
      </c>
      <c r="L756" s="1318"/>
      <c r="M756" s="1318"/>
      <c r="N756" s="1321">
        <f t="shared" si="91"/>
        <v>0</v>
      </c>
      <c r="O756" s="1322">
        <f t="shared" si="92"/>
        <v>0</v>
      </c>
      <c r="P756" s="2369">
        <f t="shared" si="93"/>
        <v>1900</v>
      </c>
      <c r="Q756" s="2369">
        <f t="shared" si="94"/>
        <v>1900</v>
      </c>
      <c r="R756" s="654"/>
      <c r="S756" s="654"/>
      <c r="T756" s="654"/>
      <c r="U756" s="654"/>
    </row>
    <row r="757" spans="1:21" ht="14.25" customHeight="1">
      <c r="A757" s="1316"/>
      <c r="B757" s="1317"/>
      <c r="C757" s="1318"/>
      <c r="D757" s="1319"/>
      <c r="E757" s="1318"/>
      <c r="F757" s="1320">
        <f t="shared" si="95"/>
        <v>0</v>
      </c>
      <c r="G757" s="1319"/>
      <c r="H757" s="1318"/>
      <c r="I757" s="1320">
        <f t="shared" si="96"/>
        <v>0</v>
      </c>
      <c r="J757" s="1320">
        <f t="shared" si="89"/>
        <v>0</v>
      </c>
      <c r="K757" s="1320">
        <f t="shared" si="90"/>
        <v>0</v>
      </c>
      <c r="L757" s="1318"/>
      <c r="M757" s="1318"/>
      <c r="N757" s="1321">
        <f t="shared" si="91"/>
        <v>0</v>
      </c>
      <c r="O757" s="1322">
        <f t="shared" si="92"/>
        <v>0</v>
      </c>
      <c r="P757" s="2369">
        <f t="shared" si="93"/>
        <v>1900</v>
      </c>
      <c r="Q757" s="2369">
        <f t="shared" si="94"/>
        <v>1900</v>
      </c>
      <c r="R757" s="654"/>
      <c r="S757" s="654"/>
      <c r="T757" s="654"/>
      <c r="U757" s="654"/>
    </row>
    <row r="758" spans="1:21" ht="14.25" customHeight="1">
      <c r="A758" s="1316"/>
      <c r="B758" s="1317"/>
      <c r="C758" s="1318"/>
      <c r="D758" s="1319"/>
      <c r="E758" s="1318"/>
      <c r="F758" s="1320">
        <f t="shared" si="95"/>
        <v>0</v>
      </c>
      <c r="G758" s="1319"/>
      <c r="H758" s="1318"/>
      <c r="I758" s="1320">
        <f t="shared" si="96"/>
        <v>0</v>
      </c>
      <c r="J758" s="1320">
        <f t="shared" si="89"/>
        <v>0</v>
      </c>
      <c r="K758" s="1320">
        <f t="shared" si="90"/>
        <v>0</v>
      </c>
      <c r="L758" s="1318"/>
      <c r="M758" s="1318"/>
      <c r="N758" s="1321">
        <f t="shared" si="91"/>
        <v>0</v>
      </c>
      <c r="O758" s="1322">
        <f t="shared" si="92"/>
        <v>0</v>
      </c>
      <c r="P758" s="2369">
        <f t="shared" si="93"/>
        <v>1900</v>
      </c>
      <c r="Q758" s="2369">
        <f t="shared" si="94"/>
        <v>1900</v>
      </c>
      <c r="R758" s="654"/>
      <c r="S758" s="654"/>
      <c r="T758" s="654"/>
      <c r="U758" s="654"/>
    </row>
    <row r="759" spans="1:21" ht="14.25" customHeight="1">
      <c r="A759" s="1316"/>
      <c r="B759" s="1317"/>
      <c r="C759" s="1318"/>
      <c r="D759" s="1319"/>
      <c r="E759" s="1318"/>
      <c r="F759" s="1320">
        <f t="shared" si="95"/>
        <v>0</v>
      </c>
      <c r="G759" s="1319"/>
      <c r="H759" s="1318"/>
      <c r="I759" s="1320">
        <f t="shared" si="96"/>
        <v>0</v>
      </c>
      <c r="J759" s="1320">
        <f t="shared" si="89"/>
        <v>0</v>
      </c>
      <c r="K759" s="1320">
        <f t="shared" si="90"/>
        <v>0</v>
      </c>
      <c r="L759" s="1318"/>
      <c r="M759" s="1318"/>
      <c r="N759" s="1321">
        <f t="shared" si="91"/>
        <v>0</v>
      </c>
      <c r="O759" s="1322">
        <f t="shared" si="92"/>
        <v>0</v>
      </c>
      <c r="P759" s="2369">
        <f t="shared" si="93"/>
        <v>1900</v>
      </c>
      <c r="Q759" s="2369">
        <f t="shared" si="94"/>
        <v>1900</v>
      </c>
      <c r="R759" s="654"/>
      <c r="S759" s="654"/>
      <c r="T759" s="654"/>
      <c r="U759" s="654"/>
    </row>
    <row r="760" spans="1:21" ht="14.25" customHeight="1">
      <c r="A760" s="1316"/>
      <c r="B760" s="1317"/>
      <c r="C760" s="1318"/>
      <c r="D760" s="1319"/>
      <c r="E760" s="1318"/>
      <c r="F760" s="1320">
        <f t="shared" si="95"/>
        <v>0</v>
      </c>
      <c r="G760" s="1319"/>
      <c r="H760" s="1318"/>
      <c r="I760" s="1320">
        <f t="shared" si="96"/>
        <v>0</v>
      </c>
      <c r="J760" s="1320">
        <f t="shared" si="89"/>
        <v>0</v>
      </c>
      <c r="K760" s="1320">
        <f t="shared" si="90"/>
        <v>0</v>
      </c>
      <c r="L760" s="1318"/>
      <c r="M760" s="1318"/>
      <c r="N760" s="1321">
        <f t="shared" si="91"/>
        <v>0</v>
      </c>
      <c r="O760" s="1322">
        <f t="shared" si="92"/>
        <v>0</v>
      </c>
      <c r="P760" s="2369">
        <f t="shared" si="93"/>
        <v>1900</v>
      </c>
      <c r="Q760" s="2369">
        <f t="shared" si="94"/>
        <v>1900</v>
      </c>
      <c r="R760" s="654"/>
      <c r="S760" s="654"/>
      <c r="T760" s="654"/>
      <c r="U760" s="654"/>
    </row>
    <row r="761" spans="1:21" ht="14.25" customHeight="1">
      <c r="A761" s="1316"/>
      <c r="B761" s="1317"/>
      <c r="C761" s="1318"/>
      <c r="D761" s="1319"/>
      <c r="E761" s="1318"/>
      <c r="F761" s="1320">
        <f t="shared" si="95"/>
        <v>0</v>
      </c>
      <c r="G761" s="1319"/>
      <c r="H761" s="1318"/>
      <c r="I761" s="1320">
        <f t="shared" si="96"/>
        <v>0</v>
      </c>
      <c r="J761" s="1320">
        <f t="shared" si="89"/>
        <v>0</v>
      </c>
      <c r="K761" s="1320">
        <f t="shared" si="90"/>
        <v>0</v>
      </c>
      <c r="L761" s="1318"/>
      <c r="M761" s="1318"/>
      <c r="N761" s="1321">
        <f t="shared" si="91"/>
        <v>0</v>
      </c>
      <c r="O761" s="1322">
        <f t="shared" si="92"/>
        <v>0</v>
      </c>
      <c r="P761" s="2369">
        <f t="shared" si="93"/>
        <v>1900</v>
      </c>
      <c r="Q761" s="2369">
        <f t="shared" si="94"/>
        <v>1900</v>
      </c>
      <c r="R761" s="654"/>
      <c r="S761" s="654"/>
      <c r="T761" s="654"/>
      <c r="U761" s="654"/>
    </row>
    <row r="762" spans="1:21" ht="14.25" customHeight="1">
      <c r="A762" s="1316"/>
      <c r="B762" s="1317"/>
      <c r="C762" s="1318"/>
      <c r="D762" s="1319"/>
      <c r="E762" s="1318"/>
      <c r="F762" s="1320">
        <f t="shared" si="95"/>
        <v>0</v>
      </c>
      <c r="G762" s="1319"/>
      <c r="H762" s="1318"/>
      <c r="I762" s="1320">
        <f t="shared" si="96"/>
        <v>0</v>
      </c>
      <c r="J762" s="1320">
        <f t="shared" si="89"/>
        <v>0</v>
      </c>
      <c r="K762" s="1320">
        <f t="shared" si="90"/>
        <v>0</v>
      </c>
      <c r="L762" s="1318"/>
      <c r="M762" s="1318"/>
      <c r="N762" s="1321">
        <f t="shared" si="91"/>
        <v>0</v>
      </c>
      <c r="O762" s="1322">
        <f t="shared" si="92"/>
        <v>0</v>
      </c>
      <c r="P762" s="2369">
        <f t="shared" si="93"/>
        <v>1900</v>
      </c>
      <c r="Q762" s="2369">
        <f t="shared" si="94"/>
        <v>1900</v>
      </c>
      <c r="R762" s="654"/>
      <c r="S762" s="654"/>
      <c r="T762" s="654"/>
      <c r="U762" s="654"/>
    </row>
    <row r="763" spans="1:21" ht="14.25" customHeight="1">
      <c r="A763" s="1316"/>
      <c r="B763" s="1317"/>
      <c r="C763" s="1318"/>
      <c r="D763" s="1319"/>
      <c r="E763" s="1318"/>
      <c r="F763" s="1320">
        <f t="shared" si="95"/>
        <v>0</v>
      </c>
      <c r="G763" s="1319"/>
      <c r="H763" s="1318"/>
      <c r="I763" s="1320">
        <f t="shared" si="96"/>
        <v>0</v>
      </c>
      <c r="J763" s="1320">
        <f t="shared" si="89"/>
        <v>0</v>
      </c>
      <c r="K763" s="1320">
        <f t="shared" si="90"/>
        <v>0</v>
      </c>
      <c r="L763" s="1318"/>
      <c r="M763" s="1318"/>
      <c r="N763" s="1321">
        <f t="shared" si="91"/>
        <v>0</v>
      </c>
      <c r="O763" s="1322">
        <f t="shared" si="92"/>
        <v>0</v>
      </c>
      <c r="P763" s="2369">
        <f t="shared" si="93"/>
        <v>1900</v>
      </c>
      <c r="Q763" s="2369">
        <f t="shared" si="94"/>
        <v>1900</v>
      </c>
      <c r="R763" s="654"/>
      <c r="S763" s="654"/>
      <c r="T763" s="654"/>
      <c r="U763" s="654"/>
    </row>
    <row r="764" spans="1:21" ht="14.25" customHeight="1">
      <c r="A764" s="1316"/>
      <c r="B764" s="1317"/>
      <c r="C764" s="1318"/>
      <c r="D764" s="1319"/>
      <c r="E764" s="1318"/>
      <c r="F764" s="1320">
        <f t="shared" si="95"/>
        <v>0</v>
      </c>
      <c r="G764" s="1319"/>
      <c r="H764" s="1318"/>
      <c r="I764" s="1320">
        <f t="shared" si="96"/>
        <v>0</v>
      </c>
      <c r="J764" s="1320">
        <f t="shared" si="89"/>
        <v>0</v>
      </c>
      <c r="K764" s="1320">
        <f t="shared" si="90"/>
        <v>0</v>
      </c>
      <c r="L764" s="1318"/>
      <c r="M764" s="1318"/>
      <c r="N764" s="1321">
        <f t="shared" si="91"/>
        <v>0</v>
      </c>
      <c r="O764" s="1322">
        <f t="shared" si="92"/>
        <v>0</v>
      </c>
      <c r="P764" s="2369">
        <f t="shared" si="93"/>
        <v>1900</v>
      </c>
      <c r="Q764" s="2369">
        <f t="shared" si="94"/>
        <v>1900</v>
      </c>
      <c r="R764" s="654"/>
      <c r="S764" s="654"/>
      <c r="T764" s="654"/>
      <c r="U764" s="654"/>
    </row>
    <row r="765" spans="1:21" ht="14.25" customHeight="1">
      <c r="A765" s="1316"/>
      <c r="B765" s="1317"/>
      <c r="C765" s="1318"/>
      <c r="D765" s="1319"/>
      <c r="E765" s="1318"/>
      <c r="F765" s="1320">
        <f t="shared" si="95"/>
        <v>0</v>
      </c>
      <c r="G765" s="1319"/>
      <c r="H765" s="1318"/>
      <c r="I765" s="1320">
        <f t="shared" si="96"/>
        <v>0</v>
      </c>
      <c r="J765" s="1320">
        <f t="shared" si="89"/>
        <v>0</v>
      </c>
      <c r="K765" s="1320">
        <f t="shared" si="90"/>
        <v>0</v>
      </c>
      <c r="L765" s="1318"/>
      <c r="M765" s="1318"/>
      <c r="N765" s="1321">
        <f t="shared" si="91"/>
        <v>0</v>
      </c>
      <c r="O765" s="1322">
        <f t="shared" si="92"/>
        <v>0</v>
      </c>
      <c r="P765" s="2369">
        <f t="shared" si="93"/>
        <v>1900</v>
      </c>
      <c r="Q765" s="2369">
        <f t="shared" si="94"/>
        <v>1900</v>
      </c>
      <c r="R765" s="654"/>
      <c r="S765" s="654"/>
      <c r="T765" s="654"/>
      <c r="U765" s="654"/>
    </row>
    <row r="766" spans="1:21" ht="14.25" customHeight="1">
      <c r="A766" s="1316"/>
      <c r="B766" s="1317"/>
      <c r="C766" s="1318"/>
      <c r="D766" s="1319"/>
      <c r="E766" s="1318"/>
      <c r="F766" s="1320">
        <f t="shared" si="95"/>
        <v>0</v>
      </c>
      <c r="G766" s="1319"/>
      <c r="H766" s="1318"/>
      <c r="I766" s="1320">
        <f t="shared" si="96"/>
        <v>0</v>
      </c>
      <c r="J766" s="1320">
        <f t="shared" si="89"/>
        <v>0</v>
      </c>
      <c r="K766" s="1320">
        <f t="shared" si="90"/>
        <v>0</v>
      </c>
      <c r="L766" s="1318"/>
      <c r="M766" s="1318"/>
      <c r="N766" s="1321">
        <f t="shared" si="91"/>
        <v>0</v>
      </c>
      <c r="O766" s="1322">
        <f t="shared" si="92"/>
        <v>0</v>
      </c>
      <c r="P766" s="2369">
        <f t="shared" si="93"/>
        <v>1900</v>
      </c>
      <c r="Q766" s="2369">
        <f t="shared" si="94"/>
        <v>1900</v>
      </c>
      <c r="R766" s="654"/>
      <c r="S766" s="654"/>
      <c r="T766" s="654"/>
      <c r="U766" s="654"/>
    </row>
    <row r="767" spans="1:21" ht="14.25" customHeight="1">
      <c r="A767" s="1316"/>
      <c r="B767" s="1317"/>
      <c r="C767" s="1318"/>
      <c r="D767" s="1319"/>
      <c r="E767" s="1318"/>
      <c r="F767" s="1320">
        <f t="shared" si="95"/>
        <v>0</v>
      </c>
      <c r="G767" s="1319"/>
      <c r="H767" s="1318"/>
      <c r="I767" s="1320">
        <f t="shared" si="96"/>
        <v>0</v>
      </c>
      <c r="J767" s="1320">
        <f t="shared" si="89"/>
        <v>0</v>
      </c>
      <c r="K767" s="1320">
        <f t="shared" si="90"/>
        <v>0</v>
      </c>
      <c r="L767" s="1318"/>
      <c r="M767" s="1318"/>
      <c r="N767" s="1321">
        <f t="shared" si="91"/>
        <v>0</v>
      </c>
      <c r="O767" s="1322">
        <f t="shared" si="92"/>
        <v>0</v>
      </c>
      <c r="P767" s="2369">
        <f t="shared" si="93"/>
        <v>1900</v>
      </c>
      <c r="Q767" s="2369">
        <f t="shared" si="94"/>
        <v>1900</v>
      </c>
      <c r="R767" s="654"/>
      <c r="S767" s="654"/>
      <c r="T767" s="654"/>
      <c r="U767" s="654"/>
    </row>
    <row r="768" spans="1:21" ht="14.25" customHeight="1">
      <c r="A768" s="1316"/>
      <c r="B768" s="1317"/>
      <c r="C768" s="1318"/>
      <c r="D768" s="1319"/>
      <c r="E768" s="1318"/>
      <c r="F768" s="1320">
        <f t="shared" si="95"/>
        <v>0</v>
      </c>
      <c r="G768" s="1319"/>
      <c r="H768" s="1318"/>
      <c r="I768" s="1320">
        <f t="shared" si="96"/>
        <v>0</v>
      </c>
      <c r="J768" s="1320">
        <f t="shared" si="89"/>
        <v>0</v>
      </c>
      <c r="K768" s="1320">
        <f t="shared" si="90"/>
        <v>0</v>
      </c>
      <c r="L768" s="1318"/>
      <c r="M768" s="1318"/>
      <c r="N768" s="1321">
        <f t="shared" si="91"/>
        <v>0</v>
      </c>
      <c r="O768" s="1322">
        <f t="shared" si="92"/>
        <v>0</v>
      </c>
      <c r="P768" s="2369">
        <f t="shared" si="93"/>
        <v>1900</v>
      </c>
      <c r="Q768" s="2369">
        <f t="shared" si="94"/>
        <v>1900</v>
      </c>
      <c r="R768" s="654"/>
      <c r="S768" s="654"/>
      <c r="T768" s="654"/>
      <c r="U768" s="654"/>
    </row>
    <row r="769" spans="1:21" ht="14.25" customHeight="1">
      <c r="A769" s="1316"/>
      <c r="B769" s="1317"/>
      <c r="C769" s="1318"/>
      <c r="D769" s="1319"/>
      <c r="E769" s="1318"/>
      <c r="F769" s="1320">
        <f t="shared" si="95"/>
        <v>0</v>
      </c>
      <c r="G769" s="1319"/>
      <c r="H769" s="1318"/>
      <c r="I769" s="1320">
        <f t="shared" si="96"/>
        <v>0</v>
      </c>
      <c r="J769" s="1320">
        <f t="shared" si="89"/>
        <v>0</v>
      </c>
      <c r="K769" s="1320">
        <f t="shared" si="90"/>
        <v>0</v>
      </c>
      <c r="L769" s="1318"/>
      <c r="M769" s="1318"/>
      <c r="N769" s="1321">
        <f t="shared" si="91"/>
        <v>0</v>
      </c>
      <c r="O769" s="1322">
        <f t="shared" si="92"/>
        <v>0</v>
      </c>
      <c r="P769" s="2369">
        <f t="shared" si="93"/>
        <v>1900</v>
      </c>
      <c r="Q769" s="2369">
        <f t="shared" si="94"/>
        <v>1900</v>
      </c>
      <c r="R769" s="654"/>
      <c r="S769" s="654"/>
      <c r="T769" s="654"/>
      <c r="U769" s="654"/>
    </row>
    <row r="770" spans="1:21" ht="14.25" customHeight="1">
      <c r="A770" s="1316"/>
      <c r="B770" s="1317"/>
      <c r="C770" s="1318"/>
      <c r="D770" s="1319"/>
      <c r="E770" s="1318"/>
      <c r="F770" s="1320">
        <f t="shared" si="95"/>
        <v>0</v>
      </c>
      <c r="G770" s="1319"/>
      <c r="H770" s="1318"/>
      <c r="I770" s="1320">
        <f t="shared" si="96"/>
        <v>0</v>
      </c>
      <c r="J770" s="1320">
        <f t="shared" si="89"/>
        <v>0</v>
      </c>
      <c r="K770" s="1320">
        <f t="shared" si="90"/>
        <v>0</v>
      </c>
      <c r="L770" s="1318"/>
      <c r="M770" s="1318"/>
      <c r="N770" s="1321">
        <f t="shared" si="91"/>
        <v>0</v>
      </c>
      <c r="O770" s="1322">
        <f t="shared" si="92"/>
        <v>0</v>
      </c>
      <c r="P770" s="2369">
        <f t="shared" si="93"/>
        <v>1900</v>
      </c>
      <c r="Q770" s="2369">
        <f t="shared" si="94"/>
        <v>1900</v>
      </c>
      <c r="R770" s="654"/>
      <c r="S770" s="654"/>
      <c r="T770" s="654"/>
      <c r="U770" s="654"/>
    </row>
    <row r="771" spans="1:21" ht="14.25" customHeight="1">
      <c r="A771" s="1316"/>
      <c r="B771" s="1317"/>
      <c r="C771" s="1318"/>
      <c r="D771" s="1319"/>
      <c r="E771" s="1318"/>
      <c r="F771" s="1320">
        <f t="shared" si="95"/>
        <v>0</v>
      </c>
      <c r="G771" s="1319"/>
      <c r="H771" s="1318"/>
      <c r="I771" s="1320">
        <f t="shared" si="96"/>
        <v>0</v>
      </c>
      <c r="J771" s="1320">
        <f t="shared" si="89"/>
        <v>0</v>
      </c>
      <c r="K771" s="1320">
        <f t="shared" si="90"/>
        <v>0</v>
      </c>
      <c r="L771" s="1318"/>
      <c r="M771" s="1318"/>
      <c r="N771" s="1321">
        <f t="shared" si="91"/>
        <v>0</v>
      </c>
      <c r="O771" s="1322">
        <f t="shared" si="92"/>
        <v>0</v>
      </c>
      <c r="P771" s="2369">
        <f t="shared" si="93"/>
        <v>1900</v>
      </c>
      <c r="Q771" s="2369">
        <f t="shared" si="94"/>
        <v>1900</v>
      </c>
      <c r="R771" s="654"/>
      <c r="S771" s="654"/>
      <c r="T771" s="654"/>
      <c r="U771" s="654"/>
    </row>
    <row r="772" spans="1:21" ht="14.25" customHeight="1">
      <c r="A772" s="1316"/>
      <c r="B772" s="1317"/>
      <c r="C772" s="1318"/>
      <c r="D772" s="1319"/>
      <c r="E772" s="1318"/>
      <c r="F772" s="1320">
        <f t="shared" si="95"/>
        <v>0</v>
      </c>
      <c r="G772" s="1319"/>
      <c r="H772" s="1318"/>
      <c r="I772" s="1320">
        <f t="shared" si="96"/>
        <v>0</v>
      </c>
      <c r="J772" s="1320">
        <f t="shared" si="89"/>
        <v>0</v>
      </c>
      <c r="K772" s="1320">
        <f t="shared" si="90"/>
        <v>0</v>
      </c>
      <c r="L772" s="1318"/>
      <c r="M772" s="1318"/>
      <c r="N772" s="1321">
        <f t="shared" si="91"/>
        <v>0</v>
      </c>
      <c r="O772" s="1322">
        <f t="shared" si="92"/>
        <v>0</v>
      </c>
      <c r="P772" s="2369">
        <f t="shared" si="93"/>
        <v>1900</v>
      </c>
      <c r="Q772" s="2369">
        <f t="shared" si="94"/>
        <v>1900</v>
      </c>
      <c r="R772" s="654"/>
      <c r="S772" s="654"/>
      <c r="T772" s="654"/>
      <c r="U772" s="654"/>
    </row>
    <row r="773" spans="1:21" ht="14.25" customHeight="1">
      <c r="A773" s="1316"/>
      <c r="B773" s="1317"/>
      <c r="C773" s="1318"/>
      <c r="D773" s="1319"/>
      <c r="E773" s="1318"/>
      <c r="F773" s="1320">
        <f t="shared" si="95"/>
        <v>0</v>
      </c>
      <c r="G773" s="1319"/>
      <c r="H773" s="1318"/>
      <c r="I773" s="1320">
        <f t="shared" si="96"/>
        <v>0</v>
      </c>
      <c r="J773" s="1320">
        <f t="shared" si="89"/>
        <v>0</v>
      </c>
      <c r="K773" s="1320">
        <f t="shared" si="90"/>
        <v>0</v>
      </c>
      <c r="L773" s="1318"/>
      <c r="M773" s="1318"/>
      <c r="N773" s="1321">
        <f t="shared" si="91"/>
        <v>0</v>
      </c>
      <c r="O773" s="1322">
        <f t="shared" si="92"/>
        <v>0</v>
      </c>
      <c r="P773" s="2369">
        <f t="shared" si="93"/>
        <v>1900</v>
      </c>
      <c r="Q773" s="2369">
        <f t="shared" si="94"/>
        <v>1900</v>
      </c>
      <c r="R773" s="654"/>
      <c r="S773" s="654"/>
      <c r="T773" s="654"/>
      <c r="U773" s="654"/>
    </row>
    <row r="774" spans="1:21" ht="14.25" customHeight="1">
      <c r="A774" s="1316"/>
      <c r="B774" s="1317"/>
      <c r="C774" s="1318"/>
      <c r="D774" s="1319"/>
      <c r="E774" s="1318"/>
      <c r="F774" s="1320">
        <f t="shared" si="95"/>
        <v>0</v>
      </c>
      <c r="G774" s="1319"/>
      <c r="H774" s="1318"/>
      <c r="I774" s="1320">
        <f t="shared" si="96"/>
        <v>0</v>
      </c>
      <c r="J774" s="1320">
        <f t="shared" si="89"/>
        <v>0</v>
      </c>
      <c r="K774" s="1320">
        <f t="shared" si="90"/>
        <v>0</v>
      </c>
      <c r="L774" s="1318"/>
      <c r="M774" s="1318"/>
      <c r="N774" s="1321">
        <f t="shared" si="91"/>
        <v>0</v>
      </c>
      <c r="O774" s="1322">
        <f t="shared" si="92"/>
        <v>0</v>
      </c>
      <c r="P774" s="2369">
        <f t="shared" si="93"/>
        <v>1900</v>
      </c>
      <c r="Q774" s="2369">
        <f t="shared" si="94"/>
        <v>1900</v>
      </c>
      <c r="R774" s="654"/>
      <c r="S774" s="654"/>
      <c r="T774" s="654"/>
      <c r="U774" s="654"/>
    </row>
    <row r="775" spans="1:21" ht="14.25" customHeight="1">
      <c r="A775" s="1316"/>
      <c r="B775" s="1317"/>
      <c r="C775" s="1318"/>
      <c r="D775" s="1319"/>
      <c r="E775" s="1318"/>
      <c r="F775" s="1320">
        <f t="shared" si="95"/>
        <v>0</v>
      </c>
      <c r="G775" s="1319"/>
      <c r="H775" s="1318"/>
      <c r="I775" s="1320">
        <f t="shared" si="96"/>
        <v>0</v>
      </c>
      <c r="J775" s="1320">
        <f t="shared" si="89"/>
        <v>0</v>
      </c>
      <c r="K775" s="1320">
        <f t="shared" si="90"/>
        <v>0</v>
      </c>
      <c r="L775" s="1318"/>
      <c r="M775" s="1318"/>
      <c r="N775" s="1321">
        <f t="shared" si="91"/>
        <v>0</v>
      </c>
      <c r="O775" s="1322">
        <f t="shared" si="92"/>
        <v>0</v>
      </c>
      <c r="P775" s="2369">
        <f t="shared" si="93"/>
        <v>1900</v>
      </c>
      <c r="Q775" s="2369">
        <f t="shared" si="94"/>
        <v>1900</v>
      </c>
      <c r="R775" s="654"/>
      <c r="S775" s="654"/>
      <c r="T775" s="654"/>
      <c r="U775" s="654"/>
    </row>
    <row r="776" spans="1:21" ht="14.25" customHeight="1">
      <c r="A776" s="1316"/>
      <c r="B776" s="1317"/>
      <c r="C776" s="1318"/>
      <c r="D776" s="1319"/>
      <c r="E776" s="1318"/>
      <c r="F776" s="1320">
        <f t="shared" si="95"/>
        <v>0</v>
      </c>
      <c r="G776" s="1319"/>
      <c r="H776" s="1318"/>
      <c r="I776" s="1320">
        <f t="shared" si="96"/>
        <v>0</v>
      </c>
      <c r="J776" s="1320">
        <f t="shared" si="89"/>
        <v>0</v>
      </c>
      <c r="K776" s="1320">
        <f t="shared" si="90"/>
        <v>0</v>
      </c>
      <c r="L776" s="1318"/>
      <c r="M776" s="1318"/>
      <c r="N776" s="1321">
        <f t="shared" si="91"/>
        <v>0</v>
      </c>
      <c r="O776" s="1322">
        <f t="shared" si="92"/>
        <v>0</v>
      </c>
      <c r="P776" s="2369">
        <f t="shared" si="93"/>
        <v>1900</v>
      </c>
      <c r="Q776" s="2369">
        <f t="shared" si="94"/>
        <v>1900</v>
      </c>
      <c r="R776" s="654"/>
      <c r="S776" s="654"/>
      <c r="T776" s="654"/>
      <c r="U776" s="654"/>
    </row>
    <row r="777" spans="1:21" ht="14.25" customHeight="1">
      <c r="A777" s="1316"/>
      <c r="B777" s="1317"/>
      <c r="C777" s="1318"/>
      <c r="D777" s="1319"/>
      <c r="E777" s="1318"/>
      <c r="F777" s="1320">
        <f t="shared" si="95"/>
        <v>0</v>
      </c>
      <c r="G777" s="1319"/>
      <c r="H777" s="1318"/>
      <c r="I777" s="1320">
        <f t="shared" si="96"/>
        <v>0</v>
      </c>
      <c r="J777" s="1320">
        <f t="shared" ref="J777:J840" si="97">C777+E777-H777</f>
        <v>0</v>
      </c>
      <c r="K777" s="1320">
        <f t="shared" ref="K777:K840" si="98">C777+F777-I777</f>
        <v>0</v>
      </c>
      <c r="L777" s="1318"/>
      <c r="M777" s="1318"/>
      <c r="N777" s="1321">
        <f t="shared" si="91"/>
        <v>0</v>
      </c>
      <c r="O777" s="1322">
        <f t="shared" si="92"/>
        <v>0</v>
      </c>
      <c r="P777" s="2369">
        <f t="shared" si="93"/>
        <v>1900</v>
      </c>
      <c r="Q777" s="2369">
        <f t="shared" si="94"/>
        <v>1900</v>
      </c>
      <c r="R777" s="654"/>
      <c r="S777" s="654"/>
      <c r="T777" s="654"/>
      <c r="U777" s="654"/>
    </row>
    <row r="778" spans="1:21" ht="14.25" customHeight="1">
      <c r="A778" s="1316"/>
      <c r="B778" s="1317"/>
      <c r="C778" s="1318"/>
      <c r="D778" s="1319"/>
      <c r="E778" s="1318"/>
      <c r="F778" s="1320">
        <f t="shared" si="95"/>
        <v>0</v>
      </c>
      <c r="G778" s="1319"/>
      <c r="H778" s="1318"/>
      <c r="I778" s="1320">
        <f t="shared" si="96"/>
        <v>0</v>
      </c>
      <c r="J778" s="1320">
        <f t="shared" si="97"/>
        <v>0</v>
      </c>
      <c r="K778" s="1320">
        <f t="shared" si="98"/>
        <v>0</v>
      </c>
      <c r="L778" s="1318"/>
      <c r="M778" s="1318"/>
      <c r="N778" s="1321">
        <f t="shared" ref="N778:N841" si="99">IF(M778&lt;&gt;0,ROUND(B778*K778,2)+M778,IF(ABS(ROUND(K778*B778,2)-L778)&lt;3,L778,MIN(ROUND(K778*B778,2),L778)))</f>
        <v>0</v>
      </c>
      <c r="O778" s="1322">
        <f t="shared" ref="O778:O841" si="100">IF(ISERROR(L778-N778),"",IF(ABS(L778-N778)&lt;3,0,L778-N778))</f>
        <v>0</v>
      </c>
      <c r="P778" s="2369">
        <f t="shared" ref="P778:P841" si="101">IFERROR(YEAR(D778),0)</f>
        <v>1900</v>
      </c>
      <c r="Q778" s="2369">
        <f t="shared" ref="Q778:Q841" si="102">IFERROR(YEAR(G778),0)</f>
        <v>1900</v>
      </c>
      <c r="R778" s="654"/>
      <c r="S778" s="654"/>
      <c r="T778" s="654"/>
      <c r="U778" s="654"/>
    </row>
    <row r="779" spans="1:21" ht="14.25" customHeight="1">
      <c r="A779" s="1316"/>
      <c r="B779" s="1317"/>
      <c r="C779" s="1318"/>
      <c r="D779" s="1319"/>
      <c r="E779" s="1318"/>
      <c r="F779" s="1320">
        <f t="shared" ref="F779:F842" si="103">E779*(12-MONTH(D779))/12</f>
        <v>0</v>
      </c>
      <c r="G779" s="1319"/>
      <c r="H779" s="1318"/>
      <c r="I779" s="1320">
        <f t="shared" ref="I779:I842" si="104">H779*(12-MONTH(G779))/12</f>
        <v>0</v>
      </c>
      <c r="J779" s="1320">
        <f t="shared" si="97"/>
        <v>0</v>
      </c>
      <c r="K779" s="1320">
        <f t="shared" si="98"/>
        <v>0</v>
      </c>
      <c r="L779" s="1318"/>
      <c r="M779" s="1318"/>
      <c r="N779" s="1321">
        <f t="shared" si="99"/>
        <v>0</v>
      </c>
      <c r="O779" s="1322">
        <f t="shared" si="100"/>
        <v>0</v>
      </c>
      <c r="P779" s="2369">
        <f t="shared" si="101"/>
        <v>1900</v>
      </c>
      <c r="Q779" s="2369">
        <f t="shared" si="102"/>
        <v>1900</v>
      </c>
      <c r="R779" s="654"/>
      <c r="S779" s="654"/>
      <c r="T779" s="654"/>
      <c r="U779" s="654"/>
    </row>
    <row r="780" spans="1:21" ht="14.25" customHeight="1">
      <c r="A780" s="1316"/>
      <c r="B780" s="1317"/>
      <c r="C780" s="1318"/>
      <c r="D780" s="1319"/>
      <c r="E780" s="1318"/>
      <c r="F780" s="1320">
        <f t="shared" si="103"/>
        <v>0</v>
      </c>
      <c r="G780" s="1319"/>
      <c r="H780" s="1318"/>
      <c r="I780" s="1320">
        <f t="shared" si="104"/>
        <v>0</v>
      </c>
      <c r="J780" s="1320">
        <f t="shared" si="97"/>
        <v>0</v>
      </c>
      <c r="K780" s="1320">
        <f t="shared" si="98"/>
        <v>0</v>
      </c>
      <c r="L780" s="1318"/>
      <c r="M780" s="1318"/>
      <c r="N780" s="1321">
        <f t="shared" si="99"/>
        <v>0</v>
      </c>
      <c r="O780" s="1322">
        <f t="shared" si="100"/>
        <v>0</v>
      </c>
      <c r="P780" s="2369">
        <f t="shared" si="101"/>
        <v>1900</v>
      </c>
      <c r="Q780" s="2369">
        <f t="shared" si="102"/>
        <v>1900</v>
      </c>
      <c r="R780" s="654"/>
      <c r="S780" s="654"/>
      <c r="T780" s="654"/>
      <c r="U780" s="654"/>
    </row>
    <row r="781" spans="1:21" ht="14.25" customHeight="1">
      <c r="A781" s="1316"/>
      <c r="B781" s="1317"/>
      <c r="C781" s="1318"/>
      <c r="D781" s="1319"/>
      <c r="E781" s="1318"/>
      <c r="F781" s="1320">
        <f t="shared" si="103"/>
        <v>0</v>
      </c>
      <c r="G781" s="1319"/>
      <c r="H781" s="1318"/>
      <c r="I781" s="1320">
        <f t="shared" si="104"/>
        <v>0</v>
      </c>
      <c r="J781" s="1320">
        <f t="shared" si="97"/>
        <v>0</v>
      </c>
      <c r="K781" s="1320">
        <f t="shared" si="98"/>
        <v>0</v>
      </c>
      <c r="L781" s="1318"/>
      <c r="M781" s="1318"/>
      <c r="N781" s="1321">
        <f t="shared" si="99"/>
        <v>0</v>
      </c>
      <c r="O781" s="1322">
        <f t="shared" si="100"/>
        <v>0</v>
      </c>
      <c r="P781" s="2369">
        <f t="shared" si="101"/>
        <v>1900</v>
      </c>
      <c r="Q781" s="2369">
        <f t="shared" si="102"/>
        <v>1900</v>
      </c>
      <c r="R781" s="654"/>
      <c r="S781" s="654"/>
      <c r="T781" s="654"/>
      <c r="U781" s="654"/>
    </row>
    <row r="782" spans="1:21" ht="14.25" customHeight="1">
      <c r="A782" s="1316"/>
      <c r="B782" s="1317"/>
      <c r="C782" s="1318"/>
      <c r="D782" s="1319"/>
      <c r="E782" s="1318"/>
      <c r="F782" s="1320">
        <f t="shared" si="103"/>
        <v>0</v>
      </c>
      <c r="G782" s="1319"/>
      <c r="H782" s="1318"/>
      <c r="I782" s="1320">
        <f t="shared" si="104"/>
        <v>0</v>
      </c>
      <c r="J782" s="1320">
        <f t="shared" si="97"/>
        <v>0</v>
      </c>
      <c r="K782" s="1320">
        <f t="shared" si="98"/>
        <v>0</v>
      </c>
      <c r="L782" s="1318"/>
      <c r="M782" s="1318"/>
      <c r="N782" s="1321">
        <f t="shared" si="99"/>
        <v>0</v>
      </c>
      <c r="O782" s="1322">
        <f t="shared" si="100"/>
        <v>0</v>
      </c>
      <c r="P782" s="2369">
        <f t="shared" si="101"/>
        <v>1900</v>
      </c>
      <c r="Q782" s="2369">
        <f t="shared" si="102"/>
        <v>1900</v>
      </c>
      <c r="R782" s="654"/>
      <c r="S782" s="654"/>
      <c r="T782" s="654"/>
      <c r="U782" s="654"/>
    </row>
    <row r="783" spans="1:21" ht="14.25" customHeight="1">
      <c r="A783" s="1316"/>
      <c r="B783" s="1317"/>
      <c r="C783" s="1318"/>
      <c r="D783" s="1319"/>
      <c r="E783" s="1318"/>
      <c r="F783" s="1320">
        <f t="shared" si="103"/>
        <v>0</v>
      </c>
      <c r="G783" s="1319"/>
      <c r="H783" s="1318"/>
      <c r="I783" s="1320">
        <f t="shared" si="104"/>
        <v>0</v>
      </c>
      <c r="J783" s="1320">
        <f t="shared" si="97"/>
        <v>0</v>
      </c>
      <c r="K783" s="1320">
        <f t="shared" si="98"/>
        <v>0</v>
      </c>
      <c r="L783" s="1318"/>
      <c r="M783" s="1318"/>
      <c r="N783" s="1321">
        <f t="shared" si="99"/>
        <v>0</v>
      </c>
      <c r="O783" s="1322">
        <f t="shared" si="100"/>
        <v>0</v>
      </c>
      <c r="P783" s="2369">
        <f t="shared" si="101"/>
        <v>1900</v>
      </c>
      <c r="Q783" s="2369">
        <f t="shared" si="102"/>
        <v>1900</v>
      </c>
      <c r="R783" s="654"/>
      <c r="S783" s="654"/>
      <c r="T783" s="654"/>
      <c r="U783" s="654"/>
    </row>
    <row r="784" spans="1:21" ht="14.25" customHeight="1">
      <c r="A784" s="1316"/>
      <c r="B784" s="1317"/>
      <c r="C784" s="1318"/>
      <c r="D784" s="1319"/>
      <c r="E784" s="1318"/>
      <c r="F784" s="1320">
        <f t="shared" si="103"/>
        <v>0</v>
      </c>
      <c r="G784" s="1319"/>
      <c r="H784" s="1318"/>
      <c r="I784" s="1320">
        <f t="shared" si="104"/>
        <v>0</v>
      </c>
      <c r="J784" s="1320">
        <f t="shared" si="97"/>
        <v>0</v>
      </c>
      <c r="K784" s="1320">
        <f t="shared" si="98"/>
        <v>0</v>
      </c>
      <c r="L784" s="1318"/>
      <c r="M784" s="1318"/>
      <c r="N784" s="1321">
        <f t="shared" si="99"/>
        <v>0</v>
      </c>
      <c r="O784" s="1322">
        <f t="shared" si="100"/>
        <v>0</v>
      </c>
      <c r="P784" s="2369">
        <f t="shared" si="101"/>
        <v>1900</v>
      </c>
      <c r="Q784" s="2369">
        <f t="shared" si="102"/>
        <v>1900</v>
      </c>
      <c r="R784" s="654"/>
      <c r="S784" s="654"/>
      <c r="T784" s="654"/>
      <c r="U784" s="654"/>
    </row>
    <row r="785" spans="1:21" ht="14.25" customHeight="1">
      <c r="A785" s="1316"/>
      <c r="B785" s="1317"/>
      <c r="C785" s="1318"/>
      <c r="D785" s="1319"/>
      <c r="E785" s="1318"/>
      <c r="F785" s="1320">
        <f t="shared" si="103"/>
        <v>0</v>
      </c>
      <c r="G785" s="1319"/>
      <c r="H785" s="1318"/>
      <c r="I785" s="1320">
        <f t="shared" si="104"/>
        <v>0</v>
      </c>
      <c r="J785" s="1320">
        <f t="shared" si="97"/>
        <v>0</v>
      </c>
      <c r="K785" s="1320">
        <f t="shared" si="98"/>
        <v>0</v>
      </c>
      <c r="L785" s="1318"/>
      <c r="M785" s="1318"/>
      <c r="N785" s="1321">
        <f t="shared" si="99"/>
        <v>0</v>
      </c>
      <c r="O785" s="1322">
        <f t="shared" si="100"/>
        <v>0</v>
      </c>
      <c r="P785" s="2369">
        <f t="shared" si="101"/>
        <v>1900</v>
      </c>
      <c r="Q785" s="2369">
        <f t="shared" si="102"/>
        <v>1900</v>
      </c>
      <c r="R785" s="654"/>
      <c r="S785" s="654"/>
      <c r="T785" s="654"/>
      <c r="U785" s="654"/>
    </row>
    <row r="786" spans="1:21" ht="14.25" customHeight="1">
      <c r="A786" s="1316"/>
      <c r="B786" s="1317"/>
      <c r="C786" s="1318"/>
      <c r="D786" s="1319"/>
      <c r="E786" s="1318"/>
      <c r="F786" s="1320">
        <f t="shared" si="103"/>
        <v>0</v>
      </c>
      <c r="G786" s="1319"/>
      <c r="H786" s="1318"/>
      <c r="I786" s="1320">
        <f t="shared" si="104"/>
        <v>0</v>
      </c>
      <c r="J786" s="1320">
        <f t="shared" si="97"/>
        <v>0</v>
      </c>
      <c r="K786" s="1320">
        <f t="shared" si="98"/>
        <v>0</v>
      </c>
      <c r="L786" s="1318"/>
      <c r="M786" s="1318"/>
      <c r="N786" s="1321">
        <f t="shared" si="99"/>
        <v>0</v>
      </c>
      <c r="O786" s="1322">
        <f t="shared" si="100"/>
        <v>0</v>
      </c>
      <c r="P786" s="2369">
        <f t="shared" si="101"/>
        <v>1900</v>
      </c>
      <c r="Q786" s="2369">
        <f t="shared" si="102"/>
        <v>1900</v>
      </c>
      <c r="R786" s="654"/>
      <c r="S786" s="654"/>
      <c r="T786" s="654"/>
      <c r="U786" s="654"/>
    </row>
    <row r="787" spans="1:21" ht="14.25" customHeight="1">
      <c r="A787" s="1316"/>
      <c r="B787" s="1317"/>
      <c r="C787" s="1318"/>
      <c r="D787" s="1319"/>
      <c r="E787" s="1318"/>
      <c r="F787" s="1320">
        <f t="shared" si="103"/>
        <v>0</v>
      </c>
      <c r="G787" s="1319"/>
      <c r="H787" s="1318"/>
      <c r="I787" s="1320">
        <f t="shared" si="104"/>
        <v>0</v>
      </c>
      <c r="J787" s="1320">
        <f t="shared" si="97"/>
        <v>0</v>
      </c>
      <c r="K787" s="1320">
        <f t="shared" si="98"/>
        <v>0</v>
      </c>
      <c r="L787" s="1318"/>
      <c r="M787" s="1318"/>
      <c r="N787" s="1321">
        <f t="shared" si="99"/>
        <v>0</v>
      </c>
      <c r="O787" s="1322">
        <f t="shared" si="100"/>
        <v>0</v>
      </c>
      <c r="P787" s="2369">
        <f t="shared" si="101"/>
        <v>1900</v>
      </c>
      <c r="Q787" s="2369">
        <f t="shared" si="102"/>
        <v>1900</v>
      </c>
      <c r="R787" s="654"/>
      <c r="S787" s="654"/>
      <c r="T787" s="654"/>
      <c r="U787" s="654"/>
    </row>
    <row r="788" spans="1:21" ht="14.25" customHeight="1">
      <c r="A788" s="1316"/>
      <c r="B788" s="1317"/>
      <c r="C788" s="1318"/>
      <c r="D788" s="1319"/>
      <c r="E788" s="1318"/>
      <c r="F788" s="1320">
        <f t="shared" si="103"/>
        <v>0</v>
      </c>
      <c r="G788" s="1319"/>
      <c r="H788" s="1318"/>
      <c r="I788" s="1320">
        <f t="shared" si="104"/>
        <v>0</v>
      </c>
      <c r="J788" s="1320">
        <f t="shared" si="97"/>
        <v>0</v>
      </c>
      <c r="K788" s="1320">
        <f t="shared" si="98"/>
        <v>0</v>
      </c>
      <c r="L788" s="1318"/>
      <c r="M788" s="1318"/>
      <c r="N788" s="1321">
        <f t="shared" si="99"/>
        <v>0</v>
      </c>
      <c r="O788" s="1322">
        <f t="shared" si="100"/>
        <v>0</v>
      </c>
      <c r="P788" s="2369">
        <f t="shared" si="101"/>
        <v>1900</v>
      </c>
      <c r="Q788" s="2369">
        <f t="shared" si="102"/>
        <v>1900</v>
      </c>
      <c r="R788" s="654"/>
      <c r="S788" s="654"/>
      <c r="T788" s="654"/>
      <c r="U788" s="654"/>
    </row>
    <row r="789" spans="1:21" ht="14.25" customHeight="1">
      <c r="A789" s="1316"/>
      <c r="B789" s="1317"/>
      <c r="C789" s="1318"/>
      <c r="D789" s="1319"/>
      <c r="E789" s="1318"/>
      <c r="F789" s="1320">
        <f t="shared" si="103"/>
        <v>0</v>
      </c>
      <c r="G789" s="1319"/>
      <c r="H789" s="1318"/>
      <c r="I789" s="1320">
        <f t="shared" si="104"/>
        <v>0</v>
      </c>
      <c r="J789" s="1320">
        <f t="shared" si="97"/>
        <v>0</v>
      </c>
      <c r="K789" s="1320">
        <f t="shared" si="98"/>
        <v>0</v>
      </c>
      <c r="L789" s="1318"/>
      <c r="M789" s="1318"/>
      <c r="N789" s="1321">
        <f t="shared" si="99"/>
        <v>0</v>
      </c>
      <c r="O789" s="1322">
        <f t="shared" si="100"/>
        <v>0</v>
      </c>
      <c r="P789" s="2369">
        <f t="shared" si="101"/>
        <v>1900</v>
      </c>
      <c r="Q789" s="2369">
        <f t="shared" si="102"/>
        <v>1900</v>
      </c>
      <c r="R789" s="654"/>
      <c r="S789" s="654"/>
      <c r="T789" s="654"/>
      <c r="U789" s="654"/>
    </row>
    <row r="790" spans="1:21" ht="14.25" customHeight="1">
      <c r="A790" s="1316"/>
      <c r="B790" s="1317"/>
      <c r="C790" s="1318"/>
      <c r="D790" s="1319"/>
      <c r="E790" s="1318"/>
      <c r="F790" s="1320">
        <f t="shared" si="103"/>
        <v>0</v>
      </c>
      <c r="G790" s="1319"/>
      <c r="H790" s="1318"/>
      <c r="I790" s="1320">
        <f t="shared" si="104"/>
        <v>0</v>
      </c>
      <c r="J790" s="1320">
        <f t="shared" si="97"/>
        <v>0</v>
      </c>
      <c r="K790" s="1320">
        <f t="shared" si="98"/>
        <v>0</v>
      </c>
      <c r="L790" s="1318"/>
      <c r="M790" s="1318"/>
      <c r="N790" s="1321">
        <f t="shared" si="99"/>
        <v>0</v>
      </c>
      <c r="O790" s="1322">
        <f t="shared" si="100"/>
        <v>0</v>
      </c>
      <c r="P790" s="2369">
        <f t="shared" si="101"/>
        <v>1900</v>
      </c>
      <c r="Q790" s="2369">
        <f t="shared" si="102"/>
        <v>1900</v>
      </c>
      <c r="R790" s="654"/>
      <c r="S790" s="654"/>
      <c r="T790" s="654"/>
      <c r="U790" s="654"/>
    </row>
    <row r="791" spans="1:21" ht="14.25" customHeight="1">
      <c r="A791" s="1316"/>
      <c r="B791" s="1317"/>
      <c r="C791" s="1318"/>
      <c r="D791" s="1319"/>
      <c r="E791" s="1318"/>
      <c r="F791" s="1320">
        <f t="shared" si="103"/>
        <v>0</v>
      </c>
      <c r="G791" s="1319"/>
      <c r="H791" s="1318"/>
      <c r="I791" s="1320">
        <f t="shared" si="104"/>
        <v>0</v>
      </c>
      <c r="J791" s="1320">
        <f t="shared" si="97"/>
        <v>0</v>
      </c>
      <c r="K791" s="1320">
        <f t="shared" si="98"/>
        <v>0</v>
      </c>
      <c r="L791" s="1318"/>
      <c r="M791" s="1318"/>
      <c r="N791" s="1321">
        <f t="shared" si="99"/>
        <v>0</v>
      </c>
      <c r="O791" s="1322">
        <f t="shared" si="100"/>
        <v>0</v>
      </c>
      <c r="P791" s="2369">
        <f t="shared" si="101"/>
        <v>1900</v>
      </c>
      <c r="Q791" s="2369">
        <f t="shared" si="102"/>
        <v>1900</v>
      </c>
      <c r="R791" s="654"/>
      <c r="S791" s="654"/>
      <c r="T791" s="654"/>
      <c r="U791" s="654"/>
    </row>
    <row r="792" spans="1:21" ht="14.25" customHeight="1">
      <c r="A792" s="1316"/>
      <c r="B792" s="1317"/>
      <c r="C792" s="1318"/>
      <c r="D792" s="1319"/>
      <c r="E792" s="1318"/>
      <c r="F792" s="1320">
        <f t="shared" si="103"/>
        <v>0</v>
      </c>
      <c r="G792" s="1319"/>
      <c r="H792" s="1318"/>
      <c r="I792" s="1320">
        <f t="shared" si="104"/>
        <v>0</v>
      </c>
      <c r="J792" s="1320">
        <f t="shared" si="97"/>
        <v>0</v>
      </c>
      <c r="K792" s="1320">
        <f t="shared" si="98"/>
        <v>0</v>
      </c>
      <c r="L792" s="1318"/>
      <c r="M792" s="1318"/>
      <c r="N792" s="1321">
        <f t="shared" si="99"/>
        <v>0</v>
      </c>
      <c r="O792" s="1322">
        <f t="shared" si="100"/>
        <v>0</v>
      </c>
      <c r="P792" s="2369">
        <f t="shared" si="101"/>
        <v>1900</v>
      </c>
      <c r="Q792" s="2369">
        <f t="shared" si="102"/>
        <v>1900</v>
      </c>
      <c r="R792" s="654"/>
      <c r="S792" s="654"/>
      <c r="T792" s="654"/>
      <c r="U792" s="654"/>
    </row>
    <row r="793" spans="1:21" ht="14.25" customHeight="1">
      <c r="A793" s="1316"/>
      <c r="B793" s="1317"/>
      <c r="C793" s="1318"/>
      <c r="D793" s="1319"/>
      <c r="E793" s="1318"/>
      <c r="F793" s="1320">
        <f t="shared" si="103"/>
        <v>0</v>
      </c>
      <c r="G793" s="1319"/>
      <c r="H793" s="1318"/>
      <c r="I793" s="1320">
        <f t="shared" si="104"/>
        <v>0</v>
      </c>
      <c r="J793" s="1320">
        <f t="shared" si="97"/>
        <v>0</v>
      </c>
      <c r="K793" s="1320">
        <f t="shared" si="98"/>
        <v>0</v>
      </c>
      <c r="L793" s="1318"/>
      <c r="M793" s="1318"/>
      <c r="N793" s="1321">
        <f t="shared" si="99"/>
        <v>0</v>
      </c>
      <c r="O793" s="1322">
        <f t="shared" si="100"/>
        <v>0</v>
      </c>
      <c r="P793" s="2369">
        <f t="shared" si="101"/>
        <v>1900</v>
      </c>
      <c r="Q793" s="2369">
        <f t="shared" si="102"/>
        <v>1900</v>
      </c>
      <c r="R793" s="654"/>
      <c r="S793" s="654"/>
      <c r="T793" s="654"/>
      <c r="U793" s="654"/>
    </row>
    <row r="794" spans="1:21" ht="14.25" customHeight="1">
      <c r="A794" s="1316"/>
      <c r="B794" s="1317"/>
      <c r="C794" s="1318"/>
      <c r="D794" s="1319"/>
      <c r="E794" s="1318"/>
      <c r="F794" s="1320">
        <f t="shared" si="103"/>
        <v>0</v>
      </c>
      <c r="G794" s="1319"/>
      <c r="H794" s="1318"/>
      <c r="I794" s="1320">
        <f t="shared" si="104"/>
        <v>0</v>
      </c>
      <c r="J794" s="1320">
        <f t="shared" si="97"/>
        <v>0</v>
      </c>
      <c r="K794" s="1320">
        <f t="shared" si="98"/>
        <v>0</v>
      </c>
      <c r="L794" s="1318"/>
      <c r="M794" s="1318"/>
      <c r="N794" s="1321">
        <f t="shared" si="99"/>
        <v>0</v>
      </c>
      <c r="O794" s="1322">
        <f t="shared" si="100"/>
        <v>0</v>
      </c>
      <c r="P794" s="2369">
        <f t="shared" si="101"/>
        <v>1900</v>
      </c>
      <c r="Q794" s="2369">
        <f t="shared" si="102"/>
        <v>1900</v>
      </c>
      <c r="R794" s="654"/>
      <c r="S794" s="654"/>
      <c r="T794" s="654"/>
      <c r="U794" s="654"/>
    </row>
    <row r="795" spans="1:21" ht="14.25" customHeight="1">
      <c r="A795" s="1316"/>
      <c r="B795" s="1317"/>
      <c r="C795" s="1318"/>
      <c r="D795" s="1319"/>
      <c r="E795" s="1318"/>
      <c r="F795" s="1320">
        <f t="shared" si="103"/>
        <v>0</v>
      </c>
      <c r="G795" s="1319"/>
      <c r="H795" s="1318"/>
      <c r="I795" s="1320">
        <f t="shared" si="104"/>
        <v>0</v>
      </c>
      <c r="J795" s="1320">
        <f t="shared" si="97"/>
        <v>0</v>
      </c>
      <c r="K795" s="1320">
        <f t="shared" si="98"/>
        <v>0</v>
      </c>
      <c r="L795" s="1318"/>
      <c r="M795" s="1318"/>
      <c r="N795" s="1321">
        <f t="shared" si="99"/>
        <v>0</v>
      </c>
      <c r="O795" s="1322">
        <f t="shared" si="100"/>
        <v>0</v>
      </c>
      <c r="P795" s="2369">
        <f t="shared" si="101"/>
        <v>1900</v>
      </c>
      <c r="Q795" s="2369">
        <f t="shared" si="102"/>
        <v>1900</v>
      </c>
      <c r="R795" s="654"/>
      <c r="S795" s="654"/>
      <c r="T795" s="654"/>
      <c r="U795" s="654"/>
    </row>
    <row r="796" spans="1:21" ht="14.25" customHeight="1">
      <c r="A796" s="1316"/>
      <c r="B796" s="1317"/>
      <c r="C796" s="1318"/>
      <c r="D796" s="1319"/>
      <c r="E796" s="1318"/>
      <c r="F796" s="1320">
        <f t="shared" si="103"/>
        <v>0</v>
      </c>
      <c r="G796" s="1319"/>
      <c r="H796" s="1318"/>
      <c r="I796" s="1320">
        <f t="shared" si="104"/>
        <v>0</v>
      </c>
      <c r="J796" s="1320">
        <f t="shared" si="97"/>
        <v>0</v>
      </c>
      <c r="K796" s="1320">
        <f t="shared" si="98"/>
        <v>0</v>
      </c>
      <c r="L796" s="1318"/>
      <c r="M796" s="1318"/>
      <c r="N796" s="1321">
        <f t="shared" si="99"/>
        <v>0</v>
      </c>
      <c r="O796" s="1322">
        <f t="shared" si="100"/>
        <v>0</v>
      </c>
      <c r="P796" s="2369">
        <f t="shared" si="101"/>
        <v>1900</v>
      </c>
      <c r="Q796" s="2369">
        <f t="shared" si="102"/>
        <v>1900</v>
      </c>
      <c r="R796" s="654"/>
      <c r="S796" s="654"/>
      <c r="T796" s="654"/>
      <c r="U796" s="654"/>
    </row>
    <row r="797" spans="1:21" ht="14.25" customHeight="1">
      <c r="A797" s="1316"/>
      <c r="B797" s="1317"/>
      <c r="C797" s="1318"/>
      <c r="D797" s="1319"/>
      <c r="E797" s="1318"/>
      <c r="F797" s="1320">
        <f t="shared" si="103"/>
        <v>0</v>
      </c>
      <c r="G797" s="1319"/>
      <c r="H797" s="1318"/>
      <c r="I797" s="1320">
        <f t="shared" si="104"/>
        <v>0</v>
      </c>
      <c r="J797" s="1320">
        <f t="shared" si="97"/>
        <v>0</v>
      </c>
      <c r="K797" s="1320">
        <f t="shared" si="98"/>
        <v>0</v>
      </c>
      <c r="L797" s="1318"/>
      <c r="M797" s="1318"/>
      <c r="N797" s="1321">
        <f t="shared" si="99"/>
        <v>0</v>
      </c>
      <c r="O797" s="1322">
        <f t="shared" si="100"/>
        <v>0</v>
      </c>
      <c r="P797" s="2369">
        <f t="shared" si="101"/>
        <v>1900</v>
      </c>
      <c r="Q797" s="2369">
        <f t="shared" si="102"/>
        <v>1900</v>
      </c>
      <c r="R797" s="654"/>
      <c r="S797" s="654"/>
      <c r="T797" s="654"/>
      <c r="U797" s="654"/>
    </row>
    <row r="798" spans="1:21" ht="14.25" customHeight="1">
      <c r="A798" s="1316"/>
      <c r="B798" s="1317"/>
      <c r="C798" s="1318"/>
      <c r="D798" s="1319"/>
      <c r="E798" s="1318"/>
      <c r="F798" s="1320">
        <f t="shared" si="103"/>
        <v>0</v>
      </c>
      <c r="G798" s="1319"/>
      <c r="H798" s="1318"/>
      <c r="I798" s="1320">
        <f t="shared" si="104"/>
        <v>0</v>
      </c>
      <c r="J798" s="1320">
        <f t="shared" si="97"/>
        <v>0</v>
      </c>
      <c r="K798" s="1320">
        <f t="shared" si="98"/>
        <v>0</v>
      </c>
      <c r="L798" s="1318"/>
      <c r="M798" s="1318"/>
      <c r="N798" s="1321">
        <f t="shared" si="99"/>
        <v>0</v>
      </c>
      <c r="O798" s="1322">
        <f t="shared" si="100"/>
        <v>0</v>
      </c>
      <c r="P798" s="2369">
        <f t="shared" si="101"/>
        <v>1900</v>
      </c>
      <c r="Q798" s="2369">
        <f t="shared" si="102"/>
        <v>1900</v>
      </c>
      <c r="R798" s="654"/>
      <c r="S798" s="654"/>
      <c r="T798" s="654"/>
      <c r="U798" s="654"/>
    </row>
    <row r="799" spans="1:21" ht="14.25" customHeight="1">
      <c r="A799" s="1316"/>
      <c r="B799" s="1317"/>
      <c r="C799" s="1318"/>
      <c r="D799" s="1319"/>
      <c r="E799" s="1318"/>
      <c r="F799" s="1320">
        <f t="shared" si="103"/>
        <v>0</v>
      </c>
      <c r="G799" s="1319"/>
      <c r="H799" s="1318"/>
      <c r="I799" s="1320">
        <f t="shared" si="104"/>
        <v>0</v>
      </c>
      <c r="J799" s="1320">
        <f t="shared" si="97"/>
        <v>0</v>
      </c>
      <c r="K799" s="1320">
        <f t="shared" si="98"/>
        <v>0</v>
      </c>
      <c r="L799" s="1318"/>
      <c r="M799" s="1318"/>
      <c r="N799" s="1321">
        <f t="shared" si="99"/>
        <v>0</v>
      </c>
      <c r="O799" s="1322">
        <f t="shared" si="100"/>
        <v>0</v>
      </c>
      <c r="P799" s="2369">
        <f t="shared" si="101"/>
        <v>1900</v>
      </c>
      <c r="Q799" s="2369">
        <f t="shared" si="102"/>
        <v>1900</v>
      </c>
      <c r="R799" s="654"/>
      <c r="S799" s="654"/>
      <c r="T799" s="654"/>
      <c r="U799" s="654"/>
    </row>
    <row r="800" spans="1:21" ht="14.25" customHeight="1">
      <c r="A800" s="1316"/>
      <c r="B800" s="1317"/>
      <c r="C800" s="1318"/>
      <c r="D800" s="1319"/>
      <c r="E800" s="1318"/>
      <c r="F800" s="1320">
        <f t="shared" si="103"/>
        <v>0</v>
      </c>
      <c r="G800" s="1319"/>
      <c r="H800" s="1318"/>
      <c r="I800" s="1320">
        <f t="shared" si="104"/>
        <v>0</v>
      </c>
      <c r="J800" s="1320">
        <f t="shared" si="97"/>
        <v>0</v>
      </c>
      <c r="K800" s="1320">
        <f t="shared" si="98"/>
        <v>0</v>
      </c>
      <c r="L800" s="1318"/>
      <c r="M800" s="1318"/>
      <c r="N800" s="1321">
        <f t="shared" si="99"/>
        <v>0</v>
      </c>
      <c r="O800" s="1322">
        <f t="shared" si="100"/>
        <v>0</v>
      </c>
      <c r="P800" s="2369">
        <f t="shared" si="101"/>
        <v>1900</v>
      </c>
      <c r="Q800" s="2369">
        <f t="shared" si="102"/>
        <v>1900</v>
      </c>
      <c r="R800" s="654"/>
      <c r="S800" s="654"/>
      <c r="T800" s="654"/>
      <c r="U800" s="654"/>
    </row>
    <row r="801" spans="1:21" ht="14.25" customHeight="1">
      <c r="A801" s="1316"/>
      <c r="B801" s="1317"/>
      <c r="C801" s="1318"/>
      <c r="D801" s="1319"/>
      <c r="E801" s="1318"/>
      <c r="F801" s="1320">
        <f t="shared" si="103"/>
        <v>0</v>
      </c>
      <c r="G801" s="1319"/>
      <c r="H801" s="1318"/>
      <c r="I801" s="1320">
        <f t="shared" si="104"/>
        <v>0</v>
      </c>
      <c r="J801" s="1320">
        <f t="shared" si="97"/>
        <v>0</v>
      </c>
      <c r="K801" s="1320">
        <f t="shared" si="98"/>
        <v>0</v>
      </c>
      <c r="L801" s="1318"/>
      <c r="M801" s="1318"/>
      <c r="N801" s="1321">
        <f t="shared" si="99"/>
        <v>0</v>
      </c>
      <c r="O801" s="1322">
        <f t="shared" si="100"/>
        <v>0</v>
      </c>
      <c r="P801" s="2369">
        <f t="shared" si="101"/>
        <v>1900</v>
      </c>
      <c r="Q801" s="2369">
        <f t="shared" si="102"/>
        <v>1900</v>
      </c>
      <c r="R801" s="654"/>
      <c r="S801" s="654"/>
      <c r="T801" s="654"/>
      <c r="U801" s="654"/>
    </row>
    <row r="802" spans="1:21" ht="14.25" customHeight="1">
      <c r="A802" s="1316"/>
      <c r="B802" s="1317"/>
      <c r="C802" s="1318"/>
      <c r="D802" s="1319"/>
      <c r="E802" s="1318"/>
      <c r="F802" s="1320">
        <f t="shared" si="103"/>
        <v>0</v>
      </c>
      <c r="G802" s="1319"/>
      <c r="H802" s="1318"/>
      <c r="I802" s="1320">
        <f t="shared" si="104"/>
        <v>0</v>
      </c>
      <c r="J802" s="1320">
        <f t="shared" si="97"/>
        <v>0</v>
      </c>
      <c r="K802" s="1320">
        <f t="shared" si="98"/>
        <v>0</v>
      </c>
      <c r="L802" s="1318"/>
      <c r="M802" s="1318"/>
      <c r="N802" s="1321">
        <f t="shared" si="99"/>
        <v>0</v>
      </c>
      <c r="O802" s="1322">
        <f t="shared" si="100"/>
        <v>0</v>
      </c>
      <c r="P802" s="2369">
        <f t="shared" si="101"/>
        <v>1900</v>
      </c>
      <c r="Q802" s="2369">
        <f t="shared" si="102"/>
        <v>1900</v>
      </c>
      <c r="R802" s="654"/>
      <c r="S802" s="654"/>
      <c r="T802" s="654"/>
      <c r="U802" s="654"/>
    </row>
    <row r="803" spans="1:21" ht="14.25" customHeight="1">
      <c r="A803" s="1316"/>
      <c r="B803" s="1317"/>
      <c r="C803" s="1318"/>
      <c r="D803" s="1319"/>
      <c r="E803" s="1318"/>
      <c r="F803" s="1320">
        <f t="shared" si="103"/>
        <v>0</v>
      </c>
      <c r="G803" s="1319"/>
      <c r="H803" s="1318"/>
      <c r="I803" s="1320">
        <f t="shared" si="104"/>
        <v>0</v>
      </c>
      <c r="J803" s="1320">
        <f t="shared" si="97"/>
        <v>0</v>
      </c>
      <c r="K803" s="1320">
        <f t="shared" si="98"/>
        <v>0</v>
      </c>
      <c r="L803" s="1318"/>
      <c r="M803" s="1318"/>
      <c r="N803" s="1321">
        <f t="shared" si="99"/>
        <v>0</v>
      </c>
      <c r="O803" s="1322">
        <f t="shared" si="100"/>
        <v>0</v>
      </c>
      <c r="P803" s="2369">
        <f t="shared" si="101"/>
        <v>1900</v>
      </c>
      <c r="Q803" s="2369">
        <f t="shared" si="102"/>
        <v>1900</v>
      </c>
      <c r="R803" s="654"/>
      <c r="S803" s="654"/>
      <c r="T803" s="654"/>
      <c r="U803" s="654"/>
    </row>
    <row r="804" spans="1:21" ht="14.25" customHeight="1">
      <c r="A804" s="1316"/>
      <c r="B804" s="1317"/>
      <c r="C804" s="1318"/>
      <c r="D804" s="1319"/>
      <c r="E804" s="1318"/>
      <c r="F804" s="1320">
        <f t="shared" si="103"/>
        <v>0</v>
      </c>
      <c r="G804" s="1319"/>
      <c r="H804" s="1318"/>
      <c r="I804" s="1320">
        <f t="shared" si="104"/>
        <v>0</v>
      </c>
      <c r="J804" s="1320">
        <f t="shared" si="97"/>
        <v>0</v>
      </c>
      <c r="K804" s="1320">
        <f t="shared" si="98"/>
        <v>0</v>
      </c>
      <c r="L804" s="1318"/>
      <c r="M804" s="1318"/>
      <c r="N804" s="1321">
        <f t="shared" si="99"/>
        <v>0</v>
      </c>
      <c r="O804" s="1322">
        <f t="shared" si="100"/>
        <v>0</v>
      </c>
      <c r="P804" s="2369">
        <f t="shared" si="101"/>
        <v>1900</v>
      </c>
      <c r="Q804" s="2369">
        <f t="shared" si="102"/>
        <v>1900</v>
      </c>
      <c r="R804" s="654"/>
      <c r="S804" s="654"/>
      <c r="T804" s="654"/>
      <c r="U804" s="654"/>
    </row>
    <row r="805" spans="1:21" ht="14.25" customHeight="1">
      <c r="A805" s="1316"/>
      <c r="B805" s="1317"/>
      <c r="C805" s="1318"/>
      <c r="D805" s="1319"/>
      <c r="E805" s="1318"/>
      <c r="F805" s="1320">
        <f t="shared" si="103"/>
        <v>0</v>
      </c>
      <c r="G805" s="1319"/>
      <c r="H805" s="1318"/>
      <c r="I805" s="1320">
        <f t="shared" si="104"/>
        <v>0</v>
      </c>
      <c r="J805" s="1320">
        <f t="shared" si="97"/>
        <v>0</v>
      </c>
      <c r="K805" s="1320">
        <f t="shared" si="98"/>
        <v>0</v>
      </c>
      <c r="L805" s="1318"/>
      <c r="M805" s="1318"/>
      <c r="N805" s="1321">
        <f t="shared" si="99"/>
        <v>0</v>
      </c>
      <c r="O805" s="1322">
        <f t="shared" si="100"/>
        <v>0</v>
      </c>
      <c r="P805" s="2369">
        <f t="shared" si="101"/>
        <v>1900</v>
      </c>
      <c r="Q805" s="2369">
        <f t="shared" si="102"/>
        <v>1900</v>
      </c>
      <c r="R805" s="654"/>
      <c r="S805" s="654"/>
      <c r="T805" s="654"/>
      <c r="U805" s="654"/>
    </row>
    <row r="806" spans="1:21" ht="14.25" customHeight="1">
      <c r="A806" s="1316"/>
      <c r="B806" s="1317"/>
      <c r="C806" s="1318"/>
      <c r="D806" s="1319"/>
      <c r="E806" s="1318"/>
      <c r="F806" s="1320">
        <f t="shared" si="103"/>
        <v>0</v>
      </c>
      <c r="G806" s="1319"/>
      <c r="H806" s="1318"/>
      <c r="I806" s="1320">
        <f t="shared" si="104"/>
        <v>0</v>
      </c>
      <c r="J806" s="1320">
        <f t="shared" si="97"/>
        <v>0</v>
      </c>
      <c r="K806" s="1320">
        <f t="shared" si="98"/>
        <v>0</v>
      </c>
      <c r="L806" s="1318"/>
      <c r="M806" s="1318"/>
      <c r="N806" s="1321">
        <f t="shared" si="99"/>
        <v>0</v>
      </c>
      <c r="O806" s="1322">
        <f t="shared" si="100"/>
        <v>0</v>
      </c>
      <c r="P806" s="2369">
        <f t="shared" si="101"/>
        <v>1900</v>
      </c>
      <c r="Q806" s="2369">
        <f t="shared" si="102"/>
        <v>1900</v>
      </c>
      <c r="R806" s="654"/>
      <c r="S806" s="654"/>
      <c r="T806" s="654"/>
      <c r="U806" s="654"/>
    </row>
    <row r="807" spans="1:21" ht="14.25" customHeight="1">
      <c r="A807" s="1316"/>
      <c r="B807" s="1317"/>
      <c r="C807" s="1318"/>
      <c r="D807" s="1319"/>
      <c r="E807" s="1318"/>
      <c r="F807" s="1320">
        <f t="shared" si="103"/>
        <v>0</v>
      </c>
      <c r="G807" s="1319"/>
      <c r="H807" s="1318"/>
      <c r="I807" s="1320">
        <f t="shared" si="104"/>
        <v>0</v>
      </c>
      <c r="J807" s="1320">
        <f t="shared" si="97"/>
        <v>0</v>
      </c>
      <c r="K807" s="1320">
        <f t="shared" si="98"/>
        <v>0</v>
      </c>
      <c r="L807" s="1318"/>
      <c r="M807" s="1318"/>
      <c r="N807" s="1321">
        <f t="shared" si="99"/>
        <v>0</v>
      </c>
      <c r="O807" s="1322">
        <f t="shared" si="100"/>
        <v>0</v>
      </c>
      <c r="P807" s="2369">
        <f t="shared" si="101"/>
        <v>1900</v>
      </c>
      <c r="Q807" s="2369">
        <f t="shared" si="102"/>
        <v>1900</v>
      </c>
      <c r="R807" s="654"/>
      <c r="S807" s="654"/>
      <c r="T807" s="654"/>
      <c r="U807" s="654"/>
    </row>
    <row r="808" spans="1:21" ht="14.25" customHeight="1">
      <c r="A808" s="1316"/>
      <c r="B808" s="1317"/>
      <c r="C808" s="1318"/>
      <c r="D808" s="1319"/>
      <c r="E808" s="1318"/>
      <c r="F808" s="1320">
        <f t="shared" si="103"/>
        <v>0</v>
      </c>
      <c r="G808" s="1319"/>
      <c r="H808" s="1318"/>
      <c r="I808" s="1320">
        <f t="shared" si="104"/>
        <v>0</v>
      </c>
      <c r="J808" s="1320">
        <f t="shared" si="97"/>
        <v>0</v>
      </c>
      <c r="K808" s="1320">
        <f t="shared" si="98"/>
        <v>0</v>
      </c>
      <c r="L808" s="1318"/>
      <c r="M808" s="1318"/>
      <c r="N808" s="1321">
        <f t="shared" si="99"/>
        <v>0</v>
      </c>
      <c r="O808" s="1322">
        <f t="shared" si="100"/>
        <v>0</v>
      </c>
      <c r="P808" s="2369">
        <f t="shared" si="101"/>
        <v>1900</v>
      </c>
      <c r="Q808" s="2369">
        <f t="shared" si="102"/>
        <v>1900</v>
      </c>
      <c r="R808" s="654"/>
      <c r="S808" s="654"/>
      <c r="T808" s="654"/>
      <c r="U808" s="654"/>
    </row>
    <row r="809" spans="1:21" ht="14.25" customHeight="1">
      <c r="A809" s="1316"/>
      <c r="B809" s="1317"/>
      <c r="C809" s="1318"/>
      <c r="D809" s="1319"/>
      <c r="E809" s="1318"/>
      <c r="F809" s="1320">
        <f t="shared" si="103"/>
        <v>0</v>
      </c>
      <c r="G809" s="1319"/>
      <c r="H809" s="1318"/>
      <c r="I809" s="1320">
        <f t="shared" si="104"/>
        <v>0</v>
      </c>
      <c r="J809" s="1320">
        <f t="shared" si="97"/>
        <v>0</v>
      </c>
      <c r="K809" s="1320">
        <f t="shared" si="98"/>
        <v>0</v>
      </c>
      <c r="L809" s="1318"/>
      <c r="M809" s="1318"/>
      <c r="N809" s="1321">
        <f t="shared" si="99"/>
        <v>0</v>
      </c>
      <c r="O809" s="1322">
        <f t="shared" si="100"/>
        <v>0</v>
      </c>
      <c r="P809" s="2369">
        <f t="shared" si="101"/>
        <v>1900</v>
      </c>
      <c r="Q809" s="2369">
        <f t="shared" si="102"/>
        <v>1900</v>
      </c>
      <c r="R809" s="654"/>
      <c r="S809" s="654"/>
      <c r="T809" s="654"/>
      <c r="U809" s="654"/>
    </row>
    <row r="810" spans="1:21" ht="14.25" customHeight="1">
      <c r="A810" s="1316"/>
      <c r="B810" s="1317"/>
      <c r="C810" s="1318"/>
      <c r="D810" s="1319"/>
      <c r="E810" s="1318"/>
      <c r="F810" s="1320">
        <f t="shared" si="103"/>
        <v>0</v>
      </c>
      <c r="G810" s="1319"/>
      <c r="H810" s="1318"/>
      <c r="I810" s="1320">
        <f t="shared" si="104"/>
        <v>0</v>
      </c>
      <c r="J810" s="1320">
        <f t="shared" si="97"/>
        <v>0</v>
      </c>
      <c r="K810" s="1320">
        <f t="shared" si="98"/>
        <v>0</v>
      </c>
      <c r="L810" s="1318"/>
      <c r="M810" s="1318"/>
      <c r="N810" s="1321">
        <f t="shared" si="99"/>
        <v>0</v>
      </c>
      <c r="O810" s="1322">
        <f t="shared" si="100"/>
        <v>0</v>
      </c>
      <c r="P810" s="2369">
        <f t="shared" si="101"/>
        <v>1900</v>
      </c>
      <c r="Q810" s="2369">
        <f t="shared" si="102"/>
        <v>1900</v>
      </c>
      <c r="R810" s="654"/>
      <c r="S810" s="654"/>
      <c r="T810" s="654"/>
      <c r="U810" s="654"/>
    </row>
    <row r="811" spans="1:21" ht="14.25" customHeight="1">
      <c r="A811" s="1316"/>
      <c r="B811" s="1317"/>
      <c r="C811" s="1318"/>
      <c r="D811" s="1319"/>
      <c r="E811" s="1318"/>
      <c r="F811" s="1320">
        <f t="shared" si="103"/>
        <v>0</v>
      </c>
      <c r="G811" s="1319"/>
      <c r="H811" s="1318"/>
      <c r="I811" s="1320">
        <f t="shared" si="104"/>
        <v>0</v>
      </c>
      <c r="J811" s="1320">
        <f t="shared" si="97"/>
        <v>0</v>
      </c>
      <c r="K811" s="1320">
        <f t="shared" si="98"/>
        <v>0</v>
      </c>
      <c r="L811" s="1318"/>
      <c r="M811" s="1318"/>
      <c r="N811" s="1321">
        <f t="shared" si="99"/>
        <v>0</v>
      </c>
      <c r="O811" s="1322">
        <f t="shared" si="100"/>
        <v>0</v>
      </c>
      <c r="P811" s="2369">
        <f t="shared" si="101"/>
        <v>1900</v>
      </c>
      <c r="Q811" s="2369">
        <f t="shared" si="102"/>
        <v>1900</v>
      </c>
      <c r="R811" s="654"/>
      <c r="S811" s="654"/>
      <c r="T811" s="654"/>
      <c r="U811" s="654"/>
    </row>
    <row r="812" spans="1:21" ht="14.25" customHeight="1">
      <c r="A812" s="1316"/>
      <c r="B812" s="1317"/>
      <c r="C812" s="1318"/>
      <c r="D812" s="1319"/>
      <c r="E812" s="1318"/>
      <c r="F812" s="1320">
        <f t="shared" si="103"/>
        <v>0</v>
      </c>
      <c r="G812" s="1319"/>
      <c r="H812" s="1318"/>
      <c r="I812" s="1320">
        <f t="shared" si="104"/>
        <v>0</v>
      </c>
      <c r="J812" s="1320">
        <f t="shared" si="97"/>
        <v>0</v>
      </c>
      <c r="K812" s="1320">
        <f t="shared" si="98"/>
        <v>0</v>
      </c>
      <c r="L812" s="1318"/>
      <c r="M812" s="1318"/>
      <c r="N812" s="1321">
        <f t="shared" si="99"/>
        <v>0</v>
      </c>
      <c r="O812" s="1322">
        <f t="shared" si="100"/>
        <v>0</v>
      </c>
      <c r="P812" s="2369">
        <f t="shared" si="101"/>
        <v>1900</v>
      </c>
      <c r="Q812" s="2369">
        <f t="shared" si="102"/>
        <v>1900</v>
      </c>
      <c r="R812" s="654"/>
      <c r="S812" s="654"/>
      <c r="T812" s="654"/>
      <c r="U812" s="654"/>
    </row>
    <row r="813" spans="1:21" ht="14.25" customHeight="1">
      <c r="A813" s="1316"/>
      <c r="B813" s="1317"/>
      <c r="C813" s="1318"/>
      <c r="D813" s="1319"/>
      <c r="E813" s="1318"/>
      <c r="F813" s="1320">
        <f t="shared" si="103"/>
        <v>0</v>
      </c>
      <c r="G813" s="1319"/>
      <c r="H813" s="1318"/>
      <c r="I813" s="1320">
        <f t="shared" si="104"/>
        <v>0</v>
      </c>
      <c r="J813" s="1320">
        <f t="shared" si="97"/>
        <v>0</v>
      </c>
      <c r="K813" s="1320">
        <f t="shared" si="98"/>
        <v>0</v>
      </c>
      <c r="L813" s="1318"/>
      <c r="M813" s="1318"/>
      <c r="N813" s="1321">
        <f t="shared" si="99"/>
        <v>0</v>
      </c>
      <c r="O813" s="1322">
        <f t="shared" si="100"/>
        <v>0</v>
      </c>
      <c r="P813" s="2369">
        <f t="shared" si="101"/>
        <v>1900</v>
      </c>
      <c r="Q813" s="2369">
        <f t="shared" si="102"/>
        <v>1900</v>
      </c>
      <c r="R813" s="654"/>
      <c r="S813" s="654"/>
      <c r="T813" s="654"/>
      <c r="U813" s="654"/>
    </row>
    <row r="814" spans="1:21" ht="14.25" customHeight="1">
      <c r="A814" s="1316"/>
      <c r="B814" s="1317"/>
      <c r="C814" s="1318"/>
      <c r="D814" s="1319"/>
      <c r="E814" s="1318"/>
      <c r="F814" s="1320">
        <f t="shared" si="103"/>
        <v>0</v>
      </c>
      <c r="G814" s="1319"/>
      <c r="H814" s="1318"/>
      <c r="I814" s="1320">
        <f t="shared" si="104"/>
        <v>0</v>
      </c>
      <c r="J814" s="1320">
        <f t="shared" si="97"/>
        <v>0</v>
      </c>
      <c r="K814" s="1320">
        <f t="shared" si="98"/>
        <v>0</v>
      </c>
      <c r="L814" s="1318"/>
      <c r="M814" s="1318"/>
      <c r="N814" s="1321">
        <f t="shared" si="99"/>
        <v>0</v>
      </c>
      <c r="O814" s="1322">
        <f t="shared" si="100"/>
        <v>0</v>
      </c>
      <c r="P814" s="2369">
        <f t="shared" si="101"/>
        <v>1900</v>
      </c>
      <c r="Q814" s="2369">
        <f t="shared" si="102"/>
        <v>1900</v>
      </c>
      <c r="R814" s="654"/>
      <c r="S814" s="654"/>
      <c r="T814" s="654"/>
      <c r="U814" s="654"/>
    </row>
    <row r="815" spans="1:21" ht="14.25" customHeight="1">
      <c r="A815" s="1316"/>
      <c r="B815" s="1317"/>
      <c r="C815" s="1318"/>
      <c r="D815" s="1319"/>
      <c r="E815" s="1318"/>
      <c r="F815" s="1320">
        <f t="shared" si="103"/>
        <v>0</v>
      </c>
      <c r="G815" s="1319"/>
      <c r="H815" s="1318"/>
      <c r="I815" s="1320">
        <f t="shared" si="104"/>
        <v>0</v>
      </c>
      <c r="J815" s="1320">
        <f t="shared" si="97"/>
        <v>0</v>
      </c>
      <c r="K815" s="1320">
        <f t="shared" si="98"/>
        <v>0</v>
      </c>
      <c r="L815" s="1318"/>
      <c r="M815" s="1318"/>
      <c r="N815" s="1321">
        <f t="shared" si="99"/>
        <v>0</v>
      </c>
      <c r="O815" s="1322">
        <f t="shared" si="100"/>
        <v>0</v>
      </c>
      <c r="P815" s="2369">
        <f t="shared" si="101"/>
        <v>1900</v>
      </c>
      <c r="Q815" s="2369">
        <f t="shared" si="102"/>
        <v>1900</v>
      </c>
      <c r="R815" s="654"/>
      <c r="S815" s="654"/>
      <c r="T815" s="654"/>
      <c r="U815" s="654"/>
    </row>
    <row r="816" spans="1:21" ht="14.25" customHeight="1">
      <c r="A816" s="1316"/>
      <c r="B816" s="1317"/>
      <c r="C816" s="1318"/>
      <c r="D816" s="1319"/>
      <c r="E816" s="1318"/>
      <c r="F816" s="1320">
        <f t="shared" si="103"/>
        <v>0</v>
      </c>
      <c r="G816" s="1319"/>
      <c r="H816" s="1318"/>
      <c r="I816" s="1320">
        <f t="shared" si="104"/>
        <v>0</v>
      </c>
      <c r="J816" s="1320">
        <f t="shared" si="97"/>
        <v>0</v>
      </c>
      <c r="K816" s="1320">
        <f t="shared" si="98"/>
        <v>0</v>
      </c>
      <c r="L816" s="1318"/>
      <c r="M816" s="1318"/>
      <c r="N816" s="1321">
        <f t="shared" si="99"/>
        <v>0</v>
      </c>
      <c r="O816" s="1322">
        <f t="shared" si="100"/>
        <v>0</v>
      </c>
      <c r="P816" s="2369">
        <f t="shared" si="101"/>
        <v>1900</v>
      </c>
      <c r="Q816" s="2369">
        <f t="shared" si="102"/>
        <v>1900</v>
      </c>
      <c r="R816" s="654"/>
      <c r="S816" s="654"/>
      <c r="T816" s="654"/>
      <c r="U816" s="654"/>
    </row>
    <row r="817" spans="1:21" ht="14.25" customHeight="1">
      <c r="A817" s="1316"/>
      <c r="B817" s="1317"/>
      <c r="C817" s="1318"/>
      <c r="D817" s="1319"/>
      <c r="E817" s="1318"/>
      <c r="F817" s="1320">
        <f t="shared" si="103"/>
        <v>0</v>
      </c>
      <c r="G817" s="1319"/>
      <c r="H817" s="1318"/>
      <c r="I817" s="1320">
        <f t="shared" si="104"/>
        <v>0</v>
      </c>
      <c r="J817" s="1320">
        <f t="shared" si="97"/>
        <v>0</v>
      </c>
      <c r="K817" s="1320">
        <f t="shared" si="98"/>
        <v>0</v>
      </c>
      <c r="L817" s="1318"/>
      <c r="M817" s="1318"/>
      <c r="N817" s="1321">
        <f t="shared" si="99"/>
        <v>0</v>
      </c>
      <c r="O817" s="1322">
        <f t="shared" si="100"/>
        <v>0</v>
      </c>
      <c r="P817" s="2369">
        <f t="shared" si="101"/>
        <v>1900</v>
      </c>
      <c r="Q817" s="2369">
        <f t="shared" si="102"/>
        <v>1900</v>
      </c>
      <c r="R817" s="654"/>
      <c r="S817" s="654"/>
      <c r="T817" s="654"/>
      <c r="U817" s="654"/>
    </row>
    <row r="818" spans="1:21" ht="14.25" customHeight="1">
      <c r="A818" s="1316"/>
      <c r="B818" s="1317"/>
      <c r="C818" s="1318"/>
      <c r="D818" s="1319"/>
      <c r="E818" s="1318"/>
      <c r="F818" s="1320">
        <f t="shared" si="103"/>
        <v>0</v>
      </c>
      <c r="G818" s="1319"/>
      <c r="H818" s="1318"/>
      <c r="I818" s="1320">
        <f t="shared" si="104"/>
        <v>0</v>
      </c>
      <c r="J818" s="1320">
        <f t="shared" si="97"/>
        <v>0</v>
      </c>
      <c r="K818" s="1320">
        <f t="shared" si="98"/>
        <v>0</v>
      </c>
      <c r="L818" s="1318"/>
      <c r="M818" s="1318"/>
      <c r="N818" s="1321">
        <f t="shared" si="99"/>
        <v>0</v>
      </c>
      <c r="O818" s="1322">
        <f t="shared" si="100"/>
        <v>0</v>
      </c>
      <c r="P818" s="2369">
        <f t="shared" si="101"/>
        <v>1900</v>
      </c>
      <c r="Q818" s="2369">
        <f t="shared" si="102"/>
        <v>1900</v>
      </c>
      <c r="R818" s="654"/>
      <c r="S818" s="654"/>
      <c r="T818" s="654"/>
      <c r="U818" s="654"/>
    </row>
    <row r="819" spans="1:21" ht="14.25" customHeight="1">
      <c r="A819" s="1316"/>
      <c r="B819" s="1317"/>
      <c r="C819" s="1318"/>
      <c r="D819" s="1319"/>
      <c r="E819" s="1318"/>
      <c r="F819" s="1320">
        <f t="shared" si="103"/>
        <v>0</v>
      </c>
      <c r="G819" s="1319"/>
      <c r="H819" s="1318"/>
      <c r="I819" s="1320">
        <f t="shared" si="104"/>
        <v>0</v>
      </c>
      <c r="J819" s="1320">
        <f t="shared" si="97"/>
        <v>0</v>
      </c>
      <c r="K819" s="1320">
        <f t="shared" si="98"/>
        <v>0</v>
      </c>
      <c r="L819" s="1318"/>
      <c r="M819" s="1318"/>
      <c r="N819" s="1321">
        <f t="shared" si="99"/>
        <v>0</v>
      </c>
      <c r="O819" s="1322">
        <f t="shared" si="100"/>
        <v>0</v>
      </c>
      <c r="P819" s="2369">
        <f t="shared" si="101"/>
        <v>1900</v>
      </c>
      <c r="Q819" s="2369">
        <f t="shared" si="102"/>
        <v>1900</v>
      </c>
      <c r="R819" s="654"/>
      <c r="S819" s="654"/>
      <c r="T819" s="654"/>
      <c r="U819" s="654"/>
    </row>
    <row r="820" spans="1:21" ht="14.25" customHeight="1">
      <c r="A820" s="1316"/>
      <c r="B820" s="1317"/>
      <c r="C820" s="1318"/>
      <c r="D820" s="1319"/>
      <c r="E820" s="1318"/>
      <c r="F820" s="1320">
        <f t="shared" si="103"/>
        <v>0</v>
      </c>
      <c r="G820" s="1319"/>
      <c r="H820" s="1318"/>
      <c r="I820" s="1320">
        <f t="shared" si="104"/>
        <v>0</v>
      </c>
      <c r="J820" s="1320">
        <f t="shared" si="97"/>
        <v>0</v>
      </c>
      <c r="K820" s="1320">
        <f t="shared" si="98"/>
        <v>0</v>
      </c>
      <c r="L820" s="1318"/>
      <c r="M820" s="1318"/>
      <c r="N820" s="1321">
        <f t="shared" si="99"/>
        <v>0</v>
      </c>
      <c r="O820" s="1322">
        <f t="shared" si="100"/>
        <v>0</v>
      </c>
      <c r="P820" s="2369">
        <f t="shared" si="101"/>
        <v>1900</v>
      </c>
      <c r="Q820" s="2369">
        <f t="shared" si="102"/>
        <v>1900</v>
      </c>
      <c r="R820" s="654"/>
      <c r="S820" s="654"/>
      <c r="T820" s="654"/>
      <c r="U820" s="654"/>
    </row>
    <row r="821" spans="1:21" ht="14.25" customHeight="1">
      <c r="A821" s="1316"/>
      <c r="B821" s="1317"/>
      <c r="C821" s="1318"/>
      <c r="D821" s="1319"/>
      <c r="E821" s="1318"/>
      <c r="F821" s="1320">
        <f t="shared" si="103"/>
        <v>0</v>
      </c>
      <c r="G821" s="1319"/>
      <c r="H821" s="1318"/>
      <c r="I821" s="1320">
        <f t="shared" si="104"/>
        <v>0</v>
      </c>
      <c r="J821" s="1320">
        <f t="shared" si="97"/>
        <v>0</v>
      </c>
      <c r="K821" s="1320">
        <f t="shared" si="98"/>
        <v>0</v>
      </c>
      <c r="L821" s="1318"/>
      <c r="M821" s="1318"/>
      <c r="N821" s="1321">
        <f t="shared" si="99"/>
        <v>0</v>
      </c>
      <c r="O821" s="1322">
        <f t="shared" si="100"/>
        <v>0</v>
      </c>
      <c r="P821" s="2369">
        <f t="shared" si="101"/>
        <v>1900</v>
      </c>
      <c r="Q821" s="2369">
        <f t="shared" si="102"/>
        <v>1900</v>
      </c>
      <c r="R821" s="654"/>
      <c r="S821" s="654"/>
      <c r="T821" s="654"/>
      <c r="U821" s="654"/>
    </row>
    <row r="822" spans="1:21" ht="14.25" customHeight="1">
      <c r="A822" s="1316"/>
      <c r="B822" s="1317"/>
      <c r="C822" s="1318"/>
      <c r="D822" s="1319"/>
      <c r="E822" s="1318"/>
      <c r="F822" s="1320">
        <f t="shared" si="103"/>
        <v>0</v>
      </c>
      <c r="G822" s="1319"/>
      <c r="H822" s="1318"/>
      <c r="I822" s="1320">
        <f t="shared" si="104"/>
        <v>0</v>
      </c>
      <c r="J822" s="1320">
        <f t="shared" si="97"/>
        <v>0</v>
      </c>
      <c r="K822" s="1320">
        <f t="shared" si="98"/>
        <v>0</v>
      </c>
      <c r="L822" s="1318"/>
      <c r="M822" s="1318"/>
      <c r="N822" s="1321">
        <f t="shared" si="99"/>
        <v>0</v>
      </c>
      <c r="O822" s="1322">
        <f t="shared" si="100"/>
        <v>0</v>
      </c>
      <c r="P822" s="2369">
        <f t="shared" si="101"/>
        <v>1900</v>
      </c>
      <c r="Q822" s="2369">
        <f t="shared" si="102"/>
        <v>1900</v>
      </c>
      <c r="R822" s="654"/>
      <c r="S822" s="654"/>
      <c r="T822" s="654"/>
      <c r="U822" s="654"/>
    </row>
    <row r="823" spans="1:21" ht="14.25" customHeight="1">
      <c r="A823" s="1316"/>
      <c r="B823" s="1317"/>
      <c r="C823" s="1318"/>
      <c r="D823" s="1319"/>
      <c r="E823" s="1318"/>
      <c r="F823" s="1320">
        <f t="shared" si="103"/>
        <v>0</v>
      </c>
      <c r="G823" s="1319"/>
      <c r="H823" s="1318"/>
      <c r="I823" s="1320">
        <f t="shared" si="104"/>
        <v>0</v>
      </c>
      <c r="J823" s="1320">
        <f t="shared" si="97"/>
        <v>0</v>
      </c>
      <c r="K823" s="1320">
        <f t="shared" si="98"/>
        <v>0</v>
      </c>
      <c r="L823" s="1318"/>
      <c r="M823" s="1318"/>
      <c r="N823" s="1321">
        <f t="shared" si="99"/>
        <v>0</v>
      </c>
      <c r="O823" s="1322">
        <f t="shared" si="100"/>
        <v>0</v>
      </c>
      <c r="P823" s="2369">
        <f t="shared" si="101"/>
        <v>1900</v>
      </c>
      <c r="Q823" s="2369">
        <f t="shared" si="102"/>
        <v>1900</v>
      </c>
      <c r="R823" s="654"/>
      <c r="S823" s="654"/>
      <c r="T823" s="654"/>
      <c r="U823" s="654"/>
    </row>
    <row r="824" spans="1:21" ht="14.25" customHeight="1">
      <c r="A824" s="1316"/>
      <c r="B824" s="1317"/>
      <c r="C824" s="1318"/>
      <c r="D824" s="1319"/>
      <c r="E824" s="1318"/>
      <c r="F824" s="1320">
        <f t="shared" si="103"/>
        <v>0</v>
      </c>
      <c r="G824" s="1319"/>
      <c r="H824" s="1318"/>
      <c r="I824" s="1320">
        <f t="shared" si="104"/>
        <v>0</v>
      </c>
      <c r="J824" s="1320">
        <f t="shared" si="97"/>
        <v>0</v>
      </c>
      <c r="K824" s="1320">
        <f t="shared" si="98"/>
        <v>0</v>
      </c>
      <c r="L824" s="1318"/>
      <c r="M824" s="1318"/>
      <c r="N824" s="1321">
        <f t="shared" si="99"/>
        <v>0</v>
      </c>
      <c r="O824" s="1322">
        <f t="shared" si="100"/>
        <v>0</v>
      </c>
      <c r="P824" s="2369">
        <f t="shared" si="101"/>
        <v>1900</v>
      </c>
      <c r="Q824" s="2369">
        <f t="shared" si="102"/>
        <v>1900</v>
      </c>
      <c r="R824" s="654"/>
      <c r="S824" s="654"/>
      <c r="T824" s="654"/>
      <c r="U824" s="654"/>
    </row>
    <row r="825" spans="1:21" ht="14.25" customHeight="1">
      <c r="A825" s="1316"/>
      <c r="B825" s="1317"/>
      <c r="C825" s="1318"/>
      <c r="D825" s="1319"/>
      <c r="E825" s="1318"/>
      <c r="F825" s="1320">
        <f t="shared" si="103"/>
        <v>0</v>
      </c>
      <c r="G825" s="1319"/>
      <c r="H825" s="1318"/>
      <c r="I825" s="1320">
        <f t="shared" si="104"/>
        <v>0</v>
      </c>
      <c r="J825" s="1320">
        <f t="shared" si="97"/>
        <v>0</v>
      </c>
      <c r="K825" s="1320">
        <f t="shared" si="98"/>
        <v>0</v>
      </c>
      <c r="L825" s="1318"/>
      <c r="M825" s="1318"/>
      <c r="N825" s="1321">
        <f t="shared" si="99"/>
        <v>0</v>
      </c>
      <c r="O825" s="1322">
        <f t="shared" si="100"/>
        <v>0</v>
      </c>
      <c r="P825" s="2369">
        <f t="shared" si="101"/>
        <v>1900</v>
      </c>
      <c r="Q825" s="2369">
        <f t="shared" si="102"/>
        <v>1900</v>
      </c>
      <c r="R825" s="654"/>
      <c r="S825" s="654"/>
      <c r="T825" s="654"/>
      <c r="U825" s="654"/>
    </row>
    <row r="826" spans="1:21" ht="14.25" customHeight="1">
      <c r="A826" s="1316"/>
      <c r="B826" s="1317"/>
      <c r="C826" s="1318"/>
      <c r="D826" s="1319"/>
      <c r="E826" s="1318"/>
      <c r="F826" s="1320">
        <f t="shared" si="103"/>
        <v>0</v>
      </c>
      <c r="G826" s="1319"/>
      <c r="H826" s="1318"/>
      <c r="I826" s="1320">
        <f t="shared" si="104"/>
        <v>0</v>
      </c>
      <c r="J826" s="1320">
        <f t="shared" si="97"/>
        <v>0</v>
      </c>
      <c r="K826" s="1320">
        <f t="shared" si="98"/>
        <v>0</v>
      </c>
      <c r="L826" s="1318"/>
      <c r="M826" s="1318"/>
      <c r="N826" s="1321">
        <f t="shared" si="99"/>
        <v>0</v>
      </c>
      <c r="O826" s="1322">
        <f t="shared" si="100"/>
        <v>0</v>
      </c>
      <c r="P826" s="2369">
        <f t="shared" si="101"/>
        <v>1900</v>
      </c>
      <c r="Q826" s="2369">
        <f t="shared" si="102"/>
        <v>1900</v>
      </c>
      <c r="R826" s="654"/>
      <c r="S826" s="654"/>
      <c r="T826" s="654"/>
      <c r="U826" s="654"/>
    </row>
    <row r="827" spans="1:21" ht="14.25" customHeight="1">
      <c r="A827" s="1316"/>
      <c r="B827" s="1317"/>
      <c r="C827" s="1318"/>
      <c r="D827" s="1319"/>
      <c r="E827" s="1318"/>
      <c r="F827" s="1320">
        <f t="shared" si="103"/>
        <v>0</v>
      </c>
      <c r="G827" s="1319"/>
      <c r="H827" s="1318"/>
      <c r="I827" s="1320">
        <f t="shared" si="104"/>
        <v>0</v>
      </c>
      <c r="J827" s="1320">
        <f t="shared" si="97"/>
        <v>0</v>
      </c>
      <c r="K827" s="1320">
        <f t="shared" si="98"/>
        <v>0</v>
      </c>
      <c r="L827" s="1318"/>
      <c r="M827" s="1318"/>
      <c r="N827" s="1321">
        <f t="shared" si="99"/>
        <v>0</v>
      </c>
      <c r="O827" s="1322">
        <f t="shared" si="100"/>
        <v>0</v>
      </c>
      <c r="P827" s="2369">
        <f t="shared" si="101"/>
        <v>1900</v>
      </c>
      <c r="Q827" s="2369">
        <f t="shared" si="102"/>
        <v>1900</v>
      </c>
      <c r="R827" s="654"/>
      <c r="S827" s="654"/>
      <c r="T827" s="654"/>
      <c r="U827" s="654"/>
    </row>
    <row r="828" spans="1:21" ht="14.25" customHeight="1">
      <c r="A828" s="1316"/>
      <c r="B828" s="1317"/>
      <c r="C828" s="1318"/>
      <c r="D828" s="1319"/>
      <c r="E828" s="1318"/>
      <c r="F828" s="1320">
        <f t="shared" si="103"/>
        <v>0</v>
      </c>
      <c r="G828" s="1319"/>
      <c r="H828" s="1318"/>
      <c r="I828" s="1320">
        <f t="shared" si="104"/>
        <v>0</v>
      </c>
      <c r="J828" s="1320">
        <f t="shared" si="97"/>
        <v>0</v>
      </c>
      <c r="K828" s="1320">
        <f t="shared" si="98"/>
        <v>0</v>
      </c>
      <c r="L828" s="1318"/>
      <c r="M828" s="1318"/>
      <c r="N828" s="1321">
        <f t="shared" si="99"/>
        <v>0</v>
      </c>
      <c r="O828" s="1322">
        <f t="shared" si="100"/>
        <v>0</v>
      </c>
      <c r="P828" s="2369">
        <f t="shared" si="101"/>
        <v>1900</v>
      </c>
      <c r="Q828" s="2369">
        <f t="shared" si="102"/>
        <v>1900</v>
      </c>
      <c r="R828" s="654"/>
      <c r="S828" s="654"/>
      <c r="T828" s="654"/>
      <c r="U828" s="654"/>
    </row>
    <row r="829" spans="1:21" ht="14.25" customHeight="1">
      <c r="A829" s="1316"/>
      <c r="B829" s="1317"/>
      <c r="C829" s="1318"/>
      <c r="D829" s="1319"/>
      <c r="E829" s="1318"/>
      <c r="F829" s="1320">
        <f t="shared" si="103"/>
        <v>0</v>
      </c>
      <c r="G829" s="1319"/>
      <c r="H829" s="1318"/>
      <c r="I829" s="1320">
        <f t="shared" si="104"/>
        <v>0</v>
      </c>
      <c r="J829" s="1320">
        <f t="shared" si="97"/>
        <v>0</v>
      </c>
      <c r="K829" s="1320">
        <f t="shared" si="98"/>
        <v>0</v>
      </c>
      <c r="L829" s="1318"/>
      <c r="M829" s="1318"/>
      <c r="N829" s="1321">
        <f t="shared" si="99"/>
        <v>0</v>
      </c>
      <c r="O829" s="1322">
        <f t="shared" si="100"/>
        <v>0</v>
      </c>
      <c r="P829" s="2369">
        <f t="shared" si="101"/>
        <v>1900</v>
      </c>
      <c r="Q829" s="2369">
        <f t="shared" si="102"/>
        <v>1900</v>
      </c>
      <c r="R829" s="654"/>
      <c r="S829" s="654"/>
      <c r="T829" s="654"/>
      <c r="U829" s="654"/>
    </row>
    <row r="830" spans="1:21" ht="14.25" customHeight="1">
      <c r="A830" s="1316"/>
      <c r="B830" s="1317"/>
      <c r="C830" s="1318"/>
      <c r="D830" s="1319"/>
      <c r="E830" s="1318"/>
      <c r="F830" s="1320">
        <f t="shared" si="103"/>
        <v>0</v>
      </c>
      <c r="G830" s="1319"/>
      <c r="H830" s="1318"/>
      <c r="I830" s="1320">
        <f t="shared" si="104"/>
        <v>0</v>
      </c>
      <c r="J830" s="1320">
        <f t="shared" si="97"/>
        <v>0</v>
      </c>
      <c r="K830" s="1320">
        <f t="shared" si="98"/>
        <v>0</v>
      </c>
      <c r="L830" s="1318"/>
      <c r="M830" s="1318"/>
      <c r="N830" s="1321">
        <f t="shared" si="99"/>
        <v>0</v>
      </c>
      <c r="O830" s="1322">
        <f t="shared" si="100"/>
        <v>0</v>
      </c>
      <c r="P830" s="2369">
        <f t="shared" si="101"/>
        <v>1900</v>
      </c>
      <c r="Q830" s="2369">
        <f t="shared" si="102"/>
        <v>1900</v>
      </c>
      <c r="R830" s="654"/>
      <c r="S830" s="654"/>
      <c r="T830" s="654"/>
      <c r="U830" s="654"/>
    </row>
    <row r="831" spans="1:21" ht="14.25" customHeight="1">
      <c r="A831" s="1316"/>
      <c r="B831" s="1317"/>
      <c r="C831" s="1318"/>
      <c r="D831" s="1319"/>
      <c r="E831" s="1318"/>
      <c r="F831" s="1320">
        <f t="shared" si="103"/>
        <v>0</v>
      </c>
      <c r="G831" s="1319"/>
      <c r="H831" s="1318"/>
      <c r="I831" s="1320">
        <f t="shared" si="104"/>
        <v>0</v>
      </c>
      <c r="J831" s="1320">
        <f t="shared" si="97"/>
        <v>0</v>
      </c>
      <c r="K831" s="1320">
        <f t="shared" si="98"/>
        <v>0</v>
      </c>
      <c r="L831" s="1318"/>
      <c r="M831" s="1318"/>
      <c r="N831" s="1321">
        <f t="shared" si="99"/>
        <v>0</v>
      </c>
      <c r="O831" s="1322">
        <f t="shared" si="100"/>
        <v>0</v>
      </c>
      <c r="P831" s="2369">
        <f t="shared" si="101"/>
        <v>1900</v>
      </c>
      <c r="Q831" s="2369">
        <f t="shared" si="102"/>
        <v>1900</v>
      </c>
      <c r="R831" s="654"/>
      <c r="S831" s="654"/>
      <c r="T831" s="654"/>
      <c r="U831" s="654"/>
    </row>
    <row r="832" spans="1:21" ht="14.25" customHeight="1">
      <c r="A832" s="1316"/>
      <c r="B832" s="1317"/>
      <c r="C832" s="1318"/>
      <c r="D832" s="1319"/>
      <c r="E832" s="1318"/>
      <c r="F832" s="1320">
        <f t="shared" si="103"/>
        <v>0</v>
      </c>
      <c r="G832" s="1319"/>
      <c r="H832" s="1318"/>
      <c r="I832" s="1320">
        <f t="shared" si="104"/>
        <v>0</v>
      </c>
      <c r="J832" s="1320">
        <f t="shared" si="97"/>
        <v>0</v>
      </c>
      <c r="K832" s="1320">
        <f t="shared" si="98"/>
        <v>0</v>
      </c>
      <c r="L832" s="1318"/>
      <c r="M832" s="1318"/>
      <c r="N832" s="1321">
        <f t="shared" si="99"/>
        <v>0</v>
      </c>
      <c r="O832" s="1322">
        <f t="shared" si="100"/>
        <v>0</v>
      </c>
      <c r="P832" s="2369">
        <f t="shared" si="101"/>
        <v>1900</v>
      </c>
      <c r="Q832" s="2369">
        <f t="shared" si="102"/>
        <v>1900</v>
      </c>
      <c r="R832" s="654"/>
      <c r="S832" s="654"/>
      <c r="T832" s="654"/>
      <c r="U832" s="654"/>
    </row>
    <row r="833" spans="1:21" ht="14.25" customHeight="1">
      <c r="A833" s="1316"/>
      <c r="B833" s="1317"/>
      <c r="C833" s="1318"/>
      <c r="D833" s="1319"/>
      <c r="E833" s="1318"/>
      <c r="F833" s="1320">
        <f t="shared" si="103"/>
        <v>0</v>
      </c>
      <c r="G833" s="1319"/>
      <c r="H833" s="1318"/>
      <c r="I833" s="1320">
        <f t="shared" si="104"/>
        <v>0</v>
      </c>
      <c r="J833" s="1320">
        <f t="shared" si="97"/>
        <v>0</v>
      </c>
      <c r="K833" s="1320">
        <f t="shared" si="98"/>
        <v>0</v>
      </c>
      <c r="L833" s="1318"/>
      <c r="M833" s="1318"/>
      <c r="N833" s="1321">
        <f t="shared" si="99"/>
        <v>0</v>
      </c>
      <c r="O833" s="1322">
        <f t="shared" si="100"/>
        <v>0</v>
      </c>
      <c r="P833" s="2369">
        <f t="shared" si="101"/>
        <v>1900</v>
      </c>
      <c r="Q833" s="2369">
        <f t="shared" si="102"/>
        <v>1900</v>
      </c>
      <c r="R833" s="654"/>
      <c r="S833" s="654"/>
      <c r="T833" s="654"/>
      <c r="U833" s="654"/>
    </row>
    <row r="834" spans="1:21" ht="14.25" customHeight="1">
      <c r="A834" s="1316"/>
      <c r="B834" s="1317"/>
      <c r="C834" s="1318"/>
      <c r="D834" s="1319"/>
      <c r="E834" s="1318"/>
      <c r="F834" s="1320">
        <f t="shared" si="103"/>
        <v>0</v>
      </c>
      <c r="G834" s="1319"/>
      <c r="H834" s="1318"/>
      <c r="I834" s="1320">
        <f t="shared" si="104"/>
        <v>0</v>
      </c>
      <c r="J834" s="1320">
        <f t="shared" si="97"/>
        <v>0</v>
      </c>
      <c r="K834" s="1320">
        <f t="shared" si="98"/>
        <v>0</v>
      </c>
      <c r="L834" s="1318"/>
      <c r="M834" s="1318"/>
      <c r="N834" s="1321">
        <f t="shared" si="99"/>
        <v>0</v>
      </c>
      <c r="O834" s="1322">
        <f t="shared" si="100"/>
        <v>0</v>
      </c>
      <c r="P834" s="2369">
        <f t="shared" si="101"/>
        <v>1900</v>
      </c>
      <c r="Q834" s="2369">
        <f t="shared" si="102"/>
        <v>1900</v>
      </c>
      <c r="R834" s="654"/>
      <c r="S834" s="654"/>
      <c r="T834" s="654"/>
      <c r="U834" s="654"/>
    </row>
    <row r="835" spans="1:21" ht="14.25" customHeight="1">
      <c r="A835" s="1316"/>
      <c r="B835" s="1317"/>
      <c r="C835" s="1318"/>
      <c r="D835" s="1319"/>
      <c r="E835" s="1318"/>
      <c r="F835" s="1320">
        <f t="shared" si="103"/>
        <v>0</v>
      </c>
      <c r="G835" s="1319"/>
      <c r="H835" s="1318"/>
      <c r="I835" s="1320">
        <f t="shared" si="104"/>
        <v>0</v>
      </c>
      <c r="J835" s="1320">
        <f t="shared" si="97"/>
        <v>0</v>
      </c>
      <c r="K835" s="1320">
        <f t="shared" si="98"/>
        <v>0</v>
      </c>
      <c r="L835" s="1318"/>
      <c r="M835" s="1318"/>
      <c r="N835" s="1321">
        <f t="shared" si="99"/>
        <v>0</v>
      </c>
      <c r="O835" s="1322">
        <f t="shared" si="100"/>
        <v>0</v>
      </c>
      <c r="P835" s="2369">
        <f t="shared" si="101"/>
        <v>1900</v>
      </c>
      <c r="Q835" s="2369">
        <f t="shared" si="102"/>
        <v>1900</v>
      </c>
      <c r="R835" s="654"/>
      <c r="S835" s="654"/>
      <c r="T835" s="654"/>
      <c r="U835" s="654"/>
    </row>
    <row r="836" spans="1:21" ht="14.25" customHeight="1">
      <c r="A836" s="1316"/>
      <c r="B836" s="1317"/>
      <c r="C836" s="1318"/>
      <c r="D836" s="1319"/>
      <c r="E836" s="1318"/>
      <c r="F836" s="1320">
        <f t="shared" si="103"/>
        <v>0</v>
      </c>
      <c r="G836" s="1319"/>
      <c r="H836" s="1318"/>
      <c r="I836" s="1320">
        <f t="shared" si="104"/>
        <v>0</v>
      </c>
      <c r="J836" s="1320">
        <f t="shared" si="97"/>
        <v>0</v>
      </c>
      <c r="K836" s="1320">
        <f t="shared" si="98"/>
        <v>0</v>
      </c>
      <c r="L836" s="1318"/>
      <c r="M836" s="1318"/>
      <c r="N836" s="1321">
        <f t="shared" si="99"/>
        <v>0</v>
      </c>
      <c r="O836" s="1322">
        <f t="shared" si="100"/>
        <v>0</v>
      </c>
      <c r="P836" s="2369">
        <f t="shared" si="101"/>
        <v>1900</v>
      </c>
      <c r="Q836" s="2369">
        <f t="shared" si="102"/>
        <v>1900</v>
      </c>
      <c r="R836" s="654"/>
      <c r="S836" s="654"/>
      <c r="T836" s="654"/>
      <c r="U836" s="654"/>
    </row>
    <row r="837" spans="1:21" ht="14.25" customHeight="1">
      <c r="A837" s="1316"/>
      <c r="B837" s="1317"/>
      <c r="C837" s="1318"/>
      <c r="D837" s="1319"/>
      <c r="E837" s="1318"/>
      <c r="F837" s="1320">
        <f t="shared" si="103"/>
        <v>0</v>
      </c>
      <c r="G837" s="1319"/>
      <c r="H837" s="1318"/>
      <c r="I837" s="1320">
        <f t="shared" si="104"/>
        <v>0</v>
      </c>
      <c r="J837" s="1320">
        <f t="shared" si="97"/>
        <v>0</v>
      </c>
      <c r="K837" s="1320">
        <f t="shared" si="98"/>
        <v>0</v>
      </c>
      <c r="L837" s="1318"/>
      <c r="M837" s="1318"/>
      <c r="N837" s="1321">
        <f t="shared" si="99"/>
        <v>0</v>
      </c>
      <c r="O837" s="1322">
        <f t="shared" si="100"/>
        <v>0</v>
      </c>
      <c r="P837" s="2369">
        <f t="shared" si="101"/>
        <v>1900</v>
      </c>
      <c r="Q837" s="2369">
        <f t="shared" si="102"/>
        <v>1900</v>
      </c>
      <c r="R837" s="654"/>
      <c r="S837" s="654"/>
      <c r="T837" s="654"/>
      <c r="U837" s="654"/>
    </row>
    <row r="838" spans="1:21" ht="14.25" customHeight="1">
      <c r="A838" s="1316"/>
      <c r="B838" s="1317"/>
      <c r="C838" s="1318"/>
      <c r="D838" s="1319"/>
      <c r="E838" s="1318"/>
      <c r="F838" s="1320">
        <f t="shared" si="103"/>
        <v>0</v>
      </c>
      <c r="G838" s="1319"/>
      <c r="H838" s="1318"/>
      <c r="I838" s="1320">
        <f t="shared" si="104"/>
        <v>0</v>
      </c>
      <c r="J838" s="1320">
        <f t="shared" si="97"/>
        <v>0</v>
      </c>
      <c r="K838" s="1320">
        <f t="shared" si="98"/>
        <v>0</v>
      </c>
      <c r="L838" s="1318"/>
      <c r="M838" s="1318"/>
      <c r="N838" s="1321">
        <f t="shared" si="99"/>
        <v>0</v>
      </c>
      <c r="O838" s="1322">
        <f t="shared" si="100"/>
        <v>0</v>
      </c>
      <c r="P838" s="2369">
        <f t="shared" si="101"/>
        <v>1900</v>
      </c>
      <c r="Q838" s="2369">
        <f t="shared" si="102"/>
        <v>1900</v>
      </c>
      <c r="R838" s="654"/>
      <c r="S838" s="654"/>
      <c r="T838" s="654"/>
      <c r="U838" s="654"/>
    </row>
    <row r="839" spans="1:21" ht="14.25" customHeight="1">
      <c r="A839" s="1316"/>
      <c r="B839" s="1317"/>
      <c r="C839" s="1318"/>
      <c r="D839" s="1319"/>
      <c r="E839" s="1318"/>
      <c r="F839" s="1320">
        <f t="shared" si="103"/>
        <v>0</v>
      </c>
      <c r="G839" s="1319"/>
      <c r="H839" s="1318"/>
      <c r="I839" s="1320">
        <f t="shared" si="104"/>
        <v>0</v>
      </c>
      <c r="J839" s="1320">
        <f t="shared" si="97"/>
        <v>0</v>
      </c>
      <c r="K839" s="1320">
        <f t="shared" si="98"/>
        <v>0</v>
      </c>
      <c r="L839" s="1318"/>
      <c r="M839" s="1318"/>
      <c r="N839" s="1321">
        <f t="shared" si="99"/>
        <v>0</v>
      </c>
      <c r="O839" s="1322">
        <f t="shared" si="100"/>
        <v>0</v>
      </c>
      <c r="P839" s="2369">
        <f t="shared" si="101"/>
        <v>1900</v>
      </c>
      <c r="Q839" s="2369">
        <f t="shared" si="102"/>
        <v>1900</v>
      </c>
      <c r="R839" s="654"/>
      <c r="S839" s="654"/>
      <c r="T839" s="654"/>
      <c r="U839" s="654"/>
    </row>
    <row r="840" spans="1:21" ht="14.25" customHeight="1">
      <c r="A840" s="1316"/>
      <c r="B840" s="1317"/>
      <c r="C840" s="1318"/>
      <c r="D840" s="1319"/>
      <c r="E840" s="1318"/>
      <c r="F840" s="1320">
        <f t="shared" si="103"/>
        <v>0</v>
      </c>
      <c r="G840" s="1319"/>
      <c r="H840" s="1318"/>
      <c r="I840" s="1320">
        <f t="shared" si="104"/>
        <v>0</v>
      </c>
      <c r="J840" s="1320">
        <f t="shared" si="97"/>
        <v>0</v>
      </c>
      <c r="K840" s="1320">
        <f t="shared" si="98"/>
        <v>0</v>
      </c>
      <c r="L840" s="1318"/>
      <c r="M840" s="1318"/>
      <c r="N840" s="1321">
        <f t="shared" si="99"/>
        <v>0</v>
      </c>
      <c r="O840" s="1322">
        <f t="shared" si="100"/>
        <v>0</v>
      </c>
      <c r="P840" s="2369">
        <f t="shared" si="101"/>
        <v>1900</v>
      </c>
      <c r="Q840" s="2369">
        <f t="shared" si="102"/>
        <v>1900</v>
      </c>
      <c r="R840" s="654"/>
      <c r="S840" s="654"/>
      <c r="T840" s="654"/>
      <c r="U840" s="654"/>
    </row>
    <row r="841" spans="1:21" ht="14.25" customHeight="1">
      <c r="A841" s="1316"/>
      <c r="B841" s="1317"/>
      <c r="C841" s="1318"/>
      <c r="D841" s="1319"/>
      <c r="E841" s="1318"/>
      <c r="F841" s="1320">
        <f t="shared" si="103"/>
        <v>0</v>
      </c>
      <c r="G841" s="1319"/>
      <c r="H841" s="1318"/>
      <c r="I841" s="1320">
        <f t="shared" si="104"/>
        <v>0</v>
      </c>
      <c r="J841" s="1320">
        <f t="shared" ref="J841:J904" si="105">C841+E841-H841</f>
        <v>0</v>
      </c>
      <c r="K841" s="1320">
        <f t="shared" ref="K841:K904" si="106">C841+F841-I841</f>
        <v>0</v>
      </c>
      <c r="L841" s="1318"/>
      <c r="M841" s="1318"/>
      <c r="N841" s="1321">
        <f t="shared" si="99"/>
        <v>0</v>
      </c>
      <c r="O841" s="1322">
        <f t="shared" si="100"/>
        <v>0</v>
      </c>
      <c r="P841" s="2369">
        <f t="shared" si="101"/>
        <v>1900</v>
      </c>
      <c r="Q841" s="2369">
        <f t="shared" si="102"/>
        <v>1900</v>
      </c>
      <c r="R841" s="654"/>
      <c r="S841" s="654"/>
      <c r="T841" s="654"/>
      <c r="U841" s="654"/>
    </row>
    <row r="842" spans="1:21" ht="14.25" customHeight="1">
      <c r="A842" s="1316"/>
      <c r="B842" s="1317"/>
      <c r="C842" s="1318"/>
      <c r="D842" s="1319"/>
      <c r="E842" s="1318"/>
      <c r="F842" s="1320">
        <f t="shared" si="103"/>
        <v>0</v>
      </c>
      <c r="G842" s="1319"/>
      <c r="H842" s="1318"/>
      <c r="I842" s="1320">
        <f t="shared" si="104"/>
        <v>0</v>
      </c>
      <c r="J842" s="1320">
        <f t="shared" si="105"/>
        <v>0</v>
      </c>
      <c r="K842" s="1320">
        <f t="shared" si="106"/>
        <v>0</v>
      </c>
      <c r="L842" s="1318"/>
      <c r="M842" s="1318"/>
      <c r="N842" s="1321">
        <f t="shared" ref="N842:N905" si="107">IF(M842&lt;&gt;0,ROUND(B842*K842,2)+M842,IF(ABS(ROUND(K842*B842,2)-L842)&lt;3,L842,MIN(ROUND(K842*B842,2),L842)))</f>
        <v>0</v>
      </c>
      <c r="O842" s="1322">
        <f t="shared" ref="O842:O905" si="108">IF(ISERROR(L842-N842),"",IF(ABS(L842-N842)&lt;3,0,L842-N842))</f>
        <v>0</v>
      </c>
      <c r="P842" s="2369">
        <f t="shared" ref="P842:P905" si="109">IFERROR(YEAR(D842),0)</f>
        <v>1900</v>
      </c>
      <c r="Q842" s="2369">
        <f t="shared" ref="Q842:Q905" si="110">IFERROR(YEAR(G842),0)</f>
        <v>1900</v>
      </c>
      <c r="R842" s="654"/>
      <c r="S842" s="654"/>
      <c r="T842" s="654"/>
      <c r="U842" s="654"/>
    </row>
    <row r="843" spans="1:21" ht="14.25" customHeight="1">
      <c r="A843" s="1316"/>
      <c r="B843" s="1317"/>
      <c r="C843" s="1318"/>
      <c r="D843" s="1319"/>
      <c r="E843" s="1318"/>
      <c r="F843" s="1320">
        <f t="shared" ref="F843:F906" si="111">E843*(12-MONTH(D843))/12</f>
        <v>0</v>
      </c>
      <c r="G843" s="1319"/>
      <c r="H843" s="1318"/>
      <c r="I843" s="1320">
        <f t="shared" ref="I843:I906" si="112">H843*(12-MONTH(G843))/12</f>
        <v>0</v>
      </c>
      <c r="J843" s="1320">
        <f t="shared" si="105"/>
        <v>0</v>
      </c>
      <c r="K843" s="1320">
        <f t="shared" si="106"/>
        <v>0</v>
      </c>
      <c r="L843" s="1318"/>
      <c r="M843" s="1318"/>
      <c r="N843" s="1321">
        <f t="shared" si="107"/>
        <v>0</v>
      </c>
      <c r="O843" s="1322">
        <f t="shared" si="108"/>
        <v>0</v>
      </c>
      <c r="P843" s="2369">
        <f t="shared" si="109"/>
        <v>1900</v>
      </c>
      <c r="Q843" s="2369">
        <f t="shared" si="110"/>
        <v>1900</v>
      </c>
      <c r="R843" s="654"/>
      <c r="S843" s="654"/>
      <c r="T843" s="654"/>
      <c r="U843" s="654"/>
    </row>
    <row r="844" spans="1:21" ht="14.25" customHeight="1">
      <c r="A844" s="1316"/>
      <c r="B844" s="1317"/>
      <c r="C844" s="1318"/>
      <c r="D844" s="1319"/>
      <c r="E844" s="1318"/>
      <c r="F844" s="1320">
        <f t="shared" si="111"/>
        <v>0</v>
      </c>
      <c r="G844" s="1319"/>
      <c r="H844" s="1318"/>
      <c r="I844" s="1320">
        <f t="shared" si="112"/>
        <v>0</v>
      </c>
      <c r="J844" s="1320">
        <f t="shared" si="105"/>
        <v>0</v>
      </c>
      <c r="K844" s="1320">
        <f t="shared" si="106"/>
        <v>0</v>
      </c>
      <c r="L844" s="1318"/>
      <c r="M844" s="1318"/>
      <c r="N844" s="1321">
        <f t="shared" si="107"/>
        <v>0</v>
      </c>
      <c r="O844" s="1322">
        <f t="shared" si="108"/>
        <v>0</v>
      </c>
      <c r="P844" s="2369">
        <f t="shared" si="109"/>
        <v>1900</v>
      </c>
      <c r="Q844" s="2369">
        <f t="shared" si="110"/>
        <v>1900</v>
      </c>
      <c r="R844" s="654"/>
      <c r="S844" s="654"/>
      <c r="T844" s="654"/>
      <c r="U844" s="654"/>
    </row>
    <row r="845" spans="1:21" ht="14.25" customHeight="1">
      <c r="A845" s="1316"/>
      <c r="B845" s="1317"/>
      <c r="C845" s="1318"/>
      <c r="D845" s="1319"/>
      <c r="E845" s="1318"/>
      <c r="F845" s="1320">
        <f t="shared" si="111"/>
        <v>0</v>
      </c>
      <c r="G845" s="1319"/>
      <c r="H845" s="1318"/>
      <c r="I845" s="1320">
        <f t="shared" si="112"/>
        <v>0</v>
      </c>
      <c r="J845" s="1320">
        <f t="shared" si="105"/>
        <v>0</v>
      </c>
      <c r="K845" s="1320">
        <f t="shared" si="106"/>
        <v>0</v>
      </c>
      <c r="L845" s="1318"/>
      <c r="M845" s="1318"/>
      <c r="N845" s="1321">
        <f t="shared" si="107"/>
        <v>0</v>
      </c>
      <c r="O845" s="1322">
        <f t="shared" si="108"/>
        <v>0</v>
      </c>
      <c r="P845" s="2369">
        <f t="shared" si="109"/>
        <v>1900</v>
      </c>
      <c r="Q845" s="2369">
        <f t="shared" si="110"/>
        <v>1900</v>
      </c>
      <c r="R845" s="654"/>
      <c r="S845" s="654"/>
      <c r="T845" s="654"/>
      <c r="U845" s="654"/>
    </row>
    <row r="846" spans="1:21" ht="14.25" customHeight="1">
      <c r="A846" s="1316"/>
      <c r="B846" s="1317"/>
      <c r="C846" s="1318"/>
      <c r="D846" s="1319"/>
      <c r="E846" s="1318"/>
      <c r="F846" s="1320">
        <f t="shared" si="111"/>
        <v>0</v>
      </c>
      <c r="G846" s="1319"/>
      <c r="H846" s="1318"/>
      <c r="I846" s="1320">
        <f t="shared" si="112"/>
        <v>0</v>
      </c>
      <c r="J846" s="1320">
        <f t="shared" si="105"/>
        <v>0</v>
      </c>
      <c r="K846" s="1320">
        <f t="shared" si="106"/>
        <v>0</v>
      </c>
      <c r="L846" s="1318"/>
      <c r="M846" s="1318"/>
      <c r="N846" s="1321">
        <f t="shared" si="107"/>
        <v>0</v>
      </c>
      <c r="O846" s="1322">
        <f t="shared" si="108"/>
        <v>0</v>
      </c>
      <c r="P846" s="2369">
        <f t="shared" si="109"/>
        <v>1900</v>
      </c>
      <c r="Q846" s="2369">
        <f t="shared" si="110"/>
        <v>1900</v>
      </c>
      <c r="R846" s="654"/>
      <c r="S846" s="654"/>
      <c r="T846" s="654"/>
      <c r="U846" s="654"/>
    </row>
    <row r="847" spans="1:21" ht="14.25" customHeight="1">
      <c r="A847" s="1316"/>
      <c r="B847" s="1317"/>
      <c r="C847" s="1318"/>
      <c r="D847" s="1319"/>
      <c r="E847" s="1318"/>
      <c r="F847" s="1320">
        <f t="shared" si="111"/>
        <v>0</v>
      </c>
      <c r="G847" s="1319"/>
      <c r="H847" s="1318"/>
      <c r="I847" s="1320">
        <f t="shared" si="112"/>
        <v>0</v>
      </c>
      <c r="J847" s="1320">
        <f t="shared" si="105"/>
        <v>0</v>
      </c>
      <c r="K847" s="1320">
        <f t="shared" si="106"/>
        <v>0</v>
      </c>
      <c r="L847" s="1318"/>
      <c r="M847" s="1318"/>
      <c r="N847" s="1321">
        <f t="shared" si="107"/>
        <v>0</v>
      </c>
      <c r="O847" s="1322">
        <f t="shared" si="108"/>
        <v>0</v>
      </c>
      <c r="P847" s="2369">
        <f t="shared" si="109"/>
        <v>1900</v>
      </c>
      <c r="Q847" s="2369">
        <f t="shared" si="110"/>
        <v>1900</v>
      </c>
      <c r="R847" s="654"/>
      <c r="S847" s="654"/>
      <c r="T847" s="654"/>
      <c r="U847" s="654"/>
    </row>
    <row r="848" spans="1:21" ht="14.25" customHeight="1">
      <c r="A848" s="1316"/>
      <c r="B848" s="1317"/>
      <c r="C848" s="1318"/>
      <c r="D848" s="1319"/>
      <c r="E848" s="1318"/>
      <c r="F848" s="1320">
        <f t="shared" si="111"/>
        <v>0</v>
      </c>
      <c r="G848" s="1319"/>
      <c r="H848" s="1318"/>
      <c r="I848" s="1320">
        <f t="shared" si="112"/>
        <v>0</v>
      </c>
      <c r="J848" s="1320">
        <f t="shared" si="105"/>
        <v>0</v>
      </c>
      <c r="K848" s="1320">
        <f t="shared" si="106"/>
        <v>0</v>
      </c>
      <c r="L848" s="1318"/>
      <c r="M848" s="1318"/>
      <c r="N848" s="1321">
        <f t="shared" si="107"/>
        <v>0</v>
      </c>
      <c r="O848" s="1322">
        <f t="shared" si="108"/>
        <v>0</v>
      </c>
      <c r="P848" s="2369">
        <f t="shared" si="109"/>
        <v>1900</v>
      </c>
      <c r="Q848" s="2369">
        <f t="shared" si="110"/>
        <v>1900</v>
      </c>
      <c r="R848" s="654"/>
      <c r="S848" s="654"/>
      <c r="T848" s="654"/>
      <c r="U848" s="654"/>
    </row>
    <row r="849" spans="1:21" ht="14.25" customHeight="1">
      <c r="A849" s="1316"/>
      <c r="B849" s="1317"/>
      <c r="C849" s="1318"/>
      <c r="D849" s="1319"/>
      <c r="E849" s="1318"/>
      <c r="F849" s="1320">
        <f t="shared" si="111"/>
        <v>0</v>
      </c>
      <c r="G849" s="1319"/>
      <c r="H849" s="1318"/>
      <c r="I849" s="1320">
        <f t="shared" si="112"/>
        <v>0</v>
      </c>
      <c r="J849" s="1320">
        <f t="shared" si="105"/>
        <v>0</v>
      </c>
      <c r="K849" s="1320">
        <f t="shared" si="106"/>
        <v>0</v>
      </c>
      <c r="L849" s="1318"/>
      <c r="M849" s="1318"/>
      <c r="N849" s="1321">
        <f t="shared" si="107"/>
        <v>0</v>
      </c>
      <c r="O849" s="1322">
        <f t="shared" si="108"/>
        <v>0</v>
      </c>
      <c r="P849" s="2369">
        <f t="shared" si="109"/>
        <v>1900</v>
      </c>
      <c r="Q849" s="2369">
        <f t="shared" si="110"/>
        <v>1900</v>
      </c>
      <c r="R849" s="654"/>
      <c r="S849" s="654"/>
      <c r="T849" s="654"/>
      <c r="U849" s="654"/>
    </row>
    <row r="850" spans="1:21" ht="14.25" customHeight="1">
      <c r="A850" s="1316"/>
      <c r="B850" s="1317"/>
      <c r="C850" s="1318"/>
      <c r="D850" s="1319"/>
      <c r="E850" s="1318"/>
      <c r="F850" s="1320">
        <f t="shared" si="111"/>
        <v>0</v>
      </c>
      <c r="G850" s="1319"/>
      <c r="H850" s="1318"/>
      <c r="I850" s="1320">
        <f t="shared" si="112"/>
        <v>0</v>
      </c>
      <c r="J850" s="1320">
        <f t="shared" si="105"/>
        <v>0</v>
      </c>
      <c r="K850" s="1320">
        <f t="shared" si="106"/>
        <v>0</v>
      </c>
      <c r="L850" s="1318"/>
      <c r="M850" s="1318"/>
      <c r="N850" s="1321">
        <f t="shared" si="107"/>
        <v>0</v>
      </c>
      <c r="O850" s="1322">
        <f t="shared" si="108"/>
        <v>0</v>
      </c>
      <c r="P850" s="2369">
        <f t="shared" si="109"/>
        <v>1900</v>
      </c>
      <c r="Q850" s="2369">
        <f t="shared" si="110"/>
        <v>1900</v>
      </c>
      <c r="R850" s="654"/>
      <c r="S850" s="654"/>
      <c r="T850" s="654"/>
      <c r="U850" s="654"/>
    </row>
    <row r="851" spans="1:21" ht="14.25" customHeight="1">
      <c r="A851" s="1316"/>
      <c r="B851" s="1317"/>
      <c r="C851" s="1318"/>
      <c r="D851" s="1319"/>
      <c r="E851" s="1318"/>
      <c r="F851" s="1320">
        <f t="shared" si="111"/>
        <v>0</v>
      </c>
      <c r="G851" s="1319"/>
      <c r="H851" s="1318"/>
      <c r="I851" s="1320">
        <f t="shared" si="112"/>
        <v>0</v>
      </c>
      <c r="J851" s="1320">
        <f t="shared" si="105"/>
        <v>0</v>
      </c>
      <c r="K851" s="1320">
        <f t="shared" si="106"/>
        <v>0</v>
      </c>
      <c r="L851" s="1318"/>
      <c r="M851" s="1318"/>
      <c r="N851" s="1321">
        <f t="shared" si="107"/>
        <v>0</v>
      </c>
      <c r="O851" s="1322">
        <f t="shared" si="108"/>
        <v>0</v>
      </c>
      <c r="P851" s="2369">
        <f t="shared" si="109"/>
        <v>1900</v>
      </c>
      <c r="Q851" s="2369">
        <f t="shared" si="110"/>
        <v>1900</v>
      </c>
      <c r="R851" s="654"/>
      <c r="S851" s="654"/>
      <c r="T851" s="654"/>
      <c r="U851" s="654"/>
    </row>
    <row r="852" spans="1:21" ht="14.25" customHeight="1">
      <c r="A852" s="1316"/>
      <c r="B852" s="1317"/>
      <c r="C852" s="1318"/>
      <c r="D852" s="1319"/>
      <c r="E852" s="1318"/>
      <c r="F852" s="1320">
        <f t="shared" si="111"/>
        <v>0</v>
      </c>
      <c r="G852" s="1319"/>
      <c r="H852" s="1318"/>
      <c r="I852" s="1320">
        <f t="shared" si="112"/>
        <v>0</v>
      </c>
      <c r="J852" s="1320">
        <f t="shared" si="105"/>
        <v>0</v>
      </c>
      <c r="K852" s="1320">
        <f t="shared" si="106"/>
        <v>0</v>
      </c>
      <c r="L852" s="1318"/>
      <c r="M852" s="1318"/>
      <c r="N852" s="1321">
        <f t="shared" si="107"/>
        <v>0</v>
      </c>
      <c r="O852" s="1322">
        <f t="shared" si="108"/>
        <v>0</v>
      </c>
      <c r="P852" s="2369">
        <f t="shared" si="109"/>
        <v>1900</v>
      </c>
      <c r="Q852" s="2369">
        <f t="shared" si="110"/>
        <v>1900</v>
      </c>
      <c r="R852" s="654"/>
      <c r="S852" s="654"/>
      <c r="T852" s="654"/>
      <c r="U852" s="654"/>
    </row>
    <row r="853" spans="1:21" ht="14.25" customHeight="1">
      <c r="A853" s="1316"/>
      <c r="B853" s="1317"/>
      <c r="C853" s="1318"/>
      <c r="D853" s="1319"/>
      <c r="E853" s="1318"/>
      <c r="F853" s="1320">
        <f t="shared" si="111"/>
        <v>0</v>
      </c>
      <c r="G853" s="1319"/>
      <c r="H853" s="1318"/>
      <c r="I853" s="1320">
        <f t="shared" si="112"/>
        <v>0</v>
      </c>
      <c r="J853" s="1320">
        <f t="shared" si="105"/>
        <v>0</v>
      </c>
      <c r="K853" s="1320">
        <f t="shared" si="106"/>
        <v>0</v>
      </c>
      <c r="L853" s="1318"/>
      <c r="M853" s="1318"/>
      <c r="N853" s="1321">
        <f t="shared" si="107"/>
        <v>0</v>
      </c>
      <c r="O853" s="1322">
        <f t="shared" si="108"/>
        <v>0</v>
      </c>
      <c r="P853" s="2369">
        <f t="shared" si="109"/>
        <v>1900</v>
      </c>
      <c r="Q853" s="2369">
        <f t="shared" si="110"/>
        <v>1900</v>
      </c>
      <c r="R853" s="654"/>
      <c r="S853" s="654"/>
      <c r="T853" s="654"/>
      <c r="U853" s="654"/>
    </row>
    <row r="854" spans="1:21" ht="14.25" customHeight="1">
      <c r="A854" s="1316"/>
      <c r="B854" s="1317"/>
      <c r="C854" s="1318"/>
      <c r="D854" s="1319"/>
      <c r="E854" s="1318"/>
      <c r="F854" s="1320">
        <f t="shared" si="111"/>
        <v>0</v>
      </c>
      <c r="G854" s="1319"/>
      <c r="H854" s="1318"/>
      <c r="I854" s="1320">
        <f t="shared" si="112"/>
        <v>0</v>
      </c>
      <c r="J854" s="1320">
        <f t="shared" si="105"/>
        <v>0</v>
      </c>
      <c r="K854" s="1320">
        <f t="shared" si="106"/>
        <v>0</v>
      </c>
      <c r="L854" s="1318"/>
      <c r="M854" s="1318"/>
      <c r="N854" s="1321">
        <f t="shared" si="107"/>
        <v>0</v>
      </c>
      <c r="O854" s="1322">
        <f t="shared" si="108"/>
        <v>0</v>
      </c>
      <c r="P854" s="2369">
        <f t="shared" si="109"/>
        <v>1900</v>
      </c>
      <c r="Q854" s="2369">
        <f t="shared" si="110"/>
        <v>1900</v>
      </c>
      <c r="R854" s="654"/>
      <c r="S854" s="654"/>
      <c r="T854" s="654"/>
      <c r="U854" s="654"/>
    </row>
    <row r="855" spans="1:21" ht="14.25" customHeight="1">
      <c r="A855" s="1316"/>
      <c r="B855" s="1317"/>
      <c r="C855" s="1318"/>
      <c r="D855" s="1319"/>
      <c r="E855" s="1318"/>
      <c r="F855" s="1320">
        <f t="shared" si="111"/>
        <v>0</v>
      </c>
      <c r="G855" s="1319"/>
      <c r="H855" s="1318"/>
      <c r="I855" s="1320">
        <f t="shared" si="112"/>
        <v>0</v>
      </c>
      <c r="J855" s="1320">
        <f t="shared" si="105"/>
        <v>0</v>
      </c>
      <c r="K855" s="1320">
        <f t="shared" si="106"/>
        <v>0</v>
      </c>
      <c r="L855" s="1318"/>
      <c r="M855" s="1318"/>
      <c r="N855" s="1321">
        <f t="shared" si="107"/>
        <v>0</v>
      </c>
      <c r="O855" s="1322">
        <f t="shared" si="108"/>
        <v>0</v>
      </c>
      <c r="P855" s="2369">
        <f t="shared" si="109"/>
        <v>1900</v>
      </c>
      <c r="Q855" s="2369">
        <f t="shared" si="110"/>
        <v>1900</v>
      </c>
      <c r="R855" s="654"/>
      <c r="S855" s="654"/>
      <c r="T855" s="654"/>
      <c r="U855" s="654"/>
    </row>
    <row r="856" spans="1:21" ht="14.25" customHeight="1">
      <c r="A856" s="1316"/>
      <c r="B856" s="1317"/>
      <c r="C856" s="1318"/>
      <c r="D856" s="1319"/>
      <c r="E856" s="1318"/>
      <c r="F856" s="1320">
        <f t="shared" si="111"/>
        <v>0</v>
      </c>
      <c r="G856" s="1319"/>
      <c r="H856" s="1318"/>
      <c r="I856" s="1320">
        <f t="shared" si="112"/>
        <v>0</v>
      </c>
      <c r="J856" s="1320">
        <f t="shared" si="105"/>
        <v>0</v>
      </c>
      <c r="K856" s="1320">
        <f t="shared" si="106"/>
        <v>0</v>
      </c>
      <c r="L856" s="1318"/>
      <c r="M856" s="1318"/>
      <c r="N856" s="1321">
        <f t="shared" si="107"/>
        <v>0</v>
      </c>
      <c r="O856" s="1322">
        <f t="shared" si="108"/>
        <v>0</v>
      </c>
      <c r="P856" s="2369">
        <f t="shared" si="109"/>
        <v>1900</v>
      </c>
      <c r="Q856" s="2369">
        <f t="shared" si="110"/>
        <v>1900</v>
      </c>
      <c r="R856" s="654"/>
      <c r="S856" s="654"/>
      <c r="T856" s="654"/>
      <c r="U856" s="654"/>
    </row>
    <row r="857" spans="1:21" ht="12.75">
      <c r="A857" s="1316"/>
      <c r="B857" s="1317"/>
      <c r="C857" s="1318"/>
      <c r="D857" s="1319"/>
      <c r="E857" s="1318"/>
      <c r="F857" s="1320">
        <f t="shared" si="111"/>
        <v>0</v>
      </c>
      <c r="G857" s="1319"/>
      <c r="H857" s="1318"/>
      <c r="I857" s="1320">
        <f t="shared" si="112"/>
        <v>0</v>
      </c>
      <c r="J857" s="1320">
        <f t="shared" si="105"/>
        <v>0</v>
      </c>
      <c r="K857" s="1320">
        <f t="shared" si="106"/>
        <v>0</v>
      </c>
      <c r="L857" s="1318"/>
      <c r="M857" s="1318"/>
      <c r="N857" s="1321">
        <f t="shared" si="107"/>
        <v>0</v>
      </c>
      <c r="O857" s="1322">
        <f t="shared" si="108"/>
        <v>0</v>
      </c>
      <c r="P857" s="2369">
        <f t="shared" si="109"/>
        <v>1900</v>
      </c>
      <c r="Q857" s="2369">
        <f t="shared" si="110"/>
        <v>1900</v>
      </c>
      <c r="R857" s="654"/>
      <c r="S857" s="654"/>
      <c r="T857" s="654"/>
      <c r="U857" s="654"/>
    </row>
    <row r="858" spans="1:21" ht="12.75">
      <c r="A858" s="1316"/>
      <c r="B858" s="1317"/>
      <c r="C858" s="1318"/>
      <c r="D858" s="1319"/>
      <c r="E858" s="1318"/>
      <c r="F858" s="1320">
        <f t="shared" si="111"/>
        <v>0</v>
      </c>
      <c r="G858" s="1319"/>
      <c r="H858" s="1318"/>
      <c r="I858" s="1320">
        <f t="shared" si="112"/>
        <v>0</v>
      </c>
      <c r="J858" s="1320">
        <f t="shared" si="105"/>
        <v>0</v>
      </c>
      <c r="K858" s="1320">
        <f t="shared" si="106"/>
        <v>0</v>
      </c>
      <c r="L858" s="1318"/>
      <c r="M858" s="1318"/>
      <c r="N858" s="1321">
        <f t="shared" si="107"/>
        <v>0</v>
      </c>
      <c r="O858" s="1322">
        <f t="shared" si="108"/>
        <v>0</v>
      </c>
      <c r="P858" s="2369">
        <f t="shared" si="109"/>
        <v>1900</v>
      </c>
      <c r="Q858" s="2369">
        <f t="shared" si="110"/>
        <v>1900</v>
      </c>
      <c r="R858" s="654"/>
      <c r="S858" s="654"/>
      <c r="T858" s="654"/>
      <c r="U858" s="654"/>
    </row>
    <row r="859" spans="1:21" ht="12.75">
      <c r="A859" s="1316"/>
      <c r="B859" s="1317"/>
      <c r="C859" s="1318"/>
      <c r="D859" s="1319"/>
      <c r="E859" s="1318"/>
      <c r="F859" s="1320">
        <f t="shared" si="111"/>
        <v>0</v>
      </c>
      <c r="G859" s="1319"/>
      <c r="H859" s="1318"/>
      <c r="I859" s="1320">
        <f t="shared" si="112"/>
        <v>0</v>
      </c>
      <c r="J859" s="1320">
        <f t="shared" si="105"/>
        <v>0</v>
      </c>
      <c r="K859" s="1320">
        <f t="shared" si="106"/>
        <v>0</v>
      </c>
      <c r="L859" s="1318"/>
      <c r="M859" s="1318"/>
      <c r="N859" s="1321">
        <f t="shared" si="107"/>
        <v>0</v>
      </c>
      <c r="O859" s="1322">
        <f t="shared" si="108"/>
        <v>0</v>
      </c>
      <c r="P859" s="2369">
        <f t="shared" si="109"/>
        <v>1900</v>
      </c>
      <c r="Q859" s="2369">
        <f t="shared" si="110"/>
        <v>1900</v>
      </c>
      <c r="R859" s="654"/>
      <c r="S859" s="654"/>
      <c r="T859" s="654"/>
      <c r="U859" s="654"/>
    </row>
    <row r="860" spans="1:21" ht="12.75">
      <c r="A860" s="1316"/>
      <c r="B860" s="1317"/>
      <c r="C860" s="1318"/>
      <c r="D860" s="1319"/>
      <c r="E860" s="1318"/>
      <c r="F860" s="1320">
        <f t="shared" si="111"/>
        <v>0</v>
      </c>
      <c r="G860" s="1319"/>
      <c r="H860" s="1318"/>
      <c r="I860" s="1320">
        <f t="shared" si="112"/>
        <v>0</v>
      </c>
      <c r="J860" s="1320">
        <f t="shared" si="105"/>
        <v>0</v>
      </c>
      <c r="K860" s="1320">
        <f t="shared" si="106"/>
        <v>0</v>
      </c>
      <c r="L860" s="1318"/>
      <c r="M860" s="1318"/>
      <c r="N860" s="1321">
        <f t="shared" si="107"/>
        <v>0</v>
      </c>
      <c r="O860" s="1322">
        <f t="shared" si="108"/>
        <v>0</v>
      </c>
      <c r="P860" s="2369">
        <f t="shared" si="109"/>
        <v>1900</v>
      </c>
      <c r="Q860" s="2369">
        <f t="shared" si="110"/>
        <v>1900</v>
      </c>
      <c r="R860" s="654"/>
      <c r="S860" s="654"/>
      <c r="T860" s="654"/>
      <c r="U860" s="654"/>
    </row>
    <row r="861" spans="1:21" ht="12.75">
      <c r="A861" s="1316"/>
      <c r="B861" s="1317"/>
      <c r="C861" s="1318"/>
      <c r="D861" s="1319"/>
      <c r="E861" s="1318"/>
      <c r="F861" s="1320">
        <f t="shared" si="111"/>
        <v>0</v>
      </c>
      <c r="G861" s="1319"/>
      <c r="H861" s="1318"/>
      <c r="I861" s="1320">
        <f t="shared" si="112"/>
        <v>0</v>
      </c>
      <c r="J861" s="1320">
        <f t="shared" si="105"/>
        <v>0</v>
      </c>
      <c r="K861" s="1320">
        <f t="shared" si="106"/>
        <v>0</v>
      </c>
      <c r="L861" s="1318"/>
      <c r="M861" s="1318"/>
      <c r="N861" s="1321">
        <f t="shared" si="107"/>
        <v>0</v>
      </c>
      <c r="O861" s="1322">
        <f t="shared" si="108"/>
        <v>0</v>
      </c>
      <c r="P861" s="2369">
        <f t="shared" si="109"/>
        <v>1900</v>
      </c>
      <c r="Q861" s="2369">
        <f t="shared" si="110"/>
        <v>1900</v>
      </c>
      <c r="R861" s="654"/>
      <c r="S861" s="654"/>
      <c r="T861" s="654"/>
      <c r="U861" s="654"/>
    </row>
    <row r="862" spans="1:21" ht="12.75">
      <c r="A862" s="1316"/>
      <c r="B862" s="1317"/>
      <c r="C862" s="1318"/>
      <c r="D862" s="1319"/>
      <c r="E862" s="1318"/>
      <c r="F862" s="1320">
        <f t="shared" si="111"/>
        <v>0</v>
      </c>
      <c r="G862" s="1319"/>
      <c r="H862" s="1318"/>
      <c r="I862" s="1320">
        <f t="shared" si="112"/>
        <v>0</v>
      </c>
      <c r="J862" s="1320">
        <f t="shared" si="105"/>
        <v>0</v>
      </c>
      <c r="K862" s="1320">
        <f t="shared" si="106"/>
        <v>0</v>
      </c>
      <c r="L862" s="1318"/>
      <c r="M862" s="1318"/>
      <c r="N862" s="1321">
        <f t="shared" si="107"/>
        <v>0</v>
      </c>
      <c r="O862" s="1322">
        <f t="shared" si="108"/>
        <v>0</v>
      </c>
      <c r="P862" s="2369">
        <f t="shared" si="109"/>
        <v>1900</v>
      </c>
      <c r="Q862" s="2369">
        <f t="shared" si="110"/>
        <v>1900</v>
      </c>
      <c r="R862" s="654"/>
      <c r="S862" s="654"/>
      <c r="T862" s="654"/>
      <c r="U862" s="654"/>
    </row>
    <row r="863" spans="1:21" ht="12.75">
      <c r="A863" s="1316"/>
      <c r="B863" s="1317"/>
      <c r="C863" s="1318"/>
      <c r="D863" s="1319"/>
      <c r="E863" s="1318"/>
      <c r="F863" s="1320">
        <f t="shared" si="111"/>
        <v>0</v>
      </c>
      <c r="G863" s="1319"/>
      <c r="H863" s="1318"/>
      <c r="I863" s="1320">
        <f t="shared" si="112"/>
        <v>0</v>
      </c>
      <c r="J863" s="1320">
        <f t="shared" si="105"/>
        <v>0</v>
      </c>
      <c r="K863" s="1320">
        <f t="shared" si="106"/>
        <v>0</v>
      </c>
      <c r="L863" s="1318"/>
      <c r="M863" s="1318"/>
      <c r="N863" s="1321">
        <f t="shared" si="107"/>
        <v>0</v>
      </c>
      <c r="O863" s="1322">
        <f t="shared" si="108"/>
        <v>0</v>
      </c>
      <c r="P863" s="2369">
        <f t="shared" si="109"/>
        <v>1900</v>
      </c>
      <c r="Q863" s="2369">
        <f t="shared" si="110"/>
        <v>1900</v>
      </c>
      <c r="R863" s="654"/>
      <c r="S863" s="654"/>
      <c r="T863" s="654"/>
      <c r="U863" s="654"/>
    </row>
    <row r="864" spans="1:21" ht="12.75">
      <c r="A864" s="1316"/>
      <c r="B864" s="1317"/>
      <c r="C864" s="1318"/>
      <c r="D864" s="1319"/>
      <c r="E864" s="1318"/>
      <c r="F864" s="1320">
        <f t="shared" si="111"/>
        <v>0</v>
      </c>
      <c r="G864" s="1319"/>
      <c r="H864" s="1318"/>
      <c r="I864" s="1320">
        <f t="shared" si="112"/>
        <v>0</v>
      </c>
      <c r="J864" s="1320">
        <f t="shared" si="105"/>
        <v>0</v>
      </c>
      <c r="K864" s="1320">
        <f t="shared" si="106"/>
        <v>0</v>
      </c>
      <c r="L864" s="1318"/>
      <c r="M864" s="1318"/>
      <c r="N864" s="1321">
        <f t="shared" si="107"/>
        <v>0</v>
      </c>
      <c r="O864" s="1322">
        <f t="shared" si="108"/>
        <v>0</v>
      </c>
      <c r="P864" s="2369">
        <f t="shared" si="109"/>
        <v>1900</v>
      </c>
      <c r="Q864" s="2369">
        <f t="shared" si="110"/>
        <v>1900</v>
      </c>
      <c r="R864" s="654"/>
      <c r="S864" s="654"/>
      <c r="T864" s="654"/>
      <c r="U864" s="654"/>
    </row>
    <row r="865" spans="1:21" ht="12.75">
      <c r="A865" s="1316"/>
      <c r="B865" s="1317"/>
      <c r="C865" s="1318"/>
      <c r="D865" s="1319"/>
      <c r="E865" s="1318"/>
      <c r="F865" s="1320">
        <f t="shared" si="111"/>
        <v>0</v>
      </c>
      <c r="G865" s="1319"/>
      <c r="H865" s="1318"/>
      <c r="I865" s="1320">
        <f t="shared" si="112"/>
        <v>0</v>
      </c>
      <c r="J865" s="1320">
        <f t="shared" si="105"/>
        <v>0</v>
      </c>
      <c r="K865" s="1320">
        <f t="shared" si="106"/>
        <v>0</v>
      </c>
      <c r="L865" s="1318"/>
      <c r="M865" s="1318"/>
      <c r="N865" s="1321">
        <f t="shared" si="107"/>
        <v>0</v>
      </c>
      <c r="O865" s="1322">
        <f t="shared" si="108"/>
        <v>0</v>
      </c>
      <c r="P865" s="2369">
        <f t="shared" si="109"/>
        <v>1900</v>
      </c>
      <c r="Q865" s="2369">
        <f t="shared" si="110"/>
        <v>1900</v>
      </c>
      <c r="R865" s="654"/>
      <c r="S865" s="654"/>
      <c r="T865" s="654"/>
      <c r="U865" s="654"/>
    </row>
    <row r="866" spans="1:21" ht="12.75">
      <c r="A866" s="1316"/>
      <c r="B866" s="1317"/>
      <c r="C866" s="1318"/>
      <c r="D866" s="1319"/>
      <c r="E866" s="1318"/>
      <c r="F866" s="1320">
        <f t="shared" si="111"/>
        <v>0</v>
      </c>
      <c r="G866" s="1319"/>
      <c r="H866" s="1318"/>
      <c r="I866" s="1320">
        <f t="shared" si="112"/>
        <v>0</v>
      </c>
      <c r="J866" s="1320">
        <f t="shared" si="105"/>
        <v>0</v>
      </c>
      <c r="K866" s="1320">
        <f t="shared" si="106"/>
        <v>0</v>
      </c>
      <c r="L866" s="1318"/>
      <c r="M866" s="1318"/>
      <c r="N866" s="1321">
        <f t="shared" si="107"/>
        <v>0</v>
      </c>
      <c r="O866" s="1322">
        <f t="shared" si="108"/>
        <v>0</v>
      </c>
      <c r="P866" s="2369">
        <f t="shared" si="109"/>
        <v>1900</v>
      </c>
      <c r="Q866" s="2369">
        <f t="shared" si="110"/>
        <v>1900</v>
      </c>
      <c r="R866" s="654"/>
      <c r="S866" s="654"/>
      <c r="T866" s="654"/>
      <c r="U866" s="654"/>
    </row>
    <row r="867" spans="1:21" ht="12.75">
      <c r="A867" s="1316"/>
      <c r="B867" s="1317"/>
      <c r="C867" s="1318"/>
      <c r="D867" s="1319"/>
      <c r="E867" s="1318"/>
      <c r="F867" s="1320">
        <f t="shared" si="111"/>
        <v>0</v>
      </c>
      <c r="G867" s="1319"/>
      <c r="H867" s="1318"/>
      <c r="I867" s="1320">
        <f t="shared" si="112"/>
        <v>0</v>
      </c>
      <c r="J867" s="1320">
        <f t="shared" si="105"/>
        <v>0</v>
      </c>
      <c r="K867" s="1320">
        <f t="shared" si="106"/>
        <v>0</v>
      </c>
      <c r="L867" s="1318"/>
      <c r="M867" s="1318"/>
      <c r="N867" s="1321">
        <f t="shared" si="107"/>
        <v>0</v>
      </c>
      <c r="O867" s="1322">
        <f t="shared" si="108"/>
        <v>0</v>
      </c>
      <c r="P867" s="2369">
        <f t="shared" si="109"/>
        <v>1900</v>
      </c>
      <c r="Q867" s="2369">
        <f t="shared" si="110"/>
        <v>1900</v>
      </c>
      <c r="R867" s="654"/>
      <c r="S867" s="654"/>
      <c r="T867" s="654"/>
      <c r="U867" s="654"/>
    </row>
    <row r="868" spans="1:21" ht="12.75">
      <c r="A868" s="1316"/>
      <c r="B868" s="1317"/>
      <c r="C868" s="1318"/>
      <c r="D868" s="1319"/>
      <c r="E868" s="1318"/>
      <c r="F868" s="1320">
        <f t="shared" si="111"/>
        <v>0</v>
      </c>
      <c r="G868" s="1319"/>
      <c r="H868" s="1318"/>
      <c r="I868" s="1320">
        <f t="shared" si="112"/>
        <v>0</v>
      </c>
      <c r="J868" s="1320">
        <f t="shared" si="105"/>
        <v>0</v>
      </c>
      <c r="K868" s="1320">
        <f t="shared" si="106"/>
        <v>0</v>
      </c>
      <c r="L868" s="1318"/>
      <c r="M868" s="1318"/>
      <c r="N868" s="1321">
        <f t="shared" si="107"/>
        <v>0</v>
      </c>
      <c r="O868" s="1322">
        <f t="shared" si="108"/>
        <v>0</v>
      </c>
      <c r="P868" s="2369">
        <f t="shared" si="109"/>
        <v>1900</v>
      </c>
      <c r="Q868" s="2369">
        <f t="shared" si="110"/>
        <v>1900</v>
      </c>
      <c r="R868" s="654"/>
      <c r="S868" s="654"/>
      <c r="T868" s="654"/>
      <c r="U868" s="654"/>
    </row>
    <row r="869" spans="1:21" ht="12.75">
      <c r="A869" s="1316"/>
      <c r="B869" s="1317"/>
      <c r="C869" s="1318"/>
      <c r="D869" s="1319"/>
      <c r="E869" s="1318"/>
      <c r="F869" s="1320">
        <f t="shared" si="111"/>
        <v>0</v>
      </c>
      <c r="G869" s="1319"/>
      <c r="H869" s="1318"/>
      <c r="I869" s="1320">
        <f t="shared" si="112"/>
        <v>0</v>
      </c>
      <c r="J869" s="1320">
        <f t="shared" si="105"/>
        <v>0</v>
      </c>
      <c r="K869" s="1320">
        <f t="shared" si="106"/>
        <v>0</v>
      </c>
      <c r="L869" s="1318"/>
      <c r="M869" s="1318"/>
      <c r="N869" s="1321">
        <f t="shared" si="107"/>
        <v>0</v>
      </c>
      <c r="O869" s="1322">
        <f t="shared" si="108"/>
        <v>0</v>
      </c>
      <c r="P869" s="2369">
        <f t="shared" si="109"/>
        <v>1900</v>
      </c>
      <c r="Q869" s="2369">
        <f t="shared" si="110"/>
        <v>1900</v>
      </c>
      <c r="R869" s="654"/>
      <c r="S869" s="654"/>
      <c r="T869" s="654"/>
      <c r="U869" s="654"/>
    </row>
    <row r="870" spans="1:21" ht="12.75">
      <c r="A870" s="1316"/>
      <c r="B870" s="1317"/>
      <c r="C870" s="1318"/>
      <c r="D870" s="1319"/>
      <c r="E870" s="1318"/>
      <c r="F870" s="1320">
        <f t="shared" si="111"/>
        <v>0</v>
      </c>
      <c r="G870" s="1319"/>
      <c r="H870" s="1318"/>
      <c r="I870" s="1320">
        <f t="shared" si="112"/>
        <v>0</v>
      </c>
      <c r="J870" s="1320">
        <f t="shared" si="105"/>
        <v>0</v>
      </c>
      <c r="K870" s="1320">
        <f t="shared" si="106"/>
        <v>0</v>
      </c>
      <c r="L870" s="1318"/>
      <c r="M870" s="1318"/>
      <c r="N870" s="1321">
        <f t="shared" si="107"/>
        <v>0</v>
      </c>
      <c r="O870" s="1322">
        <f t="shared" si="108"/>
        <v>0</v>
      </c>
      <c r="P870" s="2369">
        <f t="shared" si="109"/>
        <v>1900</v>
      </c>
      <c r="Q870" s="2369">
        <f t="shared" si="110"/>
        <v>1900</v>
      </c>
      <c r="R870" s="654"/>
      <c r="S870" s="654"/>
      <c r="T870" s="654"/>
      <c r="U870" s="654"/>
    </row>
    <row r="871" spans="1:21" ht="12.75">
      <c r="A871" s="1316"/>
      <c r="B871" s="1317"/>
      <c r="C871" s="1318"/>
      <c r="D871" s="1319"/>
      <c r="E871" s="1318"/>
      <c r="F871" s="1320">
        <f t="shared" si="111"/>
        <v>0</v>
      </c>
      <c r="G871" s="1319"/>
      <c r="H871" s="1318"/>
      <c r="I871" s="1320">
        <f t="shared" si="112"/>
        <v>0</v>
      </c>
      <c r="J871" s="1320">
        <f t="shared" si="105"/>
        <v>0</v>
      </c>
      <c r="K871" s="1320">
        <f t="shared" si="106"/>
        <v>0</v>
      </c>
      <c r="L871" s="1318"/>
      <c r="M871" s="1318"/>
      <c r="N871" s="1321">
        <f t="shared" si="107"/>
        <v>0</v>
      </c>
      <c r="O871" s="1322">
        <f t="shared" si="108"/>
        <v>0</v>
      </c>
      <c r="P871" s="2369">
        <f t="shared" si="109"/>
        <v>1900</v>
      </c>
      <c r="Q871" s="2369">
        <f t="shared" si="110"/>
        <v>1900</v>
      </c>
      <c r="R871" s="654"/>
      <c r="S871" s="654"/>
      <c r="T871" s="654"/>
      <c r="U871" s="654"/>
    </row>
    <row r="872" spans="1:21" ht="12.75">
      <c r="A872" s="1316"/>
      <c r="B872" s="1317"/>
      <c r="C872" s="1318"/>
      <c r="D872" s="1319"/>
      <c r="E872" s="1318"/>
      <c r="F872" s="1320">
        <f t="shared" si="111"/>
        <v>0</v>
      </c>
      <c r="G872" s="1319"/>
      <c r="H872" s="1318"/>
      <c r="I872" s="1320">
        <f t="shared" si="112"/>
        <v>0</v>
      </c>
      <c r="J872" s="1320">
        <f t="shared" si="105"/>
        <v>0</v>
      </c>
      <c r="K872" s="1320">
        <f t="shared" si="106"/>
        <v>0</v>
      </c>
      <c r="L872" s="1318"/>
      <c r="M872" s="1318"/>
      <c r="N872" s="1321">
        <f t="shared" si="107"/>
        <v>0</v>
      </c>
      <c r="O872" s="1322">
        <f t="shared" si="108"/>
        <v>0</v>
      </c>
      <c r="P872" s="2369">
        <f t="shared" si="109"/>
        <v>1900</v>
      </c>
      <c r="Q872" s="2369">
        <f t="shared" si="110"/>
        <v>1900</v>
      </c>
      <c r="R872" s="654"/>
      <c r="S872" s="654"/>
      <c r="T872" s="654"/>
      <c r="U872" s="654"/>
    </row>
    <row r="873" spans="1:21" ht="12.75">
      <c r="A873" s="1316"/>
      <c r="B873" s="1317"/>
      <c r="C873" s="1318"/>
      <c r="D873" s="1319"/>
      <c r="E873" s="1318"/>
      <c r="F873" s="1320">
        <f t="shared" si="111"/>
        <v>0</v>
      </c>
      <c r="G873" s="1319"/>
      <c r="H873" s="1318"/>
      <c r="I873" s="1320">
        <f t="shared" si="112"/>
        <v>0</v>
      </c>
      <c r="J873" s="1320">
        <f t="shared" si="105"/>
        <v>0</v>
      </c>
      <c r="K873" s="1320">
        <f t="shared" si="106"/>
        <v>0</v>
      </c>
      <c r="L873" s="1318"/>
      <c r="M873" s="1318"/>
      <c r="N873" s="1321">
        <f t="shared" si="107"/>
        <v>0</v>
      </c>
      <c r="O873" s="1322">
        <f t="shared" si="108"/>
        <v>0</v>
      </c>
      <c r="P873" s="2369">
        <f t="shared" si="109"/>
        <v>1900</v>
      </c>
      <c r="Q873" s="2369">
        <f t="shared" si="110"/>
        <v>1900</v>
      </c>
      <c r="R873" s="654"/>
      <c r="S873" s="654"/>
      <c r="T873" s="654"/>
      <c r="U873" s="654"/>
    </row>
    <row r="874" spans="1:21" ht="12.75">
      <c r="A874" s="1316"/>
      <c r="B874" s="1317"/>
      <c r="C874" s="1318"/>
      <c r="D874" s="1319"/>
      <c r="E874" s="1318"/>
      <c r="F874" s="1320">
        <f t="shared" si="111"/>
        <v>0</v>
      </c>
      <c r="G874" s="1319"/>
      <c r="H874" s="1318"/>
      <c r="I874" s="1320">
        <f t="shared" si="112"/>
        <v>0</v>
      </c>
      <c r="J874" s="1320">
        <f t="shared" si="105"/>
        <v>0</v>
      </c>
      <c r="K874" s="1320">
        <f t="shared" si="106"/>
        <v>0</v>
      </c>
      <c r="L874" s="1318"/>
      <c r="M874" s="1318"/>
      <c r="N874" s="1321">
        <f t="shared" si="107"/>
        <v>0</v>
      </c>
      <c r="O874" s="1322">
        <f t="shared" si="108"/>
        <v>0</v>
      </c>
      <c r="P874" s="2369">
        <f t="shared" si="109"/>
        <v>1900</v>
      </c>
      <c r="Q874" s="2369">
        <f t="shared" si="110"/>
        <v>1900</v>
      </c>
      <c r="R874" s="654"/>
      <c r="S874" s="654"/>
      <c r="T874" s="654"/>
      <c r="U874" s="654"/>
    </row>
    <row r="875" spans="1:21" ht="12.75">
      <c r="A875" s="1316"/>
      <c r="B875" s="1317"/>
      <c r="C875" s="1318"/>
      <c r="D875" s="1319"/>
      <c r="E875" s="1318"/>
      <c r="F875" s="1320">
        <f t="shared" si="111"/>
        <v>0</v>
      </c>
      <c r="G875" s="1319"/>
      <c r="H875" s="1318"/>
      <c r="I875" s="1320">
        <f t="shared" si="112"/>
        <v>0</v>
      </c>
      <c r="J875" s="1320">
        <f t="shared" si="105"/>
        <v>0</v>
      </c>
      <c r="K875" s="1320">
        <f t="shared" si="106"/>
        <v>0</v>
      </c>
      <c r="L875" s="1318"/>
      <c r="M875" s="1318"/>
      <c r="N875" s="1321">
        <f t="shared" si="107"/>
        <v>0</v>
      </c>
      <c r="O875" s="1322">
        <f t="shared" si="108"/>
        <v>0</v>
      </c>
      <c r="P875" s="2369">
        <f t="shared" si="109"/>
        <v>1900</v>
      </c>
      <c r="Q875" s="2369">
        <f t="shared" si="110"/>
        <v>1900</v>
      </c>
      <c r="R875" s="654"/>
      <c r="S875" s="654"/>
      <c r="T875" s="654"/>
      <c r="U875" s="654"/>
    </row>
    <row r="876" spans="1:21" ht="12.75">
      <c r="A876" s="1316"/>
      <c r="B876" s="1317"/>
      <c r="C876" s="1318"/>
      <c r="D876" s="1319"/>
      <c r="E876" s="1318"/>
      <c r="F876" s="1320">
        <f t="shared" si="111"/>
        <v>0</v>
      </c>
      <c r="G876" s="1319"/>
      <c r="H876" s="1318"/>
      <c r="I876" s="1320">
        <f t="shared" si="112"/>
        <v>0</v>
      </c>
      <c r="J876" s="1320">
        <f t="shared" si="105"/>
        <v>0</v>
      </c>
      <c r="K876" s="1320">
        <f t="shared" si="106"/>
        <v>0</v>
      </c>
      <c r="L876" s="1318"/>
      <c r="M876" s="1318"/>
      <c r="N876" s="1321">
        <f t="shared" si="107"/>
        <v>0</v>
      </c>
      <c r="O876" s="1322">
        <f t="shared" si="108"/>
        <v>0</v>
      </c>
      <c r="P876" s="2369">
        <f t="shared" si="109"/>
        <v>1900</v>
      </c>
      <c r="Q876" s="2369">
        <f t="shared" si="110"/>
        <v>1900</v>
      </c>
      <c r="R876" s="654"/>
      <c r="S876" s="654"/>
      <c r="T876" s="654"/>
      <c r="U876" s="654"/>
    </row>
    <row r="877" spans="1:21" ht="12.75">
      <c r="A877" s="1316"/>
      <c r="B877" s="1317"/>
      <c r="C877" s="1318"/>
      <c r="D877" s="1319"/>
      <c r="E877" s="1318"/>
      <c r="F877" s="1320">
        <f t="shared" si="111"/>
        <v>0</v>
      </c>
      <c r="G877" s="1319"/>
      <c r="H877" s="1318"/>
      <c r="I877" s="1320">
        <f t="shared" si="112"/>
        <v>0</v>
      </c>
      <c r="J877" s="1320">
        <f t="shared" si="105"/>
        <v>0</v>
      </c>
      <c r="K877" s="1320">
        <f t="shared" si="106"/>
        <v>0</v>
      </c>
      <c r="L877" s="1318"/>
      <c r="M877" s="1318"/>
      <c r="N877" s="1321">
        <f t="shared" si="107"/>
        <v>0</v>
      </c>
      <c r="O877" s="1322">
        <f t="shared" si="108"/>
        <v>0</v>
      </c>
      <c r="P877" s="2369">
        <f t="shared" si="109"/>
        <v>1900</v>
      </c>
      <c r="Q877" s="2369">
        <f t="shared" si="110"/>
        <v>1900</v>
      </c>
      <c r="R877" s="654"/>
      <c r="S877" s="654"/>
      <c r="T877" s="654"/>
      <c r="U877" s="654"/>
    </row>
    <row r="878" spans="1:21" ht="12.75">
      <c r="A878" s="1316"/>
      <c r="B878" s="1317"/>
      <c r="C878" s="1318"/>
      <c r="D878" s="1319"/>
      <c r="E878" s="1318"/>
      <c r="F878" s="1320">
        <f t="shared" si="111"/>
        <v>0</v>
      </c>
      <c r="G878" s="1319"/>
      <c r="H878" s="1318"/>
      <c r="I878" s="1320">
        <f t="shared" si="112"/>
        <v>0</v>
      </c>
      <c r="J878" s="1320">
        <f t="shared" si="105"/>
        <v>0</v>
      </c>
      <c r="K878" s="1320">
        <f t="shared" si="106"/>
        <v>0</v>
      </c>
      <c r="L878" s="1318"/>
      <c r="M878" s="1318"/>
      <c r="N878" s="1321">
        <f t="shared" si="107"/>
        <v>0</v>
      </c>
      <c r="O878" s="1322">
        <f t="shared" si="108"/>
        <v>0</v>
      </c>
      <c r="P878" s="2369">
        <f t="shared" si="109"/>
        <v>1900</v>
      </c>
      <c r="Q878" s="2369">
        <f t="shared" si="110"/>
        <v>1900</v>
      </c>
      <c r="R878" s="654"/>
      <c r="S878" s="654"/>
      <c r="T878" s="654"/>
      <c r="U878" s="654"/>
    </row>
    <row r="879" spans="1:21" ht="12.75">
      <c r="A879" s="1316"/>
      <c r="B879" s="1317"/>
      <c r="C879" s="1318"/>
      <c r="D879" s="1319"/>
      <c r="E879" s="1318"/>
      <c r="F879" s="1320">
        <f t="shared" si="111"/>
        <v>0</v>
      </c>
      <c r="G879" s="1319"/>
      <c r="H879" s="1318"/>
      <c r="I879" s="1320">
        <f t="shared" si="112"/>
        <v>0</v>
      </c>
      <c r="J879" s="1320">
        <f t="shared" si="105"/>
        <v>0</v>
      </c>
      <c r="K879" s="1320">
        <f t="shared" si="106"/>
        <v>0</v>
      </c>
      <c r="L879" s="1318"/>
      <c r="M879" s="1318"/>
      <c r="N879" s="1321">
        <f t="shared" si="107"/>
        <v>0</v>
      </c>
      <c r="O879" s="1322">
        <f t="shared" si="108"/>
        <v>0</v>
      </c>
      <c r="P879" s="2369">
        <f t="shared" si="109"/>
        <v>1900</v>
      </c>
      <c r="Q879" s="2369">
        <f t="shared" si="110"/>
        <v>1900</v>
      </c>
      <c r="R879" s="654"/>
      <c r="S879" s="654"/>
      <c r="T879" s="654"/>
      <c r="U879" s="654"/>
    </row>
    <row r="880" spans="1:21" ht="12.75">
      <c r="A880" s="1316"/>
      <c r="B880" s="1317"/>
      <c r="C880" s="1318"/>
      <c r="D880" s="1319"/>
      <c r="E880" s="1318"/>
      <c r="F880" s="1320">
        <f t="shared" si="111"/>
        <v>0</v>
      </c>
      <c r="G880" s="1319"/>
      <c r="H880" s="1318"/>
      <c r="I880" s="1320">
        <f t="shared" si="112"/>
        <v>0</v>
      </c>
      <c r="J880" s="1320">
        <f t="shared" si="105"/>
        <v>0</v>
      </c>
      <c r="K880" s="1320">
        <f t="shared" si="106"/>
        <v>0</v>
      </c>
      <c r="L880" s="1318"/>
      <c r="M880" s="1318"/>
      <c r="N880" s="1321">
        <f t="shared" si="107"/>
        <v>0</v>
      </c>
      <c r="O880" s="1322">
        <f t="shared" si="108"/>
        <v>0</v>
      </c>
      <c r="P880" s="2369">
        <f t="shared" si="109"/>
        <v>1900</v>
      </c>
      <c r="Q880" s="2369">
        <f t="shared" si="110"/>
        <v>1900</v>
      </c>
      <c r="R880" s="654"/>
      <c r="S880" s="654"/>
      <c r="T880" s="654"/>
      <c r="U880" s="654"/>
    </row>
    <row r="881" spans="1:21" ht="12.75">
      <c r="A881" s="1316"/>
      <c r="B881" s="1317"/>
      <c r="C881" s="1318"/>
      <c r="D881" s="1319"/>
      <c r="E881" s="1318"/>
      <c r="F881" s="1320">
        <f t="shared" si="111"/>
        <v>0</v>
      </c>
      <c r="G881" s="1319"/>
      <c r="H881" s="1318"/>
      <c r="I881" s="1320">
        <f t="shared" si="112"/>
        <v>0</v>
      </c>
      <c r="J881" s="1320">
        <f t="shared" si="105"/>
        <v>0</v>
      </c>
      <c r="K881" s="1320">
        <f t="shared" si="106"/>
        <v>0</v>
      </c>
      <c r="L881" s="1318"/>
      <c r="M881" s="1318"/>
      <c r="N881" s="1321">
        <f t="shared" si="107"/>
        <v>0</v>
      </c>
      <c r="O881" s="1322">
        <f t="shared" si="108"/>
        <v>0</v>
      </c>
      <c r="P881" s="2369">
        <f t="shared" si="109"/>
        <v>1900</v>
      </c>
      <c r="Q881" s="2369">
        <f t="shared" si="110"/>
        <v>1900</v>
      </c>
      <c r="R881" s="654"/>
      <c r="S881" s="654"/>
      <c r="T881" s="654"/>
      <c r="U881" s="654"/>
    </row>
    <row r="882" spans="1:21" ht="12.75">
      <c r="A882" s="1316"/>
      <c r="B882" s="1317"/>
      <c r="C882" s="1318"/>
      <c r="D882" s="1319"/>
      <c r="E882" s="1318"/>
      <c r="F882" s="1320">
        <f t="shared" si="111"/>
        <v>0</v>
      </c>
      <c r="G882" s="1319"/>
      <c r="H882" s="1318"/>
      <c r="I882" s="1320">
        <f t="shared" si="112"/>
        <v>0</v>
      </c>
      <c r="J882" s="1320">
        <f t="shared" si="105"/>
        <v>0</v>
      </c>
      <c r="K882" s="1320">
        <f t="shared" si="106"/>
        <v>0</v>
      </c>
      <c r="L882" s="1318"/>
      <c r="M882" s="1318"/>
      <c r="N882" s="1321">
        <f t="shared" si="107"/>
        <v>0</v>
      </c>
      <c r="O882" s="1322">
        <f t="shared" si="108"/>
        <v>0</v>
      </c>
      <c r="P882" s="2369">
        <f t="shared" si="109"/>
        <v>1900</v>
      </c>
      <c r="Q882" s="2369">
        <f t="shared" si="110"/>
        <v>1900</v>
      </c>
      <c r="R882" s="654"/>
      <c r="S882" s="654"/>
      <c r="T882" s="654"/>
      <c r="U882" s="654"/>
    </row>
    <row r="883" spans="1:21" ht="12.75">
      <c r="A883" s="1316"/>
      <c r="B883" s="1317"/>
      <c r="C883" s="1318"/>
      <c r="D883" s="1319"/>
      <c r="E883" s="1318"/>
      <c r="F883" s="1320">
        <f t="shared" si="111"/>
        <v>0</v>
      </c>
      <c r="G883" s="1319"/>
      <c r="H883" s="1318"/>
      <c r="I883" s="1320">
        <f t="shared" si="112"/>
        <v>0</v>
      </c>
      <c r="J883" s="1320">
        <f t="shared" si="105"/>
        <v>0</v>
      </c>
      <c r="K883" s="1320">
        <f t="shared" si="106"/>
        <v>0</v>
      </c>
      <c r="L883" s="1318"/>
      <c r="M883" s="1318"/>
      <c r="N883" s="1321">
        <f t="shared" si="107"/>
        <v>0</v>
      </c>
      <c r="O883" s="1322">
        <f t="shared" si="108"/>
        <v>0</v>
      </c>
      <c r="P883" s="2369">
        <f t="shared" si="109"/>
        <v>1900</v>
      </c>
      <c r="Q883" s="2369">
        <f t="shared" si="110"/>
        <v>1900</v>
      </c>
      <c r="R883" s="654"/>
      <c r="S883" s="654"/>
      <c r="T883" s="654"/>
      <c r="U883" s="654"/>
    </row>
    <row r="884" spans="1:21" ht="12.75">
      <c r="A884" s="1316"/>
      <c r="B884" s="1317"/>
      <c r="C884" s="1318"/>
      <c r="D884" s="1319"/>
      <c r="E884" s="1318"/>
      <c r="F884" s="1320">
        <f t="shared" si="111"/>
        <v>0</v>
      </c>
      <c r="G884" s="1319"/>
      <c r="H884" s="1318"/>
      <c r="I884" s="1320">
        <f t="shared" si="112"/>
        <v>0</v>
      </c>
      <c r="J884" s="1320">
        <f t="shared" si="105"/>
        <v>0</v>
      </c>
      <c r="K884" s="1320">
        <f t="shared" si="106"/>
        <v>0</v>
      </c>
      <c r="L884" s="1318"/>
      <c r="M884" s="1318"/>
      <c r="N884" s="1321">
        <f t="shared" si="107"/>
        <v>0</v>
      </c>
      <c r="O884" s="1322">
        <f t="shared" si="108"/>
        <v>0</v>
      </c>
      <c r="P884" s="2369">
        <f t="shared" si="109"/>
        <v>1900</v>
      </c>
      <c r="Q884" s="2369">
        <f t="shared" si="110"/>
        <v>1900</v>
      </c>
      <c r="R884" s="654"/>
      <c r="S884" s="654"/>
      <c r="T884" s="654"/>
      <c r="U884" s="654"/>
    </row>
    <row r="885" spans="1:21" ht="12.75">
      <c r="A885" s="1316"/>
      <c r="B885" s="1317"/>
      <c r="C885" s="1318"/>
      <c r="D885" s="1319"/>
      <c r="E885" s="1318"/>
      <c r="F885" s="1320">
        <f t="shared" si="111"/>
        <v>0</v>
      </c>
      <c r="G885" s="1319"/>
      <c r="H885" s="1318"/>
      <c r="I885" s="1320">
        <f t="shared" si="112"/>
        <v>0</v>
      </c>
      <c r="J885" s="1320">
        <f t="shared" si="105"/>
        <v>0</v>
      </c>
      <c r="K885" s="1320">
        <f t="shared" si="106"/>
        <v>0</v>
      </c>
      <c r="L885" s="1318"/>
      <c r="M885" s="1318"/>
      <c r="N885" s="1321">
        <f t="shared" si="107"/>
        <v>0</v>
      </c>
      <c r="O885" s="1322">
        <f t="shared" si="108"/>
        <v>0</v>
      </c>
      <c r="P885" s="2369">
        <f t="shared" si="109"/>
        <v>1900</v>
      </c>
      <c r="Q885" s="2369">
        <f t="shared" si="110"/>
        <v>1900</v>
      </c>
      <c r="R885" s="654"/>
      <c r="S885" s="654"/>
      <c r="T885" s="654"/>
      <c r="U885" s="654"/>
    </row>
    <row r="886" spans="1:21" ht="12.75">
      <c r="A886" s="1316"/>
      <c r="B886" s="1317"/>
      <c r="C886" s="1318"/>
      <c r="D886" s="1319"/>
      <c r="E886" s="1318"/>
      <c r="F886" s="1320">
        <f t="shared" si="111"/>
        <v>0</v>
      </c>
      <c r="G886" s="1319"/>
      <c r="H886" s="1318"/>
      <c r="I886" s="1320">
        <f t="shared" si="112"/>
        <v>0</v>
      </c>
      <c r="J886" s="1320">
        <f t="shared" si="105"/>
        <v>0</v>
      </c>
      <c r="K886" s="1320">
        <f t="shared" si="106"/>
        <v>0</v>
      </c>
      <c r="L886" s="1318"/>
      <c r="M886" s="1318"/>
      <c r="N886" s="1321">
        <f t="shared" si="107"/>
        <v>0</v>
      </c>
      <c r="O886" s="1322">
        <f t="shared" si="108"/>
        <v>0</v>
      </c>
      <c r="P886" s="2369">
        <f t="shared" si="109"/>
        <v>1900</v>
      </c>
      <c r="Q886" s="2369">
        <f t="shared" si="110"/>
        <v>1900</v>
      </c>
      <c r="R886" s="654"/>
      <c r="S886" s="654"/>
      <c r="T886" s="654"/>
      <c r="U886" s="654"/>
    </row>
    <row r="887" spans="1:21" ht="12.75">
      <c r="A887" s="1316"/>
      <c r="B887" s="1317"/>
      <c r="C887" s="1318"/>
      <c r="D887" s="1319"/>
      <c r="E887" s="1318"/>
      <c r="F887" s="1320">
        <f t="shared" si="111"/>
        <v>0</v>
      </c>
      <c r="G887" s="1319"/>
      <c r="H887" s="1318"/>
      <c r="I887" s="1320">
        <f t="shared" si="112"/>
        <v>0</v>
      </c>
      <c r="J887" s="1320">
        <f t="shared" si="105"/>
        <v>0</v>
      </c>
      <c r="K887" s="1320">
        <f t="shared" si="106"/>
        <v>0</v>
      </c>
      <c r="L887" s="1318"/>
      <c r="M887" s="1318"/>
      <c r="N887" s="1321">
        <f t="shared" si="107"/>
        <v>0</v>
      </c>
      <c r="O887" s="1322">
        <f t="shared" si="108"/>
        <v>0</v>
      </c>
      <c r="P887" s="2369">
        <f t="shared" si="109"/>
        <v>1900</v>
      </c>
      <c r="Q887" s="2369">
        <f t="shared" si="110"/>
        <v>1900</v>
      </c>
      <c r="R887" s="654"/>
      <c r="S887" s="654"/>
      <c r="T887" s="654"/>
      <c r="U887" s="654"/>
    </row>
    <row r="888" spans="1:21" ht="12.75">
      <c r="A888" s="1316"/>
      <c r="B888" s="1317"/>
      <c r="C888" s="1318"/>
      <c r="D888" s="1319"/>
      <c r="E888" s="1318"/>
      <c r="F888" s="1320">
        <f t="shared" si="111"/>
        <v>0</v>
      </c>
      <c r="G888" s="1319"/>
      <c r="H888" s="1318"/>
      <c r="I888" s="1320">
        <f t="shared" si="112"/>
        <v>0</v>
      </c>
      <c r="J888" s="1320">
        <f t="shared" si="105"/>
        <v>0</v>
      </c>
      <c r="K888" s="1320">
        <f t="shared" si="106"/>
        <v>0</v>
      </c>
      <c r="L888" s="1318"/>
      <c r="M888" s="1318"/>
      <c r="N888" s="1321">
        <f t="shared" si="107"/>
        <v>0</v>
      </c>
      <c r="O888" s="1322">
        <f t="shared" si="108"/>
        <v>0</v>
      </c>
      <c r="P888" s="2369">
        <f t="shared" si="109"/>
        <v>1900</v>
      </c>
      <c r="Q888" s="2369">
        <f t="shared" si="110"/>
        <v>1900</v>
      </c>
      <c r="R888" s="654"/>
      <c r="S888" s="654"/>
      <c r="T888" s="654"/>
      <c r="U888" s="654"/>
    </row>
    <row r="889" spans="1:21" ht="12.75">
      <c r="A889" s="1316"/>
      <c r="B889" s="1317"/>
      <c r="C889" s="1318"/>
      <c r="D889" s="1319"/>
      <c r="E889" s="1318"/>
      <c r="F889" s="1320">
        <f t="shared" si="111"/>
        <v>0</v>
      </c>
      <c r="G889" s="1319"/>
      <c r="H889" s="1318"/>
      <c r="I889" s="1320">
        <f t="shared" si="112"/>
        <v>0</v>
      </c>
      <c r="J889" s="1320">
        <f t="shared" si="105"/>
        <v>0</v>
      </c>
      <c r="K889" s="1320">
        <f t="shared" si="106"/>
        <v>0</v>
      </c>
      <c r="L889" s="1318"/>
      <c r="M889" s="1318"/>
      <c r="N889" s="1321">
        <f t="shared" si="107"/>
        <v>0</v>
      </c>
      <c r="O889" s="1322">
        <f t="shared" si="108"/>
        <v>0</v>
      </c>
      <c r="P889" s="2369">
        <f t="shared" si="109"/>
        <v>1900</v>
      </c>
      <c r="Q889" s="2369">
        <f t="shared" si="110"/>
        <v>1900</v>
      </c>
      <c r="R889" s="654"/>
      <c r="S889" s="654"/>
      <c r="T889" s="654"/>
      <c r="U889" s="654"/>
    </row>
    <row r="890" spans="1:21" ht="12.75">
      <c r="A890" s="1316"/>
      <c r="B890" s="1317"/>
      <c r="C890" s="1318"/>
      <c r="D890" s="1319"/>
      <c r="E890" s="1318"/>
      <c r="F890" s="1320">
        <f t="shared" si="111"/>
        <v>0</v>
      </c>
      <c r="G890" s="1319"/>
      <c r="H890" s="1318"/>
      <c r="I890" s="1320">
        <f t="shared" si="112"/>
        <v>0</v>
      </c>
      <c r="J890" s="1320">
        <f t="shared" si="105"/>
        <v>0</v>
      </c>
      <c r="K890" s="1320">
        <f t="shared" si="106"/>
        <v>0</v>
      </c>
      <c r="L890" s="1318"/>
      <c r="M890" s="1318"/>
      <c r="N890" s="1321">
        <f t="shared" si="107"/>
        <v>0</v>
      </c>
      <c r="O890" s="1322">
        <f t="shared" si="108"/>
        <v>0</v>
      </c>
      <c r="P890" s="2369">
        <f t="shared" si="109"/>
        <v>1900</v>
      </c>
      <c r="Q890" s="2369">
        <f t="shared" si="110"/>
        <v>1900</v>
      </c>
      <c r="R890" s="654"/>
      <c r="S890" s="654"/>
      <c r="T890" s="654"/>
      <c r="U890" s="654"/>
    </row>
    <row r="891" spans="1:21" ht="12.75">
      <c r="A891" s="1316"/>
      <c r="B891" s="1317"/>
      <c r="C891" s="1318"/>
      <c r="D891" s="1319"/>
      <c r="E891" s="1318"/>
      <c r="F891" s="1320">
        <f t="shared" si="111"/>
        <v>0</v>
      </c>
      <c r="G891" s="1319"/>
      <c r="H891" s="1318"/>
      <c r="I891" s="1320">
        <f t="shared" si="112"/>
        <v>0</v>
      </c>
      <c r="J891" s="1320">
        <f t="shared" si="105"/>
        <v>0</v>
      </c>
      <c r="K891" s="1320">
        <f t="shared" si="106"/>
        <v>0</v>
      </c>
      <c r="L891" s="1318"/>
      <c r="M891" s="1318"/>
      <c r="N891" s="1321">
        <f t="shared" si="107"/>
        <v>0</v>
      </c>
      <c r="O891" s="1322">
        <f t="shared" si="108"/>
        <v>0</v>
      </c>
      <c r="P891" s="2369">
        <f t="shared" si="109"/>
        <v>1900</v>
      </c>
      <c r="Q891" s="2369">
        <f t="shared" si="110"/>
        <v>1900</v>
      </c>
      <c r="R891" s="654"/>
      <c r="S891" s="654"/>
      <c r="T891" s="654"/>
      <c r="U891" s="654"/>
    </row>
    <row r="892" spans="1:21" ht="12.75">
      <c r="A892" s="1316"/>
      <c r="B892" s="1317"/>
      <c r="C892" s="1318"/>
      <c r="D892" s="1319"/>
      <c r="E892" s="1318"/>
      <c r="F892" s="1320">
        <f t="shared" si="111"/>
        <v>0</v>
      </c>
      <c r="G892" s="1319"/>
      <c r="H892" s="1318"/>
      <c r="I892" s="1320">
        <f t="shared" si="112"/>
        <v>0</v>
      </c>
      <c r="J892" s="1320">
        <f t="shared" si="105"/>
        <v>0</v>
      </c>
      <c r="K892" s="1320">
        <f t="shared" si="106"/>
        <v>0</v>
      </c>
      <c r="L892" s="1318"/>
      <c r="M892" s="1318"/>
      <c r="N892" s="1321">
        <f t="shared" si="107"/>
        <v>0</v>
      </c>
      <c r="O892" s="1322">
        <f t="shared" si="108"/>
        <v>0</v>
      </c>
      <c r="P892" s="2369">
        <f t="shared" si="109"/>
        <v>1900</v>
      </c>
      <c r="Q892" s="2369">
        <f t="shared" si="110"/>
        <v>1900</v>
      </c>
      <c r="R892" s="654"/>
      <c r="S892" s="654"/>
      <c r="T892" s="654"/>
      <c r="U892" s="654"/>
    </row>
    <row r="893" spans="1:21" ht="12.75">
      <c r="A893" s="1316"/>
      <c r="B893" s="1317"/>
      <c r="C893" s="1318"/>
      <c r="D893" s="1319"/>
      <c r="E893" s="1318"/>
      <c r="F893" s="1320">
        <f t="shared" si="111"/>
        <v>0</v>
      </c>
      <c r="G893" s="1319"/>
      <c r="H893" s="1318"/>
      <c r="I893" s="1320">
        <f t="shared" si="112"/>
        <v>0</v>
      </c>
      <c r="J893" s="1320">
        <f t="shared" si="105"/>
        <v>0</v>
      </c>
      <c r="K893" s="1320">
        <f t="shared" si="106"/>
        <v>0</v>
      </c>
      <c r="L893" s="1318"/>
      <c r="M893" s="1318"/>
      <c r="N893" s="1321">
        <f t="shared" si="107"/>
        <v>0</v>
      </c>
      <c r="O893" s="1322">
        <f t="shared" si="108"/>
        <v>0</v>
      </c>
      <c r="P893" s="2369">
        <f t="shared" si="109"/>
        <v>1900</v>
      </c>
      <c r="Q893" s="2369">
        <f t="shared" si="110"/>
        <v>1900</v>
      </c>
      <c r="R893" s="654"/>
      <c r="S893" s="654"/>
      <c r="T893" s="654"/>
      <c r="U893" s="654"/>
    </row>
    <row r="894" spans="1:21" ht="12.75">
      <c r="A894" s="1316"/>
      <c r="B894" s="1317"/>
      <c r="C894" s="1318"/>
      <c r="D894" s="1319"/>
      <c r="E894" s="1318"/>
      <c r="F894" s="1320">
        <f t="shared" si="111"/>
        <v>0</v>
      </c>
      <c r="G894" s="1319"/>
      <c r="H894" s="1318"/>
      <c r="I894" s="1320">
        <f t="shared" si="112"/>
        <v>0</v>
      </c>
      <c r="J894" s="1320">
        <f t="shared" si="105"/>
        <v>0</v>
      </c>
      <c r="K894" s="1320">
        <f t="shared" si="106"/>
        <v>0</v>
      </c>
      <c r="L894" s="1318"/>
      <c r="M894" s="1318"/>
      <c r="N894" s="1321">
        <f t="shared" si="107"/>
        <v>0</v>
      </c>
      <c r="O894" s="1322">
        <f t="shared" si="108"/>
        <v>0</v>
      </c>
      <c r="P894" s="2369">
        <f t="shared" si="109"/>
        <v>1900</v>
      </c>
      <c r="Q894" s="2369">
        <f t="shared" si="110"/>
        <v>1900</v>
      </c>
      <c r="R894" s="654"/>
      <c r="S894" s="654"/>
      <c r="T894" s="654"/>
      <c r="U894" s="654"/>
    </row>
    <row r="895" spans="1:21" ht="12.75">
      <c r="A895" s="1316"/>
      <c r="B895" s="1317"/>
      <c r="C895" s="1318"/>
      <c r="D895" s="1319"/>
      <c r="E895" s="1318"/>
      <c r="F895" s="1320">
        <f t="shared" si="111"/>
        <v>0</v>
      </c>
      <c r="G895" s="1319"/>
      <c r="H895" s="1318"/>
      <c r="I895" s="1320">
        <f t="shared" si="112"/>
        <v>0</v>
      </c>
      <c r="J895" s="1320">
        <f t="shared" si="105"/>
        <v>0</v>
      </c>
      <c r="K895" s="1320">
        <f t="shared" si="106"/>
        <v>0</v>
      </c>
      <c r="L895" s="1318"/>
      <c r="M895" s="1318"/>
      <c r="N895" s="1321">
        <f t="shared" si="107"/>
        <v>0</v>
      </c>
      <c r="O895" s="1322">
        <f t="shared" si="108"/>
        <v>0</v>
      </c>
      <c r="P895" s="2369">
        <f t="shared" si="109"/>
        <v>1900</v>
      </c>
      <c r="Q895" s="2369">
        <f t="shared" si="110"/>
        <v>1900</v>
      </c>
      <c r="R895" s="654"/>
      <c r="S895" s="654"/>
      <c r="T895" s="654"/>
      <c r="U895" s="654"/>
    </row>
    <row r="896" spans="1:21" ht="12.75">
      <c r="A896" s="1316"/>
      <c r="B896" s="1317"/>
      <c r="C896" s="1318"/>
      <c r="D896" s="1319"/>
      <c r="E896" s="1318"/>
      <c r="F896" s="1320">
        <f t="shared" si="111"/>
        <v>0</v>
      </c>
      <c r="G896" s="1319"/>
      <c r="H896" s="1318"/>
      <c r="I896" s="1320">
        <f t="shared" si="112"/>
        <v>0</v>
      </c>
      <c r="J896" s="1320">
        <f t="shared" si="105"/>
        <v>0</v>
      </c>
      <c r="K896" s="1320">
        <f t="shared" si="106"/>
        <v>0</v>
      </c>
      <c r="L896" s="1318"/>
      <c r="M896" s="1318"/>
      <c r="N896" s="1321">
        <f t="shared" si="107"/>
        <v>0</v>
      </c>
      <c r="O896" s="1322">
        <f t="shared" si="108"/>
        <v>0</v>
      </c>
      <c r="P896" s="2369">
        <f t="shared" si="109"/>
        <v>1900</v>
      </c>
      <c r="Q896" s="2369">
        <f t="shared" si="110"/>
        <v>1900</v>
      </c>
      <c r="R896" s="654"/>
      <c r="S896" s="654"/>
      <c r="T896" s="654"/>
      <c r="U896" s="654"/>
    </row>
    <row r="897" spans="1:21" ht="12.75">
      <c r="A897" s="1316"/>
      <c r="B897" s="1317"/>
      <c r="C897" s="1318"/>
      <c r="D897" s="1319"/>
      <c r="E897" s="1318"/>
      <c r="F897" s="1320">
        <f t="shared" si="111"/>
        <v>0</v>
      </c>
      <c r="G897" s="1319"/>
      <c r="H897" s="1318"/>
      <c r="I897" s="1320">
        <f t="shared" si="112"/>
        <v>0</v>
      </c>
      <c r="J897" s="1320">
        <f t="shared" si="105"/>
        <v>0</v>
      </c>
      <c r="K897" s="1320">
        <f t="shared" si="106"/>
        <v>0</v>
      </c>
      <c r="L897" s="1318"/>
      <c r="M897" s="1318"/>
      <c r="N897" s="1321">
        <f t="shared" si="107"/>
        <v>0</v>
      </c>
      <c r="O897" s="1322">
        <f t="shared" si="108"/>
        <v>0</v>
      </c>
      <c r="P897" s="2369">
        <f t="shared" si="109"/>
        <v>1900</v>
      </c>
      <c r="Q897" s="2369">
        <f t="shared" si="110"/>
        <v>1900</v>
      </c>
      <c r="R897" s="654"/>
      <c r="S897" s="654"/>
      <c r="T897" s="654"/>
      <c r="U897" s="654"/>
    </row>
    <row r="898" spans="1:21" ht="12.75">
      <c r="A898" s="1316"/>
      <c r="B898" s="1317"/>
      <c r="C898" s="1318"/>
      <c r="D898" s="1319"/>
      <c r="E898" s="1318"/>
      <c r="F898" s="1320">
        <f t="shared" si="111"/>
        <v>0</v>
      </c>
      <c r="G898" s="1319"/>
      <c r="H898" s="1318"/>
      <c r="I898" s="1320">
        <f t="shared" si="112"/>
        <v>0</v>
      </c>
      <c r="J898" s="1320">
        <f t="shared" si="105"/>
        <v>0</v>
      </c>
      <c r="K898" s="1320">
        <f t="shared" si="106"/>
        <v>0</v>
      </c>
      <c r="L898" s="1318"/>
      <c r="M898" s="1318"/>
      <c r="N898" s="1321">
        <f t="shared" si="107"/>
        <v>0</v>
      </c>
      <c r="O898" s="1322">
        <f t="shared" si="108"/>
        <v>0</v>
      </c>
      <c r="P898" s="2369">
        <f t="shared" si="109"/>
        <v>1900</v>
      </c>
      <c r="Q898" s="2369">
        <f t="shared" si="110"/>
        <v>1900</v>
      </c>
      <c r="R898" s="654"/>
      <c r="S898" s="654"/>
      <c r="T898" s="654"/>
      <c r="U898" s="654"/>
    </row>
    <row r="899" spans="1:21" ht="12.75">
      <c r="A899" s="1316"/>
      <c r="B899" s="1317"/>
      <c r="C899" s="1318"/>
      <c r="D899" s="1319"/>
      <c r="E899" s="1318"/>
      <c r="F899" s="1320">
        <f t="shared" si="111"/>
        <v>0</v>
      </c>
      <c r="G899" s="1319"/>
      <c r="H899" s="1318"/>
      <c r="I899" s="1320">
        <f t="shared" si="112"/>
        <v>0</v>
      </c>
      <c r="J899" s="1320">
        <f t="shared" si="105"/>
        <v>0</v>
      </c>
      <c r="K899" s="1320">
        <f t="shared" si="106"/>
        <v>0</v>
      </c>
      <c r="L899" s="1318"/>
      <c r="M899" s="1318"/>
      <c r="N899" s="1321">
        <f t="shared" si="107"/>
        <v>0</v>
      </c>
      <c r="O899" s="1322">
        <f t="shared" si="108"/>
        <v>0</v>
      </c>
      <c r="P899" s="2369">
        <f t="shared" si="109"/>
        <v>1900</v>
      </c>
      <c r="Q899" s="2369">
        <f t="shared" si="110"/>
        <v>1900</v>
      </c>
      <c r="R899" s="654"/>
      <c r="S899" s="654"/>
      <c r="T899" s="654"/>
      <c r="U899" s="654"/>
    </row>
    <row r="900" spans="1:21" ht="12.75">
      <c r="A900" s="1316"/>
      <c r="B900" s="1317"/>
      <c r="C900" s="1318"/>
      <c r="D900" s="1319"/>
      <c r="E900" s="1318"/>
      <c r="F900" s="1320">
        <f t="shared" si="111"/>
        <v>0</v>
      </c>
      <c r="G900" s="1319"/>
      <c r="H900" s="1318"/>
      <c r="I900" s="1320">
        <f t="shared" si="112"/>
        <v>0</v>
      </c>
      <c r="J900" s="1320">
        <f t="shared" si="105"/>
        <v>0</v>
      </c>
      <c r="K900" s="1320">
        <f t="shared" si="106"/>
        <v>0</v>
      </c>
      <c r="L900" s="1318"/>
      <c r="M900" s="1318"/>
      <c r="N900" s="1321">
        <f t="shared" si="107"/>
        <v>0</v>
      </c>
      <c r="O900" s="1322">
        <f t="shared" si="108"/>
        <v>0</v>
      </c>
      <c r="P900" s="2369">
        <f t="shared" si="109"/>
        <v>1900</v>
      </c>
      <c r="Q900" s="2369">
        <f t="shared" si="110"/>
        <v>1900</v>
      </c>
      <c r="R900" s="654"/>
      <c r="S900" s="654"/>
      <c r="T900" s="654"/>
      <c r="U900" s="654"/>
    </row>
    <row r="901" spans="1:21" ht="12.75">
      <c r="A901" s="1316"/>
      <c r="B901" s="1317"/>
      <c r="C901" s="1318"/>
      <c r="D901" s="1319"/>
      <c r="E901" s="1318"/>
      <c r="F901" s="1320">
        <f t="shared" si="111"/>
        <v>0</v>
      </c>
      <c r="G901" s="1319"/>
      <c r="H901" s="1318"/>
      <c r="I901" s="1320">
        <f t="shared" si="112"/>
        <v>0</v>
      </c>
      <c r="J901" s="1320">
        <f t="shared" si="105"/>
        <v>0</v>
      </c>
      <c r="K901" s="1320">
        <f t="shared" si="106"/>
        <v>0</v>
      </c>
      <c r="L901" s="1318"/>
      <c r="M901" s="1318"/>
      <c r="N901" s="1321">
        <f t="shared" si="107"/>
        <v>0</v>
      </c>
      <c r="O901" s="1322">
        <f t="shared" si="108"/>
        <v>0</v>
      </c>
      <c r="P901" s="2369">
        <f t="shared" si="109"/>
        <v>1900</v>
      </c>
      <c r="Q901" s="2369">
        <f t="shared" si="110"/>
        <v>1900</v>
      </c>
      <c r="R901" s="654"/>
      <c r="S901" s="654"/>
      <c r="T901" s="654"/>
      <c r="U901" s="654"/>
    </row>
    <row r="902" spans="1:21" ht="12.75">
      <c r="A902" s="1316"/>
      <c r="B902" s="1317"/>
      <c r="C902" s="1318"/>
      <c r="D902" s="1319"/>
      <c r="E902" s="1318"/>
      <c r="F902" s="1320">
        <f t="shared" si="111"/>
        <v>0</v>
      </c>
      <c r="G902" s="1319"/>
      <c r="H902" s="1318"/>
      <c r="I902" s="1320">
        <f t="shared" si="112"/>
        <v>0</v>
      </c>
      <c r="J902" s="1320">
        <f t="shared" si="105"/>
        <v>0</v>
      </c>
      <c r="K902" s="1320">
        <f t="shared" si="106"/>
        <v>0</v>
      </c>
      <c r="L902" s="1318"/>
      <c r="M902" s="1318"/>
      <c r="N902" s="1321">
        <f t="shared" si="107"/>
        <v>0</v>
      </c>
      <c r="O902" s="1322">
        <f t="shared" si="108"/>
        <v>0</v>
      </c>
      <c r="P902" s="2369">
        <f t="shared" si="109"/>
        <v>1900</v>
      </c>
      <c r="Q902" s="2369">
        <f t="shared" si="110"/>
        <v>1900</v>
      </c>
      <c r="R902" s="654"/>
      <c r="S902" s="654"/>
      <c r="T902" s="654"/>
      <c r="U902" s="654"/>
    </row>
    <row r="903" spans="1:21" ht="12.75">
      <c r="A903" s="1316"/>
      <c r="B903" s="1317"/>
      <c r="C903" s="1318"/>
      <c r="D903" s="1319"/>
      <c r="E903" s="1318"/>
      <c r="F903" s="1320">
        <f t="shared" si="111"/>
        <v>0</v>
      </c>
      <c r="G903" s="1319"/>
      <c r="H903" s="1318"/>
      <c r="I903" s="1320">
        <f t="shared" si="112"/>
        <v>0</v>
      </c>
      <c r="J903" s="1320">
        <f t="shared" si="105"/>
        <v>0</v>
      </c>
      <c r="K903" s="1320">
        <f t="shared" si="106"/>
        <v>0</v>
      </c>
      <c r="L903" s="1318"/>
      <c r="M903" s="1318"/>
      <c r="N903" s="1321">
        <f t="shared" si="107"/>
        <v>0</v>
      </c>
      <c r="O903" s="1322">
        <f t="shared" si="108"/>
        <v>0</v>
      </c>
      <c r="P903" s="2369">
        <f t="shared" si="109"/>
        <v>1900</v>
      </c>
      <c r="Q903" s="2369">
        <f t="shared" si="110"/>
        <v>1900</v>
      </c>
      <c r="R903" s="654"/>
      <c r="S903" s="654"/>
      <c r="T903" s="654"/>
      <c r="U903" s="654"/>
    </row>
    <row r="904" spans="1:21" ht="12.75">
      <c r="A904" s="1316"/>
      <c r="B904" s="1317"/>
      <c r="C904" s="1318"/>
      <c r="D904" s="1319"/>
      <c r="E904" s="1318"/>
      <c r="F904" s="1320">
        <f t="shared" si="111"/>
        <v>0</v>
      </c>
      <c r="G904" s="1319"/>
      <c r="H904" s="1318"/>
      <c r="I904" s="1320">
        <f t="shared" si="112"/>
        <v>0</v>
      </c>
      <c r="J904" s="1320">
        <f t="shared" si="105"/>
        <v>0</v>
      </c>
      <c r="K904" s="1320">
        <f t="shared" si="106"/>
        <v>0</v>
      </c>
      <c r="L904" s="1318"/>
      <c r="M904" s="1318"/>
      <c r="N904" s="1321">
        <f t="shared" si="107"/>
        <v>0</v>
      </c>
      <c r="O904" s="1322">
        <f t="shared" si="108"/>
        <v>0</v>
      </c>
      <c r="P904" s="2369">
        <f t="shared" si="109"/>
        <v>1900</v>
      </c>
      <c r="Q904" s="2369">
        <f t="shared" si="110"/>
        <v>1900</v>
      </c>
      <c r="R904" s="654"/>
      <c r="S904" s="654"/>
      <c r="T904" s="654"/>
      <c r="U904" s="654"/>
    </row>
    <row r="905" spans="1:21" ht="12.75">
      <c r="A905" s="1316"/>
      <c r="B905" s="1317"/>
      <c r="C905" s="1318"/>
      <c r="D905" s="1319"/>
      <c r="E905" s="1318"/>
      <c r="F905" s="1320">
        <f t="shared" si="111"/>
        <v>0</v>
      </c>
      <c r="G905" s="1319"/>
      <c r="H905" s="1318"/>
      <c r="I905" s="1320">
        <f t="shared" si="112"/>
        <v>0</v>
      </c>
      <c r="J905" s="1320">
        <f t="shared" ref="J905:J968" si="113">C905+E905-H905</f>
        <v>0</v>
      </c>
      <c r="K905" s="1320">
        <f t="shared" ref="K905:K968" si="114">C905+F905-I905</f>
        <v>0</v>
      </c>
      <c r="L905" s="1318"/>
      <c r="M905" s="1318"/>
      <c r="N905" s="1321">
        <f t="shared" si="107"/>
        <v>0</v>
      </c>
      <c r="O905" s="1322">
        <f t="shared" si="108"/>
        <v>0</v>
      </c>
      <c r="P905" s="2369">
        <f t="shared" si="109"/>
        <v>1900</v>
      </c>
      <c r="Q905" s="2369">
        <f t="shared" si="110"/>
        <v>1900</v>
      </c>
      <c r="R905" s="654"/>
      <c r="S905" s="654"/>
      <c r="T905" s="654"/>
      <c r="U905" s="654"/>
    </row>
    <row r="906" spans="1:21" ht="12.75">
      <c r="A906" s="1316"/>
      <c r="B906" s="1317"/>
      <c r="C906" s="1318"/>
      <c r="D906" s="1319"/>
      <c r="E906" s="1318"/>
      <c r="F906" s="1320">
        <f t="shared" si="111"/>
        <v>0</v>
      </c>
      <c r="G906" s="1319"/>
      <c r="H906" s="1318"/>
      <c r="I906" s="1320">
        <f t="shared" si="112"/>
        <v>0</v>
      </c>
      <c r="J906" s="1320">
        <f t="shared" si="113"/>
        <v>0</v>
      </c>
      <c r="K906" s="1320">
        <f t="shared" si="114"/>
        <v>0</v>
      </c>
      <c r="L906" s="1318"/>
      <c r="M906" s="1318"/>
      <c r="N906" s="1321">
        <f t="shared" ref="N906:N969" si="115">IF(M906&lt;&gt;0,ROUND(B906*K906,2)+M906,IF(ABS(ROUND(K906*B906,2)-L906)&lt;3,L906,MIN(ROUND(K906*B906,2),L906)))</f>
        <v>0</v>
      </c>
      <c r="O906" s="1322">
        <f t="shared" ref="O906:O969" si="116">IF(ISERROR(L906-N906),"",IF(ABS(L906-N906)&lt;3,0,L906-N906))</f>
        <v>0</v>
      </c>
      <c r="P906" s="2369">
        <f t="shared" ref="P906:P969" si="117">IFERROR(YEAR(D906),0)</f>
        <v>1900</v>
      </c>
      <c r="Q906" s="2369">
        <f t="shared" ref="Q906:Q969" si="118">IFERROR(YEAR(G906),0)</f>
        <v>1900</v>
      </c>
      <c r="R906" s="654"/>
      <c r="S906" s="654"/>
      <c r="T906" s="654"/>
      <c r="U906" s="654"/>
    </row>
    <row r="907" spans="1:21" ht="12.75">
      <c r="A907" s="1316"/>
      <c r="B907" s="1317"/>
      <c r="C907" s="1318"/>
      <c r="D907" s="1319"/>
      <c r="E907" s="1318"/>
      <c r="F907" s="1320">
        <f t="shared" ref="F907:F970" si="119">E907*(12-MONTH(D907))/12</f>
        <v>0</v>
      </c>
      <c r="G907" s="1319"/>
      <c r="H907" s="1318"/>
      <c r="I907" s="1320">
        <f t="shared" ref="I907:I970" si="120">H907*(12-MONTH(G907))/12</f>
        <v>0</v>
      </c>
      <c r="J907" s="1320">
        <f t="shared" si="113"/>
        <v>0</v>
      </c>
      <c r="K907" s="1320">
        <f t="shared" si="114"/>
        <v>0</v>
      </c>
      <c r="L907" s="1318"/>
      <c r="M907" s="1318"/>
      <c r="N907" s="1321">
        <f t="shared" si="115"/>
        <v>0</v>
      </c>
      <c r="O907" s="1322">
        <f t="shared" si="116"/>
        <v>0</v>
      </c>
      <c r="P907" s="2369">
        <f t="shared" si="117"/>
        <v>1900</v>
      </c>
      <c r="Q907" s="2369">
        <f t="shared" si="118"/>
        <v>1900</v>
      </c>
      <c r="R907" s="654"/>
      <c r="S907" s="654"/>
      <c r="T907" s="654"/>
      <c r="U907" s="654"/>
    </row>
    <row r="908" spans="1:21" ht="12.75">
      <c r="A908" s="1316"/>
      <c r="B908" s="1317"/>
      <c r="C908" s="1318"/>
      <c r="D908" s="1319"/>
      <c r="E908" s="1318"/>
      <c r="F908" s="1320">
        <f t="shared" si="119"/>
        <v>0</v>
      </c>
      <c r="G908" s="1319"/>
      <c r="H908" s="1318"/>
      <c r="I908" s="1320">
        <f t="shared" si="120"/>
        <v>0</v>
      </c>
      <c r="J908" s="1320">
        <f t="shared" si="113"/>
        <v>0</v>
      </c>
      <c r="K908" s="1320">
        <f t="shared" si="114"/>
        <v>0</v>
      </c>
      <c r="L908" s="1318"/>
      <c r="M908" s="1318"/>
      <c r="N908" s="1321">
        <f t="shared" si="115"/>
        <v>0</v>
      </c>
      <c r="O908" s="1322">
        <f t="shared" si="116"/>
        <v>0</v>
      </c>
      <c r="P908" s="2369">
        <f t="shared" si="117"/>
        <v>1900</v>
      </c>
      <c r="Q908" s="2369">
        <f t="shared" si="118"/>
        <v>1900</v>
      </c>
      <c r="R908" s="654"/>
      <c r="S908" s="654"/>
      <c r="T908" s="654"/>
      <c r="U908" s="654"/>
    </row>
    <row r="909" spans="1:21" ht="12.75">
      <c r="A909" s="1316"/>
      <c r="B909" s="1317"/>
      <c r="C909" s="1318"/>
      <c r="D909" s="1319"/>
      <c r="E909" s="1318"/>
      <c r="F909" s="1320">
        <f t="shared" si="119"/>
        <v>0</v>
      </c>
      <c r="G909" s="1319"/>
      <c r="H909" s="1318"/>
      <c r="I909" s="1320">
        <f t="shared" si="120"/>
        <v>0</v>
      </c>
      <c r="J909" s="1320">
        <f t="shared" si="113"/>
        <v>0</v>
      </c>
      <c r="K909" s="1320">
        <f t="shared" si="114"/>
        <v>0</v>
      </c>
      <c r="L909" s="1318"/>
      <c r="M909" s="1318"/>
      <c r="N909" s="1321">
        <f t="shared" si="115"/>
        <v>0</v>
      </c>
      <c r="O909" s="1322">
        <f t="shared" si="116"/>
        <v>0</v>
      </c>
      <c r="P909" s="2369">
        <f t="shared" si="117"/>
        <v>1900</v>
      </c>
      <c r="Q909" s="2369">
        <f t="shared" si="118"/>
        <v>1900</v>
      </c>
      <c r="R909" s="654"/>
      <c r="S909" s="654"/>
      <c r="T909" s="654"/>
      <c r="U909" s="654"/>
    </row>
    <row r="910" spans="1:21" ht="12.75">
      <c r="A910" s="1316"/>
      <c r="B910" s="1317"/>
      <c r="C910" s="1318"/>
      <c r="D910" s="1319"/>
      <c r="E910" s="1318"/>
      <c r="F910" s="1320">
        <f t="shared" si="119"/>
        <v>0</v>
      </c>
      <c r="G910" s="1319"/>
      <c r="H910" s="1318"/>
      <c r="I910" s="1320">
        <f t="shared" si="120"/>
        <v>0</v>
      </c>
      <c r="J910" s="1320">
        <f t="shared" si="113"/>
        <v>0</v>
      </c>
      <c r="K910" s="1320">
        <f t="shared" si="114"/>
        <v>0</v>
      </c>
      <c r="L910" s="1318"/>
      <c r="M910" s="1318"/>
      <c r="N910" s="1321">
        <f t="shared" si="115"/>
        <v>0</v>
      </c>
      <c r="O910" s="1322">
        <f t="shared" si="116"/>
        <v>0</v>
      </c>
      <c r="P910" s="2369">
        <f t="shared" si="117"/>
        <v>1900</v>
      </c>
      <c r="Q910" s="2369">
        <f t="shared" si="118"/>
        <v>1900</v>
      </c>
      <c r="R910" s="654"/>
      <c r="S910" s="654"/>
      <c r="T910" s="654"/>
      <c r="U910" s="654"/>
    </row>
    <row r="911" spans="1:21" ht="12.75">
      <c r="A911" s="1316"/>
      <c r="B911" s="1317"/>
      <c r="C911" s="1318"/>
      <c r="D911" s="1319"/>
      <c r="E911" s="1318"/>
      <c r="F911" s="1320">
        <f t="shared" si="119"/>
        <v>0</v>
      </c>
      <c r="G911" s="1319"/>
      <c r="H911" s="1318"/>
      <c r="I911" s="1320">
        <f t="shared" si="120"/>
        <v>0</v>
      </c>
      <c r="J911" s="1320">
        <f t="shared" si="113"/>
        <v>0</v>
      </c>
      <c r="K911" s="1320">
        <f t="shared" si="114"/>
        <v>0</v>
      </c>
      <c r="L911" s="1318"/>
      <c r="M911" s="1318"/>
      <c r="N911" s="1321">
        <f t="shared" si="115"/>
        <v>0</v>
      </c>
      <c r="O911" s="1322">
        <f t="shared" si="116"/>
        <v>0</v>
      </c>
      <c r="P911" s="2369">
        <f t="shared" si="117"/>
        <v>1900</v>
      </c>
      <c r="Q911" s="2369">
        <f t="shared" si="118"/>
        <v>1900</v>
      </c>
      <c r="R911" s="654"/>
      <c r="S911" s="654"/>
      <c r="T911" s="654"/>
      <c r="U911" s="654"/>
    </row>
    <row r="912" spans="1:21" ht="12.75">
      <c r="A912" s="1316"/>
      <c r="B912" s="1317"/>
      <c r="C912" s="1318"/>
      <c r="D912" s="1319"/>
      <c r="E912" s="1318"/>
      <c r="F912" s="1320">
        <f t="shared" si="119"/>
        <v>0</v>
      </c>
      <c r="G912" s="1319"/>
      <c r="H912" s="1318"/>
      <c r="I912" s="1320">
        <f t="shared" si="120"/>
        <v>0</v>
      </c>
      <c r="J912" s="1320">
        <f t="shared" si="113"/>
        <v>0</v>
      </c>
      <c r="K912" s="1320">
        <f t="shared" si="114"/>
        <v>0</v>
      </c>
      <c r="L912" s="1318"/>
      <c r="M912" s="1318"/>
      <c r="N912" s="1321">
        <f t="shared" si="115"/>
        <v>0</v>
      </c>
      <c r="O912" s="1322">
        <f t="shared" si="116"/>
        <v>0</v>
      </c>
      <c r="P912" s="2369">
        <f t="shared" si="117"/>
        <v>1900</v>
      </c>
      <c r="Q912" s="2369">
        <f t="shared" si="118"/>
        <v>1900</v>
      </c>
      <c r="R912" s="654"/>
      <c r="S912" s="654"/>
      <c r="T912" s="654"/>
      <c r="U912" s="654"/>
    </row>
    <row r="913" spans="1:21" ht="12.75">
      <c r="A913" s="1316"/>
      <c r="B913" s="1317"/>
      <c r="C913" s="1318"/>
      <c r="D913" s="1319"/>
      <c r="E913" s="1318"/>
      <c r="F913" s="1320">
        <f t="shared" si="119"/>
        <v>0</v>
      </c>
      <c r="G913" s="1319"/>
      <c r="H913" s="1318"/>
      <c r="I913" s="1320">
        <f t="shared" si="120"/>
        <v>0</v>
      </c>
      <c r="J913" s="1320">
        <f t="shared" si="113"/>
        <v>0</v>
      </c>
      <c r="K913" s="1320">
        <f t="shared" si="114"/>
        <v>0</v>
      </c>
      <c r="L913" s="1318"/>
      <c r="M913" s="1318"/>
      <c r="N913" s="1321">
        <f t="shared" si="115"/>
        <v>0</v>
      </c>
      <c r="O913" s="1322">
        <f t="shared" si="116"/>
        <v>0</v>
      </c>
      <c r="P913" s="2369">
        <f t="shared" si="117"/>
        <v>1900</v>
      </c>
      <c r="Q913" s="2369">
        <f t="shared" si="118"/>
        <v>1900</v>
      </c>
      <c r="R913" s="654"/>
      <c r="S913" s="654"/>
      <c r="T913" s="654"/>
      <c r="U913" s="654"/>
    </row>
    <row r="914" spans="1:21" ht="12.75">
      <c r="A914" s="1316"/>
      <c r="B914" s="1317"/>
      <c r="C914" s="1318"/>
      <c r="D914" s="1319"/>
      <c r="E914" s="1318"/>
      <c r="F914" s="1320">
        <f t="shared" si="119"/>
        <v>0</v>
      </c>
      <c r="G914" s="1319"/>
      <c r="H914" s="1318"/>
      <c r="I914" s="1320">
        <f t="shared" si="120"/>
        <v>0</v>
      </c>
      <c r="J914" s="1320">
        <f t="shared" si="113"/>
        <v>0</v>
      </c>
      <c r="K914" s="1320">
        <f t="shared" si="114"/>
        <v>0</v>
      </c>
      <c r="L914" s="1318"/>
      <c r="M914" s="1318"/>
      <c r="N914" s="1321">
        <f t="shared" si="115"/>
        <v>0</v>
      </c>
      <c r="O914" s="1322">
        <f t="shared" si="116"/>
        <v>0</v>
      </c>
      <c r="P914" s="2369">
        <f t="shared" si="117"/>
        <v>1900</v>
      </c>
      <c r="Q914" s="2369">
        <f t="shared" si="118"/>
        <v>1900</v>
      </c>
      <c r="R914" s="654"/>
      <c r="S914" s="654"/>
      <c r="T914" s="654"/>
      <c r="U914" s="654"/>
    </row>
    <row r="915" spans="1:21" ht="12.75">
      <c r="A915" s="1316"/>
      <c r="B915" s="1317"/>
      <c r="C915" s="1318"/>
      <c r="D915" s="1319"/>
      <c r="E915" s="1318"/>
      <c r="F915" s="1320">
        <f t="shared" si="119"/>
        <v>0</v>
      </c>
      <c r="G915" s="1319"/>
      <c r="H915" s="1318"/>
      <c r="I915" s="1320">
        <f t="shared" si="120"/>
        <v>0</v>
      </c>
      <c r="J915" s="1320">
        <f t="shared" si="113"/>
        <v>0</v>
      </c>
      <c r="K915" s="1320">
        <f t="shared" si="114"/>
        <v>0</v>
      </c>
      <c r="L915" s="1318"/>
      <c r="M915" s="1318"/>
      <c r="N915" s="1321">
        <f t="shared" si="115"/>
        <v>0</v>
      </c>
      <c r="O915" s="1322">
        <f t="shared" si="116"/>
        <v>0</v>
      </c>
      <c r="P915" s="2369">
        <f t="shared" si="117"/>
        <v>1900</v>
      </c>
      <c r="Q915" s="2369">
        <f t="shared" si="118"/>
        <v>1900</v>
      </c>
      <c r="R915" s="654"/>
      <c r="S915" s="654"/>
      <c r="T915" s="654"/>
      <c r="U915" s="654"/>
    </row>
    <row r="916" spans="1:21" ht="12.75">
      <c r="A916" s="1316"/>
      <c r="B916" s="1317"/>
      <c r="C916" s="1318"/>
      <c r="D916" s="1319"/>
      <c r="E916" s="1318"/>
      <c r="F916" s="1320">
        <f t="shared" si="119"/>
        <v>0</v>
      </c>
      <c r="G916" s="1319"/>
      <c r="H916" s="1318"/>
      <c r="I916" s="1320">
        <f t="shared" si="120"/>
        <v>0</v>
      </c>
      <c r="J916" s="1320">
        <f t="shared" si="113"/>
        <v>0</v>
      </c>
      <c r="K916" s="1320">
        <f t="shared" si="114"/>
        <v>0</v>
      </c>
      <c r="L916" s="1318"/>
      <c r="M916" s="1318"/>
      <c r="N916" s="1321">
        <f t="shared" si="115"/>
        <v>0</v>
      </c>
      <c r="O916" s="1322">
        <f t="shared" si="116"/>
        <v>0</v>
      </c>
      <c r="P916" s="2369">
        <f t="shared" si="117"/>
        <v>1900</v>
      </c>
      <c r="Q916" s="2369">
        <f t="shared" si="118"/>
        <v>1900</v>
      </c>
      <c r="R916" s="654"/>
      <c r="S916" s="654"/>
      <c r="T916" s="654"/>
      <c r="U916" s="654"/>
    </row>
    <row r="917" spans="1:21" ht="12.75">
      <c r="A917" s="1316"/>
      <c r="B917" s="1317"/>
      <c r="C917" s="1318"/>
      <c r="D917" s="1319"/>
      <c r="E917" s="1318"/>
      <c r="F917" s="1320">
        <f t="shared" si="119"/>
        <v>0</v>
      </c>
      <c r="G917" s="1319"/>
      <c r="H917" s="1318"/>
      <c r="I917" s="1320">
        <f t="shared" si="120"/>
        <v>0</v>
      </c>
      <c r="J917" s="1320">
        <f t="shared" si="113"/>
        <v>0</v>
      </c>
      <c r="K917" s="1320">
        <f t="shared" si="114"/>
        <v>0</v>
      </c>
      <c r="L917" s="1318"/>
      <c r="M917" s="1318"/>
      <c r="N917" s="1321">
        <f t="shared" si="115"/>
        <v>0</v>
      </c>
      <c r="O917" s="1322">
        <f t="shared" si="116"/>
        <v>0</v>
      </c>
      <c r="P917" s="2369">
        <f t="shared" si="117"/>
        <v>1900</v>
      </c>
      <c r="Q917" s="2369">
        <f t="shared" si="118"/>
        <v>1900</v>
      </c>
      <c r="R917" s="654"/>
      <c r="S917" s="654"/>
      <c r="T917" s="654"/>
      <c r="U917" s="654"/>
    </row>
    <row r="918" spans="1:21" ht="12.75">
      <c r="A918" s="1316"/>
      <c r="B918" s="1317"/>
      <c r="C918" s="1318"/>
      <c r="D918" s="1319"/>
      <c r="E918" s="1318"/>
      <c r="F918" s="1320">
        <f t="shared" si="119"/>
        <v>0</v>
      </c>
      <c r="G918" s="1319"/>
      <c r="H918" s="1318"/>
      <c r="I918" s="1320">
        <f t="shared" si="120"/>
        <v>0</v>
      </c>
      <c r="J918" s="1320">
        <f t="shared" si="113"/>
        <v>0</v>
      </c>
      <c r="K918" s="1320">
        <f t="shared" si="114"/>
        <v>0</v>
      </c>
      <c r="L918" s="1318"/>
      <c r="M918" s="1318"/>
      <c r="N918" s="1321">
        <f t="shared" si="115"/>
        <v>0</v>
      </c>
      <c r="O918" s="1322">
        <f t="shared" si="116"/>
        <v>0</v>
      </c>
      <c r="P918" s="2369">
        <f t="shared" si="117"/>
        <v>1900</v>
      </c>
      <c r="Q918" s="2369">
        <f t="shared" si="118"/>
        <v>1900</v>
      </c>
      <c r="R918" s="654"/>
      <c r="S918" s="654"/>
      <c r="T918" s="654"/>
      <c r="U918" s="654"/>
    </row>
    <row r="919" spans="1:21" ht="12.75">
      <c r="A919" s="1316"/>
      <c r="B919" s="1317"/>
      <c r="C919" s="1318"/>
      <c r="D919" s="1319"/>
      <c r="E919" s="1318"/>
      <c r="F919" s="1320">
        <f t="shared" si="119"/>
        <v>0</v>
      </c>
      <c r="G919" s="1319"/>
      <c r="H919" s="1318"/>
      <c r="I919" s="1320">
        <f t="shared" si="120"/>
        <v>0</v>
      </c>
      <c r="J919" s="1320">
        <f t="shared" si="113"/>
        <v>0</v>
      </c>
      <c r="K919" s="1320">
        <f t="shared" si="114"/>
        <v>0</v>
      </c>
      <c r="L919" s="1318"/>
      <c r="M919" s="1318"/>
      <c r="N919" s="1321">
        <f t="shared" si="115"/>
        <v>0</v>
      </c>
      <c r="O919" s="1322">
        <f t="shared" si="116"/>
        <v>0</v>
      </c>
      <c r="P919" s="2369">
        <f t="shared" si="117"/>
        <v>1900</v>
      </c>
      <c r="Q919" s="2369">
        <f t="shared" si="118"/>
        <v>1900</v>
      </c>
      <c r="R919" s="654"/>
      <c r="S919" s="654"/>
      <c r="T919" s="654"/>
      <c r="U919" s="654"/>
    </row>
    <row r="920" spans="1:21" ht="12.75">
      <c r="A920" s="1316"/>
      <c r="B920" s="1317"/>
      <c r="C920" s="1318"/>
      <c r="D920" s="1319"/>
      <c r="E920" s="1318"/>
      <c r="F920" s="1320">
        <f t="shared" si="119"/>
        <v>0</v>
      </c>
      <c r="G920" s="1319"/>
      <c r="H920" s="1318"/>
      <c r="I920" s="1320">
        <f t="shared" si="120"/>
        <v>0</v>
      </c>
      <c r="J920" s="1320">
        <f t="shared" si="113"/>
        <v>0</v>
      </c>
      <c r="K920" s="1320">
        <f t="shared" si="114"/>
        <v>0</v>
      </c>
      <c r="L920" s="1318"/>
      <c r="M920" s="1318"/>
      <c r="N920" s="1321">
        <f t="shared" si="115"/>
        <v>0</v>
      </c>
      <c r="O920" s="1322">
        <f t="shared" si="116"/>
        <v>0</v>
      </c>
      <c r="P920" s="2369">
        <f t="shared" si="117"/>
        <v>1900</v>
      </c>
      <c r="Q920" s="2369">
        <f t="shared" si="118"/>
        <v>1900</v>
      </c>
      <c r="R920" s="654"/>
      <c r="S920" s="654"/>
      <c r="T920" s="654"/>
      <c r="U920" s="654"/>
    </row>
    <row r="921" spans="1:21" ht="12.75">
      <c r="A921" s="1316"/>
      <c r="B921" s="1317"/>
      <c r="C921" s="1318"/>
      <c r="D921" s="1319"/>
      <c r="E921" s="1318"/>
      <c r="F921" s="1320">
        <f t="shared" si="119"/>
        <v>0</v>
      </c>
      <c r="G921" s="1319"/>
      <c r="H921" s="1318"/>
      <c r="I921" s="1320">
        <f t="shared" si="120"/>
        <v>0</v>
      </c>
      <c r="J921" s="1320">
        <f t="shared" si="113"/>
        <v>0</v>
      </c>
      <c r="K921" s="1320">
        <f t="shared" si="114"/>
        <v>0</v>
      </c>
      <c r="L921" s="1318"/>
      <c r="M921" s="1318"/>
      <c r="N921" s="1321">
        <f t="shared" si="115"/>
        <v>0</v>
      </c>
      <c r="O921" s="1322">
        <f t="shared" si="116"/>
        <v>0</v>
      </c>
      <c r="P921" s="2369">
        <f t="shared" si="117"/>
        <v>1900</v>
      </c>
      <c r="Q921" s="2369">
        <f t="shared" si="118"/>
        <v>1900</v>
      </c>
      <c r="R921" s="654"/>
      <c r="S921" s="654"/>
      <c r="T921" s="654"/>
      <c r="U921" s="654"/>
    </row>
    <row r="922" spans="1:21" ht="12.75">
      <c r="A922" s="1316"/>
      <c r="B922" s="1317"/>
      <c r="C922" s="1318"/>
      <c r="D922" s="1319"/>
      <c r="E922" s="1318"/>
      <c r="F922" s="1320">
        <f t="shared" si="119"/>
        <v>0</v>
      </c>
      <c r="G922" s="1319"/>
      <c r="H922" s="1318"/>
      <c r="I922" s="1320">
        <f t="shared" si="120"/>
        <v>0</v>
      </c>
      <c r="J922" s="1320">
        <f t="shared" si="113"/>
        <v>0</v>
      </c>
      <c r="K922" s="1320">
        <f t="shared" si="114"/>
        <v>0</v>
      </c>
      <c r="L922" s="1318"/>
      <c r="M922" s="1318"/>
      <c r="N922" s="1321">
        <f t="shared" si="115"/>
        <v>0</v>
      </c>
      <c r="O922" s="1322">
        <f t="shared" si="116"/>
        <v>0</v>
      </c>
      <c r="P922" s="2369">
        <f t="shared" si="117"/>
        <v>1900</v>
      </c>
      <c r="Q922" s="2369">
        <f t="shared" si="118"/>
        <v>1900</v>
      </c>
      <c r="R922" s="654"/>
      <c r="S922" s="654"/>
      <c r="T922" s="654"/>
      <c r="U922" s="654"/>
    </row>
    <row r="923" spans="1:21" ht="12.75">
      <c r="A923" s="1316"/>
      <c r="B923" s="1317"/>
      <c r="C923" s="1318"/>
      <c r="D923" s="1319"/>
      <c r="E923" s="1318"/>
      <c r="F923" s="1320">
        <f t="shared" si="119"/>
        <v>0</v>
      </c>
      <c r="G923" s="1319"/>
      <c r="H923" s="1318"/>
      <c r="I923" s="1320">
        <f t="shared" si="120"/>
        <v>0</v>
      </c>
      <c r="J923" s="1320">
        <f t="shared" si="113"/>
        <v>0</v>
      </c>
      <c r="K923" s="1320">
        <f t="shared" si="114"/>
        <v>0</v>
      </c>
      <c r="L923" s="1318"/>
      <c r="M923" s="1318"/>
      <c r="N923" s="1321">
        <f t="shared" si="115"/>
        <v>0</v>
      </c>
      <c r="O923" s="1322">
        <f t="shared" si="116"/>
        <v>0</v>
      </c>
      <c r="P923" s="2369">
        <f t="shared" si="117"/>
        <v>1900</v>
      </c>
      <c r="Q923" s="2369">
        <f t="shared" si="118"/>
        <v>1900</v>
      </c>
      <c r="R923" s="654"/>
      <c r="S923" s="654"/>
      <c r="T923" s="654"/>
      <c r="U923" s="654"/>
    </row>
    <row r="924" spans="1:21" ht="12.75">
      <c r="A924" s="1316"/>
      <c r="B924" s="1317"/>
      <c r="C924" s="1318"/>
      <c r="D924" s="1319"/>
      <c r="E924" s="1318"/>
      <c r="F924" s="1320">
        <f t="shared" si="119"/>
        <v>0</v>
      </c>
      <c r="G924" s="1319"/>
      <c r="H924" s="1318"/>
      <c r="I924" s="1320">
        <f t="shared" si="120"/>
        <v>0</v>
      </c>
      <c r="J924" s="1320">
        <f t="shared" si="113"/>
        <v>0</v>
      </c>
      <c r="K924" s="1320">
        <f t="shared" si="114"/>
        <v>0</v>
      </c>
      <c r="L924" s="1318"/>
      <c r="M924" s="1318"/>
      <c r="N924" s="1321">
        <f t="shared" si="115"/>
        <v>0</v>
      </c>
      <c r="O924" s="1322">
        <f t="shared" si="116"/>
        <v>0</v>
      </c>
      <c r="P924" s="2369">
        <f t="shared" si="117"/>
        <v>1900</v>
      </c>
      <c r="Q924" s="2369">
        <f t="shared" si="118"/>
        <v>1900</v>
      </c>
      <c r="R924" s="654"/>
      <c r="S924" s="654"/>
      <c r="T924" s="654"/>
      <c r="U924" s="654"/>
    </row>
    <row r="925" spans="1:21" ht="12.75">
      <c r="A925" s="1316"/>
      <c r="B925" s="1317"/>
      <c r="C925" s="1318"/>
      <c r="D925" s="1319"/>
      <c r="E925" s="1318"/>
      <c r="F925" s="1320">
        <f t="shared" si="119"/>
        <v>0</v>
      </c>
      <c r="G925" s="1319"/>
      <c r="H925" s="1318"/>
      <c r="I925" s="1320">
        <f t="shared" si="120"/>
        <v>0</v>
      </c>
      <c r="J925" s="1320">
        <f t="shared" si="113"/>
        <v>0</v>
      </c>
      <c r="K925" s="1320">
        <f t="shared" si="114"/>
        <v>0</v>
      </c>
      <c r="L925" s="1318"/>
      <c r="M925" s="1318"/>
      <c r="N925" s="1321">
        <f t="shared" si="115"/>
        <v>0</v>
      </c>
      <c r="O925" s="1322">
        <f t="shared" si="116"/>
        <v>0</v>
      </c>
      <c r="P925" s="2369">
        <f t="shared" si="117"/>
        <v>1900</v>
      </c>
      <c r="Q925" s="2369">
        <f t="shared" si="118"/>
        <v>1900</v>
      </c>
      <c r="R925" s="654"/>
      <c r="S925" s="654"/>
      <c r="T925" s="654"/>
      <c r="U925" s="654"/>
    </row>
    <row r="926" spans="1:21" ht="12.75">
      <c r="A926" s="1316"/>
      <c r="B926" s="1317"/>
      <c r="C926" s="1318"/>
      <c r="D926" s="1319"/>
      <c r="E926" s="1318"/>
      <c r="F926" s="1320">
        <f t="shared" si="119"/>
        <v>0</v>
      </c>
      <c r="G926" s="1319"/>
      <c r="H926" s="1318"/>
      <c r="I926" s="1320">
        <f t="shared" si="120"/>
        <v>0</v>
      </c>
      <c r="J926" s="1320">
        <f t="shared" si="113"/>
        <v>0</v>
      </c>
      <c r="K926" s="1320">
        <f t="shared" si="114"/>
        <v>0</v>
      </c>
      <c r="L926" s="1318"/>
      <c r="M926" s="1318"/>
      <c r="N926" s="1321">
        <f t="shared" si="115"/>
        <v>0</v>
      </c>
      <c r="O926" s="1322">
        <f t="shared" si="116"/>
        <v>0</v>
      </c>
      <c r="P926" s="2369">
        <f t="shared" si="117"/>
        <v>1900</v>
      </c>
      <c r="Q926" s="2369">
        <f t="shared" si="118"/>
        <v>1900</v>
      </c>
      <c r="R926" s="654"/>
      <c r="S926" s="654"/>
      <c r="T926" s="654"/>
      <c r="U926" s="654"/>
    </row>
    <row r="927" spans="1:21" ht="12.75">
      <c r="A927" s="1316"/>
      <c r="B927" s="1317"/>
      <c r="C927" s="1318"/>
      <c r="D927" s="1319"/>
      <c r="E927" s="1318"/>
      <c r="F927" s="1320">
        <f t="shared" si="119"/>
        <v>0</v>
      </c>
      <c r="G927" s="1319"/>
      <c r="H927" s="1318"/>
      <c r="I927" s="1320">
        <f t="shared" si="120"/>
        <v>0</v>
      </c>
      <c r="J927" s="1320">
        <f t="shared" si="113"/>
        <v>0</v>
      </c>
      <c r="K927" s="1320">
        <f t="shared" si="114"/>
        <v>0</v>
      </c>
      <c r="L927" s="1318"/>
      <c r="M927" s="1318"/>
      <c r="N927" s="1321">
        <f t="shared" si="115"/>
        <v>0</v>
      </c>
      <c r="O927" s="1322">
        <f t="shared" si="116"/>
        <v>0</v>
      </c>
      <c r="P927" s="2369">
        <f t="shared" si="117"/>
        <v>1900</v>
      </c>
      <c r="Q927" s="2369">
        <f t="shared" si="118"/>
        <v>1900</v>
      </c>
      <c r="R927" s="654"/>
      <c r="S927" s="654"/>
      <c r="T927" s="654"/>
      <c r="U927" s="654"/>
    </row>
    <row r="928" spans="1:21" ht="12.75">
      <c r="A928" s="1316"/>
      <c r="B928" s="1317"/>
      <c r="C928" s="1318"/>
      <c r="D928" s="1319"/>
      <c r="E928" s="1318"/>
      <c r="F928" s="1320">
        <f t="shared" si="119"/>
        <v>0</v>
      </c>
      <c r="G928" s="1319"/>
      <c r="H928" s="1318"/>
      <c r="I928" s="1320">
        <f t="shared" si="120"/>
        <v>0</v>
      </c>
      <c r="J928" s="1320">
        <f t="shared" si="113"/>
        <v>0</v>
      </c>
      <c r="K928" s="1320">
        <f t="shared" si="114"/>
        <v>0</v>
      </c>
      <c r="L928" s="1318"/>
      <c r="M928" s="1318"/>
      <c r="N928" s="1321">
        <f t="shared" si="115"/>
        <v>0</v>
      </c>
      <c r="O928" s="1322">
        <f t="shared" si="116"/>
        <v>0</v>
      </c>
      <c r="P928" s="2369">
        <f t="shared" si="117"/>
        <v>1900</v>
      </c>
      <c r="Q928" s="2369">
        <f t="shared" si="118"/>
        <v>1900</v>
      </c>
      <c r="R928" s="654"/>
      <c r="S928" s="654"/>
      <c r="T928" s="654"/>
      <c r="U928" s="654"/>
    </row>
    <row r="929" spans="1:21" ht="12.75">
      <c r="A929" s="1316"/>
      <c r="B929" s="1317"/>
      <c r="C929" s="1318"/>
      <c r="D929" s="1319"/>
      <c r="E929" s="1318"/>
      <c r="F929" s="1320">
        <f t="shared" si="119"/>
        <v>0</v>
      </c>
      <c r="G929" s="1319"/>
      <c r="H929" s="1318"/>
      <c r="I929" s="1320">
        <f t="shared" si="120"/>
        <v>0</v>
      </c>
      <c r="J929" s="1320">
        <f t="shared" si="113"/>
        <v>0</v>
      </c>
      <c r="K929" s="1320">
        <f t="shared" si="114"/>
        <v>0</v>
      </c>
      <c r="L929" s="1318"/>
      <c r="M929" s="1318"/>
      <c r="N929" s="1321">
        <f t="shared" si="115"/>
        <v>0</v>
      </c>
      <c r="O929" s="1322">
        <f t="shared" si="116"/>
        <v>0</v>
      </c>
      <c r="P929" s="2369">
        <f t="shared" si="117"/>
        <v>1900</v>
      </c>
      <c r="Q929" s="2369">
        <f t="shared" si="118"/>
        <v>1900</v>
      </c>
      <c r="R929" s="654"/>
      <c r="S929" s="654"/>
      <c r="T929" s="654"/>
      <c r="U929" s="654"/>
    </row>
    <row r="930" spans="1:21" ht="12.75">
      <c r="A930" s="1316"/>
      <c r="B930" s="1317"/>
      <c r="C930" s="1318"/>
      <c r="D930" s="1319"/>
      <c r="E930" s="1318"/>
      <c r="F930" s="1320">
        <f t="shared" si="119"/>
        <v>0</v>
      </c>
      <c r="G930" s="1319"/>
      <c r="H930" s="1318"/>
      <c r="I930" s="1320">
        <f t="shared" si="120"/>
        <v>0</v>
      </c>
      <c r="J930" s="1320">
        <f t="shared" si="113"/>
        <v>0</v>
      </c>
      <c r="K930" s="1320">
        <f t="shared" si="114"/>
        <v>0</v>
      </c>
      <c r="L930" s="1318"/>
      <c r="M930" s="1318"/>
      <c r="N930" s="1321">
        <f t="shared" si="115"/>
        <v>0</v>
      </c>
      <c r="O930" s="1322">
        <f t="shared" si="116"/>
        <v>0</v>
      </c>
      <c r="P930" s="2369">
        <f t="shared" si="117"/>
        <v>1900</v>
      </c>
      <c r="Q930" s="2369">
        <f t="shared" si="118"/>
        <v>1900</v>
      </c>
      <c r="R930" s="654"/>
      <c r="S930" s="654"/>
      <c r="T930" s="654"/>
      <c r="U930" s="654"/>
    </row>
    <row r="931" spans="1:21" ht="12.75">
      <c r="A931" s="1316"/>
      <c r="B931" s="1317"/>
      <c r="C931" s="1318"/>
      <c r="D931" s="1319"/>
      <c r="E931" s="1318"/>
      <c r="F931" s="1320">
        <f t="shared" si="119"/>
        <v>0</v>
      </c>
      <c r="G931" s="1319"/>
      <c r="H931" s="1318"/>
      <c r="I931" s="1320">
        <f t="shared" si="120"/>
        <v>0</v>
      </c>
      <c r="J931" s="1320">
        <f t="shared" si="113"/>
        <v>0</v>
      </c>
      <c r="K931" s="1320">
        <f t="shared" si="114"/>
        <v>0</v>
      </c>
      <c r="L931" s="1318"/>
      <c r="M931" s="1318"/>
      <c r="N931" s="1321">
        <f t="shared" si="115"/>
        <v>0</v>
      </c>
      <c r="O931" s="1322">
        <f t="shared" si="116"/>
        <v>0</v>
      </c>
      <c r="P931" s="2369">
        <f t="shared" si="117"/>
        <v>1900</v>
      </c>
      <c r="Q931" s="2369">
        <f t="shared" si="118"/>
        <v>1900</v>
      </c>
      <c r="R931" s="654"/>
      <c r="S931" s="654"/>
      <c r="T931" s="654"/>
      <c r="U931" s="654"/>
    </row>
    <row r="932" spans="1:21" ht="12.75">
      <c r="A932" s="1316"/>
      <c r="B932" s="1317"/>
      <c r="C932" s="1318"/>
      <c r="D932" s="1319"/>
      <c r="E932" s="1318"/>
      <c r="F932" s="1320">
        <f t="shared" si="119"/>
        <v>0</v>
      </c>
      <c r="G932" s="1319"/>
      <c r="H932" s="1318"/>
      <c r="I932" s="1320">
        <f t="shared" si="120"/>
        <v>0</v>
      </c>
      <c r="J932" s="1320">
        <f t="shared" si="113"/>
        <v>0</v>
      </c>
      <c r="K932" s="1320">
        <f t="shared" si="114"/>
        <v>0</v>
      </c>
      <c r="L932" s="1318"/>
      <c r="M932" s="1318"/>
      <c r="N932" s="1321">
        <f t="shared" si="115"/>
        <v>0</v>
      </c>
      <c r="O932" s="1322">
        <f t="shared" si="116"/>
        <v>0</v>
      </c>
      <c r="P932" s="2369">
        <f t="shared" si="117"/>
        <v>1900</v>
      </c>
      <c r="Q932" s="2369">
        <f t="shared" si="118"/>
        <v>1900</v>
      </c>
      <c r="R932" s="654"/>
      <c r="S932" s="654"/>
      <c r="T932" s="654"/>
      <c r="U932" s="654"/>
    </row>
    <row r="933" spans="1:21" ht="12.75">
      <c r="A933" s="1316"/>
      <c r="B933" s="1317"/>
      <c r="C933" s="1318"/>
      <c r="D933" s="1319"/>
      <c r="E933" s="1318"/>
      <c r="F933" s="1320">
        <f t="shared" si="119"/>
        <v>0</v>
      </c>
      <c r="G933" s="1319"/>
      <c r="H933" s="1318"/>
      <c r="I933" s="1320">
        <f t="shared" si="120"/>
        <v>0</v>
      </c>
      <c r="J933" s="1320">
        <f t="shared" si="113"/>
        <v>0</v>
      </c>
      <c r="K933" s="1320">
        <f t="shared" si="114"/>
        <v>0</v>
      </c>
      <c r="L933" s="1318"/>
      <c r="M933" s="1318"/>
      <c r="N933" s="1321">
        <f t="shared" si="115"/>
        <v>0</v>
      </c>
      <c r="O933" s="1322">
        <f t="shared" si="116"/>
        <v>0</v>
      </c>
      <c r="P933" s="2369">
        <f t="shared" si="117"/>
        <v>1900</v>
      </c>
      <c r="Q933" s="2369">
        <f t="shared" si="118"/>
        <v>1900</v>
      </c>
      <c r="R933" s="654"/>
      <c r="S933" s="654"/>
      <c r="T933" s="654"/>
      <c r="U933" s="654"/>
    </row>
    <row r="934" spans="1:21" ht="12.75">
      <c r="A934" s="1316"/>
      <c r="B934" s="1317"/>
      <c r="C934" s="1318"/>
      <c r="D934" s="1319"/>
      <c r="E934" s="1318"/>
      <c r="F934" s="1320">
        <f t="shared" si="119"/>
        <v>0</v>
      </c>
      <c r="G934" s="1319"/>
      <c r="H934" s="1318"/>
      <c r="I934" s="1320">
        <f t="shared" si="120"/>
        <v>0</v>
      </c>
      <c r="J934" s="1320">
        <f t="shared" si="113"/>
        <v>0</v>
      </c>
      <c r="K934" s="1320">
        <f t="shared" si="114"/>
        <v>0</v>
      </c>
      <c r="L934" s="1318"/>
      <c r="M934" s="1318"/>
      <c r="N934" s="1321">
        <f t="shared" si="115"/>
        <v>0</v>
      </c>
      <c r="O934" s="1322">
        <f t="shared" si="116"/>
        <v>0</v>
      </c>
      <c r="P934" s="2369">
        <f t="shared" si="117"/>
        <v>1900</v>
      </c>
      <c r="Q934" s="2369">
        <f t="shared" si="118"/>
        <v>1900</v>
      </c>
      <c r="R934" s="654"/>
      <c r="S934" s="654"/>
      <c r="T934" s="654"/>
      <c r="U934" s="654"/>
    </row>
    <row r="935" spans="1:21" ht="12.75">
      <c r="A935" s="1316"/>
      <c r="B935" s="1317"/>
      <c r="C935" s="1318"/>
      <c r="D935" s="1319"/>
      <c r="E935" s="1318"/>
      <c r="F935" s="1320">
        <f t="shared" si="119"/>
        <v>0</v>
      </c>
      <c r="G935" s="1319"/>
      <c r="H935" s="1318"/>
      <c r="I935" s="1320">
        <f t="shared" si="120"/>
        <v>0</v>
      </c>
      <c r="J935" s="1320">
        <f t="shared" si="113"/>
        <v>0</v>
      </c>
      <c r="K935" s="1320">
        <f t="shared" si="114"/>
        <v>0</v>
      </c>
      <c r="L935" s="1318"/>
      <c r="M935" s="1318"/>
      <c r="N935" s="1321">
        <f t="shared" si="115"/>
        <v>0</v>
      </c>
      <c r="O935" s="1322">
        <f t="shared" si="116"/>
        <v>0</v>
      </c>
      <c r="P935" s="2369">
        <f t="shared" si="117"/>
        <v>1900</v>
      </c>
      <c r="Q935" s="2369">
        <f t="shared" si="118"/>
        <v>1900</v>
      </c>
      <c r="R935" s="654"/>
      <c r="S935" s="654"/>
      <c r="T935" s="654"/>
      <c r="U935" s="654"/>
    </row>
    <row r="936" spans="1:21" ht="12.75">
      <c r="A936" s="1316"/>
      <c r="B936" s="1317"/>
      <c r="C936" s="1318"/>
      <c r="D936" s="1319"/>
      <c r="E936" s="1318"/>
      <c r="F936" s="1320">
        <f t="shared" si="119"/>
        <v>0</v>
      </c>
      <c r="G936" s="1319"/>
      <c r="H936" s="1318"/>
      <c r="I936" s="1320">
        <f t="shared" si="120"/>
        <v>0</v>
      </c>
      <c r="J936" s="1320">
        <f t="shared" si="113"/>
        <v>0</v>
      </c>
      <c r="K936" s="1320">
        <f t="shared" si="114"/>
        <v>0</v>
      </c>
      <c r="L936" s="1318"/>
      <c r="M936" s="1318"/>
      <c r="N936" s="1321">
        <f t="shared" si="115"/>
        <v>0</v>
      </c>
      <c r="O936" s="1322">
        <f t="shared" si="116"/>
        <v>0</v>
      </c>
      <c r="P936" s="2369">
        <f t="shared" si="117"/>
        <v>1900</v>
      </c>
      <c r="Q936" s="2369">
        <f t="shared" si="118"/>
        <v>1900</v>
      </c>
      <c r="R936" s="654"/>
      <c r="S936" s="654"/>
      <c r="T936" s="654"/>
      <c r="U936" s="654"/>
    </row>
    <row r="937" spans="1:21" ht="12.75">
      <c r="A937" s="1316"/>
      <c r="B937" s="1317"/>
      <c r="C937" s="1318"/>
      <c r="D937" s="1319"/>
      <c r="E937" s="1318"/>
      <c r="F937" s="1320">
        <f t="shared" si="119"/>
        <v>0</v>
      </c>
      <c r="G937" s="1319"/>
      <c r="H937" s="1318"/>
      <c r="I937" s="1320">
        <f t="shared" si="120"/>
        <v>0</v>
      </c>
      <c r="J937" s="1320">
        <f t="shared" si="113"/>
        <v>0</v>
      </c>
      <c r="K937" s="1320">
        <f t="shared" si="114"/>
        <v>0</v>
      </c>
      <c r="L937" s="1318"/>
      <c r="M937" s="1318"/>
      <c r="N937" s="1321">
        <f t="shared" si="115"/>
        <v>0</v>
      </c>
      <c r="O937" s="1322">
        <f t="shared" si="116"/>
        <v>0</v>
      </c>
      <c r="P937" s="2369">
        <f t="shared" si="117"/>
        <v>1900</v>
      </c>
      <c r="Q937" s="2369">
        <f t="shared" si="118"/>
        <v>1900</v>
      </c>
      <c r="R937" s="654"/>
      <c r="S937" s="654"/>
      <c r="T937" s="654"/>
      <c r="U937" s="654"/>
    </row>
    <row r="938" spans="1:21" ht="12.75">
      <c r="A938" s="1316"/>
      <c r="B938" s="1317"/>
      <c r="C938" s="1318"/>
      <c r="D938" s="1319"/>
      <c r="E938" s="1318"/>
      <c r="F938" s="1320">
        <f t="shared" si="119"/>
        <v>0</v>
      </c>
      <c r="G938" s="1319"/>
      <c r="H938" s="1318"/>
      <c r="I938" s="1320">
        <f t="shared" si="120"/>
        <v>0</v>
      </c>
      <c r="J938" s="1320">
        <f t="shared" si="113"/>
        <v>0</v>
      </c>
      <c r="K938" s="1320">
        <f t="shared" si="114"/>
        <v>0</v>
      </c>
      <c r="L938" s="1318"/>
      <c r="M938" s="1318"/>
      <c r="N938" s="1321">
        <f t="shared" si="115"/>
        <v>0</v>
      </c>
      <c r="O938" s="1322">
        <f t="shared" si="116"/>
        <v>0</v>
      </c>
      <c r="P938" s="2369">
        <f t="shared" si="117"/>
        <v>1900</v>
      </c>
      <c r="Q938" s="2369">
        <f t="shared" si="118"/>
        <v>1900</v>
      </c>
      <c r="R938" s="654"/>
      <c r="S938" s="654"/>
      <c r="T938" s="654"/>
      <c r="U938" s="654"/>
    </row>
    <row r="939" spans="1:21" ht="12.75">
      <c r="A939" s="1316"/>
      <c r="B939" s="1317"/>
      <c r="C939" s="1318"/>
      <c r="D939" s="1319"/>
      <c r="E939" s="1318"/>
      <c r="F939" s="1320">
        <f t="shared" si="119"/>
        <v>0</v>
      </c>
      <c r="G939" s="1319"/>
      <c r="H939" s="1318"/>
      <c r="I939" s="1320">
        <f t="shared" si="120"/>
        <v>0</v>
      </c>
      <c r="J939" s="1320">
        <f t="shared" si="113"/>
        <v>0</v>
      </c>
      <c r="K939" s="1320">
        <f t="shared" si="114"/>
        <v>0</v>
      </c>
      <c r="L939" s="1318"/>
      <c r="M939" s="1318"/>
      <c r="N939" s="1321">
        <f t="shared" si="115"/>
        <v>0</v>
      </c>
      <c r="O939" s="1322">
        <f t="shared" si="116"/>
        <v>0</v>
      </c>
      <c r="P939" s="2369">
        <f t="shared" si="117"/>
        <v>1900</v>
      </c>
      <c r="Q939" s="2369">
        <f t="shared" si="118"/>
        <v>1900</v>
      </c>
      <c r="R939" s="654"/>
      <c r="S939" s="654"/>
      <c r="T939" s="654"/>
      <c r="U939" s="654"/>
    </row>
    <row r="940" spans="1:21" ht="12.75">
      <c r="A940" s="1316"/>
      <c r="B940" s="1317"/>
      <c r="C940" s="1318"/>
      <c r="D940" s="1319"/>
      <c r="E940" s="1318"/>
      <c r="F940" s="1320">
        <f t="shared" si="119"/>
        <v>0</v>
      </c>
      <c r="G940" s="1319"/>
      <c r="H940" s="1318"/>
      <c r="I940" s="1320">
        <f t="shared" si="120"/>
        <v>0</v>
      </c>
      <c r="J940" s="1320">
        <f t="shared" si="113"/>
        <v>0</v>
      </c>
      <c r="K940" s="1320">
        <f t="shared" si="114"/>
        <v>0</v>
      </c>
      <c r="L940" s="1318"/>
      <c r="M940" s="1318"/>
      <c r="N940" s="1321">
        <f t="shared" si="115"/>
        <v>0</v>
      </c>
      <c r="O940" s="1322">
        <f t="shared" si="116"/>
        <v>0</v>
      </c>
      <c r="P940" s="2369">
        <f t="shared" si="117"/>
        <v>1900</v>
      </c>
      <c r="Q940" s="2369">
        <f t="shared" si="118"/>
        <v>1900</v>
      </c>
      <c r="R940" s="654"/>
      <c r="S940" s="654"/>
      <c r="T940" s="654"/>
      <c r="U940" s="654"/>
    </row>
    <row r="941" spans="1:21" ht="12.75">
      <c r="A941" s="1316"/>
      <c r="B941" s="1317"/>
      <c r="C941" s="1318"/>
      <c r="D941" s="1319"/>
      <c r="E941" s="1318"/>
      <c r="F941" s="1320">
        <f t="shared" si="119"/>
        <v>0</v>
      </c>
      <c r="G941" s="1319"/>
      <c r="H941" s="1318"/>
      <c r="I941" s="1320">
        <f t="shared" si="120"/>
        <v>0</v>
      </c>
      <c r="J941" s="1320">
        <f t="shared" si="113"/>
        <v>0</v>
      </c>
      <c r="K941" s="1320">
        <f t="shared" si="114"/>
        <v>0</v>
      </c>
      <c r="L941" s="1318"/>
      <c r="M941" s="1318"/>
      <c r="N941" s="1321">
        <f t="shared" si="115"/>
        <v>0</v>
      </c>
      <c r="O941" s="1322">
        <f t="shared" si="116"/>
        <v>0</v>
      </c>
      <c r="P941" s="2369">
        <f t="shared" si="117"/>
        <v>1900</v>
      </c>
      <c r="Q941" s="2369">
        <f t="shared" si="118"/>
        <v>1900</v>
      </c>
      <c r="R941" s="654"/>
      <c r="S941" s="654"/>
      <c r="T941" s="654"/>
      <c r="U941" s="654"/>
    </row>
    <row r="942" spans="1:21" ht="12.75">
      <c r="A942" s="1316"/>
      <c r="B942" s="1317"/>
      <c r="C942" s="1318"/>
      <c r="D942" s="1319"/>
      <c r="E942" s="1318"/>
      <c r="F942" s="1320">
        <f t="shared" si="119"/>
        <v>0</v>
      </c>
      <c r="G942" s="1319"/>
      <c r="H942" s="1318"/>
      <c r="I942" s="1320">
        <f t="shared" si="120"/>
        <v>0</v>
      </c>
      <c r="J942" s="1320">
        <f t="shared" si="113"/>
        <v>0</v>
      </c>
      <c r="K942" s="1320">
        <f t="shared" si="114"/>
        <v>0</v>
      </c>
      <c r="L942" s="1318"/>
      <c r="M942" s="1318"/>
      <c r="N942" s="1321">
        <f t="shared" si="115"/>
        <v>0</v>
      </c>
      <c r="O942" s="1322">
        <f t="shared" si="116"/>
        <v>0</v>
      </c>
      <c r="P942" s="2369">
        <f t="shared" si="117"/>
        <v>1900</v>
      </c>
      <c r="Q942" s="2369">
        <f t="shared" si="118"/>
        <v>1900</v>
      </c>
      <c r="R942" s="654"/>
      <c r="S942" s="654"/>
      <c r="T942" s="654"/>
      <c r="U942" s="654"/>
    </row>
    <row r="943" spans="1:21" ht="12.75">
      <c r="A943" s="1316"/>
      <c r="B943" s="1317"/>
      <c r="C943" s="1318"/>
      <c r="D943" s="1319"/>
      <c r="E943" s="1318"/>
      <c r="F943" s="1320">
        <f t="shared" si="119"/>
        <v>0</v>
      </c>
      <c r="G943" s="1319"/>
      <c r="H943" s="1318"/>
      <c r="I943" s="1320">
        <f t="shared" si="120"/>
        <v>0</v>
      </c>
      <c r="J943" s="1320">
        <f t="shared" si="113"/>
        <v>0</v>
      </c>
      <c r="K943" s="1320">
        <f t="shared" si="114"/>
        <v>0</v>
      </c>
      <c r="L943" s="1318"/>
      <c r="M943" s="1318"/>
      <c r="N943" s="1321">
        <f t="shared" si="115"/>
        <v>0</v>
      </c>
      <c r="O943" s="1322">
        <f t="shared" si="116"/>
        <v>0</v>
      </c>
      <c r="P943" s="2369">
        <f t="shared" si="117"/>
        <v>1900</v>
      </c>
      <c r="Q943" s="2369">
        <f t="shared" si="118"/>
        <v>1900</v>
      </c>
      <c r="R943" s="654"/>
      <c r="S943" s="654"/>
      <c r="T943" s="654"/>
      <c r="U943" s="654"/>
    </row>
    <row r="944" spans="1:21" ht="12.75">
      <c r="A944" s="1316"/>
      <c r="B944" s="1317"/>
      <c r="C944" s="1318"/>
      <c r="D944" s="1319"/>
      <c r="E944" s="1318"/>
      <c r="F944" s="1320">
        <f t="shared" si="119"/>
        <v>0</v>
      </c>
      <c r="G944" s="1319"/>
      <c r="H944" s="1318"/>
      <c r="I944" s="1320">
        <f t="shared" si="120"/>
        <v>0</v>
      </c>
      <c r="J944" s="1320">
        <f t="shared" si="113"/>
        <v>0</v>
      </c>
      <c r="K944" s="1320">
        <f t="shared" si="114"/>
        <v>0</v>
      </c>
      <c r="L944" s="1318"/>
      <c r="M944" s="1318"/>
      <c r="N944" s="1321">
        <f t="shared" si="115"/>
        <v>0</v>
      </c>
      <c r="O944" s="1322">
        <f t="shared" si="116"/>
        <v>0</v>
      </c>
      <c r="P944" s="2369">
        <f t="shared" si="117"/>
        <v>1900</v>
      </c>
      <c r="Q944" s="2369">
        <f t="shared" si="118"/>
        <v>1900</v>
      </c>
      <c r="R944" s="654"/>
      <c r="S944" s="654"/>
      <c r="T944" s="654"/>
      <c r="U944" s="654"/>
    </row>
    <row r="945" spans="1:21" ht="12.75">
      <c r="A945" s="1316"/>
      <c r="B945" s="1317"/>
      <c r="C945" s="1318"/>
      <c r="D945" s="1319"/>
      <c r="E945" s="1318"/>
      <c r="F945" s="1320">
        <f t="shared" si="119"/>
        <v>0</v>
      </c>
      <c r="G945" s="1319"/>
      <c r="H945" s="1318"/>
      <c r="I945" s="1320">
        <f t="shared" si="120"/>
        <v>0</v>
      </c>
      <c r="J945" s="1320">
        <f t="shared" si="113"/>
        <v>0</v>
      </c>
      <c r="K945" s="1320">
        <f t="shared" si="114"/>
        <v>0</v>
      </c>
      <c r="L945" s="1318"/>
      <c r="M945" s="1318"/>
      <c r="N945" s="1321">
        <f t="shared" si="115"/>
        <v>0</v>
      </c>
      <c r="O945" s="1322">
        <f t="shared" si="116"/>
        <v>0</v>
      </c>
      <c r="P945" s="2369">
        <f t="shared" si="117"/>
        <v>1900</v>
      </c>
      <c r="Q945" s="2369">
        <f t="shared" si="118"/>
        <v>1900</v>
      </c>
      <c r="R945" s="654"/>
      <c r="S945" s="654"/>
      <c r="T945" s="654"/>
      <c r="U945" s="654"/>
    </row>
    <row r="946" spans="1:21" ht="12.75">
      <c r="A946" s="1316"/>
      <c r="B946" s="1317"/>
      <c r="C946" s="1318"/>
      <c r="D946" s="1319"/>
      <c r="E946" s="1318"/>
      <c r="F946" s="1320">
        <f t="shared" si="119"/>
        <v>0</v>
      </c>
      <c r="G946" s="1319"/>
      <c r="H946" s="1318"/>
      <c r="I946" s="1320">
        <f t="shared" si="120"/>
        <v>0</v>
      </c>
      <c r="J946" s="1320">
        <f t="shared" si="113"/>
        <v>0</v>
      </c>
      <c r="K946" s="1320">
        <f t="shared" si="114"/>
        <v>0</v>
      </c>
      <c r="L946" s="1318"/>
      <c r="M946" s="1318"/>
      <c r="N946" s="1321">
        <f t="shared" si="115"/>
        <v>0</v>
      </c>
      <c r="O946" s="1322">
        <f t="shared" si="116"/>
        <v>0</v>
      </c>
      <c r="P946" s="2369">
        <f t="shared" si="117"/>
        <v>1900</v>
      </c>
      <c r="Q946" s="2369">
        <f t="shared" si="118"/>
        <v>1900</v>
      </c>
      <c r="R946" s="654"/>
      <c r="S946" s="654"/>
      <c r="T946" s="654"/>
      <c r="U946" s="654"/>
    </row>
    <row r="947" spans="1:21" ht="12.75">
      <c r="A947" s="1316"/>
      <c r="B947" s="1317"/>
      <c r="C947" s="1318"/>
      <c r="D947" s="1319"/>
      <c r="E947" s="1318"/>
      <c r="F947" s="1320">
        <f t="shared" si="119"/>
        <v>0</v>
      </c>
      <c r="G947" s="1319"/>
      <c r="H947" s="1318"/>
      <c r="I947" s="1320">
        <f t="shared" si="120"/>
        <v>0</v>
      </c>
      <c r="J947" s="1320">
        <f t="shared" si="113"/>
        <v>0</v>
      </c>
      <c r="K947" s="1320">
        <f t="shared" si="114"/>
        <v>0</v>
      </c>
      <c r="L947" s="1318"/>
      <c r="M947" s="1318"/>
      <c r="N947" s="1321">
        <f t="shared" si="115"/>
        <v>0</v>
      </c>
      <c r="O947" s="1322">
        <f t="shared" si="116"/>
        <v>0</v>
      </c>
      <c r="P947" s="2369">
        <f t="shared" si="117"/>
        <v>1900</v>
      </c>
      <c r="Q947" s="2369">
        <f t="shared" si="118"/>
        <v>1900</v>
      </c>
      <c r="R947" s="654"/>
      <c r="S947" s="654"/>
      <c r="T947" s="654"/>
      <c r="U947" s="654"/>
    </row>
    <row r="948" spans="1:21" ht="12.75">
      <c r="A948" s="1316"/>
      <c r="B948" s="1317"/>
      <c r="C948" s="1318"/>
      <c r="D948" s="1319"/>
      <c r="E948" s="1318"/>
      <c r="F948" s="1320">
        <f t="shared" si="119"/>
        <v>0</v>
      </c>
      <c r="G948" s="1319"/>
      <c r="H948" s="1318"/>
      <c r="I948" s="1320">
        <f t="shared" si="120"/>
        <v>0</v>
      </c>
      <c r="J948" s="1320">
        <f t="shared" si="113"/>
        <v>0</v>
      </c>
      <c r="K948" s="1320">
        <f t="shared" si="114"/>
        <v>0</v>
      </c>
      <c r="L948" s="1318"/>
      <c r="M948" s="1318"/>
      <c r="N948" s="1321">
        <f t="shared" si="115"/>
        <v>0</v>
      </c>
      <c r="O948" s="1322">
        <f t="shared" si="116"/>
        <v>0</v>
      </c>
      <c r="P948" s="2369">
        <f t="shared" si="117"/>
        <v>1900</v>
      </c>
      <c r="Q948" s="2369">
        <f t="shared" si="118"/>
        <v>1900</v>
      </c>
      <c r="R948" s="654"/>
      <c r="S948" s="654"/>
      <c r="T948" s="654"/>
      <c r="U948" s="654"/>
    </row>
    <row r="949" spans="1:21" ht="12.75">
      <c r="A949" s="1316"/>
      <c r="B949" s="1317"/>
      <c r="C949" s="1318"/>
      <c r="D949" s="1319"/>
      <c r="E949" s="1318"/>
      <c r="F949" s="1320">
        <f t="shared" si="119"/>
        <v>0</v>
      </c>
      <c r="G949" s="1319"/>
      <c r="H949" s="1318"/>
      <c r="I949" s="1320">
        <f t="shared" si="120"/>
        <v>0</v>
      </c>
      <c r="J949" s="1320">
        <f t="shared" si="113"/>
        <v>0</v>
      </c>
      <c r="K949" s="1320">
        <f t="shared" si="114"/>
        <v>0</v>
      </c>
      <c r="L949" s="1318"/>
      <c r="M949" s="1318"/>
      <c r="N949" s="1321">
        <f t="shared" si="115"/>
        <v>0</v>
      </c>
      <c r="O949" s="1322">
        <f t="shared" si="116"/>
        <v>0</v>
      </c>
      <c r="P949" s="2369">
        <f t="shared" si="117"/>
        <v>1900</v>
      </c>
      <c r="Q949" s="2369">
        <f t="shared" si="118"/>
        <v>1900</v>
      </c>
      <c r="R949" s="654"/>
      <c r="S949" s="654"/>
      <c r="T949" s="654"/>
      <c r="U949" s="654"/>
    </row>
    <row r="950" spans="1:21" ht="12.75">
      <c r="A950" s="1316"/>
      <c r="B950" s="1317"/>
      <c r="C950" s="1318"/>
      <c r="D950" s="1319"/>
      <c r="E950" s="1318"/>
      <c r="F950" s="1320">
        <f t="shared" si="119"/>
        <v>0</v>
      </c>
      <c r="G950" s="1319"/>
      <c r="H950" s="1318"/>
      <c r="I950" s="1320">
        <f t="shared" si="120"/>
        <v>0</v>
      </c>
      <c r="J950" s="1320">
        <f t="shared" si="113"/>
        <v>0</v>
      </c>
      <c r="K950" s="1320">
        <f t="shared" si="114"/>
        <v>0</v>
      </c>
      <c r="L950" s="1318"/>
      <c r="M950" s="1318"/>
      <c r="N950" s="1321">
        <f t="shared" si="115"/>
        <v>0</v>
      </c>
      <c r="O950" s="1322">
        <f t="shared" si="116"/>
        <v>0</v>
      </c>
      <c r="P950" s="2369">
        <f t="shared" si="117"/>
        <v>1900</v>
      </c>
      <c r="Q950" s="2369">
        <f t="shared" si="118"/>
        <v>1900</v>
      </c>
      <c r="R950" s="654"/>
      <c r="S950" s="654"/>
      <c r="T950" s="654"/>
      <c r="U950" s="654"/>
    </row>
    <row r="951" spans="1:21" ht="12.75">
      <c r="A951" s="1316"/>
      <c r="B951" s="1317"/>
      <c r="C951" s="1318"/>
      <c r="D951" s="1319"/>
      <c r="E951" s="1318"/>
      <c r="F951" s="1320">
        <f t="shared" si="119"/>
        <v>0</v>
      </c>
      <c r="G951" s="1319"/>
      <c r="H951" s="1318"/>
      <c r="I951" s="1320">
        <f t="shared" si="120"/>
        <v>0</v>
      </c>
      <c r="J951" s="1320">
        <f t="shared" si="113"/>
        <v>0</v>
      </c>
      <c r="K951" s="1320">
        <f t="shared" si="114"/>
        <v>0</v>
      </c>
      <c r="L951" s="1318"/>
      <c r="M951" s="1318"/>
      <c r="N951" s="1321">
        <f t="shared" si="115"/>
        <v>0</v>
      </c>
      <c r="O951" s="1322">
        <f t="shared" si="116"/>
        <v>0</v>
      </c>
      <c r="P951" s="2369">
        <f t="shared" si="117"/>
        <v>1900</v>
      </c>
      <c r="Q951" s="2369">
        <f t="shared" si="118"/>
        <v>1900</v>
      </c>
      <c r="R951" s="654"/>
      <c r="S951" s="654"/>
      <c r="T951" s="654"/>
      <c r="U951" s="654"/>
    </row>
    <row r="952" spans="1:21" ht="12.75">
      <c r="A952" s="1316"/>
      <c r="B952" s="1317"/>
      <c r="C952" s="1318"/>
      <c r="D952" s="1319"/>
      <c r="E952" s="1318"/>
      <c r="F952" s="1320">
        <f t="shared" si="119"/>
        <v>0</v>
      </c>
      <c r="G952" s="1319"/>
      <c r="H952" s="1318"/>
      <c r="I952" s="1320">
        <f t="shared" si="120"/>
        <v>0</v>
      </c>
      <c r="J952" s="1320">
        <f t="shared" si="113"/>
        <v>0</v>
      </c>
      <c r="K952" s="1320">
        <f t="shared" si="114"/>
        <v>0</v>
      </c>
      <c r="L952" s="1318"/>
      <c r="M952" s="1318"/>
      <c r="N952" s="1321">
        <f t="shared" si="115"/>
        <v>0</v>
      </c>
      <c r="O952" s="1322">
        <f t="shared" si="116"/>
        <v>0</v>
      </c>
      <c r="P952" s="2369">
        <f t="shared" si="117"/>
        <v>1900</v>
      </c>
      <c r="Q952" s="2369">
        <f t="shared" si="118"/>
        <v>1900</v>
      </c>
      <c r="R952" s="654"/>
      <c r="S952" s="654"/>
      <c r="T952" s="654"/>
      <c r="U952" s="654"/>
    </row>
    <row r="953" spans="1:21" ht="12.75">
      <c r="A953" s="1316"/>
      <c r="B953" s="1317"/>
      <c r="C953" s="1318"/>
      <c r="D953" s="1319"/>
      <c r="E953" s="1318"/>
      <c r="F953" s="1320">
        <f t="shared" si="119"/>
        <v>0</v>
      </c>
      <c r="G953" s="1319"/>
      <c r="H953" s="1318"/>
      <c r="I953" s="1320">
        <f t="shared" si="120"/>
        <v>0</v>
      </c>
      <c r="J953" s="1320">
        <f t="shared" si="113"/>
        <v>0</v>
      </c>
      <c r="K953" s="1320">
        <f t="shared" si="114"/>
        <v>0</v>
      </c>
      <c r="L953" s="1318"/>
      <c r="M953" s="1318"/>
      <c r="N953" s="1321">
        <f t="shared" si="115"/>
        <v>0</v>
      </c>
      <c r="O953" s="1322">
        <f t="shared" si="116"/>
        <v>0</v>
      </c>
      <c r="P953" s="2369">
        <f t="shared" si="117"/>
        <v>1900</v>
      </c>
      <c r="Q953" s="2369">
        <f t="shared" si="118"/>
        <v>1900</v>
      </c>
      <c r="R953" s="654"/>
      <c r="S953" s="654"/>
      <c r="T953" s="654"/>
      <c r="U953" s="654"/>
    </row>
    <row r="954" spans="1:21" ht="12.75">
      <c r="A954" s="1316"/>
      <c r="B954" s="1317"/>
      <c r="C954" s="1318"/>
      <c r="D954" s="1319"/>
      <c r="E954" s="1318"/>
      <c r="F954" s="1320">
        <f t="shared" si="119"/>
        <v>0</v>
      </c>
      <c r="G954" s="1319"/>
      <c r="H954" s="1318"/>
      <c r="I954" s="1320">
        <f t="shared" si="120"/>
        <v>0</v>
      </c>
      <c r="J954" s="1320">
        <f t="shared" si="113"/>
        <v>0</v>
      </c>
      <c r="K954" s="1320">
        <f t="shared" si="114"/>
        <v>0</v>
      </c>
      <c r="L954" s="1318"/>
      <c r="M954" s="1318"/>
      <c r="N954" s="1321">
        <f t="shared" si="115"/>
        <v>0</v>
      </c>
      <c r="O954" s="1322">
        <f t="shared" si="116"/>
        <v>0</v>
      </c>
      <c r="P954" s="2369">
        <f t="shared" si="117"/>
        <v>1900</v>
      </c>
      <c r="Q954" s="2369">
        <f t="shared" si="118"/>
        <v>1900</v>
      </c>
      <c r="R954" s="654"/>
      <c r="S954" s="654"/>
      <c r="T954" s="654"/>
      <c r="U954" s="654"/>
    </row>
    <row r="955" spans="1:21" ht="12.75">
      <c r="A955" s="1316"/>
      <c r="B955" s="1317"/>
      <c r="C955" s="1318"/>
      <c r="D955" s="1319"/>
      <c r="E955" s="1318"/>
      <c r="F955" s="1320">
        <f t="shared" si="119"/>
        <v>0</v>
      </c>
      <c r="G955" s="1319"/>
      <c r="H955" s="1318"/>
      <c r="I955" s="1320">
        <f t="shared" si="120"/>
        <v>0</v>
      </c>
      <c r="J955" s="1320">
        <f t="shared" si="113"/>
        <v>0</v>
      </c>
      <c r="K955" s="1320">
        <f t="shared" si="114"/>
        <v>0</v>
      </c>
      <c r="L955" s="1318"/>
      <c r="M955" s="1318"/>
      <c r="N955" s="1321">
        <f t="shared" si="115"/>
        <v>0</v>
      </c>
      <c r="O955" s="1322">
        <f t="shared" si="116"/>
        <v>0</v>
      </c>
      <c r="P955" s="2369">
        <f t="shared" si="117"/>
        <v>1900</v>
      </c>
      <c r="Q955" s="2369">
        <f t="shared" si="118"/>
        <v>1900</v>
      </c>
      <c r="R955" s="654"/>
      <c r="S955" s="654"/>
      <c r="T955" s="654"/>
      <c r="U955" s="654"/>
    </row>
    <row r="956" spans="1:21" ht="12.75">
      <c r="A956" s="1316"/>
      <c r="B956" s="1317"/>
      <c r="C956" s="1318"/>
      <c r="D956" s="1319"/>
      <c r="E956" s="1318"/>
      <c r="F956" s="1320">
        <f t="shared" si="119"/>
        <v>0</v>
      </c>
      <c r="G956" s="1319"/>
      <c r="H956" s="1318"/>
      <c r="I956" s="1320">
        <f t="shared" si="120"/>
        <v>0</v>
      </c>
      <c r="J956" s="1320">
        <f t="shared" si="113"/>
        <v>0</v>
      </c>
      <c r="K956" s="1320">
        <f t="shared" si="114"/>
        <v>0</v>
      </c>
      <c r="L956" s="1318"/>
      <c r="M956" s="1318"/>
      <c r="N956" s="1321">
        <f t="shared" si="115"/>
        <v>0</v>
      </c>
      <c r="O956" s="1322">
        <f t="shared" si="116"/>
        <v>0</v>
      </c>
      <c r="P956" s="2369">
        <f t="shared" si="117"/>
        <v>1900</v>
      </c>
      <c r="Q956" s="2369">
        <f t="shared" si="118"/>
        <v>1900</v>
      </c>
      <c r="R956" s="654"/>
      <c r="S956" s="654"/>
      <c r="T956" s="654"/>
      <c r="U956" s="654"/>
    </row>
    <row r="957" spans="1:21" ht="12.75">
      <c r="A957" s="1316"/>
      <c r="B957" s="1317"/>
      <c r="C957" s="1318"/>
      <c r="D957" s="1319"/>
      <c r="E957" s="1318"/>
      <c r="F957" s="1320">
        <f t="shared" si="119"/>
        <v>0</v>
      </c>
      <c r="G957" s="1319"/>
      <c r="H957" s="1318"/>
      <c r="I957" s="1320">
        <f t="shared" si="120"/>
        <v>0</v>
      </c>
      <c r="J957" s="1320">
        <f t="shared" si="113"/>
        <v>0</v>
      </c>
      <c r="K957" s="1320">
        <f t="shared" si="114"/>
        <v>0</v>
      </c>
      <c r="L957" s="1318"/>
      <c r="M957" s="1318"/>
      <c r="N957" s="1321">
        <f t="shared" si="115"/>
        <v>0</v>
      </c>
      <c r="O957" s="1322">
        <f t="shared" si="116"/>
        <v>0</v>
      </c>
      <c r="P957" s="2369">
        <f t="shared" si="117"/>
        <v>1900</v>
      </c>
      <c r="Q957" s="2369">
        <f t="shared" si="118"/>
        <v>1900</v>
      </c>
      <c r="R957" s="654"/>
      <c r="S957" s="654"/>
      <c r="T957" s="654"/>
      <c r="U957" s="654"/>
    </row>
    <row r="958" spans="1:21" ht="12.75">
      <c r="A958" s="1316"/>
      <c r="B958" s="1317"/>
      <c r="C958" s="1318"/>
      <c r="D958" s="1319"/>
      <c r="E958" s="1318"/>
      <c r="F958" s="1320">
        <f t="shared" si="119"/>
        <v>0</v>
      </c>
      <c r="G958" s="1319"/>
      <c r="H958" s="1318"/>
      <c r="I958" s="1320">
        <f t="shared" si="120"/>
        <v>0</v>
      </c>
      <c r="J958" s="1320">
        <f t="shared" si="113"/>
        <v>0</v>
      </c>
      <c r="K958" s="1320">
        <f t="shared" si="114"/>
        <v>0</v>
      </c>
      <c r="L958" s="1318"/>
      <c r="M958" s="1318"/>
      <c r="N958" s="1321">
        <f t="shared" si="115"/>
        <v>0</v>
      </c>
      <c r="O958" s="1322">
        <f t="shared" si="116"/>
        <v>0</v>
      </c>
      <c r="P958" s="2369">
        <f t="shared" si="117"/>
        <v>1900</v>
      </c>
      <c r="Q958" s="2369">
        <f t="shared" si="118"/>
        <v>1900</v>
      </c>
      <c r="R958" s="654"/>
      <c r="S958" s="654"/>
      <c r="T958" s="654"/>
      <c r="U958" s="654"/>
    </row>
    <row r="959" spans="1:21" ht="12.75">
      <c r="A959" s="1316"/>
      <c r="B959" s="1317"/>
      <c r="C959" s="1318"/>
      <c r="D959" s="1319"/>
      <c r="E959" s="1318"/>
      <c r="F959" s="1320">
        <f t="shared" si="119"/>
        <v>0</v>
      </c>
      <c r="G959" s="1319"/>
      <c r="H959" s="1318"/>
      <c r="I959" s="1320">
        <f t="shared" si="120"/>
        <v>0</v>
      </c>
      <c r="J959" s="1320">
        <f t="shared" si="113"/>
        <v>0</v>
      </c>
      <c r="K959" s="1320">
        <f t="shared" si="114"/>
        <v>0</v>
      </c>
      <c r="L959" s="1318"/>
      <c r="M959" s="1318"/>
      <c r="N959" s="1321">
        <f t="shared" si="115"/>
        <v>0</v>
      </c>
      <c r="O959" s="1322">
        <f t="shared" si="116"/>
        <v>0</v>
      </c>
      <c r="P959" s="2369">
        <f t="shared" si="117"/>
        <v>1900</v>
      </c>
      <c r="Q959" s="2369">
        <f t="shared" si="118"/>
        <v>1900</v>
      </c>
      <c r="R959" s="654"/>
      <c r="S959" s="654"/>
      <c r="T959" s="654"/>
      <c r="U959" s="654"/>
    </row>
    <row r="960" spans="1:21" ht="12.75">
      <c r="A960" s="1316"/>
      <c r="B960" s="1317"/>
      <c r="C960" s="1318"/>
      <c r="D960" s="1319"/>
      <c r="E960" s="1318"/>
      <c r="F960" s="1320">
        <f t="shared" si="119"/>
        <v>0</v>
      </c>
      <c r="G960" s="1319"/>
      <c r="H960" s="1318"/>
      <c r="I960" s="1320">
        <f t="shared" si="120"/>
        <v>0</v>
      </c>
      <c r="J960" s="1320">
        <f t="shared" si="113"/>
        <v>0</v>
      </c>
      <c r="K960" s="1320">
        <f t="shared" si="114"/>
        <v>0</v>
      </c>
      <c r="L960" s="1318"/>
      <c r="M960" s="1318"/>
      <c r="N960" s="1321">
        <f t="shared" si="115"/>
        <v>0</v>
      </c>
      <c r="O960" s="1322">
        <f t="shared" si="116"/>
        <v>0</v>
      </c>
      <c r="P960" s="2369">
        <f t="shared" si="117"/>
        <v>1900</v>
      </c>
      <c r="Q960" s="2369">
        <f t="shared" si="118"/>
        <v>1900</v>
      </c>
      <c r="R960" s="654"/>
      <c r="S960" s="654"/>
      <c r="T960" s="654"/>
      <c r="U960" s="654"/>
    </row>
    <row r="961" spans="1:21" ht="12.75">
      <c r="A961" s="1316"/>
      <c r="B961" s="1317"/>
      <c r="C961" s="1318"/>
      <c r="D961" s="1319"/>
      <c r="E961" s="1318"/>
      <c r="F961" s="1320">
        <f t="shared" si="119"/>
        <v>0</v>
      </c>
      <c r="G961" s="1319"/>
      <c r="H961" s="1318"/>
      <c r="I961" s="1320">
        <f t="shared" si="120"/>
        <v>0</v>
      </c>
      <c r="J961" s="1320">
        <f t="shared" si="113"/>
        <v>0</v>
      </c>
      <c r="K961" s="1320">
        <f t="shared" si="114"/>
        <v>0</v>
      </c>
      <c r="L961" s="1318"/>
      <c r="M961" s="1318"/>
      <c r="N961" s="1321">
        <f t="shared" si="115"/>
        <v>0</v>
      </c>
      <c r="O961" s="1322">
        <f t="shared" si="116"/>
        <v>0</v>
      </c>
      <c r="P961" s="2369">
        <f t="shared" si="117"/>
        <v>1900</v>
      </c>
      <c r="Q961" s="2369">
        <f t="shared" si="118"/>
        <v>1900</v>
      </c>
      <c r="R961" s="654"/>
      <c r="S961" s="654"/>
      <c r="T961" s="654"/>
      <c r="U961" s="654"/>
    </row>
    <row r="962" spans="1:21" ht="12.75">
      <c r="A962" s="1316"/>
      <c r="B962" s="1317"/>
      <c r="C962" s="1318"/>
      <c r="D962" s="1319"/>
      <c r="E962" s="1318"/>
      <c r="F962" s="1320">
        <f t="shared" si="119"/>
        <v>0</v>
      </c>
      <c r="G962" s="1319"/>
      <c r="H962" s="1318"/>
      <c r="I962" s="1320">
        <f t="shared" si="120"/>
        <v>0</v>
      </c>
      <c r="J962" s="1320">
        <f t="shared" si="113"/>
        <v>0</v>
      </c>
      <c r="K962" s="1320">
        <f t="shared" si="114"/>
        <v>0</v>
      </c>
      <c r="L962" s="1318"/>
      <c r="M962" s="1318"/>
      <c r="N962" s="1321">
        <f t="shared" si="115"/>
        <v>0</v>
      </c>
      <c r="O962" s="1322">
        <f t="shared" si="116"/>
        <v>0</v>
      </c>
      <c r="P962" s="2369">
        <f t="shared" si="117"/>
        <v>1900</v>
      </c>
      <c r="Q962" s="2369">
        <f t="shared" si="118"/>
        <v>1900</v>
      </c>
      <c r="R962" s="654"/>
      <c r="S962" s="654"/>
      <c r="T962" s="654"/>
      <c r="U962" s="654"/>
    </row>
    <row r="963" spans="1:21" ht="12.75">
      <c r="A963" s="1316"/>
      <c r="B963" s="1317"/>
      <c r="C963" s="1318"/>
      <c r="D963" s="1319"/>
      <c r="E963" s="1318"/>
      <c r="F963" s="1320">
        <f t="shared" si="119"/>
        <v>0</v>
      </c>
      <c r="G963" s="1319"/>
      <c r="H963" s="1318"/>
      <c r="I963" s="1320">
        <f t="shared" si="120"/>
        <v>0</v>
      </c>
      <c r="J963" s="1320">
        <f t="shared" si="113"/>
        <v>0</v>
      </c>
      <c r="K963" s="1320">
        <f t="shared" si="114"/>
        <v>0</v>
      </c>
      <c r="L963" s="1318"/>
      <c r="M963" s="1318"/>
      <c r="N963" s="1321">
        <f t="shared" si="115"/>
        <v>0</v>
      </c>
      <c r="O963" s="1322">
        <f t="shared" si="116"/>
        <v>0</v>
      </c>
      <c r="P963" s="2369">
        <f t="shared" si="117"/>
        <v>1900</v>
      </c>
      <c r="Q963" s="2369">
        <f t="shared" si="118"/>
        <v>1900</v>
      </c>
      <c r="R963" s="654"/>
      <c r="S963" s="654"/>
      <c r="T963" s="654"/>
      <c r="U963" s="654"/>
    </row>
    <row r="964" spans="1:21" ht="12.75">
      <c r="A964" s="1316"/>
      <c r="B964" s="1317"/>
      <c r="C964" s="1318"/>
      <c r="D964" s="1319"/>
      <c r="E964" s="1318"/>
      <c r="F964" s="1320">
        <f t="shared" si="119"/>
        <v>0</v>
      </c>
      <c r="G964" s="1319"/>
      <c r="H964" s="1318"/>
      <c r="I964" s="1320">
        <f t="shared" si="120"/>
        <v>0</v>
      </c>
      <c r="J964" s="1320">
        <f t="shared" si="113"/>
        <v>0</v>
      </c>
      <c r="K964" s="1320">
        <f t="shared" si="114"/>
        <v>0</v>
      </c>
      <c r="L964" s="1318"/>
      <c r="M964" s="1318"/>
      <c r="N964" s="1321">
        <f t="shared" si="115"/>
        <v>0</v>
      </c>
      <c r="O964" s="1322">
        <f t="shared" si="116"/>
        <v>0</v>
      </c>
      <c r="P964" s="2369">
        <f t="shared" si="117"/>
        <v>1900</v>
      </c>
      <c r="Q964" s="2369">
        <f t="shared" si="118"/>
        <v>1900</v>
      </c>
      <c r="R964" s="654"/>
      <c r="S964" s="654"/>
      <c r="T964" s="654"/>
      <c r="U964" s="654"/>
    </row>
    <row r="965" spans="1:21" ht="12.75">
      <c r="A965" s="1316"/>
      <c r="B965" s="1317"/>
      <c r="C965" s="1318"/>
      <c r="D965" s="1319"/>
      <c r="E965" s="1318"/>
      <c r="F965" s="1320">
        <f t="shared" si="119"/>
        <v>0</v>
      </c>
      <c r="G965" s="1319"/>
      <c r="H965" s="1318"/>
      <c r="I965" s="1320">
        <f t="shared" si="120"/>
        <v>0</v>
      </c>
      <c r="J965" s="1320">
        <f t="shared" si="113"/>
        <v>0</v>
      </c>
      <c r="K965" s="1320">
        <f t="shared" si="114"/>
        <v>0</v>
      </c>
      <c r="L965" s="1318"/>
      <c r="M965" s="1318"/>
      <c r="N965" s="1321">
        <f t="shared" si="115"/>
        <v>0</v>
      </c>
      <c r="O965" s="1322">
        <f t="shared" si="116"/>
        <v>0</v>
      </c>
      <c r="P965" s="2369">
        <f t="shared" si="117"/>
        <v>1900</v>
      </c>
      <c r="Q965" s="2369">
        <f t="shared" si="118"/>
        <v>1900</v>
      </c>
      <c r="R965" s="654"/>
      <c r="S965" s="654"/>
      <c r="T965" s="654"/>
      <c r="U965" s="654"/>
    </row>
    <row r="966" spans="1:21" ht="12.75">
      <c r="A966" s="1316"/>
      <c r="B966" s="1317"/>
      <c r="C966" s="1318"/>
      <c r="D966" s="1319"/>
      <c r="E966" s="1318"/>
      <c r="F966" s="1320">
        <f t="shared" si="119"/>
        <v>0</v>
      </c>
      <c r="G966" s="1319"/>
      <c r="H966" s="1318"/>
      <c r="I966" s="1320">
        <f t="shared" si="120"/>
        <v>0</v>
      </c>
      <c r="J966" s="1320">
        <f t="shared" si="113"/>
        <v>0</v>
      </c>
      <c r="K966" s="1320">
        <f t="shared" si="114"/>
        <v>0</v>
      </c>
      <c r="L966" s="1318"/>
      <c r="M966" s="1318"/>
      <c r="N966" s="1321">
        <f t="shared" si="115"/>
        <v>0</v>
      </c>
      <c r="O966" s="1322">
        <f t="shared" si="116"/>
        <v>0</v>
      </c>
      <c r="P966" s="2369">
        <f t="shared" si="117"/>
        <v>1900</v>
      </c>
      <c r="Q966" s="2369">
        <f t="shared" si="118"/>
        <v>1900</v>
      </c>
      <c r="R966" s="654"/>
      <c r="S966" s="654"/>
      <c r="T966" s="654"/>
      <c r="U966" s="654"/>
    </row>
    <row r="967" spans="1:21" ht="12.75">
      <c r="A967" s="1316"/>
      <c r="B967" s="1317"/>
      <c r="C967" s="1318"/>
      <c r="D967" s="1319"/>
      <c r="E967" s="1318"/>
      <c r="F967" s="1320">
        <f t="shared" si="119"/>
        <v>0</v>
      </c>
      <c r="G967" s="1319"/>
      <c r="H967" s="1318"/>
      <c r="I967" s="1320">
        <f t="shared" si="120"/>
        <v>0</v>
      </c>
      <c r="J967" s="1320">
        <f t="shared" si="113"/>
        <v>0</v>
      </c>
      <c r="K967" s="1320">
        <f t="shared" si="114"/>
        <v>0</v>
      </c>
      <c r="L967" s="1318"/>
      <c r="M967" s="1318"/>
      <c r="N967" s="1321">
        <f t="shared" si="115"/>
        <v>0</v>
      </c>
      <c r="O967" s="1322">
        <f t="shared" si="116"/>
        <v>0</v>
      </c>
      <c r="P967" s="2369">
        <f t="shared" si="117"/>
        <v>1900</v>
      </c>
      <c r="Q967" s="2369">
        <f t="shared" si="118"/>
        <v>1900</v>
      </c>
      <c r="R967" s="654"/>
      <c r="S967" s="654"/>
      <c r="T967" s="654"/>
      <c r="U967" s="654"/>
    </row>
    <row r="968" spans="1:21" ht="12.75">
      <c r="A968" s="1316"/>
      <c r="B968" s="1317"/>
      <c r="C968" s="1318"/>
      <c r="D968" s="1319"/>
      <c r="E968" s="1318"/>
      <c r="F968" s="1320">
        <f t="shared" si="119"/>
        <v>0</v>
      </c>
      <c r="G968" s="1319"/>
      <c r="H968" s="1318"/>
      <c r="I968" s="1320">
        <f t="shared" si="120"/>
        <v>0</v>
      </c>
      <c r="J968" s="1320">
        <f t="shared" si="113"/>
        <v>0</v>
      </c>
      <c r="K968" s="1320">
        <f t="shared" si="114"/>
        <v>0</v>
      </c>
      <c r="L968" s="1318"/>
      <c r="M968" s="1318"/>
      <c r="N968" s="1321">
        <f t="shared" si="115"/>
        <v>0</v>
      </c>
      <c r="O968" s="1322">
        <f t="shared" si="116"/>
        <v>0</v>
      </c>
      <c r="P968" s="2369">
        <f t="shared" si="117"/>
        <v>1900</v>
      </c>
      <c r="Q968" s="2369">
        <f t="shared" si="118"/>
        <v>1900</v>
      </c>
      <c r="R968" s="654"/>
      <c r="S968" s="654"/>
      <c r="T968" s="654"/>
      <c r="U968" s="654"/>
    </row>
    <row r="969" spans="1:21" ht="12.75">
      <c r="A969" s="1316"/>
      <c r="B969" s="1317"/>
      <c r="C969" s="1318"/>
      <c r="D969" s="1319"/>
      <c r="E969" s="1318"/>
      <c r="F969" s="1320">
        <f t="shared" si="119"/>
        <v>0</v>
      </c>
      <c r="G969" s="1319"/>
      <c r="H969" s="1318"/>
      <c r="I969" s="1320">
        <f t="shared" si="120"/>
        <v>0</v>
      </c>
      <c r="J969" s="1320">
        <f t="shared" ref="J969:J1004" si="121">C969+E969-H969</f>
        <v>0</v>
      </c>
      <c r="K969" s="1320">
        <f t="shared" ref="K969:K1004" si="122">C969+F969-I969</f>
        <v>0</v>
      </c>
      <c r="L969" s="1318"/>
      <c r="M969" s="1318"/>
      <c r="N969" s="1321">
        <f t="shared" si="115"/>
        <v>0</v>
      </c>
      <c r="O969" s="1322">
        <f t="shared" si="116"/>
        <v>0</v>
      </c>
      <c r="P969" s="2369">
        <f t="shared" si="117"/>
        <v>1900</v>
      </c>
      <c r="Q969" s="2369">
        <f t="shared" si="118"/>
        <v>1900</v>
      </c>
      <c r="R969" s="654"/>
      <c r="S969" s="654"/>
      <c r="T969" s="654"/>
      <c r="U969" s="654"/>
    </row>
    <row r="970" spans="1:21" ht="12.75">
      <c r="A970" s="1316"/>
      <c r="B970" s="1317"/>
      <c r="C970" s="1318"/>
      <c r="D970" s="1319"/>
      <c r="E970" s="1318"/>
      <c r="F970" s="1320">
        <f t="shared" si="119"/>
        <v>0</v>
      </c>
      <c r="G970" s="1319"/>
      <c r="H970" s="1318"/>
      <c r="I970" s="1320">
        <f t="shared" si="120"/>
        <v>0</v>
      </c>
      <c r="J970" s="1320">
        <f t="shared" si="121"/>
        <v>0</v>
      </c>
      <c r="K970" s="1320">
        <f t="shared" si="122"/>
        <v>0</v>
      </c>
      <c r="L970" s="1318"/>
      <c r="M970" s="1318"/>
      <c r="N970" s="1321">
        <f t="shared" ref="N970:N1004" si="123">IF(M970&lt;&gt;0,ROUND(B970*K970,2)+M970,IF(ABS(ROUND(K970*B970,2)-L970)&lt;3,L970,MIN(ROUND(K970*B970,2),L970)))</f>
        <v>0</v>
      </c>
      <c r="O970" s="1322">
        <f t="shared" ref="O970:O1004" si="124">IF(ISERROR(L970-N970),"",IF(ABS(L970-N970)&lt;3,0,L970-N970))</f>
        <v>0</v>
      </c>
      <c r="P970" s="2369">
        <f t="shared" ref="P970:P1004" si="125">IFERROR(YEAR(D970),0)</f>
        <v>1900</v>
      </c>
      <c r="Q970" s="2369">
        <f t="shared" ref="Q970:Q1004" si="126">IFERROR(YEAR(G970),0)</f>
        <v>1900</v>
      </c>
      <c r="R970" s="654"/>
      <c r="S970" s="654"/>
      <c r="T970" s="654"/>
      <c r="U970" s="654"/>
    </row>
    <row r="971" spans="1:21" ht="12.75">
      <c r="A971" s="1316"/>
      <c r="B971" s="1317"/>
      <c r="C971" s="1318"/>
      <c r="D971" s="1319"/>
      <c r="E971" s="1318"/>
      <c r="F971" s="1320">
        <f t="shared" ref="F971:F1004" si="127">E971*(12-MONTH(D971))/12</f>
        <v>0</v>
      </c>
      <c r="G971" s="1319"/>
      <c r="H971" s="1318"/>
      <c r="I971" s="1320">
        <f t="shared" ref="I971:I1004" si="128">H971*(12-MONTH(G971))/12</f>
        <v>0</v>
      </c>
      <c r="J971" s="1320">
        <f t="shared" si="121"/>
        <v>0</v>
      </c>
      <c r="K971" s="1320">
        <f t="shared" si="122"/>
        <v>0</v>
      </c>
      <c r="L971" s="1318"/>
      <c r="M971" s="1318"/>
      <c r="N971" s="1321">
        <f t="shared" si="123"/>
        <v>0</v>
      </c>
      <c r="O971" s="1322">
        <f t="shared" si="124"/>
        <v>0</v>
      </c>
      <c r="P971" s="2369">
        <f t="shared" si="125"/>
        <v>1900</v>
      </c>
      <c r="Q971" s="2369">
        <f t="shared" si="126"/>
        <v>1900</v>
      </c>
      <c r="R971" s="654"/>
      <c r="S971" s="654"/>
      <c r="T971" s="654"/>
      <c r="U971" s="654"/>
    </row>
    <row r="972" spans="1:21" ht="12.75">
      <c r="A972" s="1316"/>
      <c r="B972" s="1317"/>
      <c r="C972" s="1318"/>
      <c r="D972" s="1319"/>
      <c r="E972" s="1318"/>
      <c r="F972" s="1320">
        <f t="shared" si="127"/>
        <v>0</v>
      </c>
      <c r="G972" s="1319"/>
      <c r="H972" s="1318"/>
      <c r="I972" s="1320">
        <f t="shared" si="128"/>
        <v>0</v>
      </c>
      <c r="J972" s="1320">
        <f t="shared" si="121"/>
        <v>0</v>
      </c>
      <c r="K972" s="1320">
        <f t="shared" si="122"/>
        <v>0</v>
      </c>
      <c r="L972" s="1318"/>
      <c r="M972" s="1318"/>
      <c r="N972" s="1321">
        <f t="shared" si="123"/>
        <v>0</v>
      </c>
      <c r="O972" s="1322">
        <f t="shared" si="124"/>
        <v>0</v>
      </c>
      <c r="P972" s="2369">
        <f t="shared" si="125"/>
        <v>1900</v>
      </c>
      <c r="Q972" s="2369">
        <f t="shared" si="126"/>
        <v>1900</v>
      </c>
      <c r="R972" s="654"/>
      <c r="S972" s="654"/>
      <c r="T972" s="654"/>
      <c r="U972" s="654"/>
    </row>
    <row r="973" spans="1:21" ht="12.75">
      <c r="A973" s="1316"/>
      <c r="B973" s="1317"/>
      <c r="C973" s="1318"/>
      <c r="D973" s="1319"/>
      <c r="E973" s="1318"/>
      <c r="F973" s="1320">
        <f t="shared" si="127"/>
        <v>0</v>
      </c>
      <c r="G973" s="1319"/>
      <c r="H973" s="1318"/>
      <c r="I973" s="1320">
        <f t="shared" si="128"/>
        <v>0</v>
      </c>
      <c r="J973" s="1320">
        <f t="shared" si="121"/>
        <v>0</v>
      </c>
      <c r="K973" s="1320">
        <f t="shared" si="122"/>
        <v>0</v>
      </c>
      <c r="L973" s="1318"/>
      <c r="M973" s="1318"/>
      <c r="N973" s="1321">
        <f t="shared" si="123"/>
        <v>0</v>
      </c>
      <c r="O973" s="1322">
        <f t="shared" si="124"/>
        <v>0</v>
      </c>
      <c r="P973" s="2369">
        <f t="shared" si="125"/>
        <v>1900</v>
      </c>
      <c r="Q973" s="2369">
        <f t="shared" si="126"/>
        <v>1900</v>
      </c>
      <c r="R973" s="654"/>
      <c r="S973" s="654"/>
      <c r="T973" s="654"/>
      <c r="U973" s="654"/>
    </row>
    <row r="974" spans="1:21" ht="12.75">
      <c r="A974" s="1316"/>
      <c r="B974" s="1317"/>
      <c r="C974" s="1318"/>
      <c r="D974" s="1319"/>
      <c r="E974" s="1318"/>
      <c r="F974" s="1320">
        <f t="shared" si="127"/>
        <v>0</v>
      </c>
      <c r="G974" s="1319"/>
      <c r="H974" s="1318"/>
      <c r="I974" s="1320">
        <f t="shared" si="128"/>
        <v>0</v>
      </c>
      <c r="J974" s="1320">
        <f t="shared" si="121"/>
        <v>0</v>
      </c>
      <c r="K974" s="1320">
        <f t="shared" si="122"/>
        <v>0</v>
      </c>
      <c r="L974" s="1318"/>
      <c r="M974" s="1318"/>
      <c r="N974" s="1321">
        <f t="shared" si="123"/>
        <v>0</v>
      </c>
      <c r="O974" s="1322">
        <f t="shared" si="124"/>
        <v>0</v>
      </c>
      <c r="P974" s="2369">
        <f t="shared" si="125"/>
        <v>1900</v>
      </c>
      <c r="Q974" s="2369">
        <f t="shared" si="126"/>
        <v>1900</v>
      </c>
      <c r="R974" s="654"/>
      <c r="S974" s="654"/>
      <c r="T974" s="654"/>
      <c r="U974" s="654"/>
    </row>
    <row r="975" spans="1:21" ht="12.75">
      <c r="A975" s="1316"/>
      <c r="B975" s="1317"/>
      <c r="C975" s="1318"/>
      <c r="D975" s="1319"/>
      <c r="E975" s="1318"/>
      <c r="F975" s="1320">
        <f t="shared" si="127"/>
        <v>0</v>
      </c>
      <c r="G975" s="1319"/>
      <c r="H975" s="1318"/>
      <c r="I975" s="1320">
        <f t="shared" si="128"/>
        <v>0</v>
      </c>
      <c r="J975" s="1320">
        <f t="shared" si="121"/>
        <v>0</v>
      </c>
      <c r="K975" s="1320">
        <f t="shared" si="122"/>
        <v>0</v>
      </c>
      <c r="L975" s="1318"/>
      <c r="M975" s="1318"/>
      <c r="N975" s="1321">
        <f t="shared" si="123"/>
        <v>0</v>
      </c>
      <c r="O975" s="1322">
        <f t="shared" si="124"/>
        <v>0</v>
      </c>
      <c r="P975" s="2369">
        <f t="shared" si="125"/>
        <v>1900</v>
      </c>
      <c r="Q975" s="2369">
        <f t="shared" si="126"/>
        <v>1900</v>
      </c>
      <c r="R975" s="654"/>
      <c r="S975" s="654"/>
      <c r="T975" s="654"/>
      <c r="U975" s="654"/>
    </row>
    <row r="976" spans="1:21" ht="12.75">
      <c r="A976" s="1316"/>
      <c r="B976" s="1317"/>
      <c r="C976" s="1318"/>
      <c r="D976" s="1319"/>
      <c r="E976" s="1318"/>
      <c r="F976" s="1320">
        <f t="shared" si="127"/>
        <v>0</v>
      </c>
      <c r="G976" s="1319"/>
      <c r="H976" s="1318"/>
      <c r="I976" s="1320">
        <f t="shared" si="128"/>
        <v>0</v>
      </c>
      <c r="J976" s="1320">
        <f t="shared" si="121"/>
        <v>0</v>
      </c>
      <c r="K976" s="1320">
        <f t="shared" si="122"/>
        <v>0</v>
      </c>
      <c r="L976" s="1318"/>
      <c r="M976" s="1318"/>
      <c r="N976" s="1321">
        <f t="shared" si="123"/>
        <v>0</v>
      </c>
      <c r="O976" s="1322">
        <f t="shared" si="124"/>
        <v>0</v>
      </c>
      <c r="P976" s="2369">
        <f t="shared" si="125"/>
        <v>1900</v>
      </c>
      <c r="Q976" s="2369">
        <f t="shared" si="126"/>
        <v>1900</v>
      </c>
      <c r="R976" s="654"/>
      <c r="S976" s="654"/>
      <c r="T976" s="654"/>
      <c r="U976" s="654"/>
    </row>
    <row r="977" spans="1:21" ht="12.75">
      <c r="A977" s="1316"/>
      <c r="B977" s="1317"/>
      <c r="C977" s="1318"/>
      <c r="D977" s="1319"/>
      <c r="E977" s="1318"/>
      <c r="F977" s="1320">
        <f t="shared" si="127"/>
        <v>0</v>
      </c>
      <c r="G977" s="1319"/>
      <c r="H977" s="1318"/>
      <c r="I977" s="1320">
        <f t="shared" si="128"/>
        <v>0</v>
      </c>
      <c r="J977" s="1320">
        <f t="shared" si="121"/>
        <v>0</v>
      </c>
      <c r="K977" s="1320">
        <f t="shared" si="122"/>
        <v>0</v>
      </c>
      <c r="L977" s="1318"/>
      <c r="M977" s="1318"/>
      <c r="N977" s="1321">
        <f t="shared" si="123"/>
        <v>0</v>
      </c>
      <c r="O977" s="1322">
        <f t="shared" si="124"/>
        <v>0</v>
      </c>
      <c r="P977" s="2369">
        <f t="shared" si="125"/>
        <v>1900</v>
      </c>
      <c r="Q977" s="2369">
        <f t="shared" si="126"/>
        <v>1900</v>
      </c>
      <c r="R977" s="654"/>
      <c r="S977" s="654"/>
      <c r="T977" s="654"/>
      <c r="U977" s="654"/>
    </row>
    <row r="978" spans="1:21" ht="12.75">
      <c r="A978" s="1316"/>
      <c r="B978" s="1317"/>
      <c r="C978" s="1318"/>
      <c r="D978" s="1319"/>
      <c r="E978" s="1318"/>
      <c r="F978" s="1320">
        <f t="shared" si="127"/>
        <v>0</v>
      </c>
      <c r="G978" s="1319"/>
      <c r="H978" s="1318"/>
      <c r="I978" s="1320">
        <f t="shared" si="128"/>
        <v>0</v>
      </c>
      <c r="J978" s="1320">
        <f t="shared" si="121"/>
        <v>0</v>
      </c>
      <c r="K978" s="1320">
        <f t="shared" si="122"/>
        <v>0</v>
      </c>
      <c r="L978" s="1318"/>
      <c r="M978" s="1318"/>
      <c r="N978" s="1321">
        <f t="shared" si="123"/>
        <v>0</v>
      </c>
      <c r="O978" s="1322">
        <f t="shared" si="124"/>
        <v>0</v>
      </c>
      <c r="P978" s="2369">
        <f t="shared" si="125"/>
        <v>1900</v>
      </c>
      <c r="Q978" s="2369">
        <f t="shared" si="126"/>
        <v>1900</v>
      </c>
      <c r="R978" s="654"/>
      <c r="S978" s="654"/>
      <c r="T978" s="654"/>
      <c r="U978" s="654"/>
    </row>
    <row r="979" spans="1:21" ht="12.75">
      <c r="A979" s="1316"/>
      <c r="B979" s="1317"/>
      <c r="C979" s="1318"/>
      <c r="D979" s="1319"/>
      <c r="E979" s="1318"/>
      <c r="F979" s="1320">
        <f t="shared" si="127"/>
        <v>0</v>
      </c>
      <c r="G979" s="1319"/>
      <c r="H979" s="1318"/>
      <c r="I979" s="1320">
        <f t="shared" si="128"/>
        <v>0</v>
      </c>
      <c r="J979" s="1320">
        <f t="shared" si="121"/>
        <v>0</v>
      </c>
      <c r="K979" s="1320">
        <f t="shared" si="122"/>
        <v>0</v>
      </c>
      <c r="L979" s="1318"/>
      <c r="M979" s="1318"/>
      <c r="N979" s="1321">
        <f t="shared" si="123"/>
        <v>0</v>
      </c>
      <c r="O979" s="1322">
        <f t="shared" si="124"/>
        <v>0</v>
      </c>
      <c r="P979" s="2369">
        <f t="shared" si="125"/>
        <v>1900</v>
      </c>
      <c r="Q979" s="2369">
        <f t="shared" si="126"/>
        <v>1900</v>
      </c>
      <c r="R979" s="654"/>
      <c r="S979" s="654"/>
      <c r="T979" s="654"/>
      <c r="U979" s="654"/>
    </row>
    <row r="980" spans="1:21" ht="12.75">
      <c r="A980" s="1316"/>
      <c r="B980" s="1317"/>
      <c r="C980" s="1318"/>
      <c r="D980" s="1319"/>
      <c r="E980" s="1318"/>
      <c r="F980" s="1320">
        <f t="shared" si="127"/>
        <v>0</v>
      </c>
      <c r="G980" s="1319"/>
      <c r="H980" s="1318"/>
      <c r="I980" s="1320">
        <f t="shared" si="128"/>
        <v>0</v>
      </c>
      <c r="J980" s="1320">
        <f t="shared" si="121"/>
        <v>0</v>
      </c>
      <c r="K980" s="1320">
        <f t="shared" si="122"/>
        <v>0</v>
      </c>
      <c r="L980" s="1318"/>
      <c r="M980" s="1318"/>
      <c r="N980" s="1321">
        <f t="shared" si="123"/>
        <v>0</v>
      </c>
      <c r="O980" s="1322">
        <f t="shared" si="124"/>
        <v>0</v>
      </c>
      <c r="P980" s="2369">
        <f t="shared" si="125"/>
        <v>1900</v>
      </c>
      <c r="Q980" s="2369">
        <f t="shared" si="126"/>
        <v>1900</v>
      </c>
      <c r="R980" s="654"/>
      <c r="S980" s="654"/>
      <c r="T980" s="654"/>
      <c r="U980" s="654"/>
    </row>
    <row r="981" spans="1:21" ht="12.75">
      <c r="A981" s="1316"/>
      <c r="B981" s="1317"/>
      <c r="C981" s="1318"/>
      <c r="D981" s="1319"/>
      <c r="E981" s="1318"/>
      <c r="F981" s="1320">
        <f t="shared" si="127"/>
        <v>0</v>
      </c>
      <c r="G981" s="1319"/>
      <c r="H981" s="1318"/>
      <c r="I981" s="1320">
        <f t="shared" si="128"/>
        <v>0</v>
      </c>
      <c r="J981" s="1320">
        <f t="shared" si="121"/>
        <v>0</v>
      </c>
      <c r="K981" s="1320">
        <f t="shared" si="122"/>
        <v>0</v>
      </c>
      <c r="L981" s="1318"/>
      <c r="M981" s="1318"/>
      <c r="N981" s="1321">
        <f t="shared" si="123"/>
        <v>0</v>
      </c>
      <c r="O981" s="1322">
        <f t="shared" si="124"/>
        <v>0</v>
      </c>
      <c r="P981" s="2369">
        <f t="shared" si="125"/>
        <v>1900</v>
      </c>
      <c r="Q981" s="2369">
        <f t="shared" si="126"/>
        <v>1900</v>
      </c>
      <c r="R981" s="654"/>
      <c r="S981" s="654"/>
      <c r="T981" s="654"/>
      <c r="U981" s="654"/>
    </row>
    <row r="982" spans="1:21" ht="12.75">
      <c r="A982" s="1316"/>
      <c r="B982" s="1317"/>
      <c r="C982" s="1318"/>
      <c r="D982" s="1319"/>
      <c r="E982" s="1318"/>
      <c r="F982" s="1320">
        <f t="shared" si="127"/>
        <v>0</v>
      </c>
      <c r="G982" s="1319"/>
      <c r="H982" s="1318"/>
      <c r="I982" s="1320">
        <f t="shared" si="128"/>
        <v>0</v>
      </c>
      <c r="J982" s="1320">
        <f t="shared" si="121"/>
        <v>0</v>
      </c>
      <c r="K982" s="1320">
        <f t="shared" si="122"/>
        <v>0</v>
      </c>
      <c r="L982" s="1318"/>
      <c r="M982" s="1318"/>
      <c r="N982" s="1321">
        <f t="shared" si="123"/>
        <v>0</v>
      </c>
      <c r="O982" s="1322">
        <f t="shared" si="124"/>
        <v>0</v>
      </c>
      <c r="P982" s="2369">
        <f t="shared" si="125"/>
        <v>1900</v>
      </c>
      <c r="Q982" s="2369">
        <f t="shared" si="126"/>
        <v>1900</v>
      </c>
      <c r="R982" s="654"/>
      <c r="S982" s="654"/>
      <c r="T982" s="654"/>
      <c r="U982" s="654"/>
    </row>
    <row r="983" spans="1:21" ht="12.75">
      <c r="A983" s="1316"/>
      <c r="B983" s="1317"/>
      <c r="C983" s="1318"/>
      <c r="D983" s="1319"/>
      <c r="E983" s="1318"/>
      <c r="F983" s="1320">
        <f t="shared" si="127"/>
        <v>0</v>
      </c>
      <c r="G983" s="1319"/>
      <c r="H983" s="1318"/>
      <c r="I983" s="1320">
        <f t="shared" si="128"/>
        <v>0</v>
      </c>
      <c r="J983" s="1320">
        <f t="shared" si="121"/>
        <v>0</v>
      </c>
      <c r="K983" s="1320">
        <f t="shared" si="122"/>
        <v>0</v>
      </c>
      <c r="L983" s="1318"/>
      <c r="M983" s="1318"/>
      <c r="N983" s="1321">
        <f t="shared" si="123"/>
        <v>0</v>
      </c>
      <c r="O983" s="1322">
        <f t="shared" si="124"/>
        <v>0</v>
      </c>
      <c r="P983" s="2369">
        <f t="shared" si="125"/>
        <v>1900</v>
      </c>
      <c r="Q983" s="2369">
        <f t="shared" si="126"/>
        <v>1900</v>
      </c>
      <c r="R983" s="654"/>
      <c r="S983" s="654"/>
      <c r="T983" s="654"/>
      <c r="U983" s="654"/>
    </row>
    <row r="984" spans="1:21" ht="12.75">
      <c r="A984" s="1316"/>
      <c r="B984" s="1317"/>
      <c r="C984" s="1318"/>
      <c r="D984" s="1319"/>
      <c r="E984" s="1318"/>
      <c r="F984" s="1320">
        <f t="shared" si="127"/>
        <v>0</v>
      </c>
      <c r="G984" s="1319"/>
      <c r="H984" s="1318"/>
      <c r="I984" s="1320">
        <f t="shared" si="128"/>
        <v>0</v>
      </c>
      <c r="J984" s="1320">
        <f t="shared" si="121"/>
        <v>0</v>
      </c>
      <c r="K984" s="1320">
        <f t="shared" si="122"/>
        <v>0</v>
      </c>
      <c r="L984" s="1318"/>
      <c r="M984" s="1318"/>
      <c r="N984" s="1321">
        <f t="shared" si="123"/>
        <v>0</v>
      </c>
      <c r="O984" s="1322">
        <f t="shared" si="124"/>
        <v>0</v>
      </c>
      <c r="P984" s="2369">
        <f t="shared" si="125"/>
        <v>1900</v>
      </c>
      <c r="Q984" s="2369">
        <f t="shared" si="126"/>
        <v>1900</v>
      </c>
      <c r="R984" s="654"/>
      <c r="S984" s="654"/>
      <c r="T984" s="654"/>
      <c r="U984" s="654"/>
    </row>
    <row r="985" spans="1:21" ht="12.75">
      <c r="A985" s="1316"/>
      <c r="B985" s="1317"/>
      <c r="C985" s="1318"/>
      <c r="D985" s="1319"/>
      <c r="E985" s="1318"/>
      <c r="F985" s="1320">
        <f t="shared" si="127"/>
        <v>0</v>
      </c>
      <c r="G985" s="1319"/>
      <c r="H985" s="1318"/>
      <c r="I985" s="1320">
        <f t="shared" si="128"/>
        <v>0</v>
      </c>
      <c r="J985" s="1320">
        <f t="shared" si="121"/>
        <v>0</v>
      </c>
      <c r="K985" s="1320">
        <f t="shared" si="122"/>
        <v>0</v>
      </c>
      <c r="L985" s="1318"/>
      <c r="M985" s="1318"/>
      <c r="N985" s="1321">
        <f t="shared" si="123"/>
        <v>0</v>
      </c>
      <c r="O985" s="1322">
        <f t="shared" si="124"/>
        <v>0</v>
      </c>
      <c r="P985" s="2369">
        <f t="shared" si="125"/>
        <v>1900</v>
      </c>
      <c r="Q985" s="2369">
        <f t="shared" si="126"/>
        <v>1900</v>
      </c>
      <c r="R985" s="654"/>
      <c r="S985" s="654"/>
      <c r="T985" s="654"/>
      <c r="U985" s="654"/>
    </row>
    <row r="986" spans="1:21" ht="12.75">
      <c r="A986" s="1316"/>
      <c r="B986" s="1317"/>
      <c r="C986" s="1318"/>
      <c r="D986" s="1319"/>
      <c r="E986" s="1318"/>
      <c r="F986" s="1320">
        <f t="shared" si="127"/>
        <v>0</v>
      </c>
      <c r="G986" s="1319"/>
      <c r="H986" s="1318"/>
      <c r="I986" s="1320">
        <f t="shared" si="128"/>
        <v>0</v>
      </c>
      <c r="J986" s="1320">
        <f t="shared" si="121"/>
        <v>0</v>
      </c>
      <c r="K986" s="1320">
        <f t="shared" si="122"/>
        <v>0</v>
      </c>
      <c r="L986" s="1318"/>
      <c r="M986" s="1318"/>
      <c r="N986" s="1321">
        <f t="shared" si="123"/>
        <v>0</v>
      </c>
      <c r="O986" s="1322">
        <f t="shared" si="124"/>
        <v>0</v>
      </c>
      <c r="P986" s="2369">
        <f t="shared" si="125"/>
        <v>1900</v>
      </c>
      <c r="Q986" s="2369">
        <f t="shared" si="126"/>
        <v>1900</v>
      </c>
      <c r="R986" s="654"/>
      <c r="S986" s="654"/>
      <c r="T986" s="654"/>
      <c r="U986" s="654"/>
    </row>
    <row r="987" spans="1:21" ht="12.75">
      <c r="A987" s="1316"/>
      <c r="B987" s="1317"/>
      <c r="C987" s="1318"/>
      <c r="D987" s="1319"/>
      <c r="E987" s="1318"/>
      <c r="F987" s="1320">
        <f t="shared" si="127"/>
        <v>0</v>
      </c>
      <c r="G987" s="1319"/>
      <c r="H987" s="1318"/>
      <c r="I987" s="1320">
        <f t="shared" si="128"/>
        <v>0</v>
      </c>
      <c r="J987" s="1320">
        <f t="shared" si="121"/>
        <v>0</v>
      </c>
      <c r="K987" s="1320">
        <f t="shared" si="122"/>
        <v>0</v>
      </c>
      <c r="L987" s="1318"/>
      <c r="M987" s="1318"/>
      <c r="N987" s="1321">
        <f t="shared" si="123"/>
        <v>0</v>
      </c>
      <c r="O987" s="1322">
        <f t="shared" si="124"/>
        <v>0</v>
      </c>
      <c r="P987" s="2369">
        <f t="shared" si="125"/>
        <v>1900</v>
      </c>
      <c r="Q987" s="2369">
        <f t="shared" si="126"/>
        <v>1900</v>
      </c>
      <c r="R987" s="654"/>
      <c r="S987" s="654"/>
      <c r="T987" s="654"/>
      <c r="U987" s="654"/>
    </row>
    <row r="988" spans="1:21" ht="12.75">
      <c r="A988" s="1316"/>
      <c r="B988" s="1317"/>
      <c r="C988" s="1318"/>
      <c r="D988" s="1319"/>
      <c r="E988" s="1318"/>
      <c r="F988" s="1320">
        <f t="shared" si="127"/>
        <v>0</v>
      </c>
      <c r="G988" s="1319"/>
      <c r="H988" s="1318"/>
      <c r="I988" s="1320">
        <f t="shared" si="128"/>
        <v>0</v>
      </c>
      <c r="J988" s="1320">
        <f t="shared" si="121"/>
        <v>0</v>
      </c>
      <c r="K988" s="1320">
        <f t="shared" si="122"/>
        <v>0</v>
      </c>
      <c r="L988" s="1318"/>
      <c r="M988" s="1318"/>
      <c r="N988" s="1321">
        <f t="shared" si="123"/>
        <v>0</v>
      </c>
      <c r="O988" s="1322">
        <f t="shared" si="124"/>
        <v>0</v>
      </c>
      <c r="P988" s="2369">
        <f t="shared" si="125"/>
        <v>1900</v>
      </c>
      <c r="Q988" s="2369">
        <f t="shared" si="126"/>
        <v>1900</v>
      </c>
      <c r="R988" s="654"/>
      <c r="S988" s="654"/>
      <c r="T988" s="654"/>
      <c r="U988" s="654"/>
    </row>
    <row r="989" spans="1:21" ht="12.75">
      <c r="A989" s="1316"/>
      <c r="B989" s="1317"/>
      <c r="C989" s="1318"/>
      <c r="D989" s="1319"/>
      <c r="E989" s="1318"/>
      <c r="F989" s="1320">
        <f t="shared" si="127"/>
        <v>0</v>
      </c>
      <c r="G989" s="1319"/>
      <c r="H989" s="1318"/>
      <c r="I989" s="1320">
        <f t="shared" si="128"/>
        <v>0</v>
      </c>
      <c r="J989" s="1320">
        <f t="shared" si="121"/>
        <v>0</v>
      </c>
      <c r="K989" s="1320">
        <f t="shared" si="122"/>
        <v>0</v>
      </c>
      <c r="L989" s="1318"/>
      <c r="M989" s="1318"/>
      <c r="N989" s="1321">
        <f t="shared" si="123"/>
        <v>0</v>
      </c>
      <c r="O989" s="1322">
        <f t="shared" si="124"/>
        <v>0</v>
      </c>
      <c r="P989" s="2369">
        <f t="shared" si="125"/>
        <v>1900</v>
      </c>
      <c r="Q989" s="2369">
        <f t="shared" si="126"/>
        <v>1900</v>
      </c>
      <c r="R989" s="654"/>
      <c r="S989" s="654"/>
      <c r="T989" s="654"/>
      <c r="U989" s="654"/>
    </row>
    <row r="990" spans="1:21" ht="12.75">
      <c r="A990" s="1316"/>
      <c r="B990" s="1317"/>
      <c r="C990" s="1318"/>
      <c r="D990" s="1319"/>
      <c r="E990" s="1318"/>
      <c r="F990" s="1320">
        <f t="shared" si="127"/>
        <v>0</v>
      </c>
      <c r="G990" s="1319"/>
      <c r="H990" s="1318"/>
      <c r="I990" s="1320">
        <f t="shared" si="128"/>
        <v>0</v>
      </c>
      <c r="J990" s="1320">
        <f t="shared" si="121"/>
        <v>0</v>
      </c>
      <c r="K990" s="1320">
        <f t="shared" si="122"/>
        <v>0</v>
      </c>
      <c r="L990" s="1318"/>
      <c r="M990" s="1318"/>
      <c r="N990" s="1321">
        <f t="shared" si="123"/>
        <v>0</v>
      </c>
      <c r="O990" s="1322">
        <f t="shared" si="124"/>
        <v>0</v>
      </c>
      <c r="P990" s="2369">
        <f t="shared" si="125"/>
        <v>1900</v>
      </c>
      <c r="Q990" s="2369">
        <f t="shared" si="126"/>
        <v>1900</v>
      </c>
      <c r="R990" s="654"/>
      <c r="S990" s="654"/>
      <c r="T990" s="654"/>
      <c r="U990" s="654"/>
    </row>
    <row r="991" spans="1:21" ht="12.75">
      <c r="A991" s="1316"/>
      <c r="B991" s="1317"/>
      <c r="C991" s="1318"/>
      <c r="D991" s="1319"/>
      <c r="E991" s="1318"/>
      <c r="F991" s="1320">
        <f t="shared" si="127"/>
        <v>0</v>
      </c>
      <c r="G991" s="1319"/>
      <c r="H991" s="1318"/>
      <c r="I991" s="1320">
        <f t="shared" si="128"/>
        <v>0</v>
      </c>
      <c r="J991" s="1320">
        <f t="shared" si="121"/>
        <v>0</v>
      </c>
      <c r="K991" s="1320">
        <f t="shared" si="122"/>
        <v>0</v>
      </c>
      <c r="L991" s="1318"/>
      <c r="M991" s="1318"/>
      <c r="N991" s="1321">
        <f t="shared" si="123"/>
        <v>0</v>
      </c>
      <c r="O991" s="1322">
        <f t="shared" si="124"/>
        <v>0</v>
      </c>
      <c r="P991" s="2369">
        <f t="shared" si="125"/>
        <v>1900</v>
      </c>
      <c r="Q991" s="2369">
        <f t="shared" si="126"/>
        <v>1900</v>
      </c>
      <c r="R991" s="654"/>
      <c r="S991" s="654"/>
      <c r="T991" s="654"/>
      <c r="U991" s="654"/>
    </row>
    <row r="992" spans="1:21" ht="12.75">
      <c r="A992" s="1316"/>
      <c r="B992" s="1317"/>
      <c r="C992" s="1318"/>
      <c r="D992" s="1319"/>
      <c r="E992" s="1318"/>
      <c r="F992" s="1320">
        <f t="shared" si="127"/>
        <v>0</v>
      </c>
      <c r="G992" s="1319"/>
      <c r="H992" s="1318"/>
      <c r="I992" s="1320">
        <f t="shared" si="128"/>
        <v>0</v>
      </c>
      <c r="J992" s="1320">
        <f t="shared" si="121"/>
        <v>0</v>
      </c>
      <c r="K992" s="1320">
        <f t="shared" si="122"/>
        <v>0</v>
      </c>
      <c r="L992" s="1318"/>
      <c r="M992" s="1318"/>
      <c r="N992" s="1321">
        <f t="shared" si="123"/>
        <v>0</v>
      </c>
      <c r="O992" s="1322">
        <f t="shared" si="124"/>
        <v>0</v>
      </c>
      <c r="P992" s="2369">
        <f t="shared" si="125"/>
        <v>1900</v>
      </c>
      <c r="Q992" s="2369">
        <f t="shared" si="126"/>
        <v>1900</v>
      </c>
      <c r="R992" s="654"/>
      <c r="S992" s="654"/>
      <c r="T992" s="654"/>
      <c r="U992" s="654"/>
    </row>
    <row r="993" spans="1:21" ht="12.75">
      <c r="A993" s="1316"/>
      <c r="B993" s="1317"/>
      <c r="C993" s="1318"/>
      <c r="D993" s="1319"/>
      <c r="E993" s="1318"/>
      <c r="F993" s="1320">
        <f t="shared" si="127"/>
        <v>0</v>
      </c>
      <c r="G993" s="1319"/>
      <c r="H993" s="1318"/>
      <c r="I993" s="1320">
        <f t="shared" si="128"/>
        <v>0</v>
      </c>
      <c r="J993" s="1320">
        <f t="shared" si="121"/>
        <v>0</v>
      </c>
      <c r="K993" s="1320">
        <f t="shared" si="122"/>
        <v>0</v>
      </c>
      <c r="L993" s="1318"/>
      <c r="M993" s="1318"/>
      <c r="N993" s="1321">
        <f t="shared" si="123"/>
        <v>0</v>
      </c>
      <c r="O993" s="1322">
        <f t="shared" si="124"/>
        <v>0</v>
      </c>
      <c r="P993" s="2369">
        <f t="shared" si="125"/>
        <v>1900</v>
      </c>
      <c r="Q993" s="2369">
        <f t="shared" si="126"/>
        <v>1900</v>
      </c>
      <c r="R993" s="654"/>
      <c r="S993" s="654"/>
      <c r="T993" s="654"/>
      <c r="U993" s="654"/>
    </row>
    <row r="994" spans="1:21" ht="12.75">
      <c r="A994" s="1316"/>
      <c r="B994" s="1317"/>
      <c r="C994" s="1318"/>
      <c r="D994" s="1319"/>
      <c r="E994" s="1318"/>
      <c r="F994" s="1320">
        <f t="shared" si="127"/>
        <v>0</v>
      </c>
      <c r="G994" s="1319"/>
      <c r="H994" s="1318"/>
      <c r="I994" s="1320">
        <f t="shared" si="128"/>
        <v>0</v>
      </c>
      <c r="J994" s="1320">
        <f t="shared" si="121"/>
        <v>0</v>
      </c>
      <c r="K994" s="1320">
        <f t="shared" si="122"/>
        <v>0</v>
      </c>
      <c r="L994" s="1318"/>
      <c r="M994" s="1318"/>
      <c r="N994" s="1321">
        <f t="shared" si="123"/>
        <v>0</v>
      </c>
      <c r="O994" s="1322">
        <f t="shared" si="124"/>
        <v>0</v>
      </c>
      <c r="P994" s="2369">
        <f t="shared" si="125"/>
        <v>1900</v>
      </c>
      <c r="Q994" s="2369">
        <f t="shared" si="126"/>
        <v>1900</v>
      </c>
      <c r="R994" s="654"/>
      <c r="S994" s="654"/>
      <c r="T994" s="654"/>
      <c r="U994" s="654"/>
    </row>
    <row r="995" spans="1:21" ht="12.75">
      <c r="A995" s="1316"/>
      <c r="B995" s="1317"/>
      <c r="C995" s="1318"/>
      <c r="D995" s="1319"/>
      <c r="E995" s="1318"/>
      <c r="F995" s="1320">
        <f t="shared" si="127"/>
        <v>0</v>
      </c>
      <c r="G995" s="1319"/>
      <c r="H995" s="1318"/>
      <c r="I995" s="1320">
        <f t="shared" si="128"/>
        <v>0</v>
      </c>
      <c r="J995" s="1320">
        <f t="shared" si="121"/>
        <v>0</v>
      </c>
      <c r="K995" s="1320">
        <f t="shared" si="122"/>
        <v>0</v>
      </c>
      <c r="L995" s="1318"/>
      <c r="M995" s="1318"/>
      <c r="N995" s="1321">
        <f t="shared" si="123"/>
        <v>0</v>
      </c>
      <c r="O995" s="1322">
        <f t="shared" si="124"/>
        <v>0</v>
      </c>
      <c r="P995" s="2369">
        <f t="shared" si="125"/>
        <v>1900</v>
      </c>
      <c r="Q995" s="2369">
        <f t="shared" si="126"/>
        <v>1900</v>
      </c>
      <c r="R995" s="654"/>
      <c r="S995" s="654"/>
      <c r="T995" s="654"/>
      <c r="U995" s="654"/>
    </row>
    <row r="996" spans="1:21" ht="12.75">
      <c r="A996" s="1316"/>
      <c r="B996" s="1317"/>
      <c r="C996" s="1318"/>
      <c r="D996" s="1319"/>
      <c r="E996" s="1318"/>
      <c r="F996" s="1320">
        <f t="shared" si="127"/>
        <v>0</v>
      </c>
      <c r="G996" s="1319"/>
      <c r="H996" s="1318"/>
      <c r="I996" s="1320">
        <f t="shared" si="128"/>
        <v>0</v>
      </c>
      <c r="J996" s="1320">
        <f t="shared" si="121"/>
        <v>0</v>
      </c>
      <c r="K996" s="1320">
        <f t="shared" si="122"/>
        <v>0</v>
      </c>
      <c r="L996" s="1318"/>
      <c r="M996" s="1318"/>
      <c r="N996" s="1321">
        <f t="shared" si="123"/>
        <v>0</v>
      </c>
      <c r="O996" s="1322">
        <f t="shared" si="124"/>
        <v>0</v>
      </c>
      <c r="P996" s="2369">
        <f t="shared" si="125"/>
        <v>1900</v>
      </c>
      <c r="Q996" s="2369">
        <f t="shared" si="126"/>
        <v>1900</v>
      </c>
      <c r="R996" s="654"/>
      <c r="S996" s="654"/>
      <c r="T996" s="654"/>
      <c r="U996" s="654"/>
    </row>
    <row r="997" spans="1:21" ht="12.75">
      <c r="A997" s="1316"/>
      <c r="B997" s="1317"/>
      <c r="C997" s="1318"/>
      <c r="D997" s="1319"/>
      <c r="E997" s="1318"/>
      <c r="F997" s="1320">
        <f t="shared" si="127"/>
        <v>0</v>
      </c>
      <c r="G997" s="1319"/>
      <c r="H997" s="1318"/>
      <c r="I997" s="1320">
        <f t="shared" si="128"/>
        <v>0</v>
      </c>
      <c r="J997" s="1320">
        <f t="shared" si="121"/>
        <v>0</v>
      </c>
      <c r="K997" s="1320">
        <f t="shared" si="122"/>
        <v>0</v>
      </c>
      <c r="L997" s="1318"/>
      <c r="M997" s="1318"/>
      <c r="N997" s="1321">
        <f t="shared" si="123"/>
        <v>0</v>
      </c>
      <c r="O997" s="1322">
        <f t="shared" si="124"/>
        <v>0</v>
      </c>
      <c r="P997" s="2369">
        <f t="shared" si="125"/>
        <v>1900</v>
      </c>
      <c r="Q997" s="2369">
        <f t="shared" si="126"/>
        <v>1900</v>
      </c>
      <c r="R997" s="654"/>
      <c r="S997" s="654"/>
      <c r="T997" s="654"/>
      <c r="U997" s="654"/>
    </row>
    <row r="998" spans="1:21" ht="12.75">
      <c r="A998" s="1316"/>
      <c r="B998" s="1317"/>
      <c r="C998" s="1318"/>
      <c r="D998" s="1319"/>
      <c r="E998" s="1318"/>
      <c r="F998" s="1320">
        <f t="shared" si="127"/>
        <v>0</v>
      </c>
      <c r="G998" s="1319"/>
      <c r="H998" s="1318"/>
      <c r="I998" s="1320">
        <f t="shared" si="128"/>
        <v>0</v>
      </c>
      <c r="J998" s="1320">
        <f t="shared" si="121"/>
        <v>0</v>
      </c>
      <c r="K998" s="1320">
        <f t="shared" si="122"/>
        <v>0</v>
      </c>
      <c r="L998" s="1318"/>
      <c r="M998" s="1318"/>
      <c r="N998" s="1321">
        <f t="shared" si="123"/>
        <v>0</v>
      </c>
      <c r="O998" s="1322">
        <f t="shared" si="124"/>
        <v>0</v>
      </c>
      <c r="P998" s="2369">
        <f t="shared" si="125"/>
        <v>1900</v>
      </c>
      <c r="Q998" s="2369">
        <f t="shared" si="126"/>
        <v>1900</v>
      </c>
      <c r="R998" s="654"/>
      <c r="S998" s="654"/>
      <c r="T998" s="654"/>
      <c r="U998" s="654"/>
    </row>
    <row r="999" spans="1:21" ht="12.75">
      <c r="A999" s="1316"/>
      <c r="B999" s="1317"/>
      <c r="C999" s="1318"/>
      <c r="D999" s="1319"/>
      <c r="E999" s="1318"/>
      <c r="F999" s="1320">
        <f t="shared" si="127"/>
        <v>0</v>
      </c>
      <c r="G999" s="1319"/>
      <c r="H999" s="1318"/>
      <c r="I999" s="1320">
        <f t="shared" si="128"/>
        <v>0</v>
      </c>
      <c r="J999" s="1320">
        <f t="shared" si="121"/>
        <v>0</v>
      </c>
      <c r="K999" s="1320">
        <f t="shared" si="122"/>
        <v>0</v>
      </c>
      <c r="L999" s="1318"/>
      <c r="M999" s="1318"/>
      <c r="N999" s="1321">
        <f t="shared" si="123"/>
        <v>0</v>
      </c>
      <c r="O999" s="1322">
        <f t="shared" si="124"/>
        <v>0</v>
      </c>
      <c r="P999" s="2369">
        <f t="shared" si="125"/>
        <v>1900</v>
      </c>
      <c r="Q999" s="2369">
        <f t="shared" si="126"/>
        <v>1900</v>
      </c>
      <c r="R999" s="654"/>
      <c r="S999" s="654"/>
      <c r="T999" s="654"/>
      <c r="U999" s="654"/>
    </row>
    <row r="1000" spans="1:21" ht="12.75">
      <c r="A1000" s="1316"/>
      <c r="B1000" s="1317"/>
      <c r="C1000" s="1318"/>
      <c r="D1000" s="1319"/>
      <c r="E1000" s="1318"/>
      <c r="F1000" s="1320">
        <f t="shared" si="127"/>
        <v>0</v>
      </c>
      <c r="G1000" s="1319"/>
      <c r="H1000" s="1318"/>
      <c r="I1000" s="1320">
        <f t="shared" si="128"/>
        <v>0</v>
      </c>
      <c r="J1000" s="1320">
        <f t="shared" si="121"/>
        <v>0</v>
      </c>
      <c r="K1000" s="1320">
        <f t="shared" si="122"/>
        <v>0</v>
      </c>
      <c r="L1000" s="1318"/>
      <c r="M1000" s="1318"/>
      <c r="N1000" s="1321">
        <f t="shared" si="123"/>
        <v>0</v>
      </c>
      <c r="O1000" s="1322">
        <f t="shared" si="124"/>
        <v>0</v>
      </c>
      <c r="P1000" s="2369">
        <f t="shared" si="125"/>
        <v>1900</v>
      </c>
      <c r="Q1000" s="2369">
        <f t="shared" si="126"/>
        <v>1900</v>
      </c>
      <c r="R1000" s="654"/>
      <c r="S1000" s="654"/>
      <c r="T1000" s="654"/>
      <c r="U1000" s="654"/>
    </row>
    <row r="1001" spans="1:21" ht="12.75">
      <c r="A1001" s="1316"/>
      <c r="B1001" s="1317"/>
      <c r="C1001" s="1318"/>
      <c r="D1001" s="1319"/>
      <c r="E1001" s="1318"/>
      <c r="F1001" s="1320">
        <f t="shared" si="127"/>
        <v>0</v>
      </c>
      <c r="G1001" s="1319"/>
      <c r="H1001" s="1318"/>
      <c r="I1001" s="1320">
        <f t="shared" si="128"/>
        <v>0</v>
      </c>
      <c r="J1001" s="1320">
        <f t="shared" si="121"/>
        <v>0</v>
      </c>
      <c r="K1001" s="1320">
        <f t="shared" si="122"/>
        <v>0</v>
      </c>
      <c r="L1001" s="1318"/>
      <c r="M1001" s="1318"/>
      <c r="N1001" s="1321">
        <f t="shared" si="123"/>
        <v>0</v>
      </c>
      <c r="O1001" s="1322">
        <f t="shared" si="124"/>
        <v>0</v>
      </c>
      <c r="P1001" s="2369">
        <f t="shared" si="125"/>
        <v>1900</v>
      </c>
      <c r="Q1001" s="2369">
        <f t="shared" si="126"/>
        <v>1900</v>
      </c>
      <c r="R1001" s="654"/>
      <c r="S1001" s="654"/>
      <c r="T1001" s="654"/>
      <c r="U1001" s="654"/>
    </row>
    <row r="1002" spans="1:21" ht="12.75">
      <c r="A1002" s="1316"/>
      <c r="B1002" s="1317"/>
      <c r="C1002" s="1318"/>
      <c r="D1002" s="1319"/>
      <c r="E1002" s="1318"/>
      <c r="F1002" s="1320">
        <f t="shared" si="127"/>
        <v>0</v>
      </c>
      <c r="G1002" s="1319"/>
      <c r="H1002" s="1318"/>
      <c r="I1002" s="1320">
        <f t="shared" si="128"/>
        <v>0</v>
      </c>
      <c r="J1002" s="1320">
        <f t="shared" si="121"/>
        <v>0</v>
      </c>
      <c r="K1002" s="1320">
        <f t="shared" si="122"/>
        <v>0</v>
      </c>
      <c r="L1002" s="1318"/>
      <c r="M1002" s="1318"/>
      <c r="N1002" s="1321">
        <f t="shared" si="123"/>
        <v>0</v>
      </c>
      <c r="O1002" s="1322">
        <f t="shared" si="124"/>
        <v>0</v>
      </c>
      <c r="P1002" s="2369">
        <f t="shared" si="125"/>
        <v>1900</v>
      </c>
      <c r="Q1002" s="2369">
        <f t="shared" si="126"/>
        <v>1900</v>
      </c>
      <c r="R1002" s="654"/>
      <c r="S1002" s="654"/>
      <c r="T1002" s="654"/>
      <c r="U1002" s="654"/>
    </row>
    <row r="1003" spans="1:21" ht="12.75">
      <c r="A1003" s="1316"/>
      <c r="B1003" s="1317"/>
      <c r="C1003" s="1318"/>
      <c r="D1003" s="1319"/>
      <c r="E1003" s="1318"/>
      <c r="F1003" s="1320">
        <f t="shared" si="127"/>
        <v>0</v>
      </c>
      <c r="G1003" s="1319"/>
      <c r="H1003" s="1318"/>
      <c r="I1003" s="1320">
        <f t="shared" si="128"/>
        <v>0</v>
      </c>
      <c r="J1003" s="1320">
        <f t="shared" si="121"/>
        <v>0</v>
      </c>
      <c r="K1003" s="1320">
        <f t="shared" si="122"/>
        <v>0</v>
      </c>
      <c r="L1003" s="1318"/>
      <c r="M1003" s="1318"/>
      <c r="N1003" s="1321">
        <f t="shared" si="123"/>
        <v>0</v>
      </c>
      <c r="O1003" s="1322">
        <f t="shared" si="124"/>
        <v>0</v>
      </c>
      <c r="P1003" s="2369">
        <f t="shared" si="125"/>
        <v>1900</v>
      </c>
      <c r="Q1003" s="2369">
        <f t="shared" si="126"/>
        <v>1900</v>
      </c>
      <c r="R1003" s="654"/>
      <c r="S1003" s="654"/>
      <c r="T1003" s="654"/>
      <c r="U1003" s="654"/>
    </row>
    <row r="1004" spans="1:21" ht="12.75">
      <c r="A1004" s="1326"/>
      <c r="B1004" s="1327"/>
      <c r="C1004" s="1328"/>
      <c r="D1004" s="1329"/>
      <c r="E1004" s="1328"/>
      <c r="F1004" s="1330">
        <f t="shared" si="127"/>
        <v>0</v>
      </c>
      <c r="G1004" s="1329"/>
      <c r="H1004" s="1328"/>
      <c r="I1004" s="1330">
        <f t="shared" si="128"/>
        <v>0</v>
      </c>
      <c r="J1004" s="1330">
        <f t="shared" si="121"/>
        <v>0</v>
      </c>
      <c r="K1004" s="1330">
        <f t="shared" si="122"/>
        <v>0</v>
      </c>
      <c r="L1004" s="1328"/>
      <c r="M1004" s="1331"/>
      <c r="N1004" s="1321">
        <f t="shared" si="123"/>
        <v>0</v>
      </c>
      <c r="O1004" s="1322">
        <f t="shared" si="124"/>
        <v>0</v>
      </c>
      <c r="P1004" s="2369">
        <f t="shared" si="125"/>
        <v>1900</v>
      </c>
      <c r="Q1004" s="2369">
        <f t="shared" si="126"/>
        <v>1900</v>
      </c>
      <c r="R1004" s="654"/>
      <c r="S1004" s="654"/>
      <c r="T1004" s="654"/>
      <c r="U1004" s="654"/>
    </row>
    <row r="1005" spans="1:21">
      <c r="O1005" s="1334"/>
      <c r="P1005" s="1334"/>
      <c r="Q1005" s="1334"/>
    </row>
    <row r="1006" spans="1:21">
      <c r="O1006" s="1334"/>
      <c r="P1006" s="1334"/>
      <c r="Q1006" s="1334"/>
    </row>
    <row r="1007" spans="1:21">
      <c r="O1007" s="1334"/>
      <c r="P1007" s="1334"/>
      <c r="Q1007" s="1334"/>
    </row>
    <row r="1008" spans="1:21">
      <c r="O1008" s="1334"/>
      <c r="P1008" s="1334"/>
      <c r="Q1008" s="1334"/>
    </row>
    <row r="1009" spans="15:17">
      <c r="O1009" s="1334"/>
      <c r="P1009" s="1334"/>
      <c r="Q1009" s="1334"/>
    </row>
    <row r="1010" spans="15:17">
      <c r="O1010" s="1334"/>
      <c r="P1010" s="1334"/>
      <c r="Q1010" s="1334"/>
    </row>
    <row r="1011" spans="15:17">
      <c r="O1011" s="1334"/>
      <c r="P1011" s="1334"/>
      <c r="Q1011" s="1334"/>
    </row>
    <row r="1012" spans="15:17">
      <c r="O1012" s="1334"/>
      <c r="P1012" s="1334"/>
      <c r="Q1012" s="1334"/>
    </row>
    <row r="1013" spans="15:17">
      <c r="O1013" s="1334"/>
      <c r="P1013" s="1334"/>
      <c r="Q1013" s="1334"/>
    </row>
    <row r="1014" spans="15:17">
      <c r="O1014" s="1334"/>
      <c r="P1014" s="1334"/>
      <c r="Q1014" s="1334"/>
    </row>
    <row r="1015" spans="15:17">
      <c r="O1015" s="1334"/>
      <c r="P1015" s="1334"/>
      <c r="Q1015" s="1334"/>
    </row>
  </sheetData>
  <sheetProtection selectLockedCells="1" selectUnlockedCells="1"/>
  <mergeCells count="24">
    <mergeCell ref="A1:O1"/>
    <mergeCell ref="R1:R4"/>
    <mergeCell ref="A2:F2"/>
    <mergeCell ref="H2:I2"/>
    <mergeCell ref="K2:L2"/>
    <mergeCell ref="N2:N3"/>
    <mergeCell ref="O2:O3"/>
    <mergeCell ref="A3:F3"/>
    <mergeCell ref="H3:I3"/>
    <mergeCell ref="K3:L3"/>
    <mergeCell ref="N5:N6"/>
    <mergeCell ref="O5:O6"/>
    <mergeCell ref="A8:B8"/>
    <mergeCell ref="R15:U17"/>
    <mergeCell ref="A4:O4"/>
    <mergeCell ref="A5:A6"/>
    <mergeCell ref="B5:B6"/>
    <mergeCell ref="C5:C6"/>
    <mergeCell ref="D5:F5"/>
    <mergeCell ref="G5:I5"/>
    <mergeCell ref="J5:J6"/>
    <mergeCell ref="K5:K6"/>
    <mergeCell ref="L5:L6"/>
    <mergeCell ref="M5:M6"/>
  </mergeCells>
  <phoneticPr fontId="135" type="noConversion"/>
  <dataValidations count="6">
    <dataValidation type="list" allowBlank="1" showErrorMessage="1" sqref="A9:A1132">
      <formula1>"房屋建筑,机械设备,工器家具,运输工具,电子设备"</formula1>
      <formula2>0</formula2>
    </dataValidation>
    <dataValidation allowBlank="1" sqref="K9:K1004">
      <formula1>0</formula1>
      <formula2>0</formula2>
    </dataValidation>
    <dataValidation type="date" allowBlank="1" showErrorMessage="1" errorTitle="日期超出范围" error="没有这个日期或输入的减少日期超出会计期间范围。" sqref="G9:G1004">
      <formula1>DATE(本年度,起始月,起始日)</formula1>
      <formula2>DATE(本年度,截止月,截止日)</formula2>
    </dataValidation>
    <dataValidation operator="lessThanOrEqual" allowBlank="1" errorTitle="日期错误" error="没有这个日期或日期大于本年度" sqref="E9:E1004">
      <formula1>0</formula1>
      <formula2>0</formula2>
    </dataValidation>
    <dataValidation type="date" allowBlank="1" showErrorMessage="1" errorTitle="日期超出范围" error="没有这个日期或输入的购置日期超出1906年至本会计期间截止日范围。" sqref="D9:D1004">
      <formula1>1906-1-1</formula1>
      <formula2>DATE(本年度,截止月,截止日)</formula2>
    </dataValidation>
    <dataValidation operator="lessThanOrEqual" allowBlank="1" showErrorMessage="1" errorTitle="日期错误" error="没有这个日期或日期大于本年度" sqref="L5:M5 L1005:M1132 F9:F1004 L8:M8">
      <formula1>0</formula1>
      <formula2>0</formula2>
    </dataValidation>
  </dataValidations>
  <hyperlinks>
    <hyperlink ref="R9" location="资产负债!A1" display="资产负债表"/>
    <hyperlink ref="R10" location="资产折旧纳税调整表!A1" display="资产折旧纳税调整表"/>
    <hyperlink ref="R11" location="固资折旧!A1" display="固定资产及折旧审核表"/>
    <hyperlink ref="R12" location="固定资产加速折旧审核表!A1" display="固定资产加速折旧审核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AV110"/>
  <sheetViews>
    <sheetView topLeftCell="D1" workbookViewId="0">
      <selection activeCell="A4" sqref="A4:O4"/>
    </sheetView>
  </sheetViews>
  <sheetFormatPr defaultColWidth="9" defaultRowHeight="14.25"/>
  <cols>
    <col min="1" max="1" width="19.25" style="573" customWidth="1"/>
    <col min="2" max="2" width="8.5" style="573" customWidth="1"/>
    <col min="3" max="7" width="9.75" style="573" customWidth="1"/>
    <col min="8" max="8" width="4.125" style="1393" customWidth="1"/>
    <col min="9" max="11" width="9.75" style="573" customWidth="1"/>
    <col min="12" max="12" width="4.125" style="1393" customWidth="1"/>
    <col min="13" max="14" width="9.75" style="1393" customWidth="1"/>
    <col min="15" max="15" width="9.75" style="573" customWidth="1"/>
    <col min="16" max="16" width="22.625" style="577" customWidth="1"/>
    <col min="17" max="17" width="9" style="577"/>
    <col min="18" max="18" width="15.5" style="577" customWidth="1"/>
    <col min="19" max="16384" width="9" style="577"/>
  </cols>
  <sheetData>
    <row r="1" spans="1:23" ht="31.5" customHeight="1">
      <c r="A1" s="3406" t="s">
        <v>1712</v>
      </c>
      <c r="B1" s="3406"/>
      <c r="C1" s="3406"/>
      <c r="D1" s="3406"/>
      <c r="E1" s="3406"/>
      <c r="F1" s="3406"/>
      <c r="G1" s="3406"/>
      <c r="H1" s="3406"/>
      <c r="I1" s="3406"/>
      <c r="J1" s="3406"/>
      <c r="K1" s="3406"/>
      <c r="L1" s="3406"/>
      <c r="M1" s="3406"/>
      <c r="N1" s="3406"/>
      <c r="O1" s="3406"/>
      <c r="P1" s="564"/>
      <c r="Q1" s="576"/>
      <c r="R1" s="576"/>
      <c r="S1" s="576"/>
      <c r="T1" s="576"/>
    </row>
    <row r="2" spans="1:23" s="615" customFormat="1" ht="22.5" customHeight="1">
      <c r="A2" s="3434" t="str">
        <f>"委托单位："&amp;基本情况!$C$3</f>
        <v>委托单位：</v>
      </c>
      <c r="B2" s="3434"/>
      <c r="C2" s="3434"/>
      <c r="D2" s="3434"/>
      <c r="E2" s="3434"/>
      <c r="F2" s="3434"/>
      <c r="G2" s="571" t="s">
        <v>4407</v>
      </c>
      <c r="H2" s="2931" t="str">
        <f>基本情况!$F$19&amp;""</f>
        <v/>
      </c>
      <c r="I2" s="2931"/>
      <c r="J2" s="571" t="s">
        <v>4511</v>
      </c>
      <c r="K2" s="3435" t="str">
        <f>TEXT(基本情况!$F$27,"yyyy-mm-dd")</f>
        <v>2018-03-16</v>
      </c>
      <c r="L2" s="3435"/>
      <c r="M2" s="1335"/>
      <c r="N2" s="1335"/>
      <c r="O2" s="614" t="s">
        <v>4409</v>
      </c>
      <c r="P2" s="690"/>
      <c r="Q2" s="690"/>
      <c r="R2" s="690"/>
      <c r="S2" s="690"/>
      <c r="T2" s="690"/>
    </row>
    <row r="3" spans="1:23" s="615" customFormat="1" ht="22.5" customHeight="1">
      <c r="A3" s="3436" t="str">
        <f>"会计期间："&amp;基本情况!$F$9</f>
        <v>会计期间：2017年01月01日至2017年12月31日</v>
      </c>
      <c r="B3" s="3436"/>
      <c r="C3" s="3436"/>
      <c r="D3" s="3436"/>
      <c r="E3" s="3436"/>
      <c r="F3" s="3436"/>
      <c r="G3" s="566" t="s">
        <v>4410</v>
      </c>
      <c r="H3" s="2926" t="str">
        <f>基本情况!$F$18&amp;""</f>
        <v/>
      </c>
      <c r="I3" s="2926"/>
      <c r="J3" s="566" t="s">
        <v>4511</v>
      </c>
      <c r="K3" s="3437" t="str">
        <f>TEXT(基本情况!$F$28,"yyyy-mm-dd")</f>
        <v>2018-05-04</v>
      </c>
      <c r="L3" s="3437"/>
      <c r="M3" s="727"/>
      <c r="N3" s="727"/>
      <c r="O3" s="2452" t="str">
        <f>开始!F15</f>
        <v>AS-13</v>
      </c>
      <c r="P3" s="690"/>
      <c r="Q3" s="690"/>
      <c r="R3" s="690"/>
      <c r="S3" s="690"/>
      <c r="T3" s="690"/>
    </row>
    <row r="4" spans="1:23" s="619" customFormat="1" ht="7.5" customHeight="1">
      <c r="A4" s="2661"/>
      <c r="B4" s="2661"/>
      <c r="C4" s="2661"/>
      <c r="D4" s="2661"/>
      <c r="E4" s="2661"/>
      <c r="F4" s="2661"/>
      <c r="G4" s="2661"/>
      <c r="H4" s="2661"/>
      <c r="I4" s="2661"/>
      <c r="J4" s="2661"/>
      <c r="K4" s="2661"/>
      <c r="L4" s="2661"/>
      <c r="M4" s="2661"/>
      <c r="N4" s="2661"/>
      <c r="O4" s="2661"/>
      <c r="P4" s="651"/>
      <c r="Q4" s="651"/>
      <c r="R4" s="651"/>
      <c r="S4" s="651"/>
      <c r="T4" s="651"/>
    </row>
    <row r="5" spans="1:23" s="622" customFormat="1" ht="20.25" customHeight="1">
      <c r="A5" s="3428" t="s">
        <v>5104</v>
      </c>
      <c r="B5" s="3274" t="s">
        <v>5163</v>
      </c>
      <c r="C5" s="3274"/>
      <c r="D5" s="3274"/>
      <c r="E5" s="3274"/>
      <c r="F5" s="3429" t="s">
        <v>5164</v>
      </c>
      <c r="G5" s="3430" t="s">
        <v>5165</v>
      </c>
      <c r="H5" s="3429" t="s">
        <v>5166</v>
      </c>
      <c r="I5" s="2664" t="s">
        <v>5167</v>
      </c>
      <c r="J5" s="2664"/>
      <c r="K5" s="3429" t="s">
        <v>5168</v>
      </c>
      <c r="L5" s="3431" t="s">
        <v>5169</v>
      </c>
      <c r="M5" s="3432"/>
      <c r="N5" s="3433"/>
      <c r="O5" s="3275" t="s">
        <v>5170</v>
      </c>
      <c r="P5" s="564" t="s">
        <v>1724</v>
      </c>
      <c r="Q5" s="653"/>
      <c r="R5" s="653"/>
      <c r="S5" s="653"/>
      <c r="T5" s="653"/>
    </row>
    <row r="6" spans="1:23" s="622" customFormat="1" ht="25.5" customHeight="1">
      <c r="A6" s="3428"/>
      <c r="B6" s="1293" t="s">
        <v>5171</v>
      </c>
      <c r="C6" s="1293" t="s">
        <v>5172</v>
      </c>
      <c r="D6" s="1293" t="s">
        <v>5173</v>
      </c>
      <c r="E6" s="1293" t="s">
        <v>5105</v>
      </c>
      <c r="F6" s="3429"/>
      <c r="G6" s="3430"/>
      <c r="H6" s="3429"/>
      <c r="I6" s="685" t="s">
        <v>5174</v>
      </c>
      <c r="J6" s="685" t="s">
        <v>5175</v>
      </c>
      <c r="K6" s="3429"/>
      <c r="L6" s="1293" t="s">
        <v>5176</v>
      </c>
      <c r="M6" s="1336" t="s">
        <v>5177</v>
      </c>
      <c r="N6" s="1298" t="s">
        <v>5178</v>
      </c>
      <c r="O6" s="3275"/>
      <c r="P6" s="704" t="s">
        <v>4911</v>
      </c>
      <c r="Q6" s="653"/>
      <c r="R6" s="653"/>
      <c r="S6" s="653"/>
      <c r="T6" s="653"/>
    </row>
    <row r="7" spans="1:23" s="615" customFormat="1" ht="24" customHeight="1">
      <c r="A7" s="1337" t="s">
        <v>5179</v>
      </c>
      <c r="B7" s="1338"/>
      <c r="C7" s="711">
        <f>C8+C9+C10+C11+C12</f>
        <v>0</v>
      </c>
      <c r="D7" s="711">
        <f t="shared" ref="D7:J7" si="0">D8+D9+D10+D11+D12</f>
        <v>0</v>
      </c>
      <c r="E7" s="711">
        <f t="shared" si="0"/>
        <v>0</v>
      </c>
      <c r="F7" s="711">
        <f t="shared" si="0"/>
        <v>0</v>
      </c>
      <c r="G7" s="711">
        <f t="shared" si="0"/>
        <v>0</v>
      </c>
      <c r="H7" s="1339"/>
      <c r="I7" s="711">
        <f t="shared" si="0"/>
        <v>0</v>
      </c>
      <c r="J7" s="711">
        <f t="shared" si="0"/>
        <v>0</v>
      </c>
      <c r="K7" s="711">
        <f>SUM(K8:K12)</f>
        <v>0</v>
      </c>
      <c r="L7" s="1339"/>
      <c r="M7" s="711">
        <f>M8+M9+M10+M11+M12</f>
        <v>0</v>
      </c>
      <c r="N7" s="711">
        <f>N8+N9+N10+N11+N12</f>
        <v>0</v>
      </c>
      <c r="O7" s="711">
        <f>O8+O9+O10+O11+O12</f>
        <v>0</v>
      </c>
      <c r="P7" s="1233" t="s">
        <v>5109</v>
      </c>
      <c r="Q7" s="690"/>
      <c r="R7" s="690"/>
      <c r="S7" s="654"/>
      <c r="T7" s="690"/>
    </row>
    <row r="8" spans="1:23" s="615" customFormat="1" ht="24">
      <c r="A8" s="1340" t="s">
        <v>5180</v>
      </c>
      <c r="B8" s="1341"/>
      <c r="C8" s="697"/>
      <c r="D8" s="697"/>
      <c r="E8" s="698">
        <f>C8+D8</f>
        <v>0</v>
      </c>
      <c r="F8" s="697"/>
      <c r="G8" s="697"/>
      <c r="H8" s="1342"/>
      <c r="I8" s="1343"/>
      <c r="J8" s="1343"/>
      <c r="K8" s="698">
        <f>F8+G8-I8-J8</f>
        <v>0</v>
      </c>
      <c r="L8" s="1344"/>
      <c r="M8" s="1345"/>
      <c r="N8" s="1345"/>
      <c r="O8" s="699">
        <f>IF(I8-M8&lt;3,0,I8-M8)</f>
        <v>0</v>
      </c>
      <c r="P8" s="704" t="s">
        <v>5040</v>
      </c>
      <c r="Q8" s="690"/>
      <c r="R8" s="690"/>
      <c r="S8" s="654"/>
      <c r="T8" s="690"/>
    </row>
    <row r="9" spans="1:23" s="615" customFormat="1" ht="24">
      <c r="A9" s="1346" t="s">
        <v>5181</v>
      </c>
      <c r="B9" s="1347"/>
      <c r="C9" s="701"/>
      <c r="D9" s="701"/>
      <c r="E9" s="702">
        <f>C9+D9</f>
        <v>0</v>
      </c>
      <c r="F9" s="701"/>
      <c r="G9" s="701"/>
      <c r="H9" s="1348"/>
      <c r="I9" s="1349"/>
      <c r="J9" s="1349"/>
      <c r="K9" s="702">
        <f>F9+G9-I9-J9</f>
        <v>0</v>
      </c>
      <c r="L9" s="1350"/>
      <c r="M9" s="1351"/>
      <c r="N9" s="1345"/>
      <c r="O9" s="699">
        <f>IF(I9-M9&lt;3,0,I9-M9)</f>
        <v>0</v>
      </c>
      <c r="P9" s="570" t="s">
        <v>4552</v>
      </c>
      <c r="Q9" s="690"/>
      <c r="R9" s="690"/>
      <c r="S9" s="654"/>
      <c r="T9" s="690"/>
    </row>
    <row r="10" spans="1:23" s="615" customFormat="1" ht="24">
      <c r="A10" s="1346" t="s">
        <v>5182</v>
      </c>
      <c r="B10" s="1347"/>
      <c r="C10" s="701"/>
      <c r="D10" s="701"/>
      <c r="E10" s="702">
        <f>C10+D10</f>
        <v>0</v>
      </c>
      <c r="F10" s="701"/>
      <c r="G10" s="701"/>
      <c r="H10" s="1348"/>
      <c r="I10" s="701"/>
      <c r="J10" s="701"/>
      <c r="K10" s="702">
        <f>F10+G10-I10-J10</f>
        <v>0</v>
      </c>
      <c r="L10" s="1350"/>
      <c r="M10" s="1352"/>
      <c r="N10" s="1353"/>
      <c r="O10" s="699">
        <f>IF(I10-M10&lt;3,0,I10-M10)</f>
        <v>0</v>
      </c>
      <c r="P10" s="704" t="s">
        <v>1711</v>
      </c>
      <c r="Q10" s="690"/>
      <c r="R10" s="690"/>
      <c r="S10" s="654"/>
      <c r="T10" s="690"/>
    </row>
    <row r="11" spans="1:23" s="615" customFormat="1" ht="16.5" customHeight="1">
      <c r="A11" s="1346" t="s">
        <v>5183</v>
      </c>
      <c r="B11" s="1347"/>
      <c r="C11" s="701"/>
      <c r="D11" s="701"/>
      <c r="E11" s="702">
        <f>C11+D11</f>
        <v>0</v>
      </c>
      <c r="F11" s="701"/>
      <c r="G11" s="701"/>
      <c r="H11" s="1348"/>
      <c r="I11" s="701"/>
      <c r="J11" s="701"/>
      <c r="K11" s="702">
        <f>F11+G11-I11-J11</f>
        <v>0</v>
      </c>
      <c r="L11" s="1350"/>
      <c r="M11" s="1352"/>
      <c r="N11" s="1353"/>
      <c r="O11" s="699">
        <f>IF(I11-M11&lt;3,0,I11-M11)</f>
        <v>0</v>
      </c>
      <c r="P11" s="704"/>
      <c r="Q11" s="690"/>
      <c r="R11" s="690"/>
      <c r="S11" s="654"/>
      <c r="T11" s="690"/>
    </row>
    <row r="12" spans="1:23" s="615" customFormat="1" ht="16.5" customHeight="1">
      <c r="A12" s="1346" t="s">
        <v>5184</v>
      </c>
      <c r="B12" s="1347"/>
      <c r="C12" s="702">
        <f>SUM(C13:C16)</f>
        <v>0</v>
      </c>
      <c r="D12" s="702">
        <f t="shared" ref="D12:K12" si="1">SUM(D13:D16)</f>
        <v>0</v>
      </c>
      <c r="E12" s="1354">
        <f t="shared" si="1"/>
        <v>0</v>
      </c>
      <c r="F12" s="702">
        <f t="shared" si="1"/>
        <v>0</v>
      </c>
      <c r="G12" s="702">
        <f t="shared" si="1"/>
        <v>0</v>
      </c>
      <c r="H12" s="1348"/>
      <c r="I12" s="702">
        <f t="shared" si="1"/>
        <v>0</v>
      </c>
      <c r="J12" s="702">
        <f t="shared" si="1"/>
        <v>0</v>
      </c>
      <c r="K12" s="1354">
        <f t="shared" si="1"/>
        <v>0</v>
      </c>
      <c r="L12" s="1348"/>
      <c r="M12" s="1355">
        <f>SUM(M13:M16)</f>
        <v>0</v>
      </c>
      <c r="N12" s="1355">
        <f>SUM(N13:N16)</f>
        <v>0</v>
      </c>
      <c r="O12" s="703">
        <f>SUM(O13:O16)</f>
        <v>0</v>
      </c>
      <c r="P12" s="1356" t="s">
        <v>5185</v>
      </c>
      <c r="Q12" s="690"/>
      <c r="R12" s="690"/>
      <c r="S12" s="690"/>
      <c r="T12" s="690"/>
    </row>
    <row r="13" spans="1:23" s="615" customFormat="1" ht="16.5" customHeight="1">
      <c r="A13" s="1357"/>
      <c r="B13" s="1347"/>
      <c r="C13" s="701"/>
      <c r="D13" s="701"/>
      <c r="E13" s="702">
        <f>C13+D13</f>
        <v>0</v>
      </c>
      <c r="F13" s="701"/>
      <c r="G13" s="701"/>
      <c r="H13" s="1348"/>
      <c r="I13" s="701"/>
      <c r="J13" s="701"/>
      <c r="K13" s="702">
        <f>F13+G13-I13-J13</f>
        <v>0</v>
      </c>
      <c r="L13" s="1350"/>
      <c r="M13" s="1352"/>
      <c r="N13" s="1353"/>
      <c r="O13" s="699">
        <f>IF(I13-M13&lt;3,0,I13-M13)</f>
        <v>0</v>
      </c>
      <c r="P13" s="3336" t="s">
        <v>5186</v>
      </c>
      <c r="Q13" s="3336"/>
      <c r="R13" s="3336"/>
      <c r="S13" s="3336"/>
      <c r="T13" s="3336"/>
      <c r="U13" s="683"/>
      <c r="V13" s="683"/>
      <c r="W13" s="680"/>
    </row>
    <row r="14" spans="1:23" s="615" customFormat="1" ht="16.5" customHeight="1">
      <c r="A14" s="1357"/>
      <c r="B14" s="1347"/>
      <c r="C14" s="701"/>
      <c r="D14" s="701"/>
      <c r="E14" s="702">
        <f>C14+D14</f>
        <v>0</v>
      </c>
      <c r="F14" s="701"/>
      <c r="G14" s="701"/>
      <c r="H14" s="1348"/>
      <c r="I14" s="701"/>
      <c r="J14" s="1358"/>
      <c r="K14" s="702">
        <f>F14+G14-I14-J14</f>
        <v>0</v>
      </c>
      <c r="L14" s="1350"/>
      <c r="M14" s="1352"/>
      <c r="N14" s="1353"/>
      <c r="O14" s="699">
        <f t="shared" ref="O14:O29" si="2">IF(I14-M14&lt;3,0,I14-M14)</f>
        <v>0</v>
      </c>
      <c r="P14" s="3336"/>
      <c r="Q14" s="3336"/>
      <c r="R14" s="3336"/>
      <c r="S14" s="3336"/>
      <c r="T14" s="3336"/>
      <c r="U14" s="683"/>
      <c r="V14" s="683"/>
      <c r="W14" s="680"/>
    </row>
    <row r="15" spans="1:23" s="615" customFormat="1" ht="16.5" customHeight="1">
      <c r="A15" s="1357"/>
      <c r="B15" s="1347"/>
      <c r="C15" s="701"/>
      <c r="D15" s="701"/>
      <c r="E15" s="702">
        <f>C15+D15</f>
        <v>0</v>
      </c>
      <c r="F15" s="701"/>
      <c r="G15" s="701"/>
      <c r="H15" s="1348"/>
      <c r="I15" s="701"/>
      <c r="J15" s="1358"/>
      <c r="K15" s="702">
        <f>F15+G15-I15-J15</f>
        <v>0</v>
      </c>
      <c r="L15" s="1350"/>
      <c r="M15" s="1352"/>
      <c r="N15" s="1353"/>
      <c r="O15" s="699">
        <f t="shared" si="2"/>
        <v>0</v>
      </c>
      <c r="P15" s="3336"/>
      <c r="Q15" s="3336"/>
      <c r="R15" s="3336"/>
      <c r="S15" s="3336"/>
      <c r="T15" s="3336"/>
      <c r="U15" s="683"/>
      <c r="V15" s="683"/>
      <c r="W15" s="680"/>
    </row>
    <row r="16" spans="1:23" s="615" customFormat="1" ht="16.5" customHeight="1">
      <c r="A16" s="1359"/>
      <c r="B16" s="1360"/>
      <c r="C16" s="706"/>
      <c r="D16" s="706"/>
      <c r="E16" s="1361">
        <f>C16+D16</f>
        <v>0</v>
      </c>
      <c r="F16" s="706"/>
      <c r="G16" s="706"/>
      <c r="H16" s="1362"/>
      <c r="I16" s="706"/>
      <c r="J16" s="1363"/>
      <c r="K16" s="1361">
        <f>F16+G16-I16-J16</f>
        <v>0</v>
      </c>
      <c r="L16" s="1364"/>
      <c r="M16" s="1365"/>
      <c r="N16" s="1366"/>
      <c r="O16" s="699">
        <f t="shared" si="2"/>
        <v>0</v>
      </c>
      <c r="P16" s="3336"/>
      <c r="Q16" s="3336"/>
      <c r="R16" s="3336"/>
      <c r="S16" s="3336"/>
      <c r="T16" s="3336"/>
      <c r="U16" s="683"/>
      <c r="V16" s="683"/>
      <c r="W16" s="680"/>
    </row>
    <row r="17" spans="1:23" s="615" customFormat="1" ht="24.75" customHeight="1">
      <c r="A17" s="1337" t="s">
        <v>5187</v>
      </c>
      <c r="B17" s="1338"/>
      <c r="C17" s="711">
        <f>SUM(C18:C26)-C25</f>
        <v>0</v>
      </c>
      <c r="D17" s="711">
        <f>SUM(D18:D26)-D25</f>
        <v>0</v>
      </c>
      <c r="E17" s="711">
        <f>SUM(E18:E26)-E25</f>
        <v>0</v>
      </c>
      <c r="F17" s="711">
        <f>SUM(F18:F26)-F25</f>
        <v>0</v>
      </c>
      <c r="G17" s="711">
        <f>SUM(G18:G26)-G25</f>
        <v>0</v>
      </c>
      <c r="H17" s="1339"/>
      <c r="I17" s="711">
        <f>SUM(I18:I26)-I25</f>
        <v>0</v>
      </c>
      <c r="J17" s="711">
        <f>SUM(J18:J26)-J25</f>
        <v>0</v>
      </c>
      <c r="K17" s="711">
        <f>SUM(K18:K26)-K25</f>
        <v>0</v>
      </c>
      <c r="L17" s="1339"/>
      <c r="M17" s="711">
        <f>SUM(M18:M26)-M25</f>
        <v>0</v>
      </c>
      <c r="N17" s="711">
        <f>SUM(N18:N26)-N25</f>
        <v>0</v>
      </c>
      <c r="O17" s="711">
        <f>SUM(O18:O26)-O25</f>
        <v>0</v>
      </c>
      <c r="P17" s="3336"/>
      <c r="Q17" s="3336"/>
      <c r="R17" s="3336"/>
      <c r="S17" s="3336"/>
      <c r="T17" s="3336"/>
      <c r="U17" s="683"/>
      <c r="V17" s="683"/>
      <c r="W17" s="680"/>
    </row>
    <row r="18" spans="1:23" s="615" customFormat="1" ht="16.5" customHeight="1">
      <c r="A18" s="1346" t="s">
        <v>5188</v>
      </c>
      <c r="B18" s="1341"/>
      <c r="C18" s="697"/>
      <c r="D18" s="697"/>
      <c r="E18" s="698">
        <f t="shared" ref="E18:E29" si="3">C18+D18</f>
        <v>0</v>
      </c>
      <c r="F18" s="697"/>
      <c r="G18" s="697"/>
      <c r="H18" s="1344"/>
      <c r="I18" s="697"/>
      <c r="J18" s="697"/>
      <c r="K18" s="698">
        <f t="shared" ref="K18:K29" si="4">F18+G18-I18-J18</f>
        <v>0</v>
      </c>
      <c r="L18" s="1344"/>
      <c r="M18" s="1353"/>
      <c r="N18" s="1353"/>
      <c r="O18" s="699">
        <f t="shared" si="2"/>
        <v>0</v>
      </c>
      <c r="P18" s="3336"/>
      <c r="Q18" s="3336"/>
      <c r="R18" s="3336"/>
      <c r="S18" s="3336"/>
      <c r="T18" s="3336"/>
      <c r="U18" s="683"/>
      <c r="V18" s="683"/>
      <c r="W18" s="680"/>
    </row>
    <row r="19" spans="1:23" s="615" customFormat="1" ht="16.5" customHeight="1">
      <c r="A19" s="1346" t="s">
        <v>5189</v>
      </c>
      <c r="B19" s="1368"/>
      <c r="C19" s="701"/>
      <c r="D19" s="701"/>
      <c r="E19" s="702">
        <f t="shared" si="3"/>
        <v>0</v>
      </c>
      <c r="F19" s="701"/>
      <c r="G19" s="701"/>
      <c r="H19" s="1350"/>
      <c r="I19" s="701"/>
      <c r="J19" s="701"/>
      <c r="K19" s="702">
        <f t="shared" si="4"/>
        <v>0</v>
      </c>
      <c r="L19" s="1350"/>
      <c r="M19" s="1352"/>
      <c r="N19" s="1353"/>
      <c r="O19" s="699">
        <f t="shared" si="2"/>
        <v>0</v>
      </c>
      <c r="P19" s="3336"/>
      <c r="Q19" s="3336"/>
      <c r="R19" s="3336"/>
      <c r="S19" s="3336"/>
      <c r="T19" s="3336"/>
      <c r="U19" s="683"/>
      <c r="V19" s="683"/>
      <c r="W19" s="680"/>
    </row>
    <row r="20" spans="1:23" s="615" customFormat="1" ht="16.5" customHeight="1">
      <c r="A20" s="1346" t="s">
        <v>5190</v>
      </c>
      <c r="B20" s="1368"/>
      <c r="C20" s="701"/>
      <c r="D20" s="701"/>
      <c r="E20" s="702">
        <f t="shared" si="3"/>
        <v>0</v>
      </c>
      <c r="F20" s="701"/>
      <c r="G20" s="701"/>
      <c r="H20" s="1350"/>
      <c r="I20" s="701"/>
      <c r="J20" s="701"/>
      <c r="K20" s="702">
        <f t="shared" si="4"/>
        <v>0</v>
      </c>
      <c r="L20" s="1350"/>
      <c r="M20" s="1352"/>
      <c r="N20" s="1353"/>
      <c r="O20" s="699">
        <f t="shared" si="2"/>
        <v>0</v>
      </c>
      <c r="P20" s="3336"/>
      <c r="Q20" s="3336"/>
      <c r="R20" s="3336"/>
      <c r="S20" s="3336"/>
      <c r="T20" s="3336"/>
      <c r="U20" s="683"/>
      <c r="V20" s="683"/>
      <c r="W20" s="680"/>
    </row>
    <row r="21" spans="1:23" s="615" customFormat="1" ht="16.5" customHeight="1">
      <c r="A21" s="1346" t="s">
        <v>5191</v>
      </c>
      <c r="B21" s="1368"/>
      <c r="C21" s="701"/>
      <c r="D21" s="701"/>
      <c r="E21" s="702">
        <f t="shared" si="3"/>
        <v>0</v>
      </c>
      <c r="F21" s="701"/>
      <c r="G21" s="701"/>
      <c r="H21" s="1350"/>
      <c r="I21" s="701"/>
      <c r="J21" s="701"/>
      <c r="K21" s="702">
        <f t="shared" si="4"/>
        <v>0</v>
      </c>
      <c r="L21" s="1350"/>
      <c r="M21" s="1352"/>
      <c r="N21" s="1353"/>
      <c r="O21" s="699">
        <f t="shared" si="2"/>
        <v>0</v>
      </c>
      <c r="P21" s="3336"/>
      <c r="Q21" s="3336"/>
      <c r="R21" s="3336"/>
      <c r="S21" s="3336"/>
      <c r="T21" s="3336"/>
      <c r="U21" s="683"/>
      <c r="V21" s="683"/>
      <c r="W21" s="680"/>
    </row>
    <row r="22" spans="1:23" s="615" customFormat="1" ht="16.5" customHeight="1">
      <c r="A22" s="1346" t="s">
        <v>5192</v>
      </c>
      <c r="B22" s="1368"/>
      <c r="C22" s="701"/>
      <c r="D22" s="701"/>
      <c r="E22" s="702">
        <f t="shared" si="3"/>
        <v>0</v>
      </c>
      <c r="F22" s="701"/>
      <c r="G22" s="701"/>
      <c r="H22" s="1350"/>
      <c r="I22" s="701"/>
      <c r="J22" s="701"/>
      <c r="K22" s="702">
        <f t="shared" si="4"/>
        <v>0</v>
      </c>
      <c r="L22" s="1350"/>
      <c r="M22" s="1352"/>
      <c r="N22" s="1353"/>
      <c r="O22" s="699">
        <f t="shared" si="2"/>
        <v>0</v>
      </c>
      <c r="P22" s="572"/>
      <c r="Q22" s="572"/>
      <c r="R22" s="572"/>
      <c r="S22" s="572"/>
      <c r="T22" s="572"/>
      <c r="U22" s="683"/>
      <c r="V22" s="683"/>
      <c r="W22" s="680"/>
    </row>
    <row r="23" spans="1:23" s="615" customFormat="1" ht="16.5" customHeight="1">
      <c r="A23" s="1346" t="s">
        <v>5193</v>
      </c>
      <c r="B23" s="1368"/>
      <c r="C23" s="701"/>
      <c r="D23" s="701"/>
      <c r="E23" s="702">
        <f t="shared" si="3"/>
        <v>0</v>
      </c>
      <c r="F23" s="701"/>
      <c r="G23" s="701"/>
      <c r="H23" s="1350"/>
      <c r="I23" s="701"/>
      <c r="J23" s="701"/>
      <c r="K23" s="702">
        <f t="shared" si="4"/>
        <v>0</v>
      </c>
      <c r="L23" s="1350"/>
      <c r="M23" s="1352"/>
      <c r="N23" s="1353"/>
      <c r="O23" s="699">
        <f t="shared" si="2"/>
        <v>0</v>
      </c>
      <c r="P23" s="3336" t="s">
        <v>5194</v>
      </c>
      <c r="Q23" s="3336"/>
      <c r="R23" s="3336"/>
      <c r="S23" s="3336"/>
      <c r="T23" s="3336"/>
      <c r="U23" s="683"/>
      <c r="V23" s="683"/>
      <c r="W23" s="680"/>
    </row>
    <row r="24" spans="1:23" s="615" customFormat="1" ht="16.5" customHeight="1">
      <c r="A24" s="1346" t="s">
        <v>6368</v>
      </c>
      <c r="B24" s="2146"/>
      <c r="C24" s="706"/>
      <c r="D24" s="706"/>
      <c r="E24" s="702">
        <f t="shared" si="3"/>
        <v>0</v>
      </c>
      <c r="F24" s="706"/>
      <c r="G24" s="706"/>
      <c r="H24" s="1364"/>
      <c r="I24" s="706"/>
      <c r="J24" s="706"/>
      <c r="K24" s="702">
        <f t="shared" si="4"/>
        <v>0</v>
      </c>
      <c r="L24" s="1364"/>
      <c r="M24" s="1365"/>
      <c r="N24" s="1366"/>
      <c r="O24" s="699">
        <f t="shared" si="2"/>
        <v>0</v>
      </c>
      <c r="P24" s="3336"/>
      <c r="Q24" s="3336"/>
      <c r="R24" s="3336"/>
      <c r="S24" s="3336"/>
      <c r="T24" s="3336"/>
      <c r="U24" s="2128"/>
      <c r="V24" s="2128"/>
      <c r="W24" s="680"/>
    </row>
    <row r="25" spans="1:23" s="615" customFormat="1" ht="16.5" customHeight="1">
      <c r="A25" s="1369" t="s">
        <v>6369</v>
      </c>
      <c r="B25" s="2146"/>
      <c r="C25" s="706"/>
      <c r="D25" s="706"/>
      <c r="E25" s="702">
        <f t="shared" si="3"/>
        <v>0</v>
      </c>
      <c r="F25" s="706"/>
      <c r="G25" s="706"/>
      <c r="H25" s="1364"/>
      <c r="I25" s="706"/>
      <c r="J25" s="706"/>
      <c r="K25" s="702">
        <f t="shared" si="4"/>
        <v>0</v>
      </c>
      <c r="L25" s="1364"/>
      <c r="M25" s="1365"/>
      <c r="N25" s="1366"/>
      <c r="O25" s="699">
        <f t="shared" si="2"/>
        <v>0</v>
      </c>
      <c r="P25" s="3336"/>
      <c r="Q25" s="3336"/>
      <c r="R25" s="3336"/>
      <c r="S25" s="3336"/>
      <c r="T25" s="3336"/>
      <c r="U25" s="2128"/>
      <c r="V25" s="2128"/>
      <c r="W25" s="680"/>
    </row>
    <row r="26" spans="1:23" s="615" customFormat="1" ht="16.5" customHeight="1">
      <c r="A26" s="1369" t="s">
        <v>6370</v>
      </c>
      <c r="B26" s="1370"/>
      <c r="C26" s="1371"/>
      <c r="D26" s="1371"/>
      <c r="E26" s="707">
        <f t="shared" si="3"/>
        <v>0</v>
      </c>
      <c r="F26" s="1371"/>
      <c r="G26" s="1371"/>
      <c r="H26" s="1372"/>
      <c r="I26" s="1371"/>
      <c r="J26" s="1371"/>
      <c r="K26" s="707">
        <f t="shared" si="4"/>
        <v>0</v>
      </c>
      <c r="L26" s="1372"/>
      <c r="M26" s="1373"/>
      <c r="N26" s="1366"/>
      <c r="O26" s="1374">
        <f t="shared" si="2"/>
        <v>0</v>
      </c>
      <c r="P26" s="3336"/>
      <c r="Q26" s="3336"/>
      <c r="R26" s="3336"/>
      <c r="S26" s="3336"/>
      <c r="T26" s="3336"/>
      <c r="U26" s="683"/>
      <c r="V26" s="683"/>
    </row>
    <row r="27" spans="1:23" s="615" customFormat="1" ht="16.5" customHeight="1">
      <c r="A27" s="1375" t="s">
        <v>5195</v>
      </c>
      <c r="B27" s="1376"/>
      <c r="C27" s="1377">
        <f>C28+C29</f>
        <v>0</v>
      </c>
      <c r="D27" s="1377">
        <f>D28+D29</f>
        <v>0</v>
      </c>
      <c r="E27" s="1378">
        <f>E28+E29</f>
        <v>0</v>
      </c>
      <c r="F27" s="1377">
        <f>F28+F29</f>
        <v>0</v>
      </c>
      <c r="G27" s="1377">
        <f>G28+G29</f>
        <v>0</v>
      </c>
      <c r="H27" s="1379"/>
      <c r="I27" s="1377">
        <f>I28+I29</f>
        <v>0</v>
      </c>
      <c r="J27" s="1377">
        <f>J28+J29</f>
        <v>0</v>
      </c>
      <c r="K27" s="711">
        <f>K28+K29</f>
        <v>0</v>
      </c>
      <c r="L27" s="1380"/>
      <c r="M27" s="1367">
        <f>M28+M29</f>
        <v>0</v>
      </c>
      <c r="N27" s="1367">
        <f>N28+N29</f>
        <v>0</v>
      </c>
      <c r="O27" s="712">
        <f>O28+O29</f>
        <v>0</v>
      </c>
      <c r="P27" s="3336"/>
      <c r="Q27" s="3336"/>
      <c r="R27" s="3336"/>
      <c r="S27" s="3336"/>
      <c r="T27" s="3336"/>
      <c r="U27" s="683"/>
      <c r="V27" s="683"/>
    </row>
    <row r="28" spans="1:23" s="615" customFormat="1" ht="16.5" customHeight="1">
      <c r="A28" s="1346" t="s">
        <v>5196</v>
      </c>
      <c r="B28" s="1381"/>
      <c r="C28" s="701"/>
      <c r="D28" s="701"/>
      <c r="E28" s="702">
        <f t="shared" si="3"/>
        <v>0</v>
      </c>
      <c r="F28" s="701"/>
      <c r="G28" s="701"/>
      <c r="H28" s="1382"/>
      <c r="I28" s="1352"/>
      <c r="J28" s="1352"/>
      <c r="K28" s="702">
        <f t="shared" si="4"/>
        <v>0</v>
      </c>
      <c r="L28" s="1382"/>
      <c r="M28" s="1352"/>
      <c r="N28" s="701"/>
      <c r="O28" s="699">
        <f t="shared" si="2"/>
        <v>0</v>
      </c>
      <c r="P28" s="3336"/>
      <c r="Q28" s="3336"/>
      <c r="R28" s="3336"/>
      <c r="S28" s="3336"/>
      <c r="T28" s="3336"/>
      <c r="U28" s="683"/>
      <c r="V28" s="683"/>
    </row>
    <row r="29" spans="1:23" s="615" customFormat="1" ht="16.5" customHeight="1">
      <c r="A29" s="1346" t="s">
        <v>5197</v>
      </c>
      <c r="B29" s="1383"/>
      <c r="C29" s="1384"/>
      <c r="D29" s="1384"/>
      <c r="E29" s="702">
        <f t="shared" si="3"/>
        <v>0</v>
      </c>
      <c r="F29" s="1384"/>
      <c r="G29" s="1384"/>
      <c r="H29" s="1385"/>
      <c r="I29" s="1386"/>
      <c r="J29" s="1386"/>
      <c r="K29" s="702">
        <f t="shared" si="4"/>
        <v>0</v>
      </c>
      <c r="L29" s="1385"/>
      <c r="M29" s="1386"/>
      <c r="N29" s="1366"/>
      <c r="O29" s="699">
        <f t="shared" si="2"/>
        <v>0</v>
      </c>
      <c r="P29" s="3336"/>
      <c r="Q29" s="3336"/>
      <c r="R29" s="3336"/>
      <c r="S29" s="3336"/>
      <c r="T29" s="3336"/>
      <c r="U29" s="683"/>
      <c r="V29" s="683"/>
    </row>
    <row r="30" spans="1:23" s="615" customFormat="1" ht="22.5" customHeight="1">
      <c r="A30" s="2917" t="s">
        <v>4430</v>
      </c>
      <c r="B30" s="2917"/>
      <c r="C30" s="3425" t="str">
        <f>IF(K7&lt;&gt;资产负债表!D32,"长期待摊费用账载数与报表数相差"&amp;DOLLAR(K7-资产负债表!$C$30,2)&amp;"元！","长期待摊费用账载数与报表数相符！")</f>
        <v>长期待摊费用账载数与报表数相符！</v>
      </c>
      <c r="D30" s="3425"/>
      <c r="E30" s="3425"/>
      <c r="F30" s="3425"/>
      <c r="G30" s="3425"/>
      <c r="H30" s="3426" t="str">
        <f>IF(K17&lt;&gt;资产负债表!D30,"无形资产账载数与报表数相差"&amp;DOLLAR(K17-资产负债表!$C$28,2)&amp;"元！","无形资产账载数与报表数相符！")</f>
        <v>无形资产账载数与报表数相符！</v>
      </c>
      <c r="I30" s="3426"/>
      <c r="J30" s="3426"/>
      <c r="K30" s="3426"/>
      <c r="L30" s="3426"/>
      <c r="M30" s="3426"/>
      <c r="N30" s="3426"/>
      <c r="O30" s="3426"/>
      <c r="P30" s="3336"/>
      <c r="Q30" s="3336"/>
      <c r="R30" s="3336"/>
      <c r="S30" s="3336"/>
      <c r="T30" s="3336"/>
    </row>
    <row r="31" spans="1:23" s="615" customFormat="1" ht="15" customHeight="1">
      <c r="A31" s="2929" t="s">
        <v>4431</v>
      </c>
      <c r="B31" s="2929"/>
      <c r="C31" s="3427" t="s">
        <v>5135</v>
      </c>
      <c r="D31" s="3427"/>
      <c r="E31" s="3427"/>
      <c r="F31" s="3136" t="str">
        <f>IF(OR(I7-M7&gt;0,I17-M17&gt;0),"、E","")</f>
        <v/>
      </c>
      <c r="G31" s="3136"/>
      <c r="H31" s="3136"/>
      <c r="I31" s="3136"/>
      <c r="J31" s="3136"/>
      <c r="K31" s="3136"/>
      <c r="L31" s="3136"/>
      <c r="M31" s="3136"/>
      <c r="N31" s="3136"/>
      <c r="O31" s="3136"/>
      <c r="P31" s="3336" t="s">
        <v>5198</v>
      </c>
      <c r="Q31" s="3336"/>
      <c r="R31" s="3336"/>
      <c r="S31" s="3336"/>
      <c r="T31" s="3336"/>
    </row>
    <row r="32" spans="1:23" s="615" customFormat="1" ht="32.25" customHeight="1">
      <c r="A32" s="2929"/>
      <c r="B32" s="2929"/>
      <c r="C32" s="3252"/>
      <c r="D32" s="3252"/>
      <c r="E32" s="3252"/>
      <c r="F32" s="3252"/>
      <c r="G32" s="3252"/>
      <c r="H32" s="3252"/>
      <c r="I32" s="3252"/>
      <c r="J32" s="3252"/>
      <c r="K32" s="3252"/>
      <c r="L32" s="3252"/>
      <c r="M32" s="3252"/>
      <c r="N32" s="3252"/>
      <c r="O32" s="3252"/>
      <c r="P32" s="3336"/>
      <c r="Q32" s="3336"/>
      <c r="R32" s="3336"/>
      <c r="S32" s="3336"/>
      <c r="T32" s="3336"/>
    </row>
    <row r="33" spans="1:48" s="615" customFormat="1" ht="22.5" customHeight="1">
      <c r="A33" s="3242" t="s">
        <v>4433</v>
      </c>
      <c r="B33" s="3242"/>
      <c r="C33" s="3423" t="str">
        <f>IF(I7-M7&gt;0,"长期待摊费用摊销应予纳税调增"&amp;DOLLAR(I7-M7,2)&amp;"元！","长期待摊费用会计摊销与税收摊销不存在差异，认可！")</f>
        <v>长期待摊费用会计摊销与税收摊销不存在差异，认可！</v>
      </c>
      <c r="D33" s="3423"/>
      <c r="E33" s="3423"/>
      <c r="F33" s="3423"/>
      <c r="G33" s="3423"/>
      <c r="H33" s="3132" t="str">
        <f>IF(I17-M17&gt;0,"无形资产摊销应予纳税调增"&amp;DOLLAR(I17-M17,2)&amp;"元！","无形资产会计摊销与税收摊销不存在差异，认可！")</f>
        <v>无形资产会计摊销与税收摊销不存在差异，认可！</v>
      </c>
      <c r="I33" s="3132"/>
      <c r="J33" s="3132"/>
      <c r="K33" s="3132"/>
      <c r="L33" s="3132"/>
      <c r="M33" s="3132"/>
      <c r="N33" s="3132"/>
      <c r="O33" s="3132"/>
      <c r="P33" s="3336" t="s">
        <v>5199</v>
      </c>
      <c r="Q33" s="3336"/>
      <c r="R33" s="3336"/>
      <c r="S33" s="3336"/>
      <c r="T33" s="3336"/>
    </row>
    <row r="34" spans="1:48" s="615" customFormat="1" ht="20.100000000000001" customHeight="1">
      <c r="A34" s="1387"/>
      <c r="B34" s="754"/>
      <c r="C34" s="754"/>
      <c r="D34" s="754"/>
      <c r="E34" s="754"/>
      <c r="F34" s="754"/>
      <c r="G34" s="754"/>
      <c r="H34" s="1388"/>
      <c r="I34" s="754"/>
      <c r="J34" s="754"/>
      <c r="K34" s="754"/>
      <c r="L34" s="1388"/>
      <c r="M34" s="1388"/>
      <c r="N34" s="1388"/>
      <c r="O34" s="754"/>
    </row>
    <row r="35" spans="1:48" s="615" customFormat="1" ht="15.75" customHeight="1">
      <c r="A35" s="754"/>
      <c r="B35" s="754"/>
      <c r="C35" s="754"/>
      <c r="D35" s="1389"/>
      <c r="E35" s="754"/>
      <c r="F35" s="754"/>
      <c r="G35" s="754"/>
      <c r="H35" s="1388"/>
      <c r="I35" s="754"/>
      <c r="J35" s="754"/>
      <c r="K35" s="3424"/>
      <c r="L35" s="3424"/>
      <c r="M35" s="3424"/>
      <c r="N35" s="3424"/>
      <c r="O35" s="3424"/>
    </row>
    <row r="36" spans="1:48" ht="20.100000000000001" customHeight="1">
      <c r="A36" s="754"/>
      <c r="B36" s="754"/>
      <c r="C36" s="754"/>
      <c r="D36" s="754"/>
      <c r="E36" s="1390"/>
      <c r="F36" s="754"/>
      <c r="G36" s="754"/>
      <c r="H36" s="1388"/>
      <c r="I36" s="754"/>
      <c r="J36" s="754"/>
      <c r="K36" s="754"/>
      <c r="L36" s="1388"/>
      <c r="M36" s="1388"/>
      <c r="N36" s="1388"/>
      <c r="O36" s="754"/>
      <c r="P36" s="640"/>
      <c r="Q36" s="640"/>
      <c r="R36" s="640"/>
      <c r="S36" s="640"/>
      <c r="T36" s="640"/>
      <c r="U36" s="640"/>
      <c r="V36" s="640"/>
      <c r="W36" s="640"/>
      <c r="X36" s="640"/>
      <c r="Y36" s="640"/>
      <c r="Z36" s="640"/>
      <c r="AA36" s="640"/>
      <c r="AB36" s="640"/>
      <c r="AC36" s="640"/>
      <c r="AD36" s="640"/>
      <c r="AE36" s="640"/>
      <c r="AF36" s="640"/>
      <c r="AG36" s="640"/>
      <c r="AH36" s="640"/>
      <c r="AI36" s="640"/>
      <c r="AJ36" s="640"/>
      <c r="AK36" s="640"/>
      <c r="AL36" s="640"/>
      <c r="AM36" s="640"/>
      <c r="AN36" s="640"/>
      <c r="AO36" s="640"/>
      <c r="AP36" s="640"/>
      <c r="AQ36" s="640"/>
      <c r="AR36" s="640"/>
      <c r="AS36" s="640"/>
      <c r="AT36" s="640"/>
      <c r="AU36" s="640"/>
      <c r="AV36" s="640"/>
    </row>
    <row r="37" spans="1:48" ht="20.100000000000001" customHeight="1">
      <c r="A37" s="754"/>
      <c r="B37" s="754"/>
      <c r="C37" s="754"/>
      <c r="D37" s="754"/>
      <c r="E37" s="754"/>
      <c r="F37" s="754"/>
      <c r="G37" s="754"/>
      <c r="H37" s="1388"/>
      <c r="I37" s="754"/>
      <c r="J37" s="754"/>
      <c r="K37" s="754"/>
      <c r="L37" s="1388"/>
      <c r="M37" s="1388"/>
      <c r="N37" s="1388"/>
      <c r="O37" s="754"/>
      <c r="P37" s="640"/>
      <c r="Q37" s="640"/>
      <c r="R37" s="640"/>
      <c r="S37" s="640"/>
      <c r="T37" s="640"/>
      <c r="U37" s="640"/>
      <c r="V37" s="640"/>
      <c r="W37" s="640"/>
      <c r="X37" s="640"/>
      <c r="Y37" s="640"/>
      <c r="Z37" s="640"/>
      <c r="AA37" s="640"/>
      <c r="AB37" s="640"/>
      <c r="AC37" s="640"/>
      <c r="AD37" s="640"/>
      <c r="AE37" s="640"/>
      <c r="AF37" s="640"/>
      <c r="AG37" s="640"/>
      <c r="AH37" s="640"/>
      <c r="AI37" s="640"/>
      <c r="AJ37" s="640"/>
      <c r="AK37" s="640"/>
      <c r="AL37" s="640"/>
      <c r="AM37" s="640"/>
      <c r="AN37" s="640"/>
      <c r="AO37" s="640"/>
      <c r="AP37" s="640"/>
      <c r="AQ37" s="640"/>
      <c r="AR37" s="640"/>
      <c r="AS37" s="640"/>
      <c r="AT37" s="640"/>
      <c r="AU37" s="640"/>
      <c r="AV37" s="640"/>
    </row>
    <row r="38" spans="1:48">
      <c r="A38" s="754"/>
      <c r="B38" s="754"/>
      <c r="C38" s="754"/>
      <c r="D38" s="754"/>
      <c r="E38" s="754"/>
      <c r="F38" s="754"/>
      <c r="G38" s="754"/>
      <c r="H38" s="1388"/>
      <c r="I38" s="754"/>
      <c r="J38" s="754"/>
      <c r="K38" s="754"/>
      <c r="L38" s="1388"/>
      <c r="M38" s="1388"/>
      <c r="N38" s="1388"/>
      <c r="O38" s="754"/>
      <c r="P38" s="640"/>
      <c r="Q38" s="640"/>
      <c r="R38" s="640"/>
      <c r="S38" s="640"/>
      <c r="T38" s="640"/>
      <c r="U38" s="640"/>
      <c r="V38" s="640"/>
      <c r="W38" s="640"/>
      <c r="X38" s="640"/>
      <c r="Y38" s="640"/>
      <c r="Z38" s="640"/>
      <c r="AA38" s="640"/>
      <c r="AB38" s="640"/>
      <c r="AC38" s="640"/>
      <c r="AD38" s="640"/>
      <c r="AE38" s="640"/>
      <c r="AF38" s="640"/>
      <c r="AG38" s="640"/>
      <c r="AH38" s="640"/>
      <c r="AI38" s="640"/>
      <c r="AJ38" s="640"/>
      <c r="AK38" s="640"/>
      <c r="AL38" s="640"/>
      <c r="AM38" s="640"/>
      <c r="AN38" s="640"/>
      <c r="AO38" s="640"/>
      <c r="AP38" s="640"/>
      <c r="AQ38" s="640"/>
      <c r="AR38" s="640"/>
      <c r="AS38" s="640"/>
      <c r="AT38" s="640"/>
      <c r="AU38" s="640"/>
      <c r="AV38" s="640"/>
    </row>
    <row r="39" spans="1:48">
      <c r="A39" s="754"/>
      <c r="B39" s="754"/>
      <c r="C39" s="754"/>
      <c r="D39" s="754"/>
      <c r="E39" s="754"/>
      <c r="F39" s="754"/>
      <c r="G39" s="754"/>
      <c r="H39" s="1388"/>
      <c r="I39" s="754"/>
      <c r="J39" s="754"/>
      <c r="K39" s="754"/>
      <c r="L39" s="1388"/>
      <c r="M39" s="1388"/>
      <c r="N39" s="1388"/>
      <c r="O39" s="754"/>
      <c r="P39" s="640"/>
      <c r="Q39" s="640"/>
      <c r="R39" s="640"/>
      <c r="S39" s="640"/>
      <c r="T39" s="640"/>
      <c r="U39" s="640"/>
      <c r="V39" s="640"/>
      <c r="W39" s="640"/>
      <c r="X39" s="640"/>
      <c r="Y39" s="640"/>
      <c r="Z39" s="640"/>
      <c r="AA39" s="640"/>
      <c r="AB39" s="640"/>
      <c r="AC39" s="640"/>
      <c r="AD39" s="640"/>
      <c r="AE39" s="640"/>
      <c r="AF39" s="640"/>
      <c r="AG39" s="640"/>
      <c r="AH39" s="640"/>
      <c r="AI39" s="640"/>
      <c r="AJ39" s="640"/>
      <c r="AK39" s="640"/>
      <c r="AL39" s="640"/>
      <c r="AM39" s="640"/>
      <c r="AN39" s="640"/>
      <c r="AO39" s="640"/>
      <c r="AP39" s="640"/>
      <c r="AQ39" s="640"/>
      <c r="AR39" s="640"/>
      <c r="AS39" s="640"/>
      <c r="AT39" s="640"/>
      <c r="AU39" s="640"/>
      <c r="AV39" s="640"/>
    </row>
    <row r="40" spans="1:48">
      <c r="A40" s="754"/>
      <c r="B40" s="754"/>
      <c r="C40" s="754"/>
      <c r="D40" s="754"/>
      <c r="E40" s="754"/>
      <c r="F40" s="754"/>
      <c r="G40" s="754"/>
      <c r="H40" s="1388"/>
      <c r="I40" s="754"/>
      <c r="J40" s="754"/>
      <c r="K40" s="754"/>
      <c r="L40" s="1388"/>
      <c r="M40" s="1388"/>
      <c r="N40" s="1388"/>
      <c r="O40" s="754"/>
      <c r="P40" s="640"/>
      <c r="Q40" s="640"/>
      <c r="R40" s="640"/>
      <c r="S40" s="640"/>
      <c r="T40" s="640"/>
      <c r="U40" s="640"/>
      <c r="V40" s="640"/>
      <c r="W40" s="640"/>
      <c r="X40" s="640"/>
      <c r="Y40" s="640"/>
      <c r="Z40" s="640"/>
      <c r="AA40" s="640"/>
      <c r="AB40" s="640"/>
      <c r="AC40" s="640"/>
      <c r="AD40" s="640"/>
      <c r="AE40" s="640"/>
      <c r="AF40" s="640"/>
      <c r="AG40" s="640"/>
      <c r="AH40" s="640"/>
      <c r="AI40" s="640"/>
      <c r="AJ40" s="640"/>
      <c r="AK40" s="640"/>
      <c r="AL40" s="640"/>
      <c r="AM40" s="640"/>
      <c r="AN40" s="640"/>
      <c r="AO40" s="640"/>
      <c r="AP40" s="640"/>
      <c r="AQ40" s="640"/>
      <c r="AR40" s="640"/>
      <c r="AS40" s="640"/>
      <c r="AT40" s="640"/>
      <c r="AU40" s="640"/>
      <c r="AV40" s="640"/>
    </row>
    <row r="41" spans="1:48">
      <c r="A41" s="754"/>
      <c r="B41" s="754"/>
      <c r="C41" s="754"/>
      <c r="D41" s="754"/>
      <c r="E41" s="754"/>
      <c r="F41" s="754"/>
      <c r="G41" s="754"/>
      <c r="H41" s="1388"/>
      <c r="I41" s="754"/>
      <c r="J41" s="754"/>
      <c r="K41" s="754"/>
      <c r="L41" s="1388"/>
      <c r="M41" s="1388"/>
      <c r="N41" s="1388"/>
      <c r="O41" s="754"/>
      <c r="P41" s="640"/>
      <c r="Q41" s="640"/>
      <c r="R41" s="640"/>
      <c r="S41" s="640"/>
      <c r="T41" s="640"/>
      <c r="U41" s="640"/>
      <c r="V41" s="640"/>
      <c r="W41" s="640"/>
      <c r="X41" s="640"/>
      <c r="Y41" s="640"/>
      <c r="Z41" s="640"/>
      <c r="AA41" s="640"/>
      <c r="AB41" s="640"/>
      <c r="AC41" s="640"/>
      <c r="AD41" s="640"/>
      <c r="AE41" s="640"/>
      <c r="AF41" s="640"/>
      <c r="AG41" s="640"/>
      <c r="AH41" s="640"/>
      <c r="AI41" s="640"/>
      <c r="AJ41" s="640"/>
      <c r="AK41" s="640"/>
      <c r="AL41" s="640"/>
      <c r="AM41" s="640"/>
      <c r="AN41" s="640"/>
      <c r="AO41" s="640"/>
      <c r="AP41" s="640"/>
      <c r="AQ41" s="640"/>
      <c r="AR41" s="640"/>
      <c r="AS41" s="640"/>
      <c r="AT41" s="640"/>
      <c r="AU41" s="640"/>
      <c r="AV41" s="640"/>
    </row>
    <row r="42" spans="1:48">
      <c r="A42" s="754"/>
      <c r="B42" s="754"/>
      <c r="C42" s="754"/>
      <c r="D42" s="754"/>
      <c r="E42" s="754"/>
      <c r="F42" s="754"/>
      <c r="G42" s="754"/>
      <c r="H42" s="1388"/>
      <c r="I42" s="754"/>
      <c r="J42" s="754"/>
      <c r="K42" s="754"/>
      <c r="L42" s="1388"/>
      <c r="M42" s="1388"/>
      <c r="N42" s="1388"/>
      <c r="O42" s="754"/>
      <c r="P42" s="640"/>
      <c r="Q42" s="640"/>
      <c r="R42" s="640"/>
      <c r="S42" s="640"/>
      <c r="T42" s="640"/>
      <c r="U42" s="640"/>
      <c r="V42" s="640"/>
      <c r="W42" s="640"/>
      <c r="X42" s="640"/>
      <c r="Y42" s="640"/>
      <c r="Z42" s="640"/>
      <c r="AA42" s="640"/>
      <c r="AB42" s="640"/>
      <c r="AC42" s="640"/>
      <c r="AD42" s="640"/>
      <c r="AE42" s="640"/>
      <c r="AF42" s="640"/>
      <c r="AG42" s="640"/>
      <c r="AH42" s="640"/>
      <c r="AI42" s="640"/>
      <c r="AJ42" s="640"/>
      <c r="AK42" s="640"/>
      <c r="AL42" s="640"/>
      <c r="AM42" s="640"/>
      <c r="AN42" s="640"/>
      <c r="AO42" s="640"/>
      <c r="AP42" s="640"/>
      <c r="AQ42" s="640"/>
      <c r="AR42" s="640"/>
      <c r="AS42" s="640"/>
      <c r="AT42" s="640"/>
      <c r="AU42" s="640"/>
      <c r="AV42" s="640"/>
    </row>
    <row r="43" spans="1:48">
      <c r="A43" s="754"/>
      <c r="B43" s="754"/>
      <c r="C43" s="754"/>
      <c r="D43" s="754"/>
      <c r="E43" s="754"/>
      <c r="F43" s="754"/>
      <c r="G43" s="754"/>
      <c r="H43" s="1388"/>
      <c r="I43" s="754"/>
      <c r="J43" s="754"/>
      <c r="K43" s="754"/>
      <c r="L43" s="1388"/>
      <c r="M43" s="1388"/>
      <c r="N43" s="1388"/>
      <c r="O43" s="754"/>
      <c r="P43" s="640"/>
      <c r="Q43" s="640"/>
      <c r="R43" s="640"/>
      <c r="S43" s="640"/>
      <c r="T43" s="640"/>
      <c r="U43" s="640"/>
      <c r="V43" s="640"/>
      <c r="W43" s="640"/>
      <c r="X43" s="640"/>
      <c r="Y43" s="640"/>
      <c r="Z43" s="640"/>
      <c r="AA43" s="640"/>
      <c r="AB43" s="640"/>
      <c r="AC43" s="640"/>
      <c r="AD43" s="640"/>
      <c r="AE43" s="640"/>
      <c r="AF43" s="640"/>
      <c r="AG43" s="640"/>
      <c r="AH43" s="640"/>
      <c r="AI43" s="640"/>
      <c r="AJ43" s="640"/>
      <c r="AK43" s="640"/>
      <c r="AL43" s="640"/>
      <c r="AM43" s="640"/>
      <c r="AN43" s="640"/>
      <c r="AO43" s="640"/>
      <c r="AP43" s="640"/>
      <c r="AQ43" s="640"/>
      <c r="AR43" s="640"/>
      <c r="AS43" s="640"/>
      <c r="AT43" s="640"/>
      <c r="AU43" s="640"/>
      <c r="AV43" s="640"/>
    </row>
    <row r="44" spans="1:48">
      <c r="A44" s="754"/>
      <c r="B44" s="754"/>
      <c r="C44" s="754"/>
      <c r="D44" s="754"/>
      <c r="E44" s="754"/>
      <c r="F44" s="754"/>
      <c r="G44" s="754"/>
      <c r="H44" s="1388"/>
      <c r="I44" s="754"/>
      <c r="J44" s="754"/>
      <c r="K44" s="754"/>
      <c r="L44" s="1388"/>
      <c r="M44" s="1388"/>
      <c r="N44" s="1388"/>
      <c r="O44" s="754"/>
      <c r="P44" s="640"/>
      <c r="Q44" s="640"/>
      <c r="R44" s="640"/>
      <c r="S44" s="640"/>
      <c r="T44" s="640"/>
      <c r="U44" s="640"/>
      <c r="V44" s="640"/>
      <c r="W44" s="640"/>
      <c r="X44" s="640"/>
      <c r="Y44" s="640"/>
      <c r="Z44" s="640"/>
      <c r="AA44" s="640"/>
      <c r="AB44" s="640"/>
      <c r="AC44" s="640"/>
      <c r="AD44" s="640"/>
      <c r="AE44" s="640"/>
      <c r="AF44" s="640"/>
      <c r="AG44" s="640"/>
      <c r="AH44" s="640"/>
      <c r="AI44" s="640"/>
      <c r="AJ44" s="640"/>
      <c r="AK44" s="640"/>
      <c r="AL44" s="640"/>
      <c r="AM44" s="640"/>
      <c r="AN44" s="640"/>
      <c r="AO44" s="640"/>
      <c r="AP44" s="640"/>
      <c r="AQ44" s="640"/>
      <c r="AR44" s="640"/>
      <c r="AS44" s="640"/>
      <c r="AT44" s="640"/>
      <c r="AU44" s="640"/>
      <c r="AV44" s="640"/>
    </row>
    <row r="45" spans="1:48">
      <c r="A45" s="754"/>
      <c r="B45" s="754"/>
      <c r="C45" s="754"/>
      <c r="D45" s="754"/>
      <c r="E45" s="754"/>
      <c r="F45" s="754"/>
      <c r="G45" s="754"/>
      <c r="H45" s="1388"/>
      <c r="I45" s="754"/>
      <c r="J45" s="754"/>
      <c r="K45" s="754"/>
      <c r="L45" s="1388"/>
      <c r="M45" s="1388"/>
      <c r="N45" s="1388"/>
      <c r="O45" s="754"/>
      <c r="P45" s="640"/>
      <c r="Q45" s="640"/>
      <c r="R45" s="640"/>
      <c r="S45" s="640"/>
      <c r="T45" s="640"/>
      <c r="U45" s="640"/>
      <c r="V45" s="640"/>
      <c r="W45" s="640"/>
      <c r="X45" s="640"/>
      <c r="Y45" s="640"/>
      <c r="Z45" s="640"/>
      <c r="AA45" s="640"/>
      <c r="AB45" s="640"/>
      <c r="AC45" s="640"/>
      <c r="AD45" s="640"/>
      <c r="AE45" s="640"/>
      <c r="AF45" s="640"/>
      <c r="AG45" s="640"/>
      <c r="AH45" s="640"/>
      <c r="AI45" s="640"/>
      <c r="AJ45" s="640"/>
      <c r="AK45" s="640"/>
      <c r="AL45" s="640"/>
      <c r="AM45" s="640"/>
      <c r="AN45" s="640"/>
      <c r="AO45" s="640"/>
      <c r="AP45" s="640"/>
      <c r="AQ45" s="640"/>
      <c r="AR45" s="640"/>
      <c r="AS45" s="640"/>
      <c r="AT45" s="640"/>
      <c r="AU45" s="640"/>
      <c r="AV45" s="640"/>
    </row>
    <row r="46" spans="1:48">
      <c r="A46" s="754"/>
      <c r="B46" s="754"/>
      <c r="C46" s="754"/>
      <c r="D46" s="754"/>
      <c r="E46" s="754"/>
      <c r="F46" s="754"/>
      <c r="G46" s="754"/>
      <c r="H46" s="1388"/>
      <c r="I46" s="754"/>
      <c r="J46" s="754"/>
      <c r="K46" s="754"/>
      <c r="L46" s="1388"/>
      <c r="M46" s="1388"/>
      <c r="N46" s="1388"/>
      <c r="O46" s="754"/>
      <c r="P46" s="640"/>
      <c r="Q46" s="640"/>
      <c r="R46" s="640"/>
      <c r="S46" s="640"/>
      <c r="T46" s="640"/>
      <c r="U46" s="640"/>
      <c r="V46" s="640"/>
      <c r="W46" s="640"/>
      <c r="X46" s="640"/>
      <c r="Y46" s="640"/>
      <c r="Z46" s="640"/>
      <c r="AA46" s="640"/>
      <c r="AB46" s="640"/>
      <c r="AC46" s="640"/>
      <c r="AD46" s="640"/>
      <c r="AE46" s="640"/>
      <c r="AF46" s="640"/>
      <c r="AG46" s="640"/>
      <c r="AH46" s="640"/>
      <c r="AI46" s="640"/>
      <c r="AJ46" s="640"/>
      <c r="AK46" s="640"/>
      <c r="AL46" s="640"/>
      <c r="AM46" s="640"/>
      <c r="AN46" s="640"/>
      <c r="AO46" s="640"/>
      <c r="AP46" s="640"/>
      <c r="AQ46" s="640"/>
      <c r="AR46" s="640"/>
      <c r="AS46" s="640"/>
      <c r="AT46" s="640"/>
      <c r="AU46" s="640"/>
      <c r="AV46" s="640"/>
    </row>
    <row r="47" spans="1:48">
      <c r="A47" s="754"/>
      <c r="B47" s="754"/>
      <c r="C47" s="754"/>
      <c r="D47" s="754"/>
      <c r="E47" s="754"/>
      <c r="F47" s="754"/>
      <c r="G47" s="754"/>
      <c r="H47" s="1388"/>
      <c r="I47" s="754"/>
      <c r="J47" s="754"/>
      <c r="K47" s="754"/>
      <c r="L47" s="1388"/>
      <c r="M47" s="1388"/>
      <c r="N47" s="1388"/>
      <c r="O47" s="754"/>
      <c r="P47" s="640"/>
      <c r="Q47" s="640"/>
      <c r="R47" s="640"/>
      <c r="S47" s="640"/>
      <c r="T47" s="640"/>
      <c r="U47" s="640"/>
      <c r="V47" s="640"/>
      <c r="W47" s="640"/>
      <c r="X47" s="640"/>
      <c r="Y47" s="640"/>
      <c r="Z47" s="640"/>
      <c r="AA47" s="640"/>
      <c r="AB47" s="640"/>
      <c r="AC47" s="640"/>
      <c r="AD47" s="640"/>
      <c r="AE47" s="640"/>
      <c r="AF47" s="640"/>
      <c r="AG47" s="640"/>
      <c r="AH47" s="640"/>
      <c r="AI47" s="640"/>
      <c r="AJ47" s="640"/>
      <c r="AK47" s="640"/>
      <c r="AL47" s="640"/>
      <c r="AM47" s="640"/>
      <c r="AN47" s="640"/>
      <c r="AO47" s="640"/>
      <c r="AP47" s="640"/>
      <c r="AQ47" s="640"/>
      <c r="AR47" s="640"/>
      <c r="AS47" s="640"/>
      <c r="AT47" s="640"/>
      <c r="AU47" s="640"/>
      <c r="AV47" s="640"/>
    </row>
    <row r="48" spans="1:48">
      <c r="A48" s="754"/>
      <c r="B48" s="754"/>
      <c r="C48" s="754"/>
      <c r="D48" s="754"/>
      <c r="E48" s="754"/>
      <c r="F48" s="754"/>
      <c r="G48" s="754"/>
      <c r="H48" s="1388"/>
      <c r="I48" s="754"/>
      <c r="J48" s="754"/>
      <c r="K48" s="754"/>
      <c r="L48" s="1388"/>
      <c r="M48" s="1388"/>
      <c r="N48" s="1388"/>
      <c r="O48" s="754"/>
      <c r="P48" s="640"/>
      <c r="Q48" s="640"/>
      <c r="R48" s="640"/>
      <c r="S48" s="640"/>
      <c r="T48" s="640"/>
      <c r="U48" s="640"/>
      <c r="V48" s="640"/>
      <c r="W48" s="640"/>
      <c r="X48" s="640"/>
      <c r="Y48" s="640"/>
      <c r="Z48" s="640"/>
      <c r="AA48" s="640"/>
      <c r="AB48" s="640"/>
      <c r="AC48" s="640"/>
      <c r="AD48" s="640"/>
      <c r="AE48" s="640"/>
      <c r="AF48" s="640"/>
      <c r="AG48" s="640"/>
      <c r="AH48" s="640"/>
      <c r="AI48" s="640"/>
      <c r="AJ48" s="640"/>
      <c r="AK48" s="640"/>
      <c r="AL48" s="640"/>
      <c r="AM48" s="640"/>
      <c r="AN48" s="640"/>
      <c r="AO48" s="640"/>
      <c r="AP48" s="640"/>
      <c r="AQ48" s="640"/>
      <c r="AR48" s="640"/>
      <c r="AS48" s="640"/>
      <c r="AT48" s="640"/>
      <c r="AU48" s="640"/>
      <c r="AV48" s="640"/>
    </row>
    <row r="49" spans="1:48">
      <c r="A49" s="754"/>
      <c r="B49" s="754"/>
      <c r="C49" s="754"/>
      <c r="D49" s="754"/>
      <c r="E49" s="754"/>
      <c r="F49" s="754"/>
      <c r="G49" s="754"/>
      <c r="H49" s="1388"/>
      <c r="I49" s="754"/>
      <c r="J49" s="754"/>
      <c r="K49" s="754"/>
      <c r="L49" s="1388"/>
      <c r="M49" s="1388"/>
      <c r="N49" s="1388"/>
      <c r="O49" s="754"/>
      <c r="P49" s="640"/>
      <c r="Q49" s="640"/>
      <c r="R49" s="640"/>
      <c r="S49" s="640"/>
      <c r="T49" s="640"/>
      <c r="U49" s="640"/>
      <c r="V49" s="640"/>
      <c r="W49" s="640"/>
      <c r="X49" s="640"/>
      <c r="Y49" s="640"/>
      <c r="Z49" s="640"/>
      <c r="AA49" s="640"/>
      <c r="AB49" s="640"/>
      <c r="AC49" s="640"/>
      <c r="AD49" s="640"/>
      <c r="AE49" s="640"/>
      <c r="AF49" s="640"/>
      <c r="AG49" s="640"/>
      <c r="AH49" s="640"/>
      <c r="AI49" s="640"/>
      <c r="AJ49" s="640"/>
      <c r="AK49" s="640"/>
      <c r="AL49" s="640"/>
      <c r="AM49" s="640"/>
      <c r="AN49" s="640"/>
      <c r="AO49" s="640"/>
      <c r="AP49" s="640"/>
      <c r="AQ49" s="640"/>
      <c r="AR49" s="640"/>
      <c r="AS49" s="640"/>
      <c r="AT49" s="640"/>
      <c r="AU49" s="640"/>
      <c r="AV49" s="640"/>
    </row>
    <row r="50" spans="1:48">
      <c r="A50" s="754"/>
      <c r="B50" s="754"/>
      <c r="C50" s="754"/>
      <c r="D50" s="754"/>
      <c r="E50" s="754"/>
      <c r="F50" s="754"/>
      <c r="G50" s="754"/>
      <c r="H50" s="1388"/>
      <c r="I50" s="754"/>
      <c r="J50" s="754"/>
      <c r="K50" s="754"/>
      <c r="L50" s="1388"/>
      <c r="M50" s="1388"/>
      <c r="N50" s="1388"/>
      <c r="O50" s="754"/>
      <c r="P50" s="640"/>
      <c r="Q50" s="640"/>
      <c r="R50" s="640"/>
      <c r="S50" s="640"/>
      <c r="T50" s="640"/>
      <c r="U50" s="640"/>
      <c r="V50" s="640"/>
      <c r="W50" s="640"/>
      <c r="X50" s="640"/>
      <c r="Y50" s="640"/>
      <c r="Z50" s="640"/>
      <c r="AA50" s="640"/>
      <c r="AB50" s="640"/>
      <c r="AC50" s="640"/>
      <c r="AD50" s="640"/>
      <c r="AE50" s="640"/>
      <c r="AF50" s="640"/>
      <c r="AG50" s="640"/>
      <c r="AH50" s="640"/>
      <c r="AI50" s="640"/>
      <c r="AJ50" s="640"/>
      <c r="AK50" s="640"/>
      <c r="AL50" s="640"/>
      <c r="AM50" s="640"/>
      <c r="AN50" s="640"/>
      <c r="AO50" s="640"/>
      <c r="AP50" s="640"/>
      <c r="AQ50" s="640"/>
      <c r="AR50" s="640"/>
      <c r="AS50" s="640"/>
      <c r="AT50" s="640"/>
      <c r="AU50" s="640"/>
      <c r="AV50" s="640"/>
    </row>
    <row r="51" spans="1:48">
      <c r="A51" s="754"/>
      <c r="B51" s="754"/>
      <c r="C51" s="754"/>
      <c r="D51" s="754"/>
      <c r="E51" s="754"/>
      <c r="F51" s="754"/>
      <c r="G51" s="754"/>
      <c r="H51" s="1388"/>
      <c r="I51" s="754"/>
      <c r="J51" s="754"/>
      <c r="K51" s="754"/>
      <c r="L51" s="1388"/>
      <c r="M51" s="1388"/>
      <c r="N51" s="1388"/>
      <c r="O51" s="754"/>
      <c r="P51" s="640"/>
      <c r="Q51" s="640"/>
      <c r="R51" s="640"/>
      <c r="S51" s="640"/>
      <c r="T51" s="640"/>
      <c r="U51" s="640"/>
      <c r="V51" s="640"/>
      <c r="W51" s="640"/>
      <c r="X51" s="640"/>
      <c r="Y51" s="640"/>
      <c r="Z51" s="640"/>
      <c r="AA51" s="640"/>
      <c r="AB51" s="640"/>
      <c r="AC51" s="640"/>
      <c r="AD51" s="640"/>
      <c r="AE51" s="640"/>
      <c r="AF51" s="640"/>
      <c r="AG51" s="640"/>
      <c r="AH51" s="640"/>
      <c r="AI51" s="640"/>
      <c r="AJ51" s="640"/>
      <c r="AK51" s="640"/>
      <c r="AL51" s="640"/>
      <c r="AM51" s="640"/>
      <c r="AN51" s="640"/>
      <c r="AO51" s="640"/>
      <c r="AP51" s="640"/>
      <c r="AQ51" s="640"/>
      <c r="AR51" s="640"/>
      <c r="AS51" s="640"/>
      <c r="AT51" s="640"/>
      <c r="AU51" s="640"/>
      <c r="AV51" s="640"/>
    </row>
    <row r="52" spans="1:48">
      <c r="A52" s="754"/>
      <c r="B52" s="754"/>
      <c r="C52" s="754"/>
      <c r="D52" s="754"/>
      <c r="E52" s="754"/>
      <c r="F52" s="754"/>
      <c r="G52" s="754"/>
      <c r="H52" s="1388"/>
      <c r="I52" s="754"/>
      <c r="J52" s="754"/>
      <c r="K52" s="754"/>
      <c r="L52" s="1388"/>
      <c r="M52" s="1388"/>
      <c r="N52" s="1388"/>
      <c r="O52" s="754"/>
      <c r="P52" s="640"/>
      <c r="Q52" s="640"/>
      <c r="R52" s="640"/>
      <c r="S52" s="640"/>
      <c r="T52" s="640"/>
      <c r="U52" s="640"/>
      <c r="V52" s="640"/>
      <c r="W52" s="640"/>
      <c r="X52" s="640"/>
      <c r="Y52" s="640"/>
      <c r="Z52" s="640"/>
      <c r="AA52" s="640"/>
      <c r="AB52" s="640"/>
      <c r="AC52" s="640"/>
      <c r="AD52" s="640"/>
      <c r="AE52" s="640"/>
      <c r="AF52" s="640"/>
      <c r="AG52" s="640"/>
      <c r="AH52" s="640"/>
      <c r="AI52" s="640"/>
      <c r="AJ52" s="640"/>
      <c r="AK52" s="640"/>
      <c r="AL52" s="640"/>
      <c r="AM52" s="640"/>
      <c r="AN52" s="640"/>
      <c r="AO52" s="640"/>
      <c r="AP52" s="640"/>
      <c r="AQ52" s="640"/>
      <c r="AR52" s="640"/>
      <c r="AS52" s="640"/>
      <c r="AT52" s="640"/>
      <c r="AU52" s="640"/>
      <c r="AV52" s="640"/>
    </row>
    <row r="53" spans="1:48">
      <c r="A53" s="754"/>
      <c r="B53" s="754"/>
      <c r="C53" s="754"/>
      <c r="D53" s="754"/>
      <c r="E53" s="754"/>
      <c r="F53" s="754"/>
      <c r="G53" s="754"/>
      <c r="H53" s="1388"/>
      <c r="I53" s="754"/>
      <c r="J53" s="754"/>
      <c r="K53" s="754"/>
      <c r="L53" s="1388"/>
      <c r="M53" s="1388"/>
      <c r="N53" s="1388"/>
      <c r="O53" s="754"/>
      <c r="P53" s="640"/>
      <c r="Q53" s="640"/>
      <c r="R53" s="640"/>
      <c r="S53" s="640"/>
      <c r="T53" s="640"/>
      <c r="U53" s="640"/>
      <c r="V53" s="640"/>
      <c r="W53" s="640"/>
      <c r="X53" s="640"/>
      <c r="Y53" s="640"/>
      <c r="Z53" s="640"/>
      <c r="AA53" s="640"/>
      <c r="AB53" s="640"/>
      <c r="AC53" s="640"/>
      <c r="AD53" s="640"/>
      <c r="AE53" s="640"/>
      <c r="AF53" s="640"/>
      <c r="AG53" s="640"/>
      <c r="AH53" s="640"/>
      <c r="AI53" s="640"/>
      <c r="AJ53" s="640"/>
      <c r="AK53" s="640"/>
      <c r="AL53" s="640"/>
      <c r="AM53" s="640"/>
      <c r="AN53" s="640"/>
      <c r="AO53" s="640"/>
      <c r="AP53" s="640"/>
      <c r="AQ53" s="640"/>
      <c r="AR53" s="640"/>
      <c r="AS53" s="640"/>
      <c r="AT53" s="640"/>
      <c r="AU53" s="640"/>
      <c r="AV53" s="640"/>
    </row>
    <row r="54" spans="1:48">
      <c r="A54" s="754"/>
      <c r="B54" s="754"/>
      <c r="C54" s="754"/>
      <c r="D54" s="754"/>
      <c r="E54" s="754"/>
      <c r="F54" s="754"/>
      <c r="G54" s="754"/>
      <c r="H54" s="1388"/>
      <c r="I54" s="754"/>
      <c r="J54" s="754"/>
      <c r="K54" s="754"/>
      <c r="L54" s="1388"/>
      <c r="M54" s="1388"/>
      <c r="N54" s="1388"/>
      <c r="O54" s="754"/>
      <c r="P54" s="640"/>
      <c r="Q54" s="640"/>
      <c r="R54" s="640"/>
      <c r="S54" s="640"/>
      <c r="T54" s="640"/>
      <c r="U54" s="640"/>
      <c r="V54" s="640"/>
      <c r="W54" s="640"/>
      <c r="X54" s="640"/>
      <c r="Y54" s="640"/>
      <c r="Z54" s="640"/>
      <c r="AA54" s="640"/>
      <c r="AB54" s="640"/>
      <c r="AC54" s="640"/>
      <c r="AD54" s="640"/>
      <c r="AE54" s="640"/>
      <c r="AF54" s="640"/>
      <c r="AG54" s="640"/>
      <c r="AH54" s="640"/>
      <c r="AI54" s="640"/>
      <c r="AJ54" s="640"/>
      <c r="AK54" s="640"/>
      <c r="AL54" s="640"/>
      <c r="AM54" s="640"/>
      <c r="AN54" s="640"/>
      <c r="AO54" s="640"/>
      <c r="AP54" s="640"/>
      <c r="AQ54" s="640"/>
      <c r="AR54" s="640"/>
      <c r="AS54" s="640"/>
      <c r="AT54" s="640"/>
      <c r="AU54" s="640"/>
      <c r="AV54" s="640"/>
    </row>
    <row r="55" spans="1:48">
      <c r="A55" s="754"/>
      <c r="B55" s="754"/>
      <c r="C55" s="754"/>
      <c r="D55" s="754"/>
      <c r="E55" s="754"/>
      <c r="F55" s="754"/>
      <c r="G55" s="754"/>
      <c r="H55" s="1388"/>
      <c r="I55" s="754"/>
      <c r="J55" s="754"/>
      <c r="K55" s="754"/>
      <c r="L55" s="1388"/>
      <c r="M55" s="1388"/>
      <c r="N55" s="1388"/>
      <c r="O55" s="754"/>
      <c r="P55" s="640"/>
      <c r="Q55" s="640"/>
      <c r="R55" s="640"/>
      <c r="S55" s="640"/>
      <c r="T55" s="640"/>
      <c r="U55" s="640"/>
      <c r="V55" s="640"/>
      <c r="W55" s="640"/>
      <c r="X55" s="640"/>
      <c r="Y55" s="640"/>
      <c r="Z55" s="640"/>
      <c r="AA55" s="640"/>
      <c r="AB55" s="640"/>
      <c r="AC55" s="640"/>
      <c r="AD55" s="640"/>
      <c r="AE55" s="640"/>
      <c r="AF55" s="640"/>
      <c r="AG55" s="640"/>
      <c r="AH55" s="640"/>
      <c r="AI55" s="640"/>
      <c r="AJ55" s="640"/>
      <c r="AK55" s="640"/>
      <c r="AL55" s="640"/>
      <c r="AM55" s="640"/>
      <c r="AN55" s="640"/>
      <c r="AO55" s="640"/>
      <c r="AP55" s="640"/>
      <c r="AQ55" s="640"/>
      <c r="AR55" s="640"/>
      <c r="AS55" s="640"/>
      <c r="AT55" s="640"/>
      <c r="AU55" s="640"/>
      <c r="AV55" s="640"/>
    </row>
    <row r="56" spans="1:48">
      <c r="A56" s="754"/>
      <c r="B56" s="754"/>
      <c r="C56" s="754"/>
      <c r="D56" s="754"/>
      <c r="E56" s="754"/>
      <c r="F56" s="754"/>
      <c r="G56" s="754"/>
      <c r="H56" s="1388"/>
      <c r="I56" s="754"/>
      <c r="J56" s="754"/>
      <c r="K56" s="754"/>
      <c r="L56" s="1388"/>
      <c r="M56" s="1388"/>
      <c r="N56" s="1388"/>
      <c r="O56" s="754"/>
      <c r="P56" s="640"/>
      <c r="Q56" s="640"/>
      <c r="R56" s="640"/>
      <c r="S56" s="640"/>
      <c r="T56" s="640"/>
      <c r="U56" s="640"/>
      <c r="V56" s="640"/>
      <c r="W56" s="640"/>
      <c r="X56" s="640"/>
      <c r="Y56" s="640"/>
      <c r="Z56" s="640"/>
      <c r="AA56" s="640"/>
      <c r="AB56" s="640"/>
      <c r="AC56" s="640"/>
      <c r="AD56" s="640"/>
      <c r="AE56" s="640"/>
      <c r="AF56" s="640"/>
      <c r="AG56" s="640"/>
      <c r="AH56" s="640"/>
      <c r="AI56" s="640"/>
      <c r="AJ56" s="640"/>
      <c r="AK56" s="640"/>
      <c r="AL56" s="640"/>
      <c r="AM56" s="640"/>
      <c r="AN56" s="640"/>
      <c r="AO56" s="640"/>
      <c r="AP56" s="640"/>
      <c r="AQ56" s="640"/>
      <c r="AR56" s="640"/>
      <c r="AS56" s="640"/>
      <c r="AT56" s="640"/>
      <c r="AU56" s="640"/>
      <c r="AV56" s="640"/>
    </row>
    <row r="57" spans="1:48">
      <c r="A57" s="619"/>
      <c r="B57" s="619"/>
      <c r="C57" s="619"/>
      <c r="D57" s="619"/>
      <c r="E57" s="619"/>
      <c r="F57" s="619"/>
      <c r="G57" s="619"/>
      <c r="H57" s="1391"/>
      <c r="I57" s="619"/>
      <c r="J57" s="619"/>
      <c r="K57" s="619"/>
      <c r="L57" s="1391"/>
      <c r="M57" s="1391"/>
      <c r="N57" s="1391"/>
      <c r="O57" s="619"/>
      <c r="P57" s="640"/>
      <c r="Q57" s="640"/>
      <c r="R57" s="640"/>
      <c r="S57" s="640"/>
      <c r="T57" s="640"/>
      <c r="U57" s="640"/>
      <c r="V57" s="640"/>
      <c r="W57" s="640"/>
      <c r="X57" s="640"/>
      <c r="Y57" s="640"/>
      <c r="Z57" s="640"/>
      <c r="AA57" s="640"/>
      <c r="AB57" s="640"/>
      <c r="AC57" s="640"/>
      <c r="AD57" s="640"/>
      <c r="AE57" s="640"/>
      <c r="AF57" s="640"/>
      <c r="AG57" s="640"/>
      <c r="AH57" s="640"/>
      <c r="AI57" s="640"/>
      <c r="AJ57" s="640"/>
      <c r="AK57" s="640"/>
      <c r="AL57" s="640"/>
      <c r="AM57" s="640"/>
      <c r="AN57" s="640"/>
      <c r="AO57" s="640"/>
      <c r="AP57" s="640"/>
      <c r="AQ57" s="640"/>
      <c r="AR57" s="640"/>
      <c r="AS57" s="640"/>
      <c r="AT57" s="640"/>
      <c r="AU57" s="640"/>
      <c r="AV57" s="640"/>
    </row>
    <row r="58" spans="1:48">
      <c r="A58" s="619"/>
      <c r="B58" s="619"/>
      <c r="C58" s="619"/>
      <c r="D58" s="619"/>
      <c r="E58" s="619"/>
      <c r="F58" s="619"/>
      <c r="G58" s="619"/>
      <c r="H58" s="1391"/>
      <c r="I58" s="619"/>
      <c r="J58" s="619"/>
      <c r="K58" s="619"/>
      <c r="L58" s="1391"/>
      <c r="M58" s="1391"/>
      <c r="N58" s="1391"/>
      <c r="O58" s="619"/>
      <c r="P58" s="640"/>
      <c r="Q58" s="640"/>
      <c r="R58" s="640"/>
      <c r="S58" s="640"/>
      <c r="T58" s="640"/>
      <c r="U58" s="640"/>
      <c r="V58" s="640"/>
      <c r="W58" s="640"/>
      <c r="X58" s="640"/>
      <c r="Y58" s="640"/>
      <c r="Z58" s="640"/>
      <c r="AA58" s="640"/>
      <c r="AB58" s="640"/>
      <c r="AC58" s="640"/>
      <c r="AD58" s="640"/>
      <c r="AE58" s="640"/>
      <c r="AF58" s="640"/>
      <c r="AG58" s="640"/>
      <c r="AH58" s="640"/>
      <c r="AI58" s="640"/>
      <c r="AJ58" s="640"/>
      <c r="AK58" s="640"/>
      <c r="AL58" s="640"/>
      <c r="AM58" s="640"/>
      <c r="AN58" s="640"/>
      <c r="AO58" s="640"/>
      <c r="AP58" s="640"/>
      <c r="AQ58" s="640"/>
      <c r="AR58" s="640"/>
      <c r="AS58" s="640"/>
      <c r="AT58" s="640"/>
      <c r="AU58" s="640"/>
      <c r="AV58" s="640"/>
    </row>
    <row r="59" spans="1:48">
      <c r="A59" s="619"/>
      <c r="B59" s="619"/>
      <c r="C59" s="619"/>
      <c r="D59" s="619"/>
      <c r="E59" s="619"/>
      <c r="F59" s="619"/>
      <c r="G59" s="619"/>
      <c r="H59" s="1391"/>
      <c r="I59" s="619"/>
      <c r="J59" s="619"/>
      <c r="K59" s="619"/>
      <c r="L59" s="1391"/>
      <c r="M59" s="1391"/>
      <c r="N59" s="1391"/>
      <c r="O59" s="619"/>
      <c r="P59" s="640"/>
      <c r="Q59" s="640"/>
      <c r="R59" s="640"/>
      <c r="S59" s="640"/>
      <c r="T59" s="640"/>
      <c r="U59" s="640"/>
      <c r="V59" s="640"/>
      <c r="W59" s="640"/>
      <c r="X59" s="640"/>
      <c r="Y59" s="640"/>
      <c r="Z59" s="640"/>
      <c r="AA59" s="640"/>
      <c r="AB59" s="640"/>
      <c r="AC59" s="640"/>
      <c r="AD59" s="640"/>
      <c r="AE59" s="640"/>
      <c r="AF59" s="640"/>
      <c r="AG59" s="640"/>
      <c r="AH59" s="640"/>
      <c r="AI59" s="640"/>
      <c r="AJ59" s="640"/>
      <c r="AK59" s="640"/>
      <c r="AL59" s="640"/>
      <c r="AM59" s="640"/>
      <c r="AN59" s="640"/>
      <c r="AO59" s="640"/>
      <c r="AP59" s="640"/>
      <c r="AQ59" s="640"/>
      <c r="AR59" s="640"/>
      <c r="AS59" s="640"/>
      <c r="AT59" s="640"/>
      <c r="AU59" s="640"/>
      <c r="AV59" s="640"/>
    </row>
    <row r="60" spans="1:48">
      <c r="A60" s="619"/>
      <c r="B60" s="619"/>
      <c r="C60" s="619"/>
      <c r="D60" s="619"/>
      <c r="E60" s="619"/>
      <c r="F60" s="619"/>
      <c r="G60" s="619"/>
      <c r="H60" s="1391"/>
      <c r="I60" s="619"/>
      <c r="J60" s="619"/>
      <c r="K60" s="619"/>
      <c r="L60" s="1391"/>
      <c r="M60" s="1391"/>
      <c r="N60" s="1391"/>
      <c r="O60" s="619"/>
      <c r="P60" s="640"/>
      <c r="Q60" s="640"/>
      <c r="R60" s="640"/>
      <c r="S60" s="640"/>
      <c r="T60" s="640"/>
      <c r="U60" s="640"/>
      <c r="V60" s="640"/>
      <c r="W60" s="640"/>
      <c r="X60" s="640"/>
      <c r="Y60" s="640"/>
      <c r="Z60" s="640"/>
      <c r="AA60" s="640"/>
      <c r="AB60" s="640"/>
      <c r="AC60" s="640"/>
      <c r="AD60" s="640"/>
      <c r="AE60" s="640"/>
      <c r="AF60" s="640"/>
      <c r="AG60" s="640"/>
      <c r="AH60" s="640"/>
      <c r="AI60" s="640"/>
      <c r="AJ60" s="640"/>
      <c r="AK60" s="640"/>
      <c r="AL60" s="640"/>
      <c r="AM60" s="640"/>
      <c r="AN60" s="640"/>
      <c r="AO60" s="640"/>
      <c r="AP60" s="640"/>
      <c r="AQ60" s="640"/>
      <c r="AR60" s="640"/>
      <c r="AS60" s="640"/>
      <c r="AT60" s="640"/>
      <c r="AU60" s="640"/>
      <c r="AV60" s="640"/>
    </row>
    <row r="61" spans="1:48">
      <c r="A61" s="619"/>
      <c r="B61" s="619"/>
      <c r="C61" s="619"/>
      <c r="D61" s="619"/>
      <c r="E61" s="619"/>
      <c r="F61" s="619"/>
      <c r="G61" s="619"/>
      <c r="H61" s="1391"/>
      <c r="I61" s="619"/>
      <c r="J61" s="619"/>
      <c r="K61" s="619"/>
      <c r="L61" s="1391"/>
      <c r="M61" s="1391"/>
      <c r="N61" s="1391"/>
      <c r="O61" s="619"/>
      <c r="P61" s="640"/>
      <c r="Q61" s="640"/>
      <c r="R61" s="640"/>
      <c r="S61" s="640"/>
      <c r="T61" s="640"/>
      <c r="U61" s="640"/>
      <c r="V61" s="640"/>
      <c r="W61" s="640"/>
      <c r="X61" s="640"/>
      <c r="Y61" s="640"/>
      <c r="Z61" s="640"/>
      <c r="AA61" s="640"/>
      <c r="AB61" s="640"/>
      <c r="AC61" s="640"/>
      <c r="AD61" s="640"/>
      <c r="AE61" s="640"/>
      <c r="AF61" s="640"/>
      <c r="AG61" s="640"/>
      <c r="AH61" s="640"/>
      <c r="AI61" s="640"/>
      <c r="AJ61" s="640"/>
      <c r="AK61" s="640"/>
      <c r="AL61" s="640"/>
      <c r="AM61" s="640"/>
      <c r="AN61" s="640"/>
      <c r="AO61" s="640"/>
      <c r="AP61" s="640"/>
      <c r="AQ61" s="640"/>
      <c r="AR61" s="640"/>
      <c r="AS61" s="640"/>
      <c r="AT61" s="640"/>
      <c r="AU61" s="640"/>
      <c r="AV61" s="640"/>
    </row>
    <row r="62" spans="1:48">
      <c r="A62" s="619"/>
      <c r="B62" s="619"/>
      <c r="C62" s="619"/>
      <c r="D62" s="619"/>
      <c r="E62" s="619"/>
      <c r="F62" s="619"/>
      <c r="G62" s="619"/>
      <c r="H62" s="1391"/>
      <c r="I62" s="619"/>
      <c r="J62" s="619"/>
      <c r="K62" s="619"/>
      <c r="L62" s="1391"/>
      <c r="M62" s="1391"/>
      <c r="N62" s="1391"/>
      <c r="O62" s="619"/>
      <c r="P62" s="640"/>
      <c r="Q62" s="640"/>
      <c r="R62" s="640"/>
      <c r="S62" s="640"/>
      <c r="T62" s="640"/>
      <c r="U62" s="640"/>
      <c r="V62" s="640"/>
      <c r="W62" s="640"/>
      <c r="X62" s="640"/>
      <c r="Y62" s="640"/>
      <c r="Z62" s="640"/>
      <c r="AA62" s="640"/>
      <c r="AB62" s="640"/>
      <c r="AC62" s="640"/>
      <c r="AD62" s="640"/>
      <c r="AE62" s="640"/>
      <c r="AF62" s="640"/>
      <c r="AG62" s="640"/>
      <c r="AH62" s="640"/>
      <c r="AI62" s="640"/>
      <c r="AJ62" s="640"/>
      <c r="AK62" s="640"/>
      <c r="AL62" s="640"/>
      <c r="AM62" s="640"/>
      <c r="AN62" s="640"/>
      <c r="AO62" s="640"/>
      <c r="AP62" s="640"/>
      <c r="AQ62" s="640"/>
      <c r="AR62" s="640"/>
      <c r="AS62" s="640"/>
      <c r="AT62" s="640"/>
      <c r="AU62" s="640"/>
      <c r="AV62" s="640"/>
    </row>
    <row r="63" spans="1:48">
      <c r="A63" s="619"/>
      <c r="B63" s="619"/>
      <c r="C63" s="619"/>
      <c r="D63" s="619"/>
      <c r="E63" s="619"/>
      <c r="F63" s="619"/>
      <c r="G63" s="619"/>
      <c r="H63" s="1391"/>
      <c r="I63" s="619"/>
      <c r="J63" s="619"/>
      <c r="K63" s="619"/>
      <c r="L63" s="1391"/>
      <c r="M63" s="1391"/>
      <c r="N63" s="1391"/>
      <c r="O63" s="619"/>
      <c r="P63" s="640"/>
      <c r="Q63" s="640"/>
      <c r="R63" s="640"/>
      <c r="S63" s="640"/>
      <c r="T63" s="640"/>
      <c r="U63" s="640"/>
      <c r="V63" s="640"/>
      <c r="W63" s="640"/>
      <c r="X63" s="640"/>
      <c r="Y63" s="640"/>
      <c r="Z63" s="640"/>
      <c r="AA63" s="640"/>
      <c r="AB63" s="640"/>
      <c r="AC63" s="640"/>
      <c r="AD63" s="640"/>
      <c r="AE63" s="640"/>
      <c r="AF63" s="640"/>
      <c r="AG63" s="640"/>
      <c r="AH63" s="640"/>
      <c r="AI63" s="640"/>
      <c r="AJ63" s="640"/>
      <c r="AK63" s="640"/>
      <c r="AL63" s="640"/>
      <c r="AM63" s="640"/>
      <c r="AN63" s="640"/>
      <c r="AO63" s="640"/>
      <c r="AP63" s="640"/>
      <c r="AQ63" s="640"/>
      <c r="AR63" s="640"/>
      <c r="AS63" s="640"/>
      <c r="AT63" s="640"/>
      <c r="AU63" s="640"/>
      <c r="AV63" s="640"/>
    </row>
    <row r="64" spans="1:48">
      <c r="A64" s="619"/>
      <c r="B64" s="619"/>
      <c r="C64" s="619"/>
      <c r="D64" s="619"/>
      <c r="E64" s="619"/>
      <c r="F64" s="619"/>
      <c r="G64" s="619"/>
      <c r="H64" s="1391"/>
      <c r="I64" s="619"/>
      <c r="J64" s="619"/>
      <c r="K64" s="619"/>
      <c r="L64" s="1391"/>
      <c r="M64" s="1391"/>
      <c r="N64" s="1391"/>
      <c r="O64" s="619"/>
      <c r="P64" s="640"/>
      <c r="Q64" s="640"/>
      <c r="R64" s="640"/>
      <c r="S64" s="640"/>
      <c r="T64" s="640"/>
      <c r="U64" s="640"/>
      <c r="V64" s="640"/>
      <c r="W64" s="640"/>
      <c r="X64" s="640"/>
      <c r="Y64" s="640"/>
      <c r="Z64" s="640"/>
      <c r="AA64" s="640"/>
      <c r="AB64" s="640"/>
      <c r="AC64" s="640"/>
      <c r="AD64" s="640"/>
      <c r="AE64" s="640"/>
      <c r="AF64" s="640"/>
      <c r="AG64" s="640"/>
      <c r="AH64" s="640"/>
      <c r="AI64" s="640"/>
      <c r="AJ64" s="640"/>
      <c r="AK64" s="640"/>
      <c r="AL64" s="640"/>
      <c r="AM64" s="640"/>
      <c r="AN64" s="640"/>
      <c r="AO64" s="640"/>
      <c r="AP64" s="640"/>
      <c r="AQ64" s="640"/>
      <c r="AR64" s="640"/>
      <c r="AS64" s="640"/>
      <c r="AT64" s="640"/>
      <c r="AU64" s="640"/>
      <c r="AV64" s="640"/>
    </row>
    <row r="65" spans="1:48">
      <c r="A65" s="619"/>
      <c r="B65" s="619"/>
      <c r="C65" s="619"/>
      <c r="D65" s="619"/>
      <c r="E65" s="619"/>
      <c r="F65" s="619"/>
      <c r="G65" s="619"/>
      <c r="H65" s="1391"/>
      <c r="I65" s="619"/>
      <c r="J65" s="619"/>
      <c r="K65" s="619"/>
      <c r="L65" s="1391"/>
      <c r="M65" s="1391"/>
      <c r="N65" s="1391"/>
      <c r="O65" s="619"/>
      <c r="P65" s="640"/>
      <c r="Q65" s="640"/>
      <c r="R65" s="640"/>
      <c r="S65" s="640"/>
      <c r="T65" s="640"/>
      <c r="U65" s="640"/>
      <c r="V65" s="640"/>
      <c r="W65" s="640"/>
      <c r="X65" s="640"/>
      <c r="Y65" s="640"/>
      <c r="Z65" s="640"/>
      <c r="AA65" s="640"/>
      <c r="AB65" s="640"/>
      <c r="AC65" s="640"/>
      <c r="AD65" s="640"/>
      <c r="AE65" s="640"/>
      <c r="AF65" s="640"/>
      <c r="AG65" s="640"/>
      <c r="AH65" s="640"/>
      <c r="AI65" s="640"/>
      <c r="AJ65" s="640"/>
      <c r="AK65" s="640"/>
      <c r="AL65" s="640"/>
      <c r="AM65" s="640"/>
      <c r="AN65" s="640"/>
      <c r="AO65" s="640"/>
      <c r="AP65" s="640"/>
      <c r="AQ65" s="640"/>
      <c r="AR65" s="640"/>
      <c r="AS65" s="640"/>
      <c r="AT65" s="640"/>
      <c r="AU65" s="640"/>
      <c r="AV65" s="640"/>
    </row>
    <row r="66" spans="1:48">
      <c r="A66" s="619"/>
      <c r="B66" s="619"/>
      <c r="C66" s="619"/>
      <c r="D66" s="619"/>
      <c r="E66" s="619"/>
      <c r="F66" s="619"/>
      <c r="G66" s="619"/>
      <c r="H66" s="1391"/>
      <c r="I66" s="619"/>
      <c r="J66" s="619"/>
      <c r="K66" s="619"/>
      <c r="L66" s="1391"/>
      <c r="M66" s="1391"/>
      <c r="N66" s="1391"/>
      <c r="O66" s="619"/>
      <c r="P66" s="640"/>
      <c r="Q66" s="640"/>
      <c r="R66" s="640"/>
      <c r="S66" s="640"/>
      <c r="T66" s="640"/>
      <c r="U66" s="640"/>
      <c r="V66" s="640"/>
      <c r="W66" s="640"/>
      <c r="X66" s="640"/>
      <c r="Y66" s="640"/>
      <c r="Z66" s="640"/>
      <c r="AA66" s="640"/>
      <c r="AB66" s="640"/>
      <c r="AC66" s="640"/>
      <c r="AD66" s="640"/>
      <c r="AE66" s="640"/>
      <c r="AF66" s="640"/>
      <c r="AG66" s="640"/>
      <c r="AH66" s="640"/>
      <c r="AI66" s="640"/>
      <c r="AJ66" s="640"/>
      <c r="AK66" s="640"/>
      <c r="AL66" s="640"/>
      <c r="AM66" s="640"/>
      <c r="AN66" s="640"/>
      <c r="AO66" s="640"/>
      <c r="AP66" s="640"/>
      <c r="AQ66" s="640"/>
      <c r="AR66" s="640"/>
      <c r="AS66" s="640"/>
      <c r="AT66" s="640"/>
      <c r="AU66" s="640"/>
      <c r="AV66" s="640"/>
    </row>
    <row r="67" spans="1:48">
      <c r="A67" s="619"/>
      <c r="B67" s="619"/>
      <c r="C67" s="619"/>
      <c r="D67" s="619"/>
      <c r="E67" s="619"/>
      <c r="F67" s="619"/>
      <c r="G67" s="619"/>
      <c r="H67" s="1391"/>
      <c r="I67" s="619"/>
      <c r="J67" s="619"/>
      <c r="K67" s="619"/>
      <c r="L67" s="1391"/>
      <c r="M67" s="1391"/>
      <c r="N67" s="1391"/>
      <c r="O67" s="619"/>
      <c r="P67" s="640"/>
      <c r="Q67" s="640"/>
      <c r="R67" s="640"/>
      <c r="S67" s="640"/>
      <c r="T67" s="640"/>
      <c r="U67" s="640"/>
      <c r="V67" s="640"/>
      <c r="W67" s="640"/>
      <c r="X67" s="640"/>
      <c r="Y67" s="640"/>
      <c r="Z67" s="640"/>
      <c r="AA67" s="640"/>
      <c r="AB67" s="640"/>
      <c r="AC67" s="640"/>
      <c r="AD67" s="640"/>
      <c r="AE67" s="640"/>
      <c r="AF67" s="640"/>
      <c r="AG67" s="640"/>
      <c r="AH67" s="640"/>
      <c r="AI67" s="640"/>
      <c r="AJ67" s="640"/>
      <c r="AK67" s="640"/>
      <c r="AL67" s="640"/>
      <c r="AM67" s="640"/>
      <c r="AN67" s="640"/>
      <c r="AO67" s="640"/>
      <c r="AP67" s="640"/>
      <c r="AQ67" s="640"/>
      <c r="AR67" s="640"/>
      <c r="AS67" s="640"/>
      <c r="AT67" s="640"/>
      <c r="AU67" s="640"/>
      <c r="AV67" s="640"/>
    </row>
    <row r="68" spans="1:48">
      <c r="A68" s="619"/>
      <c r="B68" s="619"/>
      <c r="C68" s="619"/>
      <c r="D68" s="619"/>
      <c r="E68" s="619"/>
      <c r="F68" s="619"/>
      <c r="G68" s="619"/>
      <c r="H68" s="1391"/>
      <c r="I68" s="619"/>
      <c r="J68" s="619"/>
      <c r="K68" s="619"/>
      <c r="L68" s="1391"/>
      <c r="M68" s="1391"/>
      <c r="N68" s="1391"/>
      <c r="O68" s="619"/>
      <c r="P68" s="640"/>
      <c r="Q68" s="640"/>
      <c r="R68" s="640"/>
      <c r="S68" s="640"/>
      <c r="T68" s="640"/>
      <c r="U68" s="640"/>
      <c r="V68" s="640"/>
      <c r="W68" s="640"/>
      <c r="X68" s="640"/>
      <c r="Y68" s="640"/>
      <c r="Z68" s="640"/>
      <c r="AA68" s="640"/>
      <c r="AB68" s="640"/>
      <c r="AC68" s="640"/>
      <c r="AD68" s="640"/>
      <c r="AE68" s="640"/>
      <c r="AF68" s="640"/>
      <c r="AG68" s="640"/>
      <c r="AH68" s="640"/>
      <c r="AI68" s="640"/>
      <c r="AJ68" s="640"/>
      <c r="AK68" s="640"/>
      <c r="AL68" s="640"/>
      <c r="AM68" s="640"/>
      <c r="AN68" s="640"/>
      <c r="AO68" s="640"/>
      <c r="AP68" s="640"/>
      <c r="AQ68" s="640"/>
      <c r="AR68" s="640"/>
      <c r="AS68" s="640"/>
      <c r="AT68" s="640"/>
      <c r="AU68" s="640"/>
      <c r="AV68" s="640"/>
    </row>
    <row r="69" spans="1:48">
      <c r="A69" s="619"/>
      <c r="B69" s="619"/>
      <c r="C69" s="619"/>
      <c r="D69" s="619"/>
      <c r="E69" s="619"/>
      <c r="F69" s="619"/>
      <c r="G69" s="619"/>
      <c r="H69" s="1391"/>
      <c r="I69" s="619"/>
      <c r="J69" s="619"/>
      <c r="K69" s="619"/>
      <c r="L69" s="1391"/>
      <c r="M69" s="1391"/>
      <c r="N69" s="1391"/>
      <c r="O69" s="619"/>
      <c r="P69" s="640"/>
      <c r="Q69" s="640"/>
      <c r="R69" s="640"/>
      <c r="S69" s="640"/>
      <c r="T69" s="640"/>
      <c r="U69" s="640"/>
      <c r="V69" s="640"/>
      <c r="W69" s="640"/>
      <c r="X69" s="640"/>
      <c r="Y69" s="640"/>
      <c r="Z69" s="640"/>
      <c r="AA69" s="640"/>
      <c r="AB69" s="640"/>
      <c r="AC69" s="640"/>
      <c r="AD69" s="640"/>
      <c r="AE69" s="640"/>
      <c r="AF69" s="640"/>
      <c r="AG69" s="640"/>
      <c r="AH69" s="640"/>
      <c r="AI69" s="640"/>
      <c r="AJ69" s="640"/>
      <c r="AK69" s="640"/>
      <c r="AL69" s="640"/>
      <c r="AM69" s="640"/>
      <c r="AN69" s="640"/>
      <c r="AO69" s="640"/>
      <c r="AP69" s="640"/>
      <c r="AQ69" s="640"/>
      <c r="AR69" s="640"/>
      <c r="AS69" s="640"/>
      <c r="AT69" s="640"/>
      <c r="AU69" s="640"/>
      <c r="AV69" s="640"/>
    </row>
    <row r="70" spans="1:48">
      <c r="A70" s="619"/>
      <c r="B70" s="619"/>
      <c r="C70" s="619"/>
      <c r="D70" s="619"/>
      <c r="E70" s="619"/>
      <c r="F70" s="619"/>
      <c r="G70" s="619"/>
      <c r="H70" s="1391"/>
      <c r="I70" s="619"/>
      <c r="J70" s="619"/>
      <c r="K70" s="619"/>
      <c r="L70" s="1391"/>
      <c r="M70" s="1391"/>
      <c r="N70" s="1391"/>
      <c r="O70" s="619"/>
      <c r="P70" s="640"/>
      <c r="Q70" s="640"/>
      <c r="R70" s="640"/>
      <c r="S70" s="640"/>
      <c r="T70" s="640"/>
      <c r="U70" s="640"/>
      <c r="V70" s="640"/>
      <c r="W70" s="640"/>
      <c r="X70" s="640"/>
      <c r="Y70" s="640"/>
      <c r="Z70" s="640"/>
      <c r="AA70" s="640"/>
      <c r="AB70" s="640"/>
      <c r="AC70" s="640"/>
      <c r="AD70" s="640"/>
      <c r="AE70" s="640"/>
      <c r="AF70" s="640"/>
      <c r="AG70" s="640"/>
      <c r="AH70" s="640"/>
      <c r="AI70" s="640"/>
      <c r="AJ70" s="640"/>
      <c r="AK70" s="640"/>
      <c r="AL70" s="640"/>
      <c r="AM70" s="640"/>
      <c r="AN70" s="640"/>
      <c r="AO70" s="640"/>
      <c r="AP70" s="640"/>
      <c r="AQ70" s="640"/>
      <c r="AR70" s="640"/>
      <c r="AS70" s="640"/>
      <c r="AT70" s="640"/>
      <c r="AU70" s="640"/>
      <c r="AV70" s="640"/>
    </row>
    <row r="71" spans="1:48">
      <c r="A71" s="619"/>
      <c r="B71" s="619"/>
      <c r="C71" s="619"/>
      <c r="D71" s="619"/>
      <c r="E71" s="619"/>
      <c r="F71" s="619"/>
      <c r="G71" s="619"/>
      <c r="H71" s="1391"/>
      <c r="I71" s="619"/>
      <c r="J71" s="619"/>
      <c r="K71" s="619"/>
      <c r="L71" s="1391"/>
      <c r="M71" s="1391"/>
      <c r="N71" s="1391"/>
      <c r="O71" s="619"/>
      <c r="P71" s="640"/>
      <c r="Q71" s="640"/>
      <c r="R71" s="640"/>
      <c r="S71" s="640"/>
      <c r="T71" s="640"/>
      <c r="U71" s="640"/>
      <c r="V71" s="640"/>
      <c r="W71" s="640"/>
      <c r="X71" s="640"/>
      <c r="Y71" s="640"/>
      <c r="Z71" s="640"/>
      <c r="AA71" s="640"/>
      <c r="AB71" s="640"/>
      <c r="AC71" s="640"/>
      <c r="AD71" s="640"/>
      <c r="AE71" s="640"/>
      <c r="AF71" s="640"/>
      <c r="AG71" s="640"/>
      <c r="AH71" s="640"/>
      <c r="AI71" s="640"/>
      <c r="AJ71" s="640"/>
      <c r="AK71" s="640"/>
      <c r="AL71" s="640"/>
      <c r="AM71" s="640"/>
      <c r="AN71" s="640"/>
      <c r="AO71" s="640"/>
      <c r="AP71" s="640"/>
      <c r="AQ71" s="640"/>
      <c r="AR71" s="640"/>
      <c r="AS71" s="640"/>
      <c r="AT71" s="640"/>
      <c r="AU71" s="640"/>
      <c r="AV71" s="640"/>
    </row>
    <row r="72" spans="1:48">
      <c r="A72" s="619"/>
      <c r="B72" s="619"/>
      <c r="C72" s="619"/>
      <c r="D72" s="619"/>
      <c r="E72" s="619"/>
      <c r="F72" s="619"/>
      <c r="G72" s="619"/>
      <c r="H72" s="1391"/>
      <c r="I72" s="619"/>
      <c r="J72" s="619"/>
      <c r="K72" s="619"/>
      <c r="L72" s="1391"/>
      <c r="M72" s="1391"/>
      <c r="N72" s="1391"/>
      <c r="O72" s="619"/>
      <c r="P72" s="640"/>
      <c r="Q72" s="640"/>
      <c r="R72" s="640"/>
      <c r="S72" s="640"/>
      <c r="T72" s="640"/>
      <c r="U72" s="640"/>
      <c r="V72" s="640"/>
      <c r="W72" s="640"/>
      <c r="X72" s="640"/>
      <c r="Y72" s="640"/>
      <c r="Z72" s="640"/>
      <c r="AA72" s="640"/>
      <c r="AB72" s="640"/>
      <c r="AC72" s="640"/>
      <c r="AD72" s="640"/>
      <c r="AE72" s="640"/>
      <c r="AF72" s="640"/>
      <c r="AG72" s="640"/>
      <c r="AH72" s="640"/>
      <c r="AI72" s="640"/>
      <c r="AJ72" s="640"/>
      <c r="AK72" s="640"/>
      <c r="AL72" s="640"/>
      <c r="AM72" s="640"/>
      <c r="AN72" s="640"/>
      <c r="AO72" s="640"/>
      <c r="AP72" s="640"/>
      <c r="AQ72" s="640"/>
      <c r="AR72" s="640"/>
      <c r="AS72" s="640"/>
      <c r="AT72" s="640"/>
      <c r="AU72" s="640"/>
      <c r="AV72" s="640"/>
    </row>
    <row r="73" spans="1:48">
      <c r="A73" s="619"/>
      <c r="B73" s="619"/>
      <c r="C73" s="619"/>
      <c r="D73" s="619"/>
      <c r="E73" s="619"/>
      <c r="F73" s="619"/>
      <c r="G73" s="619"/>
      <c r="H73" s="1391"/>
      <c r="I73" s="619"/>
      <c r="J73" s="619"/>
      <c r="K73" s="619"/>
      <c r="L73" s="1391"/>
      <c r="M73" s="1391"/>
      <c r="N73" s="1391"/>
      <c r="O73" s="619"/>
      <c r="P73" s="640"/>
      <c r="Q73" s="640"/>
      <c r="R73" s="640"/>
      <c r="S73" s="640"/>
      <c r="T73" s="640"/>
      <c r="U73" s="640"/>
      <c r="V73" s="640"/>
      <c r="W73" s="640"/>
      <c r="X73" s="640"/>
      <c r="Y73" s="640"/>
      <c r="Z73" s="640"/>
      <c r="AA73" s="640"/>
      <c r="AB73" s="640"/>
      <c r="AC73" s="640"/>
      <c r="AD73" s="640"/>
      <c r="AE73" s="640"/>
      <c r="AF73" s="640"/>
      <c r="AG73" s="640"/>
      <c r="AH73" s="640"/>
      <c r="AI73" s="640"/>
      <c r="AJ73" s="640"/>
      <c r="AK73" s="640"/>
      <c r="AL73" s="640"/>
      <c r="AM73" s="640"/>
      <c r="AN73" s="640"/>
      <c r="AO73" s="640"/>
      <c r="AP73" s="640"/>
      <c r="AQ73" s="640"/>
      <c r="AR73" s="640"/>
      <c r="AS73" s="640"/>
      <c r="AT73" s="640"/>
      <c r="AU73" s="640"/>
      <c r="AV73" s="640"/>
    </row>
    <row r="74" spans="1:48">
      <c r="A74" s="619"/>
      <c r="B74" s="619"/>
      <c r="C74" s="619"/>
      <c r="D74" s="619"/>
      <c r="E74" s="619"/>
      <c r="F74" s="619"/>
      <c r="G74" s="619"/>
      <c r="H74" s="1391"/>
      <c r="I74" s="619"/>
      <c r="J74" s="619"/>
      <c r="K74" s="619"/>
      <c r="L74" s="1391"/>
      <c r="M74" s="1391"/>
      <c r="N74" s="1391"/>
      <c r="O74" s="619"/>
      <c r="P74" s="640"/>
      <c r="Q74" s="640"/>
      <c r="R74" s="640"/>
      <c r="S74" s="640"/>
      <c r="T74" s="640"/>
      <c r="U74" s="640"/>
      <c r="V74" s="640"/>
      <c r="W74" s="640"/>
      <c r="X74" s="640"/>
      <c r="Y74" s="640"/>
      <c r="Z74" s="640"/>
      <c r="AA74" s="640"/>
      <c r="AB74" s="640"/>
      <c r="AC74" s="640"/>
      <c r="AD74" s="640"/>
      <c r="AE74" s="640"/>
      <c r="AF74" s="640"/>
      <c r="AG74" s="640"/>
      <c r="AH74" s="640"/>
      <c r="AI74" s="640"/>
      <c r="AJ74" s="640"/>
      <c r="AK74" s="640"/>
      <c r="AL74" s="640"/>
      <c r="AM74" s="640"/>
      <c r="AN74" s="640"/>
      <c r="AO74" s="640"/>
      <c r="AP74" s="640"/>
      <c r="AQ74" s="640"/>
      <c r="AR74" s="640"/>
      <c r="AS74" s="640"/>
      <c r="AT74" s="640"/>
      <c r="AU74" s="640"/>
      <c r="AV74" s="640"/>
    </row>
    <row r="75" spans="1:48">
      <c r="A75" s="619"/>
      <c r="B75" s="619"/>
      <c r="C75" s="619"/>
      <c r="D75" s="619"/>
      <c r="E75" s="619"/>
      <c r="F75" s="619"/>
      <c r="G75" s="619"/>
      <c r="H75" s="1391"/>
      <c r="I75" s="619"/>
      <c r="J75" s="619"/>
      <c r="K75" s="619"/>
      <c r="L75" s="1391"/>
      <c r="M75" s="1391"/>
      <c r="N75" s="1391"/>
      <c r="O75" s="619"/>
      <c r="P75" s="640"/>
      <c r="Q75" s="640"/>
      <c r="R75" s="640"/>
      <c r="S75" s="640"/>
      <c r="T75" s="640"/>
      <c r="U75" s="640"/>
      <c r="V75" s="640"/>
      <c r="W75" s="640"/>
      <c r="X75" s="640"/>
      <c r="Y75" s="640"/>
      <c r="Z75" s="640"/>
      <c r="AA75" s="640"/>
      <c r="AB75" s="640"/>
      <c r="AC75" s="640"/>
      <c r="AD75" s="640"/>
      <c r="AE75" s="640"/>
      <c r="AF75" s="640"/>
      <c r="AG75" s="640"/>
      <c r="AH75" s="640"/>
      <c r="AI75" s="640"/>
      <c r="AJ75" s="640"/>
      <c r="AK75" s="640"/>
      <c r="AL75" s="640"/>
      <c r="AM75" s="640"/>
      <c r="AN75" s="640"/>
      <c r="AO75" s="640"/>
      <c r="AP75" s="640"/>
      <c r="AQ75" s="640"/>
      <c r="AR75" s="640"/>
      <c r="AS75" s="640"/>
      <c r="AT75" s="640"/>
      <c r="AU75" s="640"/>
      <c r="AV75" s="640"/>
    </row>
    <row r="76" spans="1:48">
      <c r="A76" s="619"/>
      <c r="B76" s="619"/>
      <c r="C76" s="619"/>
      <c r="D76" s="619"/>
      <c r="E76" s="619"/>
      <c r="F76" s="619"/>
      <c r="G76" s="619"/>
      <c r="H76" s="1391"/>
      <c r="I76" s="619"/>
      <c r="J76" s="619"/>
      <c r="K76" s="619"/>
      <c r="L76" s="1391"/>
      <c r="M76" s="1391"/>
      <c r="N76" s="1391"/>
      <c r="O76" s="619"/>
      <c r="P76" s="640"/>
      <c r="Q76" s="640"/>
      <c r="R76" s="640"/>
      <c r="S76" s="640"/>
      <c r="T76" s="640"/>
      <c r="U76" s="640"/>
      <c r="V76" s="640"/>
      <c r="W76" s="640"/>
      <c r="X76" s="640"/>
      <c r="Y76" s="640"/>
      <c r="Z76" s="640"/>
      <c r="AA76" s="640"/>
      <c r="AB76" s="640"/>
      <c r="AC76" s="640"/>
      <c r="AD76" s="640"/>
      <c r="AE76" s="640"/>
      <c r="AF76" s="640"/>
      <c r="AG76" s="640"/>
      <c r="AH76" s="640"/>
      <c r="AI76" s="640"/>
      <c r="AJ76" s="640"/>
      <c r="AK76" s="640"/>
      <c r="AL76" s="640"/>
      <c r="AM76" s="640"/>
      <c r="AN76" s="640"/>
      <c r="AO76" s="640"/>
      <c r="AP76" s="640"/>
      <c r="AQ76" s="640"/>
      <c r="AR76" s="640"/>
      <c r="AS76" s="640"/>
      <c r="AT76" s="640"/>
      <c r="AU76" s="640"/>
      <c r="AV76" s="640"/>
    </row>
    <row r="77" spans="1:48">
      <c r="A77" s="619"/>
      <c r="B77" s="619"/>
      <c r="C77" s="619"/>
      <c r="D77" s="619"/>
      <c r="E77" s="619"/>
      <c r="F77" s="619"/>
      <c r="G77" s="619"/>
      <c r="H77" s="1391"/>
      <c r="I77" s="619"/>
      <c r="J77" s="619"/>
      <c r="K77" s="619"/>
      <c r="L77" s="1391"/>
      <c r="M77" s="1391"/>
      <c r="N77" s="1391"/>
      <c r="O77" s="619"/>
      <c r="P77" s="640"/>
      <c r="Q77" s="640"/>
      <c r="R77" s="640"/>
      <c r="S77" s="640"/>
      <c r="T77" s="640"/>
      <c r="U77" s="640"/>
      <c r="V77" s="640"/>
      <c r="W77" s="640"/>
      <c r="X77" s="640"/>
      <c r="Y77" s="640"/>
      <c r="Z77" s="640"/>
      <c r="AA77" s="640"/>
      <c r="AB77" s="640"/>
      <c r="AC77" s="640"/>
      <c r="AD77" s="640"/>
      <c r="AE77" s="640"/>
      <c r="AF77" s="640"/>
      <c r="AG77" s="640"/>
      <c r="AH77" s="640"/>
      <c r="AI77" s="640"/>
      <c r="AJ77" s="640"/>
      <c r="AK77" s="640"/>
      <c r="AL77" s="640"/>
      <c r="AM77" s="640"/>
      <c r="AN77" s="640"/>
      <c r="AO77" s="640"/>
      <c r="AP77" s="640"/>
      <c r="AQ77" s="640"/>
      <c r="AR77" s="640"/>
      <c r="AS77" s="640"/>
      <c r="AT77" s="640"/>
      <c r="AU77" s="640"/>
      <c r="AV77" s="640"/>
    </row>
    <row r="78" spans="1:48">
      <c r="A78" s="619"/>
      <c r="B78" s="619"/>
      <c r="C78" s="619"/>
      <c r="D78" s="619"/>
      <c r="E78" s="619"/>
      <c r="F78" s="619"/>
      <c r="G78" s="619"/>
      <c r="H78" s="1391"/>
      <c r="I78" s="619"/>
      <c r="J78" s="619"/>
      <c r="K78" s="619"/>
      <c r="L78" s="1391"/>
      <c r="M78" s="1391"/>
      <c r="N78" s="1391"/>
      <c r="O78" s="619"/>
      <c r="P78" s="640"/>
      <c r="Q78" s="640"/>
      <c r="R78" s="640"/>
      <c r="S78" s="640"/>
      <c r="T78" s="640"/>
      <c r="U78" s="640"/>
      <c r="V78" s="640"/>
      <c r="W78" s="640"/>
      <c r="X78" s="640"/>
      <c r="Y78" s="640"/>
      <c r="Z78" s="640"/>
      <c r="AA78" s="640"/>
      <c r="AB78" s="640"/>
      <c r="AC78" s="640"/>
      <c r="AD78" s="640"/>
      <c r="AE78" s="640"/>
      <c r="AF78" s="640"/>
      <c r="AG78" s="640"/>
      <c r="AH78" s="640"/>
      <c r="AI78" s="640"/>
      <c r="AJ78" s="640"/>
      <c r="AK78" s="640"/>
      <c r="AL78" s="640"/>
      <c r="AM78" s="640"/>
      <c r="AN78" s="640"/>
      <c r="AO78" s="640"/>
      <c r="AP78" s="640"/>
      <c r="AQ78" s="640"/>
      <c r="AR78" s="640"/>
      <c r="AS78" s="640"/>
      <c r="AT78" s="640"/>
      <c r="AU78" s="640"/>
      <c r="AV78" s="640"/>
    </row>
    <row r="79" spans="1:48">
      <c r="A79" s="619"/>
      <c r="B79" s="619"/>
      <c r="C79" s="619"/>
      <c r="D79" s="619"/>
      <c r="E79" s="619"/>
      <c r="F79" s="619"/>
      <c r="G79" s="619"/>
      <c r="H79" s="1391"/>
      <c r="I79" s="619"/>
      <c r="J79" s="619"/>
      <c r="K79" s="619"/>
      <c r="L79" s="1391"/>
      <c r="M79" s="1391"/>
      <c r="N79" s="1391"/>
      <c r="O79" s="619"/>
      <c r="P79" s="640"/>
      <c r="Q79" s="640"/>
      <c r="R79" s="640"/>
      <c r="S79" s="640"/>
      <c r="T79" s="640"/>
      <c r="U79" s="640"/>
      <c r="V79" s="640"/>
      <c r="W79" s="640"/>
      <c r="X79" s="640"/>
      <c r="Y79" s="640"/>
      <c r="Z79" s="640"/>
      <c r="AA79" s="640"/>
      <c r="AB79" s="640"/>
      <c r="AC79" s="640"/>
      <c r="AD79" s="640"/>
      <c r="AE79" s="640"/>
      <c r="AF79" s="640"/>
      <c r="AG79" s="640"/>
      <c r="AH79" s="640"/>
      <c r="AI79" s="640"/>
      <c r="AJ79" s="640"/>
      <c r="AK79" s="640"/>
      <c r="AL79" s="640"/>
      <c r="AM79" s="640"/>
      <c r="AN79" s="640"/>
      <c r="AO79" s="640"/>
      <c r="AP79" s="640"/>
      <c r="AQ79" s="640"/>
      <c r="AR79" s="640"/>
      <c r="AS79" s="640"/>
      <c r="AT79" s="640"/>
      <c r="AU79" s="640"/>
      <c r="AV79" s="640"/>
    </row>
    <row r="80" spans="1:48">
      <c r="A80" s="619"/>
      <c r="B80" s="619"/>
      <c r="C80" s="619"/>
      <c r="D80" s="619"/>
      <c r="E80" s="619"/>
      <c r="F80" s="619"/>
      <c r="G80" s="619"/>
      <c r="H80" s="1391"/>
      <c r="I80" s="619"/>
      <c r="J80" s="619"/>
      <c r="K80" s="619"/>
      <c r="L80" s="1391"/>
      <c r="M80" s="1391"/>
      <c r="N80" s="1391"/>
      <c r="O80" s="619"/>
      <c r="P80" s="640"/>
      <c r="Q80" s="640"/>
      <c r="R80" s="640"/>
      <c r="S80" s="640"/>
      <c r="T80" s="640"/>
      <c r="U80" s="640"/>
      <c r="V80" s="640"/>
      <c r="W80" s="640"/>
      <c r="X80" s="640"/>
      <c r="Y80" s="640"/>
      <c r="Z80" s="640"/>
      <c r="AA80" s="640"/>
      <c r="AB80" s="640"/>
      <c r="AC80" s="640"/>
      <c r="AD80" s="640"/>
      <c r="AE80" s="640"/>
      <c r="AF80" s="640"/>
      <c r="AG80" s="640"/>
      <c r="AH80" s="640"/>
      <c r="AI80" s="640"/>
      <c r="AJ80" s="640"/>
      <c r="AK80" s="640"/>
      <c r="AL80" s="640"/>
      <c r="AM80" s="640"/>
      <c r="AN80" s="640"/>
      <c r="AO80" s="640"/>
      <c r="AP80" s="640"/>
      <c r="AQ80" s="640"/>
      <c r="AR80" s="640"/>
      <c r="AS80" s="640"/>
      <c r="AT80" s="640"/>
      <c r="AU80" s="640"/>
      <c r="AV80" s="640"/>
    </row>
    <row r="81" spans="1:48">
      <c r="A81" s="619"/>
      <c r="B81" s="619"/>
      <c r="C81" s="619"/>
      <c r="D81" s="619"/>
      <c r="E81" s="619"/>
      <c r="F81" s="619"/>
      <c r="G81" s="619"/>
      <c r="H81" s="1391"/>
      <c r="I81" s="619"/>
      <c r="J81" s="619"/>
      <c r="K81" s="619"/>
      <c r="L81" s="1391"/>
      <c r="M81" s="1391"/>
      <c r="N81" s="1391"/>
      <c r="O81" s="619"/>
      <c r="P81" s="640"/>
      <c r="Q81" s="640"/>
      <c r="R81" s="640"/>
      <c r="S81" s="640"/>
      <c r="T81" s="640"/>
      <c r="U81" s="640"/>
      <c r="V81" s="640"/>
      <c r="W81" s="640"/>
      <c r="X81" s="640"/>
      <c r="Y81" s="640"/>
      <c r="Z81" s="640"/>
      <c r="AA81" s="640"/>
      <c r="AB81" s="640"/>
      <c r="AC81" s="640"/>
      <c r="AD81" s="640"/>
      <c r="AE81" s="640"/>
      <c r="AF81" s="640"/>
      <c r="AG81" s="640"/>
      <c r="AH81" s="640"/>
      <c r="AI81" s="640"/>
      <c r="AJ81" s="640"/>
      <c r="AK81" s="640"/>
      <c r="AL81" s="640"/>
      <c r="AM81" s="640"/>
      <c r="AN81" s="640"/>
      <c r="AO81" s="640"/>
      <c r="AP81" s="640"/>
      <c r="AQ81" s="640"/>
      <c r="AR81" s="640"/>
      <c r="AS81" s="640"/>
      <c r="AT81" s="640"/>
      <c r="AU81" s="640"/>
      <c r="AV81" s="640"/>
    </row>
    <row r="82" spans="1:48">
      <c r="A82" s="619"/>
      <c r="B82" s="619"/>
      <c r="C82" s="619"/>
      <c r="D82" s="619"/>
      <c r="E82" s="619"/>
      <c r="F82" s="619"/>
      <c r="G82" s="619"/>
      <c r="H82" s="1391"/>
      <c r="I82" s="619"/>
      <c r="J82" s="619"/>
      <c r="K82" s="619"/>
      <c r="L82" s="1391"/>
      <c r="M82" s="1391"/>
      <c r="N82" s="1391"/>
      <c r="O82" s="619"/>
      <c r="P82" s="640"/>
      <c r="Q82" s="640"/>
      <c r="R82" s="640"/>
      <c r="S82" s="640"/>
      <c r="T82" s="640"/>
      <c r="U82" s="640"/>
      <c r="V82" s="640"/>
      <c r="W82" s="640"/>
      <c r="X82" s="640"/>
      <c r="Y82" s="640"/>
      <c r="Z82" s="640"/>
      <c r="AA82" s="640"/>
      <c r="AB82" s="640"/>
      <c r="AC82" s="640"/>
      <c r="AD82" s="640"/>
      <c r="AE82" s="640"/>
      <c r="AF82" s="640"/>
      <c r="AG82" s="640"/>
      <c r="AH82" s="640"/>
      <c r="AI82" s="640"/>
      <c r="AJ82" s="640"/>
      <c r="AK82" s="640"/>
      <c r="AL82" s="640"/>
      <c r="AM82" s="640"/>
      <c r="AN82" s="640"/>
      <c r="AO82" s="640"/>
      <c r="AP82" s="640"/>
      <c r="AQ82" s="640"/>
      <c r="AR82" s="640"/>
      <c r="AS82" s="640"/>
      <c r="AT82" s="640"/>
      <c r="AU82" s="640"/>
      <c r="AV82" s="640"/>
    </row>
    <row r="83" spans="1:48">
      <c r="A83" s="619"/>
      <c r="B83" s="619"/>
      <c r="C83" s="619"/>
      <c r="D83" s="619"/>
      <c r="E83" s="619"/>
      <c r="F83" s="619"/>
      <c r="G83" s="619"/>
      <c r="H83" s="1391"/>
      <c r="I83" s="619"/>
      <c r="J83" s="619"/>
      <c r="K83" s="619"/>
      <c r="L83" s="1391"/>
      <c r="M83" s="1391"/>
      <c r="N83" s="1391"/>
      <c r="O83" s="619"/>
      <c r="P83" s="640"/>
      <c r="Q83" s="640"/>
      <c r="R83" s="640"/>
      <c r="S83" s="640"/>
      <c r="T83" s="640"/>
      <c r="U83" s="640"/>
      <c r="V83" s="640"/>
      <c r="W83" s="640"/>
      <c r="X83" s="640"/>
      <c r="Y83" s="640"/>
      <c r="Z83" s="640"/>
      <c r="AA83" s="640"/>
      <c r="AB83" s="640"/>
      <c r="AC83" s="640"/>
      <c r="AD83" s="640"/>
      <c r="AE83" s="640"/>
      <c r="AF83" s="640"/>
      <c r="AG83" s="640"/>
      <c r="AH83" s="640"/>
      <c r="AI83" s="640"/>
      <c r="AJ83" s="640"/>
      <c r="AK83" s="640"/>
      <c r="AL83" s="640"/>
      <c r="AM83" s="640"/>
      <c r="AN83" s="640"/>
      <c r="AO83" s="640"/>
      <c r="AP83" s="640"/>
      <c r="AQ83" s="640"/>
      <c r="AR83" s="640"/>
      <c r="AS83" s="640"/>
      <c r="AT83" s="640"/>
      <c r="AU83" s="640"/>
      <c r="AV83" s="640"/>
    </row>
    <row r="84" spans="1:48">
      <c r="A84" s="619"/>
      <c r="B84" s="619"/>
      <c r="C84" s="619"/>
      <c r="D84" s="619"/>
      <c r="E84" s="619"/>
      <c r="F84" s="619"/>
      <c r="G84" s="619"/>
      <c r="H84" s="1391"/>
      <c r="I84" s="619"/>
      <c r="J84" s="619"/>
      <c r="K84" s="619"/>
      <c r="L84" s="1391"/>
      <c r="M84" s="1391"/>
      <c r="N84" s="1391"/>
      <c r="O84" s="619"/>
      <c r="P84" s="640"/>
      <c r="Q84" s="640"/>
      <c r="R84" s="640"/>
      <c r="S84" s="640"/>
      <c r="T84" s="640"/>
      <c r="U84" s="640"/>
      <c r="V84" s="640"/>
      <c r="W84" s="640"/>
      <c r="X84" s="640"/>
      <c r="Y84" s="640"/>
      <c r="Z84" s="640"/>
      <c r="AA84" s="640"/>
      <c r="AB84" s="640"/>
      <c r="AC84" s="640"/>
      <c r="AD84" s="640"/>
      <c r="AE84" s="640"/>
      <c r="AF84" s="640"/>
      <c r="AG84" s="640"/>
      <c r="AH84" s="640"/>
      <c r="AI84" s="640"/>
      <c r="AJ84" s="640"/>
      <c r="AK84" s="640"/>
      <c r="AL84" s="640"/>
      <c r="AM84" s="640"/>
      <c r="AN84" s="640"/>
      <c r="AO84" s="640"/>
      <c r="AP84" s="640"/>
      <c r="AQ84" s="640"/>
      <c r="AR84" s="640"/>
      <c r="AS84" s="640"/>
      <c r="AT84" s="640"/>
      <c r="AU84" s="640"/>
      <c r="AV84" s="640"/>
    </row>
    <row r="85" spans="1:48">
      <c r="A85" s="619"/>
      <c r="B85" s="619"/>
      <c r="C85" s="619"/>
      <c r="D85" s="619"/>
      <c r="E85" s="619"/>
      <c r="F85" s="619"/>
      <c r="G85" s="619"/>
      <c r="H85" s="1391"/>
      <c r="I85" s="619"/>
      <c r="J85" s="619"/>
      <c r="K85" s="619"/>
      <c r="L85" s="1391"/>
      <c r="M85" s="1391"/>
      <c r="N85" s="1391"/>
      <c r="O85" s="619"/>
      <c r="P85" s="640"/>
      <c r="Q85" s="640"/>
      <c r="R85" s="640"/>
      <c r="S85" s="640"/>
      <c r="T85" s="640"/>
      <c r="U85" s="640"/>
      <c r="V85" s="640"/>
      <c r="W85" s="640"/>
      <c r="X85" s="640"/>
      <c r="Y85" s="640"/>
      <c r="Z85" s="640"/>
      <c r="AA85" s="640"/>
      <c r="AB85" s="640"/>
      <c r="AC85" s="640"/>
      <c r="AD85" s="640"/>
      <c r="AE85" s="640"/>
      <c r="AF85" s="640"/>
      <c r="AG85" s="640"/>
      <c r="AH85" s="640"/>
      <c r="AI85" s="640"/>
      <c r="AJ85" s="640"/>
      <c r="AK85" s="640"/>
      <c r="AL85" s="640"/>
      <c r="AM85" s="640"/>
      <c r="AN85" s="640"/>
      <c r="AO85" s="640"/>
      <c r="AP85" s="640"/>
      <c r="AQ85" s="640"/>
      <c r="AR85" s="640"/>
      <c r="AS85" s="640"/>
      <c r="AT85" s="640"/>
      <c r="AU85" s="640"/>
      <c r="AV85" s="640"/>
    </row>
    <row r="86" spans="1:48">
      <c r="A86" s="619"/>
      <c r="B86" s="619"/>
      <c r="C86" s="619"/>
      <c r="D86" s="619"/>
      <c r="E86" s="619"/>
      <c r="F86" s="619"/>
      <c r="G86" s="619"/>
      <c r="H86" s="1391"/>
      <c r="I86" s="619"/>
      <c r="J86" s="619"/>
      <c r="K86" s="619"/>
      <c r="L86" s="1391"/>
      <c r="M86" s="1391"/>
      <c r="N86" s="1391"/>
      <c r="O86" s="619"/>
      <c r="P86" s="640"/>
      <c r="Q86" s="640"/>
      <c r="R86" s="640"/>
      <c r="S86" s="640"/>
      <c r="T86" s="640"/>
      <c r="U86" s="640"/>
      <c r="V86" s="640"/>
      <c r="W86" s="640"/>
      <c r="X86" s="640"/>
      <c r="Y86" s="640"/>
      <c r="Z86" s="640"/>
      <c r="AA86" s="640"/>
      <c r="AB86" s="640"/>
      <c r="AC86" s="640"/>
      <c r="AD86" s="640"/>
      <c r="AE86" s="640"/>
      <c r="AF86" s="640"/>
      <c r="AG86" s="640"/>
      <c r="AH86" s="640"/>
      <c r="AI86" s="640"/>
      <c r="AJ86" s="640"/>
      <c r="AK86" s="640"/>
      <c r="AL86" s="640"/>
      <c r="AM86" s="640"/>
      <c r="AN86" s="640"/>
      <c r="AO86" s="640"/>
      <c r="AP86" s="640"/>
      <c r="AQ86" s="640"/>
      <c r="AR86" s="640"/>
      <c r="AS86" s="640"/>
      <c r="AT86" s="640"/>
      <c r="AU86" s="640"/>
      <c r="AV86" s="640"/>
    </row>
    <row r="87" spans="1:48">
      <c r="A87" s="619"/>
      <c r="B87" s="619"/>
      <c r="C87" s="619"/>
      <c r="D87" s="619"/>
      <c r="E87" s="619"/>
      <c r="F87" s="619"/>
      <c r="G87" s="619"/>
      <c r="H87" s="1391"/>
      <c r="I87" s="619"/>
      <c r="J87" s="619"/>
      <c r="K87" s="619"/>
      <c r="L87" s="1391"/>
      <c r="M87" s="1391"/>
      <c r="N87" s="1391"/>
      <c r="O87" s="619"/>
      <c r="P87" s="640"/>
      <c r="Q87" s="640"/>
      <c r="R87" s="640"/>
      <c r="S87" s="640"/>
      <c r="T87" s="640"/>
      <c r="U87" s="640"/>
      <c r="V87" s="640"/>
      <c r="W87" s="640"/>
      <c r="X87" s="640"/>
      <c r="Y87" s="640"/>
      <c r="Z87" s="640"/>
      <c r="AA87" s="640"/>
      <c r="AB87" s="640"/>
      <c r="AC87" s="640"/>
      <c r="AD87" s="640"/>
      <c r="AE87" s="640"/>
      <c r="AF87" s="640"/>
      <c r="AG87" s="640"/>
      <c r="AH87" s="640"/>
      <c r="AI87" s="640"/>
      <c r="AJ87" s="640"/>
      <c r="AK87" s="640"/>
      <c r="AL87" s="640"/>
      <c r="AM87" s="640"/>
      <c r="AN87" s="640"/>
      <c r="AO87" s="640"/>
      <c r="AP87" s="640"/>
      <c r="AQ87" s="640"/>
      <c r="AR87" s="640"/>
      <c r="AS87" s="640"/>
      <c r="AT87" s="640"/>
      <c r="AU87" s="640"/>
      <c r="AV87" s="640"/>
    </row>
    <row r="88" spans="1:48">
      <c r="A88" s="619"/>
      <c r="B88" s="619"/>
      <c r="C88" s="619"/>
      <c r="D88" s="619"/>
      <c r="E88" s="619"/>
      <c r="F88" s="619"/>
      <c r="G88" s="619"/>
      <c r="H88" s="1391"/>
      <c r="I88" s="619"/>
      <c r="J88" s="619"/>
      <c r="K88" s="619"/>
      <c r="L88" s="1391"/>
      <c r="M88" s="1391"/>
      <c r="N88" s="1391"/>
      <c r="O88" s="619"/>
      <c r="P88" s="640"/>
      <c r="Q88" s="640"/>
      <c r="R88" s="640"/>
      <c r="S88" s="640"/>
      <c r="T88" s="640"/>
      <c r="U88" s="640"/>
      <c r="V88" s="640"/>
      <c r="W88" s="640"/>
      <c r="X88" s="640"/>
      <c r="Y88" s="640"/>
      <c r="Z88" s="640"/>
      <c r="AA88" s="640"/>
      <c r="AB88" s="640"/>
      <c r="AC88" s="640"/>
      <c r="AD88" s="640"/>
      <c r="AE88" s="640"/>
      <c r="AF88" s="640"/>
      <c r="AG88" s="640"/>
      <c r="AH88" s="640"/>
      <c r="AI88" s="640"/>
      <c r="AJ88" s="640"/>
      <c r="AK88" s="640"/>
      <c r="AL88" s="640"/>
      <c r="AM88" s="640"/>
      <c r="AN88" s="640"/>
      <c r="AO88" s="640"/>
      <c r="AP88" s="640"/>
      <c r="AQ88" s="640"/>
      <c r="AR88" s="640"/>
      <c r="AS88" s="640"/>
      <c r="AT88" s="640"/>
      <c r="AU88" s="640"/>
      <c r="AV88" s="640"/>
    </row>
    <row r="89" spans="1:48">
      <c r="A89" s="619"/>
      <c r="B89" s="619"/>
      <c r="C89" s="619"/>
      <c r="D89" s="619"/>
      <c r="E89" s="619"/>
      <c r="F89" s="619"/>
      <c r="G89" s="619"/>
      <c r="H89" s="1391"/>
      <c r="I89" s="619"/>
      <c r="J89" s="619"/>
      <c r="K89" s="619"/>
      <c r="L89" s="1391"/>
      <c r="M89" s="1391"/>
      <c r="N89" s="1391"/>
      <c r="O89" s="619"/>
      <c r="P89" s="640"/>
      <c r="Q89" s="640"/>
      <c r="R89" s="640"/>
      <c r="S89" s="640"/>
      <c r="T89" s="640"/>
      <c r="U89" s="640"/>
      <c r="V89" s="640"/>
      <c r="W89" s="640"/>
      <c r="X89" s="640"/>
      <c r="Y89" s="640"/>
      <c r="Z89" s="640"/>
      <c r="AA89" s="640"/>
      <c r="AB89" s="640"/>
      <c r="AC89" s="640"/>
      <c r="AD89" s="640"/>
      <c r="AE89" s="640"/>
      <c r="AF89" s="640"/>
      <c r="AG89" s="640"/>
      <c r="AH89" s="640"/>
      <c r="AI89" s="640"/>
      <c r="AJ89" s="640"/>
      <c r="AK89" s="640"/>
      <c r="AL89" s="640"/>
      <c r="AM89" s="640"/>
      <c r="AN89" s="640"/>
      <c r="AO89" s="640"/>
      <c r="AP89" s="640"/>
      <c r="AQ89" s="640"/>
      <c r="AR89" s="640"/>
      <c r="AS89" s="640"/>
      <c r="AT89" s="640"/>
      <c r="AU89" s="640"/>
      <c r="AV89" s="640"/>
    </row>
    <row r="90" spans="1:48">
      <c r="A90" s="619"/>
      <c r="B90" s="619"/>
      <c r="C90" s="619"/>
      <c r="D90" s="619"/>
      <c r="E90" s="619"/>
      <c r="F90" s="619"/>
      <c r="G90" s="619"/>
      <c r="H90" s="1391"/>
      <c r="I90" s="619"/>
      <c r="J90" s="619"/>
      <c r="K90" s="619"/>
      <c r="L90" s="1391"/>
      <c r="M90" s="1391"/>
      <c r="N90" s="1391"/>
      <c r="O90" s="619"/>
      <c r="P90" s="640"/>
      <c r="Q90" s="640"/>
      <c r="R90" s="640"/>
      <c r="S90" s="640"/>
      <c r="T90" s="640"/>
      <c r="U90" s="640"/>
      <c r="V90" s="640"/>
      <c r="W90" s="640"/>
      <c r="X90" s="640"/>
      <c r="Y90" s="640"/>
      <c r="Z90" s="640"/>
      <c r="AA90" s="640"/>
      <c r="AB90" s="640"/>
      <c r="AC90" s="640"/>
      <c r="AD90" s="640"/>
      <c r="AE90" s="640"/>
      <c r="AF90" s="640"/>
      <c r="AG90" s="640"/>
      <c r="AH90" s="640"/>
      <c r="AI90" s="640"/>
      <c r="AJ90" s="640"/>
      <c r="AK90" s="640"/>
      <c r="AL90" s="640"/>
      <c r="AM90" s="640"/>
      <c r="AN90" s="640"/>
      <c r="AO90" s="640"/>
      <c r="AP90" s="640"/>
      <c r="AQ90" s="640"/>
      <c r="AR90" s="640"/>
      <c r="AS90" s="640"/>
      <c r="AT90" s="640"/>
      <c r="AU90" s="640"/>
      <c r="AV90" s="640"/>
    </row>
    <row r="91" spans="1:48">
      <c r="A91" s="619"/>
      <c r="B91" s="619"/>
      <c r="C91" s="619"/>
      <c r="D91" s="619"/>
      <c r="E91" s="619"/>
      <c r="F91" s="619"/>
      <c r="G91" s="619"/>
      <c r="H91" s="1391"/>
      <c r="I91" s="619"/>
      <c r="J91" s="619"/>
      <c r="K91" s="619"/>
      <c r="L91" s="1391"/>
      <c r="M91" s="1391"/>
      <c r="N91" s="1391"/>
      <c r="O91" s="619"/>
      <c r="P91" s="640"/>
      <c r="Q91" s="640"/>
      <c r="R91" s="640"/>
      <c r="S91" s="640"/>
      <c r="T91" s="640"/>
      <c r="U91" s="640"/>
      <c r="V91" s="640"/>
      <c r="W91" s="640"/>
      <c r="X91" s="640"/>
      <c r="Y91" s="640"/>
      <c r="Z91" s="640"/>
      <c r="AA91" s="640"/>
      <c r="AB91" s="640"/>
      <c r="AC91" s="640"/>
      <c r="AD91" s="640"/>
      <c r="AE91" s="640"/>
      <c r="AF91" s="640"/>
      <c r="AG91" s="640"/>
      <c r="AH91" s="640"/>
      <c r="AI91" s="640"/>
      <c r="AJ91" s="640"/>
      <c r="AK91" s="640"/>
      <c r="AL91" s="640"/>
      <c r="AM91" s="640"/>
      <c r="AN91" s="640"/>
      <c r="AO91" s="640"/>
      <c r="AP91" s="640"/>
      <c r="AQ91" s="640"/>
      <c r="AR91" s="640"/>
      <c r="AS91" s="640"/>
      <c r="AT91" s="640"/>
      <c r="AU91" s="640"/>
      <c r="AV91" s="640"/>
    </row>
    <row r="92" spans="1:48">
      <c r="A92" s="619"/>
      <c r="B92" s="619"/>
      <c r="C92" s="619"/>
      <c r="D92" s="619"/>
      <c r="E92" s="619"/>
      <c r="F92" s="619"/>
      <c r="G92" s="619"/>
      <c r="H92" s="1391"/>
      <c r="I92" s="619"/>
      <c r="J92" s="619"/>
      <c r="K92" s="619"/>
      <c r="L92" s="1391"/>
      <c r="M92" s="1391"/>
      <c r="N92" s="1391"/>
      <c r="O92" s="619"/>
      <c r="P92" s="640"/>
      <c r="Q92" s="640"/>
      <c r="R92" s="640"/>
      <c r="S92" s="640"/>
      <c r="T92" s="640"/>
      <c r="U92" s="640"/>
      <c r="V92" s="640"/>
      <c r="W92" s="640"/>
      <c r="X92" s="640"/>
      <c r="Y92" s="640"/>
      <c r="Z92" s="640"/>
      <c r="AA92" s="640"/>
      <c r="AB92" s="640"/>
      <c r="AC92" s="640"/>
      <c r="AD92" s="640"/>
      <c r="AE92" s="640"/>
      <c r="AF92" s="640"/>
      <c r="AG92" s="640"/>
      <c r="AH92" s="640"/>
      <c r="AI92" s="640"/>
      <c r="AJ92" s="640"/>
      <c r="AK92" s="640"/>
      <c r="AL92" s="640"/>
      <c r="AM92" s="640"/>
      <c r="AN92" s="640"/>
      <c r="AO92" s="640"/>
      <c r="AP92" s="640"/>
      <c r="AQ92" s="640"/>
      <c r="AR92" s="640"/>
      <c r="AS92" s="640"/>
      <c r="AT92" s="640"/>
      <c r="AU92" s="640"/>
      <c r="AV92" s="640"/>
    </row>
    <row r="93" spans="1:48">
      <c r="A93" s="619"/>
      <c r="B93" s="619"/>
      <c r="C93" s="619"/>
      <c r="D93" s="619"/>
      <c r="E93" s="619"/>
      <c r="F93" s="619"/>
      <c r="G93" s="619"/>
      <c r="H93" s="1391"/>
      <c r="I93" s="619"/>
      <c r="J93" s="619"/>
      <c r="K93" s="619"/>
      <c r="L93" s="1391"/>
      <c r="M93" s="1391"/>
      <c r="N93" s="1391"/>
      <c r="O93" s="619"/>
      <c r="P93" s="640"/>
      <c r="Q93" s="640"/>
      <c r="R93" s="640"/>
      <c r="S93" s="640"/>
      <c r="T93" s="640"/>
      <c r="U93" s="640"/>
      <c r="V93" s="640"/>
      <c r="W93" s="640"/>
      <c r="X93" s="640"/>
      <c r="Y93" s="640"/>
      <c r="Z93" s="640"/>
      <c r="AA93" s="640"/>
      <c r="AB93" s="640"/>
      <c r="AC93" s="640"/>
      <c r="AD93" s="640"/>
      <c r="AE93" s="640"/>
      <c r="AF93" s="640"/>
      <c r="AG93" s="640"/>
      <c r="AH93" s="640"/>
      <c r="AI93" s="640"/>
      <c r="AJ93" s="640"/>
      <c r="AK93" s="640"/>
      <c r="AL93" s="640"/>
      <c r="AM93" s="640"/>
      <c r="AN93" s="640"/>
      <c r="AO93" s="640"/>
      <c r="AP93" s="640"/>
      <c r="AQ93" s="640"/>
      <c r="AR93" s="640"/>
      <c r="AS93" s="640"/>
      <c r="AT93" s="640"/>
      <c r="AU93" s="640"/>
      <c r="AV93" s="640"/>
    </row>
    <row r="94" spans="1:48">
      <c r="A94" s="619"/>
      <c r="B94" s="619"/>
      <c r="C94" s="619"/>
      <c r="D94" s="619"/>
      <c r="E94" s="619"/>
      <c r="F94" s="619"/>
      <c r="G94" s="619"/>
      <c r="H94" s="1391"/>
      <c r="I94" s="619"/>
      <c r="J94" s="619"/>
      <c r="K94" s="619"/>
      <c r="L94" s="1391"/>
      <c r="M94" s="1391"/>
      <c r="N94" s="1391"/>
      <c r="O94" s="619"/>
      <c r="P94" s="640"/>
      <c r="Q94" s="640"/>
      <c r="R94" s="640"/>
      <c r="S94" s="640"/>
      <c r="T94" s="640"/>
      <c r="U94" s="640"/>
      <c r="V94" s="640"/>
      <c r="W94" s="640"/>
      <c r="X94" s="640"/>
      <c r="Y94" s="640"/>
      <c r="Z94" s="640"/>
      <c r="AA94" s="640"/>
      <c r="AB94" s="640"/>
      <c r="AC94" s="640"/>
      <c r="AD94" s="640"/>
      <c r="AE94" s="640"/>
      <c r="AF94" s="640"/>
      <c r="AG94" s="640"/>
      <c r="AH94" s="640"/>
      <c r="AI94" s="640"/>
      <c r="AJ94" s="640"/>
      <c r="AK94" s="640"/>
      <c r="AL94" s="640"/>
      <c r="AM94" s="640"/>
      <c r="AN94" s="640"/>
      <c r="AO94" s="640"/>
      <c r="AP94" s="640"/>
      <c r="AQ94" s="640"/>
      <c r="AR94" s="640"/>
      <c r="AS94" s="640"/>
      <c r="AT94" s="640"/>
      <c r="AU94" s="640"/>
      <c r="AV94" s="640"/>
    </row>
    <row r="95" spans="1:48">
      <c r="A95" s="619"/>
      <c r="B95" s="619"/>
      <c r="C95" s="619"/>
      <c r="D95" s="619"/>
      <c r="E95" s="619"/>
      <c r="F95" s="619"/>
      <c r="G95" s="619"/>
      <c r="H95" s="1391"/>
      <c r="I95" s="619"/>
      <c r="J95" s="619"/>
      <c r="K95" s="619"/>
      <c r="L95" s="1391"/>
      <c r="M95" s="1391"/>
      <c r="N95" s="1391"/>
      <c r="O95" s="619"/>
      <c r="P95" s="640"/>
      <c r="Q95" s="640"/>
      <c r="R95" s="640"/>
      <c r="S95" s="640"/>
      <c r="T95" s="640"/>
      <c r="U95" s="640"/>
      <c r="V95" s="640"/>
      <c r="W95" s="640"/>
      <c r="X95" s="640"/>
      <c r="Y95" s="640"/>
      <c r="Z95" s="640"/>
      <c r="AA95" s="640"/>
      <c r="AB95" s="640"/>
      <c r="AC95" s="640"/>
      <c r="AD95" s="640"/>
      <c r="AE95" s="640"/>
      <c r="AF95" s="640"/>
      <c r="AG95" s="640"/>
      <c r="AH95" s="640"/>
      <c r="AI95" s="640"/>
      <c r="AJ95" s="640"/>
      <c r="AK95" s="640"/>
      <c r="AL95" s="640"/>
      <c r="AM95" s="640"/>
      <c r="AN95" s="640"/>
      <c r="AO95" s="640"/>
      <c r="AP95" s="640"/>
      <c r="AQ95" s="640"/>
      <c r="AR95" s="640"/>
      <c r="AS95" s="640"/>
      <c r="AT95" s="640"/>
      <c r="AU95" s="640"/>
      <c r="AV95" s="640"/>
    </row>
    <row r="96" spans="1:48">
      <c r="A96" s="619"/>
      <c r="B96" s="619"/>
      <c r="C96" s="619"/>
      <c r="D96" s="619"/>
      <c r="E96" s="619"/>
      <c r="F96" s="619"/>
      <c r="G96" s="619"/>
      <c r="H96" s="1391"/>
      <c r="I96" s="619"/>
      <c r="J96" s="619"/>
      <c r="K96" s="619"/>
      <c r="L96" s="1391"/>
      <c r="M96" s="1391"/>
      <c r="N96" s="1391"/>
      <c r="O96" s="619"/>
      <c r="P96" s="640"/>
      <c r="Q96" s="640"/>
      <c r="R96" s="640"/>
      <c r="S96" s="640"/>
      <c r="T96" s="640"/>
      <c r="U96" s="640"/>
      <c r="V96" s="640"/>
      <c r="W96" s="640"/>
      <c r="X96" s="640"/>
      <c r="Y96" s="640"/>
      <c r="Z96" s="640"/>
      <c r="AA96" s="640"/>
      <c r="AB96" s="640"/>
      <c r="AC96" s="640"/>
      <c r="AD96" s="640"/>
      <c r="AE96" s="640"/>
      <c r="AF96" s="640"/>
      <c r="AG96" s="640"/>
      <c r="AH96" s="640"/>
      <c r="AI96" s="640"/>
      <c r="AJ96" s="640"/>
      <c r="AK96" s="640"/>
      <c r="AL96" s="640"/>
      <c r="AM96" s="640"/>
      <c r="AN96" s="640"/>
      <c r="AO96" s="640"/>
      <c r="AP96" s="640"/>
      <c r="AQ96" s="640"/>
      <c r="AR96" s="640"/>
      <c r="AS96" s="640"/>
      <c r="AT96" s="640"/>
      <c r="AU96" s="640"/>
      <c r="AV96" s="640"/>
    </row>
    <row r="97" spans="1:48">
      <c r="A97" s="619"/>
      <c r="B97" s="619"/>
      <c r="C97" s="619"/>
      <c r="D97" s="619"/>
      <c r="E97" s="619"/>
      <c r="F97" s="619"/>
      <c r="G97" s="619"/>
      <c r="H97" s="1391"/>
      <c r="I97" s="619"/>
      <c r="J97" s="619"/>
      <c r="K97" s="619"/>
      <c r="L97" s="1391"/>
      <c r="M97" s="1391"/>
      <c r="N97" s="1391"/>
      <c r="O97" s="619"/>
      <c r="P97" s="640"/>
      <c r="Q97" s="640"/>
      <c r="R97" s="640"/>
      <c r="S97" s="640"/>
      <c r="T97" s="640"/>
      <c r="U97" s="640"/>
      <c r="V97" s="640"/>
      <c r="W97" s="640"/>
      <c r="X97" s="640"/>
      <c r="Y97" s="640"/>
      <c r="Z97" s="640"/>
      <c r="AA97" s="640"/>
      <c r="AB97" s="640"/>
      <c r="AC97" s="640"/>
      <c r="AD97" s="640"/>
      <c r="AE97" s="640"/>
      <c r="AF97" s="640"/>
      <c r="AG97" s="640"/>
      <c r="AH97" s="640"/>
      <c r="AI97" s="640"/>
      <c r="AJ97" s="640"/>
      <c r="AK97" s="640"/>
      <c r="AL97" s="640"/>
      <c r="AM97" s="640"/>
      <c r="AN97" s="640"/>
      <c r="AO97" s="640"/>
      <c r="AP97" s="640"/>
      <c r="AQ97" s="640"/>
      <c r="AR97" s="640"/>
      <c r="AS97" s="640"/>
      <c r="AT97" s="640"/>
      <c r="AU97" s="640"/>
      <c r="AV97" s="640"/>
    </row>
    <row r="98" spans="1:48">
      <c r="A98" s="619"/>
      <c r="B98" s="619"/>
      <c r="C98" s="619"/>
      <c r="D98" s="619"/>
      <c r="E98" s="619"/>
      <c r="F98" s="619"/>
      <c r="G98" s="619"/>
      <c r="H98" s="1391"/>
      <c r="I98" s="619"/>
      <c r="J98" s="619"/>
      <c r="K98" s="619"/>
      <c r="L98" s="1391"/>
      <c r="M98" s="1391"/>
      <c r="N98" s="1391"/>
      <c r="O98" s="619"/>
      <c r="P98" s="640"/>
      <c r="Q98" s="640"/>
      <c r="R98" s="640"/>
      <c r="S98" s="640"/>
      <c r="T98" s="640"/>
      <c r="U98" s="640"/>
      <c r="V98" s="640"/>
      <c r="W98" s="640"/>
      <c r="X98" s="640"/>
      <c r="Y98" s="640"/>
      <c r="Z98" s="640"/>
      <c r="AA98" s="640"/>
      <c r="AB98" s="640"/>
      <c r="AC98" s="640"/>
      <c r="AD98" s="640"/>
      <c r="AE98" s="640"/>
      <c r="AF98" s="640"/>
      <c r="AG98" s="640"/>
      <c r="AH98" s="640"/>
      <c r="AI98" s="640"/>
      <c r="AJ98" s="640"/>
      <c r="AK98" s="640"/>
      <c r="AL98" s="640"/>
      <c r="AM98" s="640"/>
      <c r="AN98" s="640"/>
      <c r="AO98" s="640"/>
      <c r="AP98" s="640"/>
      <c r="AQ98" s="640"/>
      <c r="AR98" s="640"/>
      <c r="AS98" s="640"/>
      <c r="AT98" s="640"/>
      <c r="AU98" s="640"/>
      <c r="AV98" s="640"/>
    </row>
    <row r="99" spans="1:48">
      <c r="A99" s="619"/>
      <c r="B99" s="619"/>
      <c r="C99" s="619"/>
      <c r="D99" s="619"/>
      <c r="E99" s="619"/>
      <c r="F99" s="619"/>
      <c r="G99" s="619"/>
      <c r="H99" s="1391"/>
      <c r="I99" s="619"/>
      <c r="J99" s="619"/>
      <c r="K99" s="619"/>
      <c r="L99" s="1391"/>
      <c r="M99" s="1391"/>
      <c r="N99" s="1391"/>
      <c r="O99" s="619"/>
      <c r="P99" s="640"/>
      <c r="Q99" s="640"/>
      <c r="R99" s="640"/>
      <c r="S99" s="640"/>
      <c r="T99" s="640"/>
      <c r="U99" s="640"/>
      <c r="V99" s="640"/>
      <c r="W99" s="640"/>
      <c r="X99" s="640"/>
      <c r="Y99" s="640"/>
      <c r="Z99" s="640"/>
      <c r="AA99" s="640"/>
      <c r="AB99" s="640"/>
      <c r="AC99" s="640"/>
      <c r="AD99" s="640"/>
      <c r="AE99" s="640"/>
      <c r="AF99" s="640"/>
      <c r="AG99" s="640"/>
      <c r="AH99" s="640"/>
      <c r="AI99" s="640"/>
      <c r="AJ99" s="640"/>
      <c r="AK99" s="640"/>
      <c r="AL99" s="640"/>
      <c r="AM99" s="640"/>
      <c r="AN99" s="640"/>
      <c r="AO99" s="640"/>
      <c r="AP99" s="640"/>
      <c r="AQ99" s="640"/>
      <c r="AR99" s="640"/>
      <c r="AS99" s="640"/>
      <c r="AT99" s="640"/>
      <c r="AU99" s="640"/>
      <c r="AV99" s="640"/>
    </row>
    <row r="100" spans="1:48">
      <c r="A100" s="619"/>
      <c r="B100" s="619"/>
      <c r="C100" s="619"/>
      <c r="D100" s="619"/>
      <c r="E100" s="619"/>
      <c r="F100" s="619"/>
      <c r="G100" s="619"/>
      <c r="H100" s="1391"/>
      <c r="I100" s="619"/>
      <c r="J100" s="619"/>
      <c r="K100" s="619"/>
      <c r="L100" s="1391"/>
      <c r="M100" s="1391"/>
      <c r="N100" s="1391"/>
      <c r="O100" s="619"/>
      <c r="P100" s="640"/>
      <c r="Q100" s="640"/>
      <c r="R100" s="640"/>
      <c r="S100" s="640"/>
      <c r="T100" s="640"/>
      <c r="U100" s="640"/>
      <c r="V100" s="640"/>
      <c r="W100" s="640"/>
      <c r="X100" s="640"/>
      <c r="Y100" s="640"/>
      <c r="Z100" s="640"/>
      <c r="AA100" s="640"/>
      <c r="AB100" s="640"/>
      <c r="AC100" s="640"/>
      <c r="AD100" s="640"/>
      <c r="AE100" s="640"/>
      <c r="AF100" s="640"/>
      <c r="AG100" s="640"/>
      <c r="AH100" s="640"/>
      <c r="AI100" s="640"/>
      <c r="AJ100" s="640"/>
      <c r="AK100" s="640"/>
      <c r="AL100" s="640"/>
      <c r="AM100" s="640"/>
      <c r="AN100" s="640"/>
      <c r="AO100" s="640"/>
      <c r="AP100" s="640"/>
      <c r="AQ100" s="640"/>
      <c r="AR100" s="640"/>
      <c r="AS100" s="640"/>
      <c r="AT100" s="640"/>
      <c r="AU100" s="640"/>
      <c r="AV100" s="640"/>
    </row>
    <row r="101" spans="1:48">
      <c r="A101" s="619"/>
      <c r="B101" s="619"/>
      <c r="C101" s="619"/>
      <c r="D101" s="619"/>
      <c r="E101" s="619"/>
      <c r="F101" s="619"/>
      <c r="G101" s="619"/>
      <c r="H101" s="1391"/>
      <c r="I101" s="619"/>
      <c r="J101" s="619"/>
      <c r="K101" s="619"/>
      <c r="L101" s="1391"/>
      <c r="M101" s="1391"/>
      <c r="N101" s="1391"/>
      <c r="O101" s="619"/>
      <c r="P101" s="640"/>
      <c r="Q101" s="640"/>
      <c r="R101" s="640"/>
      <c r="S101" s="640"/>
      <c r="T101" s="640"/>
      <c r="U101" s="640"/>
      <c r="V101" s="640"/>
      <c r="W101" s="640"/>
      <c r="X101" s="640"/>
      <c r="Y101" s="640"/>
      <c r="Z101" s="640"/>
      <c r="AA101" s="640"/>
      <c r="AB101" s="640"/>
      <c r="AC101" s="640"/>
      <c r="AD101" s="640"/>
      <c r="AE101" s="640"/>
      <c r="AF101" s="640"/>
      <c r="AG101" s="640"/>
      <c r="AH101" s="640"/>
      <c r="AI101" s="640"/>
      <c r="AJ101" s="640"/>
      <c r="AK101" s="640"/>
      <c r="AL101" s="640"/>
      <c r="AM101" s="640"/>
      <c r="AN101" s="640"/>
      <c r="AO101" s="640"/>
      <c r="AP101" s="640"/>
      <c r="AQ101" s="640"/>
      <c r="AR101" s="640"/>
      <c r="AS101" s="640"/>
      <c r="AT101" s="640"/>
      <c r="AU101" s="640"/>
      <c r="AV101" s="640"/>
    </row>
    <row r="102" spans="1:48">
      <c r="A102" s="619"/>
      <c r="B102" s="619"/>
      <c r="C102" s="619"/>
      <c r="D102" s="619"/>
      <c r="E102" s="619"/>
      <c r="F102" s="619"/>
      <c r="G102" s="619"/>
      <c r="H102" s="1391"/>
      <c r="I102" s="619"/>
      <c r="J102" s="619"/>
      <c r="K102" s="619"/>
      <c r="L102" s="1391"/>
      <c r="M102" s="1391"/>
      <c r="N102" s="1391"/>
      <c r="O102" s="619"/>
      <c r="P102" s="640"/>
      <c r="Q102" s="640"/>
      <c r="R102" s="640"/>
      <c r="S102" s="640"/>
      <c r="T102" s="640"/>
      <c r="U102" s="640"/>
      <c r="V102" s="640"/>
      <c r="W102" s="640"/>
      <c r="X102" s="640"/>
      <c r="Y102" s="640"/>
      <c r="Z102" s="640"/>
      <c r="AA102" s="640"/>
      <c r="AB102" s="640"/>
      <c r="AC102" s="640"/>
      <c r="AD102" s="640"/>
      <c r="AE102" s="640"/>
      <c r="AF102" s="640"/>
      <c r="AG102" s="640"/>
      <c r="AH102" s="640"/>
      <c r="AI102" s="640"/>
      <c r="AJ102" s="640"/>
      <c r="AK102" s="640"/>
      <c r="AL102" s="640"/>
      <c r="AM102" s="640"/>
      <c r="AN102" s="640"/>
      <c r="AO102" s="640"/>
      <c r="AP102" s="640"/>
      <c r="AQ102" s="640"/>
      <c r="AR102" s="640"/>
      <c r="AS102" s="640"/>
      <c r="AT102" s="640"/>
      <c r="AU102" s="640"/>
      <c r="AV102" s="640"/>
    </row>
    <row r="103" spans="1:48">
      <c r="A103" s="619"/>
      <c r="B103" s="619"/>
      <c r="C103" s="619"/>
      <c r="D103" s="619"/>
      <c r="E103" s="619"/>
      <c r="F103" s="619"/>
      <c r="G103" s="619"/>
      <c r="H103" s="1391"/>
      <c r="I103" s="619"/>
      <c r="J103" s="619"/>
      <c r="K103" s="619"/>
      <c r="L103" s="1391"/>
      <c r="M103" s="1391"/>
      <c r="N103" s="1391"/>
      <c r="O103" s="619"/>
      <c r="P103" s="640"/>
      <c r="Q103" s="640"/>
      <c r="R103" s="640"/>
      <c r="S103" s="640"/>
      <c r="T103" s="640"/>
      <c r="U103" s="640"/>
      <c r="V103" s="640"/>
      <c r="W103" s="640"/>
      <c r="X103" s="640"/>
      <c r="Y103" s="640"/>
      <c r="Z103" s="640"/>
      <c r="AA103" s="640"/>
      <c r="AB103" s="640"/>
      <c r="AC103" s="640"/>
      <c r="AD103" s="640"/>
      <c r="AE103" s="640"/>
      <c r="AF103" s="640"/>
      <c r="AG103" s="640"/>
      <c r="AH103" s="640"/>
      <c r="AI103" s="640"/>
      <c r="AJ103" s="640"/>
      <c r="AK103" s="640"/>
      <c r="AL103" s="640"/>
      <c r="AM103" s="640"/>
      <c r="AN103" s="640"/>
      <c r="AO103" s="640"/>
      <c r="AP103" s="640"/>
      <c r="AQ103" s="640"/>
      <c r="AR103" s="640"/>
      <c r="AS103" s="640"/>
      <c r="AT103" s="640"/>
      <c r="AU103" s="640"/>
      <c r="AV103" s="640"/>
    </row>
    <row r="104" spans="1:48">
      <c r="A104" s="619"/>
      <c r="B104" s="619"/>
      <c r="C104" s="619"/>
      <c r="D104" s="619"/>
      <c r="E104" s="619"/>
      <c r="F104" s="619"/>
      <c r="G104" s="619"/>
      <c r="H104" s="1391"/>
      <c r="I104" s="619"/>
      <c r="J104" s="619"/>
      <c r="K104" s="619"/>
      <c r="L104" s="1391"/>
      <c r="M104" s="1391"/>
      <c r="N104" s="1391"/>
      <c r="O104" s="619"/>
      <c r="P104" s="640"/>
      <c r="Q104" s="640"/>
      <c r="R104" s="640"/>
      <c r="S104" s="640"/>
      <c r="T104" s="640"/>
      <c r="U104" s="640"/>
      <c r="V104" s="640"/>
      <c r="W104" s="640"/>
      <c r="X104" s="640"/>
      <c r="Y104" s="640"/>
      <c r="Z104" s="640"/>
      <c r="AA104" s="640"/>
      <c r="AB104" s="640"/>
      <c r="AC104" s="640"/>
      <c r="AD104" s="640"/>
      <c r="AE104" s="640"/>
      <c r="AF104" s="640"/>
      <c r="AG104" s="640"/>
      <c r="AH104" s="640"/>
      <c r="AI104" s="640"/>
      <c r="AJ104" s="640"/>
      <c r="AK104" s="640"/>
      <c r="AL104" s="640"/>
      <c r="AM104" s="640"/>
      <c r="AN104" s="640"/>
      <c r="AO104" s="640"/>
      <c r="AP104" s="640"/>
      <c r="AQ104" s="640"/>
      <c r="AR104" s="640"/>
      <c r="AS104" s="640"/>
      <c r="AT104" s="640"/>
      <c r="AU104" s="640"/>
      <c r="AV104" s="640"/>
    </row>
    <row r="105" spans="1:48">
      <c r="A105" s="619"/>
      <c r="B105" s="619"/>
      <c r="C105" s="619"/>
      <c r="D105" s="619"/>
      <c r="E105" s="619"/>
      <c r="F105" s="619"/>
      <c r="G105" s="619"/>
      <c r="H105" s="1391"/>
      <c r="I105" s="619"/>
      <c r="J105" s="619"/>
      <c r="K105" s="619"/>
      <c r="L105" s="1391"/>
      <c r="M105" s="1391"/>
      <c r="N105" s="1391"/>
      <c r="O105" s="619"/>
      <c r="P105" s="640"/>
      <c r="Q105" s="640"/>
      <c r="R105" s="640"/>
      <c r="S105" s="640"/>
      <c r="T105" s="640"/>
      <c r="U105" s="640"/>
      <c r="V105" s="640"/>
      <c r="W105" s="640"/>
      <c r="X105" s="640"/>
      <c r="Y105" s="640"/>
      <c r="Z105" s="640"/>
      <c r="AA105" s="640"/>
      <c r="AB105" s="640"/>
      <c r="AC105" s="640"/>
      <c r="AD105" s="640"/>
      <c r="AE105" s="640"/>
      <c r="AF105" s="640"/>
      <c r="AG105" s="640"/>
      <c r="AH105" s="640"/>
      <c r="AI105" s="640"/>
      <c r="AJ105" s="640"/>
      <c r="AK105" s="640"/>
      <c r="AL105" s="640"/>
      <c r="AM105" s="640"/>
      <c r="AN105" s="640"/>
      <c r="AO105" s="640"/>
      <c r="AP105" s="640"/>
      <c r="AQ105" s="640"/>
      <c r="AR105" s="640"/>
      <c r="AS105" s="640"/>
      <c r="AT105" s="640"/>
      <c r="AU105" s="640"/>
      <c r="AV105" s="640"/>
    </row>
    <row r="106" spans="1:48">
      <c r="A106" s="619"/>
      <c r="B106" s="619"/>
      <c r="C106" s="619"/>
      <c r="D106" s="619"/>
      <c r="E106" s="619"/>
      <c r="F106" s="619"/>
      <c r="G106" s="619"/>
      <c r="H106" s="1391"/>
      <c r="I106" s="619"/>
      <c r="J106" s="619"/>
      <c r="K106" s="619"/>
      <c r="L106" s="1391"/>
      <c r="M106" s="1391"/>
      <c r="N106" s="1391"/>
      <c r="O106" s="619"/>
      <c r="P106" s="640"/>
      <c r="Q106" s="640"/>
      <c r="R106" s="640"/>
      <c r="S106" s="640"/>
      <c r="T106" s="640"/>
      <c r="U106" s="640"/>
      <c r="V106" s="640"/>
      <c r="W106" s="640"/>
      <c r="X106" s="640"/>
      <c r="Y106" s="640"/>
      <c r="Z106" s="640"/>
      <c r="AA106" s="640"/>
      <c r="AB106" s="640"/>
      <c r="AC106" s="640"/>
      <c r="AD106" s="640"/>
      <c r="AE106" s="640"/>
      <c r="AF106" s="640"/>
      <c r="AG106" s="640"/>
      <c r="AH106" s="640"/>
      <c r="AI106" s="640"/>
      <c r="AJ106" s="640"/>
      <c r="AK106" s="640"/>
      <c r="AL106" s="640"/>
      <c r="AM106" s="640"/>
      <c r="AN106" s="640"/>
      <c r="AO106" s="640"/>
      <c r="AP106" s="640"/>
      <c r="AQ106" s="640"/>
      <c r="AR106" s="640"/>
      <c r="AS106" s="640"/>
      <c r="AT106" s="640"/>
      <c r="AU106" s="640"/>
      <c r="AV106" s="640"/>
    </row>
    <row r="107" spans="1:48">
      <c r="A107" s="615"/>
      <c r="B107" s="615"/>
      <c r="C107" s="615"/>
      <c r="D107" s="615"/>
      <c r="E107" s="615"/>
      <c r="F107" s="615"/>
      <c r="G107" s="615"/>
      <c r="H107" s="1392"/>
      <c r="I107" s="615"/>
      <c r="J107" s="615"/>
      <c r="K107" s="615"/>
      <c r="L107" s="1392"/>
      <c r="M107" s="1392"/>
      <c r="N107" s="1392"/>
      <c r="O107" s="615"/>
      <c r="P107" s="640"/>
      <c r="Q107" s="640"/>
      <c r="R107" s="640"/>
      <c r="S107" s="640"/>
      <c r="T107" s="640"/>
      <c r="U107" s="640"/>
      <c r="V107" s="640"/>
      <c r="W107" s="640"/>
      <c r="X107" s="640"/>
      <c r="Y107" s="640"/>
      <c r="Z107" s="640"/>
      <c r="AA107" s="640"/>
      <c r="AB107" s="640"/>
      <c r="AC107" s="640"/>
      <c r="AD107" s="640"/>
      <c r="AE107" s="640"/>
      <c r="AF107" s="640"/>
      <c r="AG107" s="640"/>
      <c r="AH107" s="640"/>
      <c r="AI107" s="640"/>
      <c r="AJ107" s="640"/>
      <c r="AK107" s="640"/>
      <c r="AL107" s="640"/>
      <c r="AM107" s="640"/>
      <c r="AN107" s="640"/>
      <c r="AO107" s="640"/>
      <c r="AP107" s="640"/>
      <c r="AQ107" s="640"/>
      <c r="AR107" s="640"/>
      <c r="AS107" s="640"/>
      <c r="AT107" s="640"/>
      <c r="AU107" s="640"/>
      <c r="AV107" s="640"/>
    </row>
    <row r="108" spans="1:48">
      <c r="A108" s="615"/>
      <c r="B108" s="615"/>
      <c r="C108" s="615"/>
      <c r="D108" s="615"/>
      <c r="E108" s="615"/>
      <c r="F108" s="615"/>
      <c r="G108" s="615"/>
      <c r="H108" s="1392"/>
      <c r="I108" s="615"/>
      <c r="J108" s="615"/>
      <c r="K108" s="615"/>
      <c r="L108" s="1392"/>
      <c r="M108" s="1392"/>
      <c r="N108" s="1392"/>
      <c r="O108" s="615"/>
      <c r="P108" s="640"/>
      <c r="Q108" s="640"/>
      <c r="R108" s="640"/>
      <c r="S108" s="640"/>
      <c r="T108" s="640"/>
      <c r="U108" s="640"/>
      <c r="V108" s="640"/>
      <c r="W108" s="640"/>
      <c r="X108" s="640"/>
      <c r="Y108" s="640"/>
      <c r="Z108" s="640"/>
      <c r="AA108" s="640"/>
      <c r="AB108" s="640"/>
      <c r="AC108" s="640"/>
      <c r="AD108" s="640"/>
      <c r="AE108" s="640"/>
      <c r="AF108" s="640"/>
      <c r="AG108" s="640"/>
      <c r="AH108" s="640"/>
      <c r="AI108" s="640"/>
      <c r="AJ108" s="640"/>
      <c r="AK108" s="640"/>
      <c r="AL108" s="640"/>
      <c r="AM108" s="640"/>
      <c r="AN108" s="640"/>
      <c r="AO108" s="640"/>
      <c r="AP108" s="640"/>
      <c r="AQ108" s="640"/>
      <c r="AR108" s="640"/>
      <c r="AS108" s="640"/>
      <c r="AT108" s="640"/>
      <c r="AU108" s="640"/>
      <c r="AV108" s="640"/>
    </row>
    <row r="109" spans="1:48">
      <c r="A109" s="615"/>
      <c r="B109" s="615"/>
      <c r="C109" s="615"/>
      <c r="D109" s="615"/>
      <c r="E109" s="615"/>
      <c r="F109" s="615"/>
      <c r="G109" s="615"/>
      <c r="H109" s="1392"/>
      <c r="I109" s="615"/>
      <c r="J109" s="615"/>
      <c r="K109" s="615"/>
      <c r="L109" s="1392"/>
      <c r="M109" s="1392"/>
      <c r="N109" s="1392"/>
      <c r="O109" s="615"/>
      <c r="P109" s="640"/>
      <c r="Q109" s="640"/>
      <c r="R109" s="640"/>
      <c r="S109" s="640"/>
      <c r="T109" s="640"/>
      <c r="U109" s="640"/>
      <c r="V109" s="640"/>
      <c r="W109" s="640"/>
      <c r="X109" s="640"/>
      <c r="Y109" s="640"/>
      <c r="Z109" s="640"/>
      <c r="AA109" s="640"/>
      <c r="AB109" s="640"/>
      <c r="AC109" s="640"/>
      <c r="AD109" s="640"/>
      <c r="AE109" s="640"/>
      <c r="AF109" s="640"/>
      <c r="AG109" s="640"/>
      <c r="AH109" s="640"/>
      <c r="AI109" s="640"/>
      <c r="AJ109" s="640"/>
      <c r="AK109" s="640"/>
      <c r="AL109" s="640"/>
      <c r="AM109" s="640"/>
      <c r="AN109" s="640"/>
      <c r="AO109" s="640"/>
      <c r="AP109" s="640"/>
      <c r="AQ109" s="640"/>
      <c r="AR109" s="640"/>
      <c r="AS109" s="640"/>
      <c r="AT109" s="640"/>
      <c r="AU109" s="640"/>
      <c r="AV109" s="640"/>
    </row>
    <row r="110" spans="1:48">
      <c r="A110" s="615"/>
      <c r="B110" s="615"/>
      <c r="C110" s="615"/>
      <c r="D110" s="615"/>
      <c r="E110" s="615"/>
      <c r="F110" s="615"/>
      <c r="G110" s="615"/>
      <c r="H110" s="1392"/>
      <c r="I110" s="615"/>
      <c r="J110" s="615"/>
      <c r="K110" s="615"/>
      <c r="L110" s="1392"/>
      <c r="M110" s="1392"/>
      <c r="N110" s="1392"/>
      <c r="O110" s="615"/>
      <c r="P110" s="640"/>
      <c r="Q110" s="640"/>
      <c r="R110" s="640"/>
      <c r="S110" s="640"/>
      <c r="T110" s="640"/>
      <c r="U110" s="640"/>
      <c r="V110" s="640"/>
      <c r="W110" s="640"/>
      <c r="X110" s="640"/>
      <c r="Y110" s="640"/>
      <c r="Z110" s="640"/>
      <c r="AA110" s="640"/>
      <c r="AB110" s="640"/>
      <c r="AC110" s="640"/>
      <c r="AD110" s="640"/>
      <c r="AE110" s="640"/>
      <c r="AF110" s="640"/>
      <c r="AG110" s="640"/>
      <c r="AH110" s="640"/>
      <c r="AI110" s="640"/>
      <c r="AJ110" s="640"/>
      <c r="AK110" s="640"/>
      <c r="AL110" s="640"/>
      <c r="AM110" s="640"/>
      <c r="AN110" s="640"/>
      <c r="AO110" s="640"/>
      <c r="AP110" s="640"/>
      <c r="AQ110" s="640"/>
      <c r="AR110" s="640"/>
      <c r="AS110" s="640"/>
      <c r="AT110" s="640"/>
      <c r="AU110" s="640"/>
      <c r="AV110" s="640"/>
    </row>
  </sheetData>
  <sheetProtection selectLockedCells="1" selectUnlockedCells="1"/>
  <mergeCells count="32">
    <mergeCell ref="A1:O1"/>
    <mergeCell ref="A2:F2"/>
    <mergeCell ref="H2:I2"/>
    <mergeCell ref="K2:L2"/>
    <mergeCell ref="A3:F3"/>
    <mergeCell ref="H3:I3"/>
    <mergeCell ref="K3:L3"/>
    <mergeCell ref="A4:O4"/>
    <mergeCell ref="A5:A6"/>
    <mergeCell ref="B5:E5"/>
    <mergeCell ref="F5:F6"/>
    <mergeCell ref="G5:G6"/>
    <mergeCell ref="H5:H6"/>
    <mergeCell ref="I5:J5"/>
    <mergeCell ref="K5:K6"/>
    <mergeCell ref="L5:N5"/>
    <mergeCell ref="O5:O6"/>
    <mergeCell ref="A31:B32"/>
    <mergeCell ref="C31:E31"/>
    <mergeCell ref="F31:O31"/>
    <mergeCell ref="P31:T32"/>
    <mergeCell ref="C32:O32"/>
    <mergeCell ref="P13:T21"/>
    <mergeCell ref="P23:T30"/>
    <mergeCell ref="A30:B30"/>
    <mergeCell ref="C30:G30"/>
    <mergeCell ref="H30:O30"/>
    <mergeCell ref="A33:B33"/>
    <mergeCell ref="C33:G33"/>
    <mergeCell ref="H33:O33"/>
    <mergeCell ref="P33:T33"/>
    <mergeCell ref="K35:O35"/>
  </mergeCells>
  <phoneticPr fontId="135" type="noConversion"/>
  <dataValidations count="3">
    <dataValidation type="date" operator="lessThanOrEqual" allowBlank="1" showInputMessage="1" showErrorMessage="1" errorTitle="日期超出范围" error="起摊日期超过审核截止日，请核对。" promptTitle="输入格式" prompt="yyyy-mm-dd_x000a_如2010-12-31" sqref="B7:B29">
      <formula1>DATE(本年度,截止月,截止日)</formula1>
      <formula2>0</formula2>
    </dataValidation>
    <dataValidation type="list" allowBlank="1" showErrorMessage="1" sqref="H2:I2">
      <formula1>编制列表</formula1>
      <formula2>0</formula2>
    </dataValidation>
    <dataValidation allowBlank="1" showErrorMessage="1" promptTitle="存在调整事项时" prompt="_x000a_选择 “E”" sqref="F31:O31">
      <formula1>0</formula1>
      <formula2>0</formula2>
    </dataValidation>
  </dataValidations>
  <hyperlinks>
    <hyperlink ref="P6" location="事项说明!A1" display="事项说明"/>
    <hyperlink ref="P7" location="资产折旧纳税调整表!a1" display="资产折旧纳税调整表"/>
    <hyperlink ref="P8" location="纳税调整明细表!G46" display="纳税调整明细表"/>
    <hyperlink ref="P9" location="管理费用!A1" display="管理费用审核表"/>
    <hyperlink ref="P10"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O35"/>
  <sheetViews>
    <sheetView workbookViewId="0">
      <selection activeCell="G4" sqref="G4:G5"/>
    </sheetView>
  </sheetViews>
  <sheetFormatPr defaultColWidth="9" defaultRowHeight="16.5"/>
  <cols>
    <col min="1" max="1" width="4.875" style="565" customWidth="1"/>
    <col min="2" max="2" width="6.25" style="565" customWidth="1"/>
    <col min="3" max="3" width="23.375" style="565" customWidth="1"/>
    <col min="4" max="6" width="11.75" style="565" customWidth="1"/>
    <col min="7" max="7" width="12.25" style="565" customWidth="1"/>
    <col min="8" max="16384" width="9" style="565"/>
  </cols>
  <sheetData>
    <row r="1" spans="1:15" ht="22.5">
      <c r="A1" s="3243" t="s">
        <v>5200</v>
      </c>
      <c r="B1" s="3243"/>
      <c r="C1" s="3243"/>
      <c r="D1" s="3243"/>
      <c r="E1" s="3243"/>
      <c r="F1" s="3243"/>
      <c r="G1" s="3243"/>
      <c r="H1" s="1394"/>
      <c r="I1" s="1394"/>
      <c r="J1" s="564"/>
      <c r="K1" s="564"/>
      <c r="L1" s="564"/>
      <c r="M1" s="564"/>
      <c r="N1" s="564"/>
      <c r="O1" s="564"/>
    </row>
    <row r="2" spans="1:15">
      <c r="A2" s="3243"/>
      <c r="B2" s="3243"/>
      <c r="C2" s="3243"/>
      <c r="D2" s="3243"/>
      <c r="E2" s="3243"/>
      <c r="F2" s="3243"/>
      <c r="G2" s="3243"/>
      <c r="H2" s="564"/>
      <c r="I2" s="564"/>
      <c r="J2" s="564"/>
      <c r="K2" s="564"/>
      <c r="L2" s="564"/>
      <c r="M2" s="564"/>
      <c r="N2" s="564"/>
      <c r="O2" s="564"/>
    </row>
    <row r="3" spans="1:15">
      <c r="A3" s="3448" t="str">
        <f>"委托单位："&amp;基本情况!$C$3</f>
        <v>委托单位：</v>
      </c>
      <c r="B3" s="3448"/>
      <c r="C3" s="3448"/>
      <c r="D3" s="613"/>
      <c r="E3" s="571" t="s">
        <v>4624</v>
      </c>
      <c r="F3" s="571" t="s">
        <v>4575</v>
      </c>
      <c r="G3" s="614" t="s">
        <v>4409</v>
      </c>
      <c r="H3" s="564"/>
      <c r="I3" s="564"/>
      <c r="J3" s="564"/>
      <c r="K3" s="564"/>
      <c r="L3" s="564"/>
      <c r="M3" s="564"/>
      <c r="N3" s="564"/>
      <c r="O3" s="564"/>
    </row>
    <row r="4" spans="1:15" ht="17.25" customHeight="1">
      <c r="A4" s="3448"/>
      <c r="B4" s="3448"/>
      <c r="C4" s="3448"/>
      <c r="D4" s="616" t="s">
        <v>4407</v>
      </c>
      <c r="E4" s="617" t="str">
        <f>基本情况!$F$19&amp;""</f>
        <v/>
      </c>
      <c r="F4" s="618" t="str">
        <f>TEXT(基本情况!$F$27,"yyyy-mm-dd")</f>
        <v>2018-03-16</v>
      </c>
      <c r="G4" s="3409" t="str">
        <f>开始!J20</f>
        <v>GL-18</v>
      </c>
      <c r="H4" s="564"/>
      <c r="I4" s="564"/>
      <c r="J4" s="564"/>
      <c r="K4" s="564"/>
      <c r="L4" s="564"/>
      <c r="M4" s="564"/>
      <c r="N4" s="564"/>
      <c r="O4" s="564"/>
    </row>
    <row r="5" spans="1:15" ht="17.25" customHeight="1">
      <c r="A5" s="3449" t="str">
        <f>"会计期间："&amp;基本情况!$F$9</f>
        <v>会计期间：2017年01月01日至2017年12月31日</v>
      </c>
      <c r="B5" s="3449"/>
      <c r="C5" s="3449"/>
      <c r="D5" s="566" t="s">
        <v>4410</v>
      </c>
      <c r="E5" s="567" t="str">
        <f>基本情况!$F$18&amp;""</f>
        <v/>
      </c>
      <c r="F5" s="567" t="str">
        <f>TEXT(基本情况!$F$28,"yyyy-mm-dd")</f>
        <v>2018-05-04</v>
      </c>
      <c r="G5" s="3409"/>
      <c r="H5" s="564"/>
      <c r="I5" s="564"/>
      <c r="J5" s="564"/>
      <c r="K5" s="564"/>
      <c r="L5" s="564"/>
      <c r="M5" s="564"/>
      <c r="N5" s="564"/>
      <c r="O5" s="564"/>
    </row>
    <row r="6" spans="1:15" ht="7.5" customHeight="1">
      <c r="A6" s="2699"/>
      <c r="B6" s="2699"/>
      <c r="C6" s="2699"/>
      <c r="D6" s="2699"/>
      <c r="E6" s="2699"/>
      <c r="F6" s="2699"/>
      <c r="G6" s="2699"/>
      <c r="H6" s="564"/>
      <c r="I6" s="564"/>
      <c r="J6" s="564"/>
      <c r="K6" s="564"/>
      <c r="L6" s="564"/>
      <c r="M6" s="564"/>
      <c r="N6" s="564"/>
      <c r="O6" s="564"/>
    </row>
    <row r="7" spans="1:15" ht="20.25" customHeight="1">
      <c r="A7" s="627" t="s">
        <v>147</v>
      </c>
      <c r="B7" s="2664" t="s">
        <v>750</v>
      </c>
      <c r="C7" s="2664"/>
      <c r="D7" s="571" t="s">
        <v>5081</v>
      </c>
      <c r="E7" s="571" t="s">
        <v>371</v>
      </c>
      <c r="F7" s="571" t="s">
        <v>372</v>
      </c>
      <c r="G7" s="614" t="s">
        <v>373</v>
      </c>
      <c r="H7" s="564" t="s">
        <v>1724</v>
      </c>
      <c r="I7" s="564"/>
      <c r="J7" s="564"/>
      <c r="K7" s="564"/>
      <c r="L7" s="564"/>
      <c r="M7" s="564"/>
      <c r="N7" s="564"/>
      <c r="O7" s="564"/>
    </row>
    <row r="8" spans="1:15" ht="20.100000000000001" customHeight="1">
      <c r="A8" s="1030">
        <v>1</v>
      </c>
      <c r="B8" s="3444" t="s">
        <v>5201</v>
      </c>
      <c r="C8" s="3444"/>
      <c r="D8" s="638">
        <f>G24</f>
        <v>0</v>
      </c>
      <c r="E8" s="1395">
        <f>MIN(社保明细工资人数!B22,D8)</f>
        <v>0</v>
      </c>
      <c r="F8" s="721">
        <f>MAX(0,D8-E8)</f>
        <v>0</v>
      </c>
      <c r="G8" s="1396" t="s">
        <v>133</v>
      </c>
      <c r="H8" s="564"/>
      <c r="I8" s="564"/>
      <c r="J8" s="564"/>
      <c r="K8" s="564"/>
      <c r="L8" s="564"/>
      <c r="M8" s="564"/>
      <c r="N8" s="564"/>
      <c r="O8" s="564"/>
    </row>
    <row r="9" spans="1:15" ht="20.100000000000001" customHeight="1">
      <c r="A9" s="1030">
        <v>2</v>
      </c>
      <c r="B9" s="3444" t="s">
        <v>5202</v>
      </c>
      <c r="C9" s="3444"/>
      <c r="D9" s="1210" t="s">
        <v>133</v>
      </c>
      <c r="E9" s="1210" t="s">
        <v>133</v>
      </c>
      <c r="F9" s="1210" t="s">
        <v>133</v>
      </c>
      <c r="G9" s="1396" t="s">
        <v>133</v>
      </c>
      <c r="H9" s="3309" t="s">
        <v>5203</v>
      </c>
      <c r="I9" s="3309"/>
      <c r="J9" s="3309"/>
      <c r="K9" s="3309"/>
      <c r="L9" s="564"/>
      <c r="M9" s="564"/>
      <c r="N9" s="564"/>
      <c r="O9" s="564"/>
    </row>
    <row r="10" spans="1:15" ht="20.100000000000001" customHeight="1">
      <c r="A10" s="1030">
        <v>3</v>
      </c>
      <c r="B10" s="3444" t="s">
        <v>5204</v>
      </c>
      <c r="C10" s="3444"/>
      <c r="D10" s="1210" t="s">
        <v>133</v>
      </c>
      <c r="E10" s="1210" t="s">
        <v>133</v>
      </c>
      <c r="F10" s="1210" t="s">
        <v>133</v>
      </c>
      <c r="G10" s="1396" t="s">
        <v>133</v>
      </c>
      <c r="H10" s="564"/>
      <c r="I10" s="564"/>
      <c r="J10" s="564"/>
      <c r="K10" s="564"/>
      <c r="L10" s="564"/>
      <c r="M10" s="564"/>
      <c r="N10" s="564"/>
      <c r="O10" s="564"/>
    </row>
    <row r="11" spans="1:15" ht="20.100000000000001" customHeight="1">
      <c r="A11" s="1030">
        <v>4</v>
      </c>
      <c r="B11" s="3444" t="s">
        <v>5205</v>
      </c>
      <c r="C11" s="3444"/>
      <c r="D11" s="1210" t="s">
        <v>133</v>
      </c>
      <c r="E11" s="1210" t="s">
        <v>133</v>
      </c>
      <c r="F11" s="1210" t="s">
        <v>133</v>
      </c>
      <c r="G11" s="1396" t="s">
        <v>133</v>
      </c>
      <c r="H11" s="3309" t="s">
        <v>4552</v>
      </c>
      <c r="I11" s="3309"/>
      <c r="J11" s="3309"/>
      <c r="K11" s="564"/>
      <c r="L11" s="564"/>
      <c r="M11" s="564"/>
      <c r="N11" s="564"/>
      <c r="O11" s="564"/>
    </row>
    <row r="12" spans="1:15" ht="19.5" customHeight="1">
      <c r="A12" s="1030">
        <v>5</v>
      </c>
      <c r="B12" s="3444" t="s">
        <v>5206</v>
      </c>
      <c r="C12" s="3444"/>
      <c r="D12" s="1210" t="s">
        <v>133</v>
      </c>
      <c r="E12" s="1210" t="s">
        <v>133</v>
      </c>
      <c r="F12" s="1210" t="s">
        <v>133</v>
      </c>
      <c r="G12" s="1396" t="s">
        <v>133</v>
      </c>
      <c r="H12" s="564"/>
      <c r="I12" s="564"/>
      <c r="J12" s="564"/>
      <c r="K12" s="564"/>
      <c r="L12" s="564"/>
      <c r="M12" s="564"/>
      <c r="N12" s="564"/>
      <c r="O12" s="564"/>
    </row>
    <row r="13" spans="1:15" ht="20.100000000000001" customHeight="1">
      <c r="A13" s="1030">
        <v>6</v>
      </c>
      <c r="B13" s="3444" t="s">
        <v>5207</v>
      </c>
      <c r="C13" s="3444"/>
      <c r="D13" s="1210" t="s">
        <v>133</v>
      </c>
      <c r="E13" s="1210" t="s">
        <v>133</v>
      </c>
      <c r="F13" s="1210" t="s">
        <v>133</v>
      </c>
      <c r="G13" s="1396" t="s">
        <v>133</v>
      </c>
      <c r="H13" s="3336" t="s">
        <v>5208</v>
      </c>
      <c r="I13" s="3336"/>
      <c r="J13" s="3336"/>
      <c r="K13" s="3336"/>
      <c r="L13" s="3336"/>
      <c r="M13" s="3336"/>
      <c r="N13" s="3336"/>
      <c r="O13" s="3336"/>
    </row>
    <row r="14" spans="1:15" ht="20.100000000000001" customHeight="1">
      <c r="A14" s="1030">
        <v>7</v>
      </c>
      <c r="B14" s="3444" t="s">
        <v>5209</v>
      </c>
      <c r="C14" s="3444"/>
      <c r="D14" s="721">
        <f>D15+D16</f>
        <v>0</v>
      </c>
      <c r="E14" s="1397">
        <f>E15+E16</f>
        <v>0</v>
      </c>
      <c r="F14" s="721">
        <f t="shared" ref="F14:F19" si="0">MAX(0,D14-E14)</f>
        <v>0</v>
      </c>
      <c r="G14" s="1396" t="s">
        <v>133</v>
      </c>
      <c r="H14" s="3336"/>
      <c r="I14" s="3336"/>
      <c r="J14" s="3336"/>
      <c r="K14" s="3336"/>
      <c r="L14" s="3336"/>
      <c r="M14" s="3336"/>
      <c r="N14" s="3336"/>
      <c r="O14" s="3336"/>
    </row>
    <row r="15" spans="1:15" ht="20.100000000000001" customHeight="1">
      <c r="A15" s="1030">
        <v>8</v>
      </c>
      <c r="B15" s="3444" t="s">
        <v>5210</v>
      </c>
      <c r="C15" s="3444"/>
      <c r="D15" s="721">
        <f>社保明细工资人数!B37</f>
        <v>0</v>
      </c>
      <c r="E15" s="1395">
        <f>MIN(社保明细工资人数!B37,工资福利!C18*0.05)</f>
        <v>0</v>
      </c>
      <c r="F15" s="721">
        <f t="shared" si="0"/>
        <v>0</v>
      </c>
      <c r="G15" s="1396" t="s">
        <v>133</v>
      </c>
      <c r="H15" s="3336"/>
      <c r="I15" s="3336"/>
      <c r="J15" s="3336"/>
      <c r="K15" s="3336"/>
      <c r="L15" s="3336"/>
      <c r="M15" s="3336"/>
      <c r="N15" s="3336"/>
      <c r="O15" s="3336"/>
    </row>
    <row r="16" spans="1:15" ht="20.100000000000001" customHeight="1">
      <c r="A16" s="1030">
        <v>9</v>
      </c>
      <c r="B16" s="3444" t="s">
        <v>5211</v>
      </c>
      <c r="C16" s="3444"/>
      <c r="D16" s="721">
        <f>社保明细工资人数!F37</f>
        <v>0</v>
      </c>
      <c r="E16" s="1395">
        <f>MIN(社保明细工资人数!F37,工资福利!C18*0.05)</f>
        <v>0</v>
      </c>
      <c r="F16" s="721">
        <f t="shared" si="0"/>
        <v>0</v>
      </c>
      <c r="G16" s="1396" t="s">
        <v>133</v>
      </c>
      <c r="H16" s="3336"/>
      <c r="I16" s="3336"/>
      <c r="J16" s="3336"/>
      <c r="K16" s="3336"/>
      <c r="L16" s="3336"/>
      <c r="M16" s="3336"/>
      <c r="N16" s="3336"/>
      <c r="O16" s="3336"/>
    </row>
    <row r="17" spans="1:15" ht="20.100000000000001" customHeight="1">
      <c r="A17" s="1030">
        <v>10</v>
      </c>
      <c r="B17" s="3444" t="s">
        <v>5212</v>
      </c>
      <c r="C17" s="3444"/>
      <c r="D17" s="638">
        <f>G27</f>
        <v>0</v>
      </c>
      <c r="E17" s="1395">
        <f>社保明细工资人数!F22</f>
        <v>0</v>
      </c>
      <c r="F17" s="721">
        <f t="shared" si="0"/>
        <v>0</v>
      </c>
      <c r="G17" s="1396" t="s">
        <v>133</v>
      </c>
      <c r="H17" s="3336"/>
      <c r="I17" s="3336"/>
      <c r="J17" s="3336"/>
      <c r="K17" s="3336"/>
      <c r="L17" s="3336"/>
      <c r="M17" s="3336"/>
      <c r="N17" s="3336"/>
      <c r="O17" s="3336"/>
    </row>
    <row r="18" spans="1:15" ht="20.100000000000001" customHeight="1">
      <c r="A18" s="1030">
        <v>11</v>
      </c>
      <c r="B18" s="3444" t="s">
        <v>5213</v>
      </c>
      <c r="C18" s="3444"/>
      <c r="D18" s="638"/>
      <c r="E18" s="638"/>
      <c r="F18" s="721">
        <f t="shared" si="0"/>
        <v>0</v>
      </c>
      <c r="G18" s="1396" t="s">
        <v>133</v>
      </c>
      <c r="H18" s="3336"/>
      <c r="I18" s="3336"/>
      <c r="J18" s="3336"/>
      <c r="K18" s="3336"/>
      <c r="L18" s="3336"/>
      <c r="M18" s="3336"/>
      <c r="N18" s="3336"/>
      <c r="O18" s="3336"/>
    </row>
    <row r="19" spans="1:15" ht="20.100000000000001" customHeight="1">
      <c r="A19" s="1398">
        <v>12</v>
      </c>
      <c r="B19" s="3445"/>
      <c r="C19" s="3445"/>
      <c r="D19" s="1262"/>
      <c r="E19" s="1262"/>
      <c r="F19" s="721">
        <f t="shared" si="0"/>
        <v>0</v>
      </c>
      <c r="G19" s="1396" t="s">
        <v>133</v>
      </c>
      <c r="H19" s="3336"/>
      <c r="I19" s="3336"/>
      <c r="J19" s="3336"/>
      <c r="K19" s="3336"/>
      <c r="L19" s="3336"/>
      <c r="M19" s="3336"/>
      <c r="N19" s="3336"/>
      <c r="O19" s="3336"/>
    </row>
    <row r="20" spans="1:15" ht="22.5" customHeight="1">
      <c r="A20" s="2917" t="s">
        <v>757</v>
      </c>
      <c r="B20" s="2917"/>
      <c r="C20" s="2917"/>
      <c r="D20" s="1399">
        <f>D8+D14+D17+D18</f>
        <v>0</v>
      </c>
      <c r="E20" s="1399">
        <f>E8+E14+E17+E18</f>
        <v>0</v>
      </c>
      <c r="F20" s="1399">
        <f>F8+F14+F17+F18</f>
        <v>0</v>
      </c>
      <c r="G20" s="1400"/>
      <c r="H20" s="572"/>
      <c r="I20" s="1268"/>
      <c r="J20" s="1268"/>
      <c r="K20" s="1268"/>
      <c r="L20" s="1268"/>
      <c r="M20" s="1268"/>
      <c r="N20" s="1268"/>
      <c r="O20" s="1268"/>
    </row>
    <row r="21" spans="1:15" s="615" customFormat="1" ht="20.25" customHeight="1">
      <c r="A21" s="3446" t="s">
        <v>5214</v>
      </c>
      <c r="B21" s="3446"/>
      <c r="C21" s="3446"/>
      <c r="D21" s="3446"/>
      <c r="E21" s="3446"/>
      <c r="F21" s="3446"/>
      <c r="G21" s="3446"/>
      <c r="H21" s="690"/>
      <c r="I21" s="690"/>
      <c r="J21" s="690"/>
      <c r="K21" s="690"/>
      <c r="L21" s="690"/>
      <c r="M21" s="690"/>
      <c r="N21" s="690"/>
      <c r="O21" s="690"/>
    </row>
    <row r="22" spans="1:15" s="615" customFormat="1" ht="19.5" customHeight="1">
      <c r="A22" s="3447" t="s">
        <v>5215</v>
      </c>
      <c r="B22" s="3447"/>
      <c r="C22" s="3447"/>
      <c r="D22" s="3447"/>
      <c r="E22" s="3447"/>
      <c r="F22" s="3447"/>
      <c r="G22" s="3447"/>
      <c r="H22" s="690"/>
      <c r="I22" s="690"/>
      <c r="J22" s="690"/>
      <c r="K22" s="690"/>
      <c r="L22" s="690"/>
      <c r="M22" s="690"/>
      <c r="N22" s="690"/>
      <c r="O22" s="690"/>
    </row>
    <row r="23" spans="1:15" s="615" customFormat="1" ht="19.5" customHeight="1">
      <c r="A23" s="3241" t="s">
        <v>5131</v>
      </c>
      <c r="B23" s="3241"/>
      <c r="C23" s="616" t="s">
        <v>345</v>
      </c>
      <c r="D23" s="616" t="s">
        <v>5132</v>
      </c>
      <c r="E23" s="616" t="s">
        <v>5133</v>
      </c>
      <c r="F23" s="616" t="s">
        <v>5134</v>
      </c>
      <c r="G23" s="1029" t="s">
        <v>757</v>
      </c>
      <c r="H23" s="690"/>
      <c r="I23" s="690"/>
      <c r="J23" s="690"/>
      <c r="K23" s="690"/>
      <c r="L23" s="690"/>
      <c r="M23" s="690"/>
      <c r="N23" s="690"/>
      <c r="O23" s="690"/>
    </row>
    <row r="24" spans="1:15" s="615" customFormat="1" ht="19.5" customHeight="1">
      <c r="A24" s="2653" t="s">
        <v>4378</v>
      </c>
      <c r="B24" s="2653"/>
      <c r="C24" s="720">
        <f>管理费用!$H$17</f>
        <v>0</v>
      </c>
      <c r="D24" s="1202"/>
      <c r="E24" s="720">
        <f>销售费用!$H$17</f>
        <v>0</v>
      </c>
      <c r="F24" s="1202"/>
      <c r="G24" s="1401">
        <f>SUM(C24:F24)</f>
        <v>0</v>
      </c>
      <c r="H24" s="1402"/>
      <c r="I24" s="690"/>
      <c r="J24" s="690"/>
      <c r="K24" s="690"/>
      <c r="L24" s="690"/>
      <c r="M24" s="690"/>
      <c r="N24" s="690"/>
      <c r="O24" s="690"/>
    </row>
    <row r="25" spans="1:15" s="615" customFormat="1" ht="19.5" customHeight="1">
      <c r="A25" s="3443" t="s">
        <v>5216</v>
      </c>
      <c r="B25" s="3443"/>
      <c r="C25" s="3443"/>
      <c r="D25" s="3443"/>
      <c r="E25" s="3443"/>
      <c r="F25" s="3443"/>
      <c r="G25" s="3443"/>
      <c r="H25" s="690"/>
      <c r="I25" s="690"/>
      <c r="J25" s="690"/>
      <c r="K25" s="690"/>
      <c r="L25" s="690"/>
      <c r="M25" s="690"/>
      <c r="N25" s="690"/>
      <c r="O25" s="690"/>
    </row>
    <row r="26" spans="1:15" s="615" customFormat="1" ht="19.5" customHeight="1">
      <c r="A26" s="3241" t="s">
        <v>5131</v>
      </c>
      <c r="B26" s="3241"/>
      <c r="C26" s="616" t="s">
        <v>345</v>
      </c>
      <c r="D26" s="616" t="s">
        <v>5132</v>
      </c>
      <c r="E26" s="616" t="s">
        <v>5133</v>
      </c>
      <c r="F26" s="616" t="s">
        <v>5134</v>
      </c>
      <c r="G26" s="1029" t="s">
        <v>757</v>
      </c>
      <c r="H26" s="690"/>
      <c r="I26" s="690"/>
      <c r="J26" s="690"/>
      <c r="K26" s="690"/>
      <c r="L26" s="690"/>
      <c r="M26" s="690"/>
      <c r="N26" s="690"/>
      <c r="O26" s="690"/>
    </row>
    <row r="27" spans="1:15" s="615" customFormat="1" ht="19.5" customHeight="1">
      <c r="A27" s="3371" t="s">
        <v>4378</v>
      </c>
      <c r="B27" s="3371"/>
      <c r="C27" s="1403">
        <f>管理费用!$H$13</f>
        <v>0</v>
      </c>
      <c r="D27" s="1207"/>
      <c r="E27" s="1403">
        <f>销售费用!$H$13</f>
        <v>0</v>
      </c>
      <c r="F27" s="1207"/>
      <c r="G27" s="1404">
        <f>SUM(C27:F27)</f>
        <v>0</v>
      </c>
      <c r="H27" s="1402"/>
      <c r="I27" s="690"/>
      <c r="J27" s="690"/>
      <c r="K27" s="690"/>
      <c r="L27" s="690"/>
      <c r="M27" s="690"/>
      <c r="N27" s="690"/>
      <c r="O27" s="690"/>
    </row>
    <row r="28" spans="1:15" s="615" customFormat="1" ht="20.25" customHeight="1">
      <c r="A28" s="2917" t="s">
        <v>4430</v>
      </c>
      <c r="B28" s="2917"/>
      <c r="C28" s="3440" t="str">
        <f>IF(G24&lt;&gt;D8,"保障性缴款原始凭证检查金额与账载数不符，请检查！","保障性缴款原始凭证检查金额与账载数相符！")</f>
        <v>保障性缴款原始凭证检查金额与账载数相符！</v>
      </c>
      <c r="D28" s="3440"/>
      <c r="E28" s="3441" t="str">
        <f>IF(G27&lt;&gt;D17,"住房公积金原始凭证检查金额与账载数不符，请检查！","住房公积金原始凭证检查金额与账载数相符！")</f>
        <v>住房公积金原始凭证检查金额与账载数相符！</v>
      </c>
      <c r="F28" s="3441"/>
      <c r="G28" s="3441"/>
      <c r="H28" s="690"/>
      <c r="I28" s="690"/>
      <c r="J28" s="690"/>
      <c r="K28" s="690"/>
      <c r="L28" s="690"/>
      <c r="M28" s="690"/>
      <c r="N28" s="690"/>
      <c r="O28" s="690"/>
    </row>
    <row r="29" spans="1:15" ht="15" customHeight="1">
      <c r="A29" s="3240" t="s">
        <v>4431</v>
      </c>
      <c r="B29" s="3240"/>
      <c r="C29" s="623" t="s">
        <v>5103</v>
      </c>
      <c r="D29" s="3072" t="str">
        <f>IF(OR(F8&gt;0,F17&gt;0),"、E","")</f>
        <v/>
      </c>
      <c r="E29" s="3072"/>
      <c r="F29" s="3072"/>
      <c r="G29" s="3072"/>
      <c r="H29" s="572"/>
      <c r="I29" s="1268"/>
      <c r="J29" s="1268"/>
      <c r="K29" s="1268"/>
      <c r="L29" s="1268"/>
      <c r="M29" s="1268"/>
      <c r="N29" s="1268"/>
      <c r="O29" s="1268"/>
    </row>
    <row r="30" spans="1:15" ht="107.25" customHeight="1">
      <c r="A30" s="3240"/>
      <c r="B30" s="3240"/>
      <c r="C30" s="3442"/>
      <c r="D30" s="3442"/>
      <c r="E30" s="3442"/>
      <c r="F30" s="3442"/>
      <c r="G30" s="3442"/>
      <c r="H30" s="564"/>
      <c r="I30" s="564"/>
      <c r="J30" s="564"/>
      <c r="K30" s="564"/>
      <c r="L30" s="564"/>
      <c r="M30" s="564"/>
      <c r="N30" s="564"/>
      <c r="O30" s="564"/>
    </row>
    <row r="31" spans="1:15" ht="14.25" customHeight="1">
      <c r="A31" s="3242" t="s">
        <v>4433</v>
      </c>
      <c r="B31" s="3242"/>
      <c r="C31" s="3438" t="str">
        <f>IF(F8&lt;&gt;0,"实际列支社会保障性缴款大于税法允许列支的限额,应予纳税调整增加"&amp;DOLLAR(F8,2)&amp;"元！","不存在社会保障性缴款调整事项，认可！")</f>
        <v>不存在社会保障性缴款调整事项，认可！</v>
      </c>
      <c r="D31" s="3438"/>
      <c r="E31" s="3438"/>
      <c r="F31" s="3438"/>
      <c r="G31" s="3438"/>
      <c r="H31" s="564"/>
      <c r="I31" s="564"/>
      <c r="J31" s="564"/>
      <c r="K31" s="564"/>
      <c r="L31" s="564"/>
      <c r="M31" s="564"/>
      <c r="N31" s="564"/>
      <c r="O31" s="564"/>
    </row>
    <row r="32" spans="1:15">
      <c r="A32" s="3242"/>
      <c r="B32" s="3242"/>
      <c r="C32" s="3438"/>
      <c r="D32" s="3438"/>
      <c r="E32" s="3438"/>
      <c r="F32" s="3438"/>
      <c r="G32" s="3438"/>
      <c r="H32" s="564"/>
      <c r="I32" s="564"/>
      <c r="J32" s="564"/>
      <c r="K32" s="564"/>
      <c r="L32" s="564"/>
      <c r="M32" s="564"/>
      <c r="N32" s="564"/>
      <c r="O32" s="564"/>
    </row>
    <row r="33" spans="1:15">
      <c r="A33" s="3242"/>
      <c r="B33" s="3242"/>
      <c r="C33" s="3439" t="str">
        <f>IF(F17&lt;&gt;0,"实际列支住房公积金大于税法允许列支的限额,应予纳税调整增加"&amp;DOLLAR(F17,2)&amp;"元！","不存在住房公积金调整事项，认可！")</f>
        <v>不存在住房公积金调整事项，认可！</v>
      </c>
      <c r="D33" s="3439"/>
      <c r="E33" s="3439"/>
      <c r="F33" s="3439"/>
      <c r="G33" s="3439"/>
      <c r="H33" s="564"/>
      <c r="I33" s="564"/>
      <c r="J33" s="564"/>
      <c r="K33" s="564"/>
      <c r="L33" s="564"/>
      <c r="M33" s="564"/>
      <c r="N33" s="564"/>
      <c r="O33" s="564"/>
    </row>
    <row r="34" spans="1:15">
      <c r="A34" s="3242"/>
      <c r="B34" s="3242"/>
      <c r="C34" s="3439"/>
      <c r="D34" s="3439"/>
      <c r="E34" s="3439"/>
      <c r="F34" s="3439"/>
      <c r="G34" s="3439"/>
      <c r="H34" s="564"/>
      <c r="I34" s="564"/>
      <c r="J34" s="564"/>
      <c r="K34" s="564"/>
      <c r="L34" s="564"/>
      <c r="M34" s="564"/>
      <c r="N34" s="564"/>
      <c r="O34" s="564"/>
    </row>
    <row r="35" spans="1:15">
      <c r="A35" s="1405"/>
      <c r="B35" s="1405"/>
      <c r="C35" s="640"/>
      <c r="D35" s="640"/>
      <c r="E35" s="640"/>
      <c r="F35" s="640"/>
      <c r="G35" s="640"/>
    </row>
  </sheetData>
  <sheetProtection selectLockedCells="1" selectUnlockedCells="1"/>
  <mergeCells count="38">
    <mergeCell ref="B7:C7"/>
    <mergeCell ref="A1:G2"/>
    <mergeCell ref="A3:C4"/>
    <mergeCell ref="G4:G5"/>
    <mergeCell ref="A5:C5"/>
    <mergeCell ref="A6:G6"/>
    <mergeCell ref="B8:C8"/>
    <mergeCell ref="B9:C9"/>
    <mergeCell ref="H9:K9"/>
    <mergeCell ref="B10:C10"/>
    <mergeCell ref="B11:C11"/>
    <mergeCell ref="H11:J11"/>
    <mergeCell ref="A25:G25"/>
    <mergeCell ref="B12:C12"/>
    <mergeCell ref="B13:C13"/>
    <mergeCell ref="H13:O19"/>
    <mergeCell ref="B14:C14"/>
    <mergeCell ref="B15:C15"/>
    <mergeCell ref="B16:C16"/>
    <mergeCell ref="B17:C17"/>
    <mergeCell ref="B18:C18"/>
    <mergeCell ref="B19:C19"/>
    <mergeCell ref="A20:C20"/>
    <mergeCell ref="A21:G21"/>
    <mergeCell ref="A22:G22"/>
    <mergeCell ref="A23:B23"/>
    <mergeCell ref="A24:B24"/>
    <mergeCell ref="A31:B34"/>
    <mergeCell ref="C31:G32"/>
    <mergeCell ref="C33:G34"/>
    <mergeCell ref="A26:B26"/>
    <mergeCell ref="A27:B27"/>
    <mergeCell ref="A28:B28"/>
    <mergeCell ref="C28:D28"/>
    <mergeCell ref="E28:G28"/>
    <mergeCell ref="A29:B30"/>
    <mergeCell ref="D29:G29"/>
    <mergeCell ref="C30:G30"/>
  </mergeCells>
  <phoneticPr fontId="135" type="noConversion"/>
  <dataValidations count="2">
    <dataValidation allowBlank="1" showErrorMessage="1" promptTitle="存在调整事项时" prompt="_x000a_选择 “E”" sqref="D29:G29">
      <formula1>0</formula1>
      <formula2>0</formula2>
    </dataValidation>
    <dataValidation allowBlank="1" showErrorMessage="1" sqref="E4 C31">
      <formula1>0</formula1>
      <formula2>0</formula2>
    </dataValidation>
  </dataValidations>
  <hyperlinks>
    <hyperlink ref="H9" location="纳税调整明细表!C35" display="纳税调整明细表!C35"/>
    <hyperlink ref="H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FI165"/>
  <sheetViews>
    <sheetView workbookViewId="0">
      <selection activeCell="A7" sqref="A7:J7"/>
    </sheetView>
  </sheetViews>
  <sheetFormatPr defaultColWidth="9" defaultRowHeight="16.5"/>
  <cols>
    <col min="1" max="1" width="5.25" style="565" customWidth="1"/>
    <col min="2" max="9" width="9" style="565"/>
    <col min="10" max="10" width="8.375" style="565" customWidth="1"/>
    <col min="11" max="34" width="9" style="565"/>
    <col min="35" max="165" width="9" style="1406"/>
    <col min="166" max="16384" width="9" style="565"/>
  </cols>
  <sheetData>
    <row r="1" spans="1:165">
      <c r="A1" s="3243" t="s">
        <v>5217</v>
      </c>
      <c r="B1" s="3243"/>
      <c r="C1" s="3243"/>
      <c r="D1" s="3243"/>
      <c r="E1" s="3243"/>
      <c r="F1" s="3243"/>
      <c r="G1" s="3243"/>
      <c r="H1" s="3243"/>
      <c r="I1" s="3243"/>
      <c r="J1" s="3243"/>
      <c r="K1" s="1406"/>
      <c r="L1" s="1406"/>
      <c r="M1" s="1406"/>
      <c r="N1" s="1406"/>
      <c r="O1" s="1406"/>
      <c r="P1" s="1406"/>
      <c r="Q1" s="1406"/>
      <c r="R1" s="1406"/>
      <c r="S1" s="1406"/>
      <c r="T1" s="1406"/>
      <c r="U1" s="1406"/>
      <c r="V1" s="1406"/>
      <c r="W1" s="1406"/>
      <c r="X1" s="1406"/>
      <c r="Y1" s="1406"/>
      <c r="Z1" s="1406"/>
      <c r="AA1" s="1406"/>
      <c r="AB1" s="1406"/>
      <c r="AC1" s="1406"/>
      <c r="AD1" s="1406"/>
      <c r="AE1" s="1406"/>
      <c r="AF1" s="1406"/>
      <c r="AG1" s="1406"/>
      <c r="AH1" s="1406"/>
    </row>
    <row r="2" spans="1:165">
      <c r="A2" s="3243"/>
      <c r="B2" s="3243"/>
      <c r="C2" s="3243"/>
      <c r="D2" s="3243"/>
      <c r="E2" s="3243"/>
      <c r="F2" s="3243"/>
      <c r="G2" s="3243"/>
      <c r="H2" s="3243"/>
      <c r="I2" s="3243"/>
      <c r="J2" s="3243"/>
      <c r="K2" s="1406"/>
      <c r="L2" s="1406"/>
      <c r="M2" s="1406"/>
      <c r="N2" s="1406"/>
      <c r="O2" s="1406"/>
      <c r="P2" s="1406"/>
      <c r="Q2" s="1406"/>
      <c r="R2" s="1406"/>
      <c r="S2" s="1406"/>
      <c r="T2" s="1406"/>
      <c r="U2" s="1406"/>
      <c r="V2" s="1406"/>
      <c r="W2" s="1406"/>
      <c r="X2" s="1406"/>
      <c r="Y2" s="1406"/>
      <c r="Z2" s="1406"/>
      <c r="AA2" s="1406"/>
      <c r="AB2" s="1406"/>
      <c r="AC2" s="1406"/>
      <c r="AD2" s="1406"/>
      <c r="AE2" s="1406"/>
      <c r="AF2" s="1406"/>
      <c r="AG2" s="1406"/>
      <c r="AH2" s="1406"/>
    </row>
    <row r="3" spans="1:165" s="1850" customFormat="1" ht="22.5">
      <c r="A3" s="2124"/>
      <c r="B3" s="2124"/>
      <c r="C3" s="2124"/>
      <c r="D3" s="2124"/>
      <c r="E3" s="2124"/>
      <c r="F3" s="2124"/>
      <c r="G3" s="2124"/>
      <c r="H3" s="2124"/>
      <c r="I3" s="2124"/>
      <c r="J3" s="2124"/>
      <c r="K3" s="1406"/>
      <c r="L3" s="1406"/>
      <c r="M3" s="1406"/>
      <c r="N3" s="1406"/>
      <c r="O3" s="1406"/>
      <c r="P3" s="1406"/>
      <c r="Q3" s="1406"/>
      <c r="R3" s="1406"/>
      <c r="S3" s="1406"/>
      <c r="T3" s="1406"/>
      <c r="U3" s="1406"/>
      <c r="V3" s="1406"/>
      <c r="W3" s="1406"/>
      <c r="X3" s="1406"/>
      <c r="Y3" s="1406"/>
      <c r="Z3" s="1406"/>
      <c r="AA3" s="1406"/>
      <c r="AB3" s="1406"/>
      <c r="AC3" s="1406"/>
      <c r="AD3" s="1406"/>
      <c r="AE3" s="1406"/>
      <c r="AF3" s="1406"/>
      <c r="AG3" s="1406"/>
      <c r="AH3" s="1406"/>
      <c r="AI3" s="1406"/>
      <c r="AJ3" s="1406"/>
      <c r="AK3" s="1406"/>
      <c r="AL3" s="1406"/>
      <c r="AM3" s="1406"/>
      <c r="AN3" s="1406"/>
      <c r="AO3" s="1406"/>
      <c r="AP3" s="1406"/>
      <c r="AQ3" s="1406"/>
      <c r="AR3" s="1406"/>
      <c r="AS3" s="1406"/>
      <c r="AT3" s="1406"/>
      <c r="AU3" s="1406"/>
      <c r="AV3" s="1406"/>
      <c r="AW3" s="1406"/>
      <c r="AX3" s="1406"/>
      <c r="AY3" s="1406"/>
      <c r="AZ3" s="1406"/>
      <c r="BA3" s="1406"/>
      <c r="BB3" s="1406"/>
      <c r="BC3" s="1406"/>
      <c r="BD3" s="1406"/>
      <c r="BE3" s="1406"/>
      <c r="BF3" s="1406"/>
      <c r="BG3" s="1406"/>
      <c r="BH3" s="1406"/>
      <c r="BI3" s="1406"/>
      <c r="BJ3" s="1406"/>
      <c r="BK3" s="1406"/>
      <c r="BL3" s="1406"/>
      <c r="BM3" s="1406"/>
      <c r="BN3" s="1406"/>
      <c r="BO3" s="1406"/>
      <c r="BP3" s="1406"/>
      <c r="BQ3" s="1406"/>
      <c r="BR3" s="1406"/>
      <c r="BS3" s="1406"/>
      <c r="BT3" s="1406"/>
      <c r="BU3" s="1406"/>
      <c r="BV3" s="1406"/>
      <c r="BW3" s="1406"/>
      <c r="BX3" s="1406"/>
      <c r="BY3" s="1406"/>
      <c r="BZ3" s="1406"/>
      <c r="CA3" s="1406"/>
      <c r="CB3" s="1406"/>
      <c r="CC3" s="1406"/>
      <c r="CD3" s="1406"/>
      <c r="CE3" s="1406"/>
      <c r="CF3" s="1406"/>
      <c r="CG3" s="1406"/>
      <c r="CH3" s="1406"/>
      <c r="CI3" s="1406"/>
      <c r="CJ3" s="1406"/>
      <c r="CK3" s="1406"/>
      <c r="CL3" s="1406"/>
      <c r="CM3" s="1406"/>
      <c r="CN3" s="1406"/>
      <c r="CO3" s="1406"/>
      <c r="CP3" s="1406"/>
      <c r="CQ3" s="1406"/>
      <c r="CR3" s="1406"/>
      <c r="CS3" s="1406"/>
      <c r="CT3" s="1406"/>
      <c r="CU3" s="1406"/>
      <c r="CV3" s="1406"/>
      <c r="CW3" s="1406"/>
      <c r="CX3" s="1406"/>
      <c r="CY3" s="1406"/>
      <c r="CZ3" s="1406"/>
      <c r="DA3" s="1406"/>
      <c r="DB3" s="1406"/>
      <c r="DC3" s="1406"/>
      <c r="DD3" s="1406"/>
      <c r="DE3" s="1406"/>
      <c r="DF3" s="1406"/>
      <c r="DG3" s="1406"/>
      <c r="DH3" s="1406"/>
      <c r="DI3" s="1406"/>
      <c r="DJ3" s="1406"/>
      <c r="DK3" s="1406"/>
      <c r="DL3" s="1406"/>
      <c r="DM3" s="1406"/>
      <c r="DN3" s="1406"/>
      <c r="DO3" s="1406"/>
      <c r="DP3" s="1406"/>
      <c r="DQ3" s="1406"/>
      <c r="DR3" s="1406"/>
      <c r="DS3" s="1406"/>
      <c r="DT3" s="1406"/>
      <c r="DU3" s="1406"/>
      <c r="DV3" s="1406"/>
      <c r="DW3" s="1406"/>
      <c r="DX3" s="1406"/>
      <c r="DY3" s="1406"/>
      <c r="DZ3" s="1406"/>
      <c r="EA3" s="1406"/>
      <c r="EB3" s="1406"/>
      <c r="EC3" s="1406"/>
      <c r="ED3" s="1406"/>
      <c r="EE3" s="1406"/>
      <c r="EF3" s="1406"/>
      <c r="EG3" s="1406"/>
      <c r="EH3" s="1406"/>
      <c r="EI3" s="1406"/>
      <c r="EJ3" s="1406"/>
      <c r="EK3" s="1406"/>
      <c r="EL3" s="1406"/>
      <c r="EM3" s="1406"/>
      <c r="EN3" s="1406"/>
      <c r="EO3" s="1406"/>
      <c r="EP3" s="1406"/>
      <c r="EQ3" s="1406"/>
      <c r="ER3" s="1406"/>
      <c r="ES3" s="1406"/>
      <c r="ET3" s="1406"/>
      <c r="EU3" s="1406"/>
      <c r="EV3" s="1406"/>
      <c r="EW3" s="1406"/>
      <c r="EX3" s="1406"/>
      <c r="EY3" s="1406"/>
      <c r="EZ3" s="1406"/>
      <c r="FA3" s="1406"/>
      <c r="FB3" s="1406"/>
      <c r="FC3" s="1406"/>
      <c r="FD3" s="1406"/>
      <c r="FE3" s="1406"/>
      <c r="FF3" s="1406"/>
      <c r="FG3" s="1406"/>
      <c r="FH3" s="1406"/>
      <c r="FI3" s="1406"/>
    </row>
    <row r="4" spans="1:165" ht="19.5" customHeight="1">
      <c r="A4" s="3448" t="str">
        <f>"委托单位："&amp;基本情况!$C$3</f>
        <v>委托单位：</v>
      </c>
      <c r="B4" s="3448"/>
      <c r="C4" s="3448"/>
      <c r="D4" s="3448"/>
      <c r="E4" s="3448"/>
      <c r="F4" s="613"/>
      <c r="G4" s="2664" t="s">
        <v>4624</v>
      </c>
      <c r="H4" s="2664"/>
      <c r="I4" s="571" t="s">
        <v>4575</v>
      </c>
      <c r="J4" s="614" t="s">
        <v>4409</v>
      </c>
      <c r="K4" s="1406"/>
      <c r="L4" s="1406"/>
      <c r="M4" s="1406"/>
      <c r="N4" s="1406"/>
      <c r="O4" s="1406"/>
      <c r="P4" s="1406"/>
      <c r="Q4" s="1406"/>
      <c r="R4" s="1406"/>
      <c r="S4" s="1406"/>
      <c r="T4" s="1406"/>
      <c r="U4" s="1406"/>
      <c r="V4" s="1406"/>
      <c r="W4" s="1406"/>
      <c r="X4" s="1406"/>
      <c r="Y4" s="1406"/>
      <c r="Z4" s="1406"/>
      <c r="AA4" s="1406"/>
      <c r="AB4" s="1406"/>
      <c r="AC4" s="1406"/>
      <c r="AD4" s="1406"/>
      <c r="AE4" s="1406"/>
      <c r="AF4" s="1406"/>
      <c r="AG4" s="1406"/>
      <c r="AH4" s="1406"/>
    </row>
    <row r="5" spans="1:165" ht="19.5" customHeight="1">
      <c r="A5" s="3448"/>
      <c r="B5" s="3448"/>
      <c r="C5" s="3448"/>
      <c r="D5" s="3448"/>
      <c r="E5" s="3448"/>
      <c r="F5" s="616" t="s">
        <v>4407</v>
      </c>
      <c r="G5" s="3454" t="str">
        <f>基本情况!$F$19&amp;""</f>
        <v/>
      </c>
      <c r="H5" s="3454"/>
      <c r="I5" s="618" t="str">
        <f>TEXT(基本情况!$F$27,"yyyy-mm-dd")</f>
        <v>2018-03-16</v>
      </c>
      <c r="J5" s="3455" t="str">
        <f>开始!J21</f>
        <v>GL-19</v>
      </c>
      <c r="K5" s="1406"/>
      <c r="L5" s="1406"/>
      <c r="M5" s="1406"/>
      <c r="N5" s="1406"/>
      <c r="O5" s="1406"/>
      <c r="P5" s="1406"/>
      <c r="Q5" s="1406"/>
      <c r="R5" s="1406"/>
      <c r="S5" s="1406"/>
      <c r="T5" s="1406"/>
      <c r="U5" s="1406"/>
      <c r="V5" s="1406"/>
      <c r="W5" s="1406"/>
      <c r="X5" s="1406"/>
      <c r="Y5" s="1406"/>
      <c r="Z5" s="1406"/>
      <c r="AA5" s="1406"/>
      <c r="AB5" s="1406"/>
      <c r="AC5" s="1406"/>
      <c r="AD5" s="1406"/>
      <c r="AE5" s="1406"/>
      <c r="AF5" s="1406"/>
      <c r="AG5" s="1406"/>
      <c r="AH5" s="1406"/>
    </row>
    <row r="6" spans="1:165" ht="19.5" customHeight="1">
      <c r="A6" s="3449" t="str">
        <f>"会计期间："&amp;基本情况!$F$9</f>
        <v>会计期间：2017年01月01日至2017年12月31日</v>
      </c>
      <c r="B6" s="3449"/>
      <c r="C6" s="3449"/>
      <c r="D6" s="3449"/>
      <c r="E6" s="3449"/>
      <c r="F6" s="566" t="s">
        <v>4410</v>
      </c>
      <c r="G6" s="2926" t="str">
        <f>基本情况!$F$18&amp;""</f>
        <v/>
      </c>
      <c r="H6" s="2926"/>
      <c r="I6" s="567" t="str">
        <f>TEXT(基本情况!$F$28,"yyyy-mm-dd")</f>
        <v>2018-05-04</v>
      </c>
      <c r="J6" s="3455"/>
      <c r="K6" s="1406"/>
      <c r="L6" s="1406"/>
      <c r="M6" s="1406"/>
      <c r="N6" s="1406"/>
      <c r="O6" s="1406"/>
      <c r="P6" s="1406"/>
      <c r="Q6" s="1406"/>
      <c r="R6" s="1406"/>
      <c r="S6" s="1406"/>
      <c r="T6" s="1406"/>
      <c r="U6" s="1406"/>
      <c r="V6" s="1406"/>
      <c r="W6" s="1406"/>
      <c r="X6" s="1406"/>
      <c r="Y6" s="1406"/>
      <c r="Z6" s="1406"/>
      <c r="AA6" s="1406"/>
      <c r="AB6" s="1406"/>
      <c r="AC6" s="1406"/>
      <c r="AD6" s="1406"/>
      <c r="AE6" s="1406"/>
      <c r="AF6" s="1406"/>
      <c r="AG6" s="1406"/>
      <c r="AH6" s="1406"/>
    </row>
    <row r="7" spans="1:165" ht="6.75" customHeight="1">
      <c r="A7" s="2699"/>
      <c r="B7" s="2699"/>
      <c r="C7" s="2699"/>
      <c r="D7" s="2699"/>
      <c r="E7" s="2699"/>
      <c r="F7" s="2699"/>
      <c r="G7" s="2699"/>
      <c r="H7" s="2699"/>
      <c r="I7" s="2699"/>
      <c r="J7" s="2699"/>
      <c r="K7" s="1406"/>
      <c r="L7" s="1406"/>
      <c r="M7" s="1406"/>
      <c r="N7" s="1406"/>
      <c r="O7" s="1406"/>
      <c r="P7" s="1406"/>
      <c r="Q7" s="1406"/>
      <c r="R7" s="1406"/>
      <c r="S7" s="1406"/>
      <c r="T7" s="1406"/>
      <c r="U7" s="1406"/>
      <c r="V7" s="1406"/>
      <c r="W7" s="1406"/>
      <c r="X7" s="1406"/>
      <c r="Y7" s="1406"/>
      <c r="Z7" s="1406"/>
      <c r="AA7" s="1406"/>
      <c r="AB7" s="1406"/>
      <c r="AC7" s="1406"/>
      <c r="AD7" s="1406"/>
      <c r="AE7" s="1406"/>
      <c r="AF7" s="1406"/>
      <c r="AG7" s="1406"/>
      <c r="AH7" s="1406"/>
    </row>
    <row r="8" spans="1:165" ht="16.5" customHeight="1">
      <c r="A8" s="2929" t="s">
        <v>4376</v>
      </c>
      <c r="B8" s="2664" t="s">
        <v>5218</v>
      </c>
      <c r="C8" s="2664"/>
      <c r="D8" s="2664"/>
      <c r="E8" s="2664"/>
      <c r="F8" s="2664" t="s">
        <v>5219</v>
      </c>
      <c r="G8" s="2664"/>
      <c r="H8" s="2664"/>
      <c r="I8" s="2664"/>
      <c r="J8" s="1407" t="s">
        <v>5220</v>
      </c>
      <c r="K8" s="958" t="s">
        <v>1724</v>
      </c>
      <c r="L8" s="1406"/>
      <c r="M8" s="1406"/>
      <c r="N8" s="1406"/>
      <c r="O8" s="1406"/>
      <c r="P8" s="1406"/>
      <c r="Q8" s="1406"/>
      <c r="R8" s="1406"/>
      <c r="S8" s="1406"/>
      <c r="T8" s="1406"/>
      <c r="U8" s="1406"/>
      <c r="V8" s="1406"/>
      <c r="W8" s="1406"/>
      <c r="X8" s="1406"/>
      <c r="Y8" s="1406"/>
      <c r="Z8" s="1406"/>
      <c r="AA8" s="1406"/>
      <c r="AB8" s="1406"/>
      <c r="AC8" s="1406"/>
      <c r="AD8" s="1406"/>
      <c r="AE8" s="1406"/>
      <c r="AF8" s="1406"/>
      <c r="AG8" s="1406"/>
      <c r="AH8" s="1406"/>
    </row>
    <row r="9" spans="1:165" ht="16.5" customHeight="1">
      <c r="A9" s="2929"/>
      <c r="B9" s="2660" t="s">
        <v>5221</v>
      </c>
      <c r="C9" s="2660"/>
      <c r="D9" s="2660" t="s">
        <v>1911</v>
      </c>
      <c r="E9" s="2660"/>
      <c r="F9" s="2660" t="s">
        <v>5221</v>
      </c>
      <c r="G9" s="2660"/>
      <c r="H9" s="2660" t="s">
        <v>1911</v>
      </c>
      <c r="I9" s="2660"/>
      <c r="J9" s="1408"/>
      <c r="K9" s="1406"/>
      <c r="L9" s="1406"/>
      <c r="M9" s="1406"/>
      <c r="N9" s="1406"/>
      <c r="O9" s="1406"/>
      <c r="P9" s="1406"/>
      <c r="Q9" s="1406"/>
      <c r="R9" s="1406"/>
      <c r="S9" s="1406"/>
      <c r="T9" s="1406"/>
      <c r="U9" s="1406"/>
      <c r="V9" s="1406"/>
      <c r="W9" s="1406"/>
      <c r="X9" s="1406"/>
      <c r="Y9" s="1406"/>
      <c r="Z9" s="1406"/>
      <c r="AA9" s="1406"/>
      <c r="AB9" s="1406"/>
      <c r="AC9" s="1406"/>
      <c r="AD9" s="1406"/>
      <c r="AE9" s="1406"/>
      <c r="AF9" s="1406"/>
      <c r="AG9" s="1406"/>
      <c r="AH9" s="1406"/>
    </row>
    <row r="10" spans="1:165" ht="16.5" customHeight="1">
      <c r="A10" s="1409">
        <v>1</v>
      </c>
      <c r="B10" s="3450"/>
      <c r="C10" s="3450"/>
      <c r="D10" s="3450"/>
      <c r="E10" s="3450"/>
      <c r="F10" s="3450"/>
      <c r="G10" s="3450"/>
      <c r="H10" s="3450"/>
      <c r="I10" s="3450"/>
      <c r="J10" s="1410"/>
      <c r="K10" s="1411" t="s">
        <v>5218</v>
      </c>
      <c r="L10" s="1406"/>
      <c r="M10" s="1406"/>
      <c r="N10" s="1406"/>
      <c r="O10" s="1406"/>
      <c r="P10" s="1406"/>
      <c r="Q10" s="1406"/>
      <c r="R10" s="1406"/>
      <c r="S10" s="1406"/>
      <c r="T10" s="1406"/>
      <c r="U10" s="1406"/>
      <c r="V10" s="1406"/>
      <c r="W10" s="1406"/>
      <c r="X10" s="1406"/>
      <c r="Y10" s="1406"/>
      <c r="Z10" s="1406"/>
      <c r="AA10" s="1406"/>
      <c r="AB10" s="1406"/>
      <c r="AC10" s="1406"/>
      <c r="AD10" s="1406"/>
      <c r="AE10" s="1406"/>
      <c r="AF10" s="1406"/>
      <c r="AG10" s="1406"/>
      <c r="AH10" s="1406"/>
    </row>
    <row r="11" spans="1:165" ht="16.5" customHeight="1">
      <c r="A11" s="1409">
        <v>2</v>
      </c>
      <c r="B11" s="3450"/>
      <c r="C11" s="3450"/>
      <c r="D11" s="3450"/>
      <c r="E11" s="3450"/>
      <c r="F11" s="3450"/>
      <c r="G11" s="3450"/>
      <c r="H11" s="3450"/>
      <c r="I11" s="3450"/>
      <c r="J11" s="1410"/>
      <c r="K11" s="1406"/>
      <c r="L11" s="1406"/>
      <c r="M11" s="1406"/>
      <c r="N11" s="1406"/>
      <c r="O11" s="1406"/>
      <c r="P11" s="1406"/>
      <c r="Q11" s="1406"/>
      <c r="R11" s="1406"/>
      <c r="S11" s="1406"/>
      <c r="T11" s="1406"/>
      <c r="U11" s="1406"/>
      <c r="V11" s="1406"/>
      <c r="W11" s="1406"/>
      <c r="X11" s="1406"/>
      <c r="Y11" s="1406"/>
      <c r="Z11" s="1406"/>
      <c r="AA11" s="1406"/>
      <c r="AB11" s="1406"/>
      <c r="AC11" s="1406"/>
      <c r="AD11" s="1406"/>
      <c r="AE11" s="1406"/>
      <c r="AF11" s="1406"/>
      <c r="AG11" s="1406"/>
      <c r="AH11" s="1406"/>
    </row>
    <row r="12" spans="1:165" ht="16.5" customHeight="1">
      <c r="A12" s="1409">
        <v>3</v>
      </c>
      <c r="B12" s="3450"/>
      <c r="C12" s="3450"/>
      <c r="D12" s="3450"/>
      <c r="E12" s="3450"/>
      <c r="F12" s="3450"/>
      <c r="G12" s="3450"/>
      <c r="H12" s="3450"/>
      <c r="I12" s="3450"/>
      <c r="J12" s="1410"/>
      <c r="K12" s="1411" t="s">
        <v>5222</v>
      </c>
      <c r="L12" s="1406"/>
      <c r="M12" s="1406"/>
      <c r="N12" s="1406"/>
      <c r="O12" s="1406"/>
      <c r="P12" s="1406"/>
      <c r="Q12" s="1406"/>
      <c r="R12" s="1406"/>
      <c r="S12" s="1406"/>
      <c r="T12" s="1406"/>
      <c r="U12" s="1406"/>
      <c r="V12" s="1406"/>
      <c r="W12" s="1406"/>
      <c r="X12" s="1406"/>
      <c r="Y12" s="1406"/>
      <c r="Z12" s="1406"/>
      <c r="AA12" s="1406"/>
      <c r="AB12" s="1406"/>
      <c r="AC12" s="1406"/>
      <c r="AD12" s="1406"/>
      <c r="AE12" s="1406"/>
      <c r="AF12" s="1406"/>
      <c r="AG12" s="1406"/>
      <c r="AH12" s="1406"/>
    </row>
    <row r="13" spans="1:165" ht="16.5" customHeight="1">
      <c r="A13" s="1409">
        <v>4</v>
      </c>
      <c r="B13" s="3450"/>
      <c r="C13" s="3450"/>
      <c r="D13" s="3450"/>
      <c r="E13" s="3450"/>
      <c r="F13" s="3450"/>
      <c r="G13" s="3450"/>
      <c r="H13" s="3450"/>
      <c r="I13" s="3450"/>
      <c r="J13" s="1410"/>
      <c r="K13" s="1406"/>
      <c r="L13" s="1406"/>
      <c r="M13" s="1406"/>
      <c r="N13" s="1406"/>
      <c r="O13" s="1406"/>
      <c r="P13" s="1406"/>
      <c r="Q13" s="1406"/>
      <c r="R13" s="1406"/>
      <c r="S13" s="1406"/>
      <c r="T13" s="1406"/>
      <c r="U13" s="1406"/>
      <c r="V13" s="1406"/>
      <c r="W13" s="1406"/>
      <c r="X13" s="1406"/>
      <c r="Y13" s="1406"/>
      <c r="Z13" s="1406"/>
      <c r="AA13" s="1406"/>
      <c r="AB13" s="1406"/>
      <c r="AC13" s="1406"/>
      <c r="AD13" s="1406"/>
      <c r="AE13" s="1406"/>
      <c r="AF13" s="1406"/>
      <c r="AG13" s="1406"/>
      <c r="AH13" s="1406"/>
    </row>
    <row r="14" spans="1:165" ht="16.5" customHeight="1">
      <c r="A14" s="1409">
        <v>5</v>
      </c>
      <c r="B14" s="3450"/>
      <c r="C14" s="3450"/>
      <c r="D14" s="3450"/>
      <c r="E14" s="3450"/>
      <c r="F14" s="3450"/>
      <c r="G14" s="3450"/>
      <c r="H14" s="3450"/>
      <c r="I14" s="3450"/>
      <c r="J14" s="1410"/>
      <c r="K14" s="1411" t="s">
        <v>5223</v>
      </c>
      <c r="L14" s="1406"/>
      <c r="M14" s="1406"/>
      <c r="N14" s="1406"/>
      <c r="O14" s="1406"/>
      <c r="P14" s="1406"/>
      <c r="Q14" s="1406"/>
      <c r="R14" s="1406"/>
      <c r="S14" s="1406"/>
      <c r="T14" s="1406"/>
      <c r="U14" s="1406"/>
      <c r="V14" s="1406"/>
      <c r="W14" s="1406"/>
      <c r="X14" s="1406"/>
      <c r="Y14" s="1406"/>
      <c r="Z14" s="1406"/>
      <c r="AA14" s="1406"/>
      <c r="AB14" s="1406"/>
      <c r="AC14" s="1406"/>
      <c r="AD14" s="1406"/>
      <c r="AE14" s="1406"/>
      <c r="AF14" s="1406"/>
      <c r="AG14" s="1406"/>
      <c r="AH14" s="1406"/>
    </row>
    <row r="15" spans="1:165" ht="16.5" customHeight="1">
      <c r="A15" s="1409">
        <v>6</v>
      </c>
      <c r="B15" s="3450"/>
      <c r="C15" s="3450"/>
      <c r="D15" s="3450"/>
      <c r="E15" s="3450"/>
      <c r="F15" s="3450"/>
      <c r="G15" s="3450"/>
      <c r="H15" s="3450"/>
      <c r="I15" s="3450"/>
      <c r="J15" s="1410"/>
      <c r="K15" s="1406"/>
      <c r="L15" s="1406"/>
      <c r="M15" s="1406"/>
      <c r="N15" s="1406"/>
      <c r="O15" s="1406"/>
      <c r="P15" s="1406"/>
      <c r="Q15" s="1406"/>
      <c r="R15" s="1406"/>
      <c r="S15" s="1406"/>
      <c r="T15" s="1406"/>
      <c r="U15" s="1406"/>
      <c r="V15" s="1406"/>
      <c r="W15" s="1406"/>
      <c r="X15" s="1406"/>
      <c r="Y15" s="1406"/>
      <c r="Z15" s="1406"/>
      <c r="AA15" s="1406"/>
      <c r="AB15" s="1406"/>
      <c r="AC15" s="1406"/>
      <c r="AD15" s="1406"/>
      <c r="AE15" s="1406"/>
      <c r="AF15" s="1406"/>
      <c r="AG15" s="1406"/>
      <c r="AH15" s="1406"/>
    </row>
    <row r="16" spans="1:165" ht="16.5" customHeight="1">
      <c r="A16" s="1409">
        <v>7</v>
      </c>
      <c r="B16" s="3450"/>
      <c r="C16" s="3450"/>
      <c r="D16" s="3450"/>
      <c r="E16" s="3450"/>
      <c r="F16" s="3450"/>
      <c r="G16" s="3450"/>
      <c r="H16" s="3450"/>
      <c r="I16" s="3450"/>
      <c r="J16" s="1410"/>
      <c r="K16" s="1411" t="s">
        <v>5224</v>
      </c>
      <c r="L16" s="1406"/>
      <c r="M16" s="1406"/>
      <c r="N16" s="1406"/>
      <c r="O16" s="1406"/>
      <c r="P16" s="1406"/>
      <c r="Q16" s="1406"/>
      <c r="R16" s="1406"/>
      <c r="S16" s="1406"/>
      <c r="T16" s="1406"/>
      <c r="U16" s="1406"/>
      <c r="V16" s="1406"/>
      <c r="W16" s="1406"/>
      <c r="X16" s="1406"/>
      <c r="Y16" s="1406"/>
      <c r="Z16" s="1406"/>
      <c r="AA16" s="1406"/>
      <c r="AB16" s="1406"/>
      <c r="AC16" s="1406"/>
      <c r="AD16" s="1406"/>
      <c r="AE16" s="1406"/>
      <c r="AF16" s="1406"/>
      <c r="AG16" s="1406"/>
      <c r="AH16" s="1406"/>
    </row>
    <row r="17" spans="1:34" ht="16.5" customHeight="1">
      <c r="A17" s="1409">
        <v>8</v>
      </c>
      <c r="B17" s="3450"/>
      <c r="C17" s="3450"/>
      <c r="D17" s="3450"/>
      <c r="E17" s="3450"/>
      <c r="F17" s="3450"/>
      <c r="G17" s="3450"/>
      <c r="H17" s="3450"/>
      <c r="I17" s="3450"/>
      <c r="J17" s="1410"/>
      <c r="K17" s="1406"/>
      <c r="L17" s="1406"/>
      <c r="M17" s="1406"/>
      <c r="N17" s="1406"/>
      <c r="O17" s="1406"/>
      <c r="P17" s="1406"/>
      <c r="Q17" s="1406"/>
      <c r="R17" s="1406"/>
      <c r="S17" s="1406"/>
      <c r="T17" s="1406"/>
      <c r="U17" s="1406"/>
      <c r="V17" s="1406"/>
      <c r="W17" s="1406"/>
      <c r="X17" s="1406"/>
      <c r="Y17" s="1406"/>
      <c r="Z17" s="1406"/>
      <c r="AA17" s="1406"/>
      <c r="AB17" s="1406"/>
      <c r="AC17" s="1406"/>
      <c r="AD17" s="1406"/>
      <c r="AE17" s="1406"/>
      <c r="AF17" s="1406"/>
      <c r="AG17" s="1406"/>
      <c r="AH17" s="1406"/>
    </row>
    <row r="18" spans="1:34" ht="16.5" customHeight="1">
      <c r="A18" s="1409">
        <v>9</v>
      </c>
      <c r="B18" s="3450"/>
      <c r="C18" s="3450"/>
      <c r="D18" s="3450"/>
      <c r="E18" s="3450"/>
      <c r="F18" s="3450"/>
      <c r="G18" s="3450"/>
      <c r="H18" s="3450"/>
      <c r="I18" s="3450"/>
      <c r="J18" s="1410"/>
      <c r="K18" s="1412" t="s">
        <v>5086</v>
      </c>
      <c r="L18" s="1406"/>
      <c r="M18" s="1406"/>
      <c r="N18" s="1406"/>
      <c r="O18" s="1406"/>
      <c r="P18" s="1406"/>
      <c r="Q18" s="1406"/>
      <c r="R18" s="1406"/>
      <c r="S18" s="1406"/>
      <c r="T18" s="1406"/>
      <c r="U18" s="1406"/>
      <c r="V18" s="1406"/>
      <c r="W18" s="1406"/>
      <c r="X18" s="1406"/>
      <c r="Y18" s="1406"/>
      <c r="Z18" s="1406"/>
      <c r="AA18" s="1406"/>
      <c r="AB18" s="1406"/>
      <c r="AC18" s="1406"/>
      <c r="AD18" s="1406"/>
      <c r="AE18" s="1406"/>
      <c r="AF18" s="1406"/>
      <c r="AG18" s="1406"/>
      <c r="AH18" s="1406"/>
    </row>
    <row r="19" spans="1:34" ht="16.5" customHeight="1">
      <c r="A19" s="1409">
        <v>10</v>
      </c>
      <c r="B19" s="3450"/>
      <c r="C19" s="3450"/>
      <c r="D19" s="3450"/>
      <c r="E19" s="3450"/>
      <c r="F19" s="3450"/>
      <c r="G19" s="3450"/>
      <c r="H19" s="3450"/>
      <c r="I19" s="3450"/>
      <c r="J19" s="1410"/>
      <c r="K19" s="1406"/>
      <c r="L19" s="1406"/>
      <c r="M19" s="1406"/>
      <c r="N19" s="1406"/>
      <c r="O19" s="1406"/>
      <c r="P19" s="1406"/>
      <c r="Q19" s="1406"/>
      <c r="R19" s="1406"/>
      <c r="S19" s="1406"/>
      <c r="T19" s="1406"/>
      <c r="U19" s="1406"/>
      <c r="V19" s="1406"/>
      <c r="W19" s="1406"/>
      <c r="X19" s="1406"/>
      <c r="Y19" s="1406"/>
      <c r="Z19" s="1406"/>
      <c r="AA19" s="1406"/>
      <c r="AB19" s="1406"/>
      <c r="AC19" s="1406"/>
      <c r="AD19" s="1406"/>
      <c r="AE19" s="1406"/>
      <c r="AF19" s="1406"/>
      <c r="AG19" s="1406"/>
      <c r="AH19" s="1406"/>
    </row>
    <row r="20" spans="1:34" ht="16.5" customHeight="1">
      <c r="A20" s="1409">
        <v>11</v>
      </c>
      <c r="B20" s="3450"/>
      <c r="C20" s="3450"/>
      <c r="D20" s="3450"/>
      <c r="E20" s="3450"/>
      <c r="F20" s="3450"/>
      <c r="G20" s="3450"/>
      <c r="H20" s="3450"/>
      <c r="I20" s="3450"/>
      <c r="J20" s="1410"/>
      <c r="K20" s="1406"/>
      <c r="L20" s="1406"/>
      <c r="M20" s="1406"/>
      <c r="N20" s="1406"/>
      <c r="O20" s="1406"/>
      <c r="P20" s="1406"/>
      <c r="Q20" s="1406"/>
      <c r="R20" s="1406"/>
      <c r="S20" s="1406"/>
      <c r="T20" s="1406"/>
      <c r="U20" s="1406"/>
      <c r="V20" s="1406"/>
      <c r="W20" s="1406"/>
      <c r="X20" s="1406"/>
      <c r="Y20" s="1406"/>
      <c r="Z20" s="1406"/>
      <c r="AA20" s="1406"/>
      <c r="AB20" s="1406"/>
      <c r="AC20" s="1406"/>
      <c r="AD20" s="1406"/>
      <c r="AE20" s="1406"/>
      <c r="AF20" s="1406"/>
      <c r="AG20" s="1406"/>
      <c r="AH20" s="1406"/>
    </row>
    <row r="21" spans="1:34" ht="16.5" customHeight="1">
      <c r="A21" s="1409">
        <v>12</v>
      </c>
      <c r="B21" s="3450"/>
      <c r="C21" s="3450"/>
      <c r="D21" s="3450"/>
      <c r="E21" s="3450"/>
      <c r="F21" s="3450"/>
      <c r="G21" s="3450"/>
      <c r="H21" s="3450"/>
      <c r="I21" s="3450"/>
      <c r="J21" s="1410"/>
      <c r="K21" s="1406"/>
      <c r="L21" s="1406"/>
      <c r="M21" s="1406"/>
      <c r="N21" s="1406"/>
      <c r="O21" s="1406"/>
      <c r="P21" s="1406"/>
      <c r="Q21" s="1406"/>
      <c r="R21" s="1406"/>
      <c r="S21" s="1406"/>
      <c r="T21" s="1406"/>
      <c r="U21" s="1406"/>
      <c r="V21" s="1406"/>
      <c r="W21" s="1406"/>
      <c r="X21" s="1406"/>
      <c r="Y21" s="1406"/>
      <c r="Z21" s="1406"/>
      <c r="AA21" s="1406"/>
      <c r="AB21" s="1406"/>
      <c r="AC21" s="1406"/>
      <c r="AD21" s="1406"/>
      <c r="AE21" s="1406"/>
      <c r="AF21" s="1406"/>
      <c r="AG21" s="1406"/>
      <c r="AH21" s="1406"/>
    </row>
    <row r="22" spans="1:34" ht="18" customHeight="1">
      <c r="A22" s="1413" t="s">
        <v>757</v>
      </c>
      <c r="B22" s="3451">
        <f>SUM(B10:C21)</f>
        <v>0</v>
      </c>
      <c r="C22" s="3451"/>
      <c r="D22" s="3451">
        <f>SUM(D10:E21)</f>
        <v>0</v>
      </c>
      <c r="E22" s="3451"/>
      <c r="F22" s="3451">
        <f>SUM(F10:G21)</f>
        <v>0</v>
      </c>
      <c r="G22" s="3451"/>
      <c r="H22" s="3451">
        <f>SUM(H10:I21)</f>
        <v>0</v>
      </c>
      <c r="I22" s="3451"/>
      <c r="J22" s="1414">
        <f>SUM(J10:J21)</f>
        <v>0</v>
      </c>
      <c r="K22" s="1406"/>
      <c r="L22" s="1406"/>
      <c r="M22" s="1406"/>
      <c r="N22" s="1406"/>
      <c r="O22" s="1406"/>
      <c r="P22" s="1406"/>
      <c r="Q22" s="1406"/>
      <c r="R22" s="1406"/>
      <c r="S22" s="1406"/>
      <c r="T22" s="1406"/>
      <c r="U22" s="1406"/>
      <c r="V22" s="1406"/>
      <c r="W22" s="1406"/>
      <c r="X22" s="1406"/>
      <c r="Y22" s="1406"/>
      <c r="Z22" s="1406"/>
      <c r="AA22" s="1406"/>
      <c r="AB22" s="1406"/>
      <c r="AC22" s="1406"/>
      <c r="AD22" s="1406"/>
      <c r="AE22" s="1406"/>
      <c r="AF22" s="1406"/>
      <c r="AG22" s="1406"/>
      <c r="AH22" s="1406"/>
    </row>
    <row r="23" spans="1:34" ht="19.5" customHeight="1">
      <c r="A23" s="2929" t="s">
        <v>4376</v>
      </c>
      <c r="B23" s="2664" t="s">
        <v>5225</v>
      </c>
      <c r="C23" s="2664"/>
      <c r="D23" s="2664"/>
      <c r="E23" s="2664"/>
      <c r="F23" s="2664" t="s">
        <v>5226</v>
      </c>
      <c r="G23" s="2664"/>
      <c r="H23" s="2664"/>
      <c r="I23" s="2664"/>
      <c r="J23" s="3452" t="s">
        <v>5227</v>
      </c>
      <c r="K23" s="1406"/>
      <c r="L23" s="1406"/>
      <c r="M23" s="1406"/>
      <c r="N23" s="1406"/>
      <c r="O23" s="1406"/>
      <c r="P23" s="1406"/>
      <c r="Q23" s="1406"/>
      <c r="R23" s="1406"/>
      <c r="S23" s="1406"/>
      <c r="T23" s="1406"/>
      <c r="U23" s="1406"/>
      <c r="V23" s="1406"/>
      <c r="W23" s="1406"/>
      <c r="X23" s="1406"/>
      <c r="Y23" s="1406"/>
      <c r="Z23" s="1406"/>
      <c r="AA23" s="1406"/>
      <c r="AB23" s="1406"/>
      <c r="AC23" s="1406"/>
      <c r="AD23" s="1406"/>
      <c r="AE23" s="1406"/>
      <c r="AF23" s="1406"/>
      <c r="AG23" s="1406"/>
      <c r="AH23" s="1406"/>
    </row>
    <row r="24" spans="1:34" ht="19.5" customHeight="1">
      <c r="A24" s="2929"/>
      <c r="B24" s="2660" t="s">
        <v>5221</v>
      </c>
      <c r="C24" s="2660"/>
      <c r="D24" s="2660" t="s">
        <v>1911</v>
      </c>
      <c r="E24" s="2660"/>
      <c r="F24" s="2660" t="s">
        <v>5221</v>
      </c>
      <c r="G24" s="2660"/>
      <c r="H24" s="2660" t="s">
        <v>1911</v>
      </c>
      <c r="I24" s="2660"/>
      <c r="J24" s="3453"/>
      <c r="K24" s="1406"/>
      <c r="L24" s="1406"/>
      <c r="M24" s="1406"/>
      <c r="N24" s="1406"/>
      <c r="O24" s="1406"/>
      <c r="P24" s="1406"/>
      <c r="Q24" s="1406"/>
      <c r="R24" s="1406"/>
      <c r="S24" s="1406"/>
      <c r="T24" s="1406"/>
      <c r="U24" s="1406"/>
      <c r="V24" s="1406"/>
      <c r="W24" s="1406"/>
      <c r="X24" s="1406"/>
      <c r="Y24" s="1406"/>
      <c r="Z24" s="1406"/>
      <c r="AA24" s="1406"/>
      <c r="AB24" s="1406"/>
      <c r="AC24" s="1406"/>
      <c r="AD24" s="1406"/>
      <c r="AE24" s="1406"/>
      <c r="AF24" s="1406"/>
      <c r="AG24" s="1406"/>
      <c r="AH24" s="1406"/>
    </row>
    <row r="25" spans="1:34" ht="16.5" customHeight="1">
      <c r="A25" s="1409">
        <v>1</v>
      </c>
      <c r="B25" s="3450"/>
      <c r="C25" s="3450"/>
      <c r="D25" s="3450"/>
      <c r="E25" s="3450"/>
      <c r="F25" s="3450"/>
      <c r="G25" s="3450"/>
      <c r="H25" s="3450"/>
      <c r="I25" s="3450"/>
      <c r="J25" s="1410"/>
      <c r="K25" s="1406"/>
      <c r="L25" s="1406"/>
      <c r="M25" s="1406"/>
      <c r="N25" s="1406"/>
      <c r="O25" s="1406"/>
      <c r="P25" s="1406"/>
      <c r="Q25" s="1406"/>
      <c r="R25" s="1406"/>
      <c r="S25" s="1406"/>
      <c r="T25" s="1406"/>
      <c r="U25" s="1406"/>
      <c r="V25" s="1406"/>
      <c r="W25" s="1406"/>
      <c r="X25" s="1406"/>
      <c r="Y25" s="1406"/>
      <c r="Z25" s="1406"/>
      <c r="AA25" s="1406"/>
      <c r="AB25" s="1406"/>
      <c r="AC25" s="1406"/>
      <c r="AD25" s="1406"/>
      <c r="AE25" s="1406"/>
      <c r="AF25" s="1406"/>
      <c r="AG25" s="1406"/>
      <c r="AH25" s="1406"/>
    </row>
    <row r="26" spans="1:34" ht="16.5" customHeight="1">
      <c r="A26" s="1409">
        <v>2</v>
      </c>
      <c r="B26" s="3450"/>
      <c r="C26" s="3450"/>
      <c r="D26" s="3450"/>
      <c r="E26" s="3450"/>
      <c r="F26" s="3450"/>
      <c r="G26" s="3450"/>
      <c r="H26" s="3450"/>
      <c r="I26" s="3450"/>
      <c r="J26" s="1410"/>
      <c r="K26" s="1406"/>
      <c r="L26" s="1406"/>
      <c r="M26" s="1406"/>
      <c r="N26" s="1406"/>
      <c r="O26" s="1406"/>
      <c r="P26" s="1406"/>
      <c r="Q26" s="1406"/>
      <c r="R26" s="1406"/>
      <c r="S26" s="1406"/>
      <c r="T26" s="1406"/>
      <c r="U26" s="1406"/>
      <c r="V26" s="1406"/>
      <c r="W26" s="1406"/>
      <c r="X26" s="1406"/>
      <c r="Y26" s="1406"/>
      <c r="Z26" s="1406"/>
      <c r="AA26" s="1406"/>
      <c r="AB26" s="1406"/>
      <c r="AC26" s="1406"/>
      <c r="AD26" s="1406"/>
      <c r="AE26" s="1406"/>
      <c r="AF26" s="1406"/>
      <c r="AG26" s="1406"/>
      <c r="AH26" s="1406"/>
    </row>
    <row r="27" spans="1:34" ht="16.5" customHeight="1">
      <c r="A27" s="1409">
        <v>3</v>
      </c>
      <c r="B27" s="3450"/>
      <c r="C27" s="3450"/>
      <c r="D27" s="3450"/>
      <c r="E27" s="3450"/>
      <c r="F27" s="3450"/>
      <c r="G27" s="3450"/>
      <c r="H27" s="3450"/>
      <c r="I27" s="3450"/>
      <c r="J27" s="1410"/>
      <c r="K27" s="1406"/>
      <c r="L27" s="1406"/>
      <c r="M27" s="1406"/>
      <c r="N27" s="1406"/>
      <c r="O27" s="1406"/>
      <c r="P27" s="1406"/>
      <c r="Q27" s="1406"/>
      <c r="R27" s="1406"/>
      <c r="S27" s="1406"/>
      <c r="T27" s="1406"/>
      <c r="U27" s="1406"/>
      <c r="V27" s="1406"/>
      <c r="W27" s="1406"/>
      <c r="X27" s="1406"/>
      <c r="Y27" s="1406"/>
      <c r="Z27" s="1406"/>
      <c r="AA27" s="1406"/>
      <c r="AB27" s="1406"/>
      <c r="AC27" s="1406"/>
      <c r="AD27" s="1406"/>
      <c r="AE27" s="1406"/>
      <c r="AF27" s="1406"/>
      <c r="AG27" s="1406"/>
      <c r="AH27" s="1406"/>
    </row>
    <row r="28" spans="1:34" ht="16.5" customHeight="1">
      <c r="A28" s="1409">
        <v>4</v>
      </c>
      <c r="B28" s="3450"/>
      <c r="C28" s="3450"/>
      <c r="D28" s="3450"/>
      <c r="E28" s="3450"/>
      <c r="F28" s="3450"/>
      <c r="G28" s="3450"/>
      <c r="H28" s="3450"/>
      <c r="I28" s="3450"/>
      <c r="J28" s="1410"/>
      <c r="K28" s="1406"/>
      <c r="L28" s="1406"/>
      <c r="M28" s="1406"/>
      <c r="N28" s="1406"/>
      <c r="O28" s="1406"/>
      <c r="P28" s="1406"/>
      <c r="Q28" s="1406"/>
      <c r="R28" s="1406"/>
      <c r="S28" s="1406"/>
      <c r="T28" s="1406"/>
      <c r="U28" s="1406"/>
      <c r="V28" s="1406"/>
      <c r="W28" s="1406"/>
      <c r="X28" s="1406"/>
      <c r="Y28" s="1406"/>
      <c r="Z28" s="1406"/>
      <c r="AA28" s="1406"/>
      <c r="AB28" s="1406"/>
      <c r="AC28" s="1406"/>
      <c r="AD28" s="1406"/>
      <c r="AE28" s="1406"/>
      <c r="AF28" s="1406"/>
      <c r="AG28" s="1406"/>
      <c r="AH28" s="1406"/>
    </row>
    <row r="29" spans="1:34" ht="16.5" customHeight="1">
      <c r="A29" s="1409">
        <v>5</v>
      </c>
      <c r="B29" s="3450"/>
      <c r="C29" s="3450"/>
      <c r="D29" s="3450"/>
      <c r="E29" s="3450"/>
      <c r="F29" s="3450"/>
      <c r="G29" s="3450"/>
      <c r="H29" s="3450"/>
      <c r="I29" s="3450"/>
      <c r="J29" s="1410"/>
      <c r="K29" s="1406"/>
      <c r="L29" s="1406"/>
      <c r="M29" s="1406"/>
      <c r="N29" s="1406"/>
      <c r="O29" s="1406"/>
      <c r="P29" s="1406"/>
      <c r="Q29" s="1406"/>
      <c r="R29" s="1406"/>
      <c r="S29" s="1406"/>
      <c r="T29" s="1406"/>
      <c r="U29" s="1406"/>
      <c r="V29" s="1406"/>
      <c r="W29" s="1406"/>
      <c r="X29" s="1406"/>
      <c r="Y29" s="1406"/>
      <c r="Z29" s="1406"/>
      <c r="AA29" s="1406"/>
      <c r="AB29" s="1406"/>
      <c r="AC29" s="1406"/>
      <c r="AD29" s="1406"/>
      <c r="AE29" s="1406"/>
      <c r="AF29" s="1406"/>
      <c r="AG29" s="1406"/>
      <c r="AH29" s="1406"/>
    </row>
    <row r="30" spans="1:34" ht="16.5" customHeight="1">
      <c r="A30" s="1409">
        <v>6</v>
      </c>
      <c r="B30" s="3450"/>
      <c r="C30" s="3450"/>
      <c r="D30" s="3450"/>
      <c r="E30" s="3450"/>
      <c r="F30" s="3450"/>
      <c r="G30" s="3450"/>
      <c r="H30" s="3450"/>
      <c r="I30" s="3450"/>
      <c r="J30" s="1410"/>
      <c r="K30" s="1406"/>
      <c r="L30" s="1406"/>
      <c r="M30" s="1406"/>
      <c r="N30" s="1406"/>
      <c r="O30" s="1406"/>
      <c r="P30" s="1406"/>
      <c r="Q30" s="1406"/>
      <c r="R30" s="1406"/>
      <c r="S30" s="1406"/>
      <c r="T30" s="1406"/>
      <c r="U30" s="1406"/>
      <c r="V30" s="1406"/>
      <c r="W30" s="1406"/>
      <c r="X30" s="1406"/>
      <c r="Y30" s="1406"/>
      <c r="Z30" s="1406"/>
      <c r="AA30" s="1406"/>
      <c r="AB30" s="1406"/>
      <c r="AC30" s="1406"/>
      <c r="AD30" s="1406"/>
      <c r="AE30" s="1406"/>
      <c r="AF30" s="1406"/>
      <c r="AG30" s="1406"/>
      <c r="AH30" s="1406"/>
    </row>
    <row r="31" spans="1:34" ht="16.5" customHeight="1">
      <c r="A31" s="1409">
        <v>7</v>
      </c>
      <c r="B31" s="3450"/>
      <c r="C31" s="3450"/>
      <c r="D31" s="3450"/>
      <c r="E31" s="3450"/>
      <c r="F31" s="3450"/>
      <c r="G31" s="3450"/>
      <c r="H31" s="3450"/>
      <c r="I31" s="3450"/>
      <c r="J31" s="1410"/>
      <c r="K31" s="1406"/>
      <c r="L31" s="1406"/>
      <c r="M31" s="1406"/>
      <c r="N31" s="1406"/>
      <c r="O31" s="1406"/>
      <c r="P31" s="1406"/>
      <c r="Q31" s="1406"/>
      <c r="R31" s="1406"/>
      <c r="S31" s="1406"/>
      <c r="T31" s="1406"/>
      <c r="U31" s="1406"/>
      <c r="V31" s="1406"/>
      <c r="W31" s="1406"/>
      <c r="X31" s="1406"/>
      <c r="Y31" s="1406"/>
      <c r="Z31" s="1406"/>
      <c r="AA31" s="1406"/>
      <c r="AB31" s="1406"/>
      <c r="AC31" s="1406"/>
      <c r="AD31" s="1406"/>
      <c r="AE31" s="1406"/>
      <c r="AF31" s="1406"/>
      <c r="AG31" s="1406"/>
      <c r="AH31" s="1406"/>
    </row>
    <row r="32" spans="1:34" ht="16.5" customHeight="1">
      <c r="A32" s="1409">
        <v>8</v>
      </c>
      <c r="B32" s="3450"/>
      <c r="C32" s="3450"/>
      <c r="D32" s="3450"/>
      <c r="E32" s="3450"/>
      <c r="F32" s="3450"/>
      <c r="G32" s="3450"/>
      <c r="H32" s="3450"/>
      <c r="I32" s="3450"/>
      <c r="J32" s="1410"/>
      <c r="K32" s="1406"/>
      <c r="L32" s="1406"/>
      <c r="M32" s="1406"/>
      <c r="N32" s="1406"/>
      <c r="O32" s="1406"/>
      <c r="P32" s="1406"/>
      <c r="Q32" s="1406"/>
      <c r="R32" s="1406"/>
      <c r="S32" s="1406"/>
      <c r="T32" s="1406"/>
      <c r="U32" s="1406"/>
      <c r="V32" s="1406"/>
      <c r="W32" s="1406"/>
      <c r="X32" s="1406"/>
      <c r="Y32" s="1406"/>
      <c r="Z32" s="1406"/>
      <c r="AA32" s="1406"/>
      <c r="AB32" s="1406"/>
      <c r="AC32" s="1406"/>
      <c r="AD32" s="1406"/>
      <c r="AE32" s="1406"/>
      <c r="AF32" s="1406"/>
      <c r="AG32" s="1406"/>
      <c r="AH32" s="1406"/>
    </row>
    <row r="33" spans="1:34" ht="16.5" customHeight="1">
      <c r="A33" s="1409">
        <v>9</v>
      </c>
      <c r="B33" s="3450"/>
      <c r="C33" s="3450"/>
      <c r="D33" s="3450"/>
      <c r="E33" s="3450"/>
      <c r="F33" s="3450"/>
      <c r="G33" s="3450"/>
      <c r="H33" s="3450"/>
      <c r="I33" s="3450"/>
      <c r="J33" s="1410"/>
      <c r="K33" s="1406"/>
      <c r="L33" s="1406"/>
      <c r="M33" s="1406"/>
      <c r="N33" s="1406"/>
      <c r="O33" s="1406"/>
      <c r="P33" s="1406"/>
      <c r="Q33" s="1406"/>
      <c r="R33" s="1406"/>
      <c r="S33" s="1406"/>
      <c r="T33" s="1406"/>
      <c r="U33" s="1406"/>
      <c r="V33" s="1406"/>
      <c r="W33" s="1406"/>
      <c r="X33" s="1406"/>
      <c r="Y33" s="1406"/>
      <c r="Z33" s="1406"/>
      <c r="AA33" s="1406"/>
      <c r="AB33" s="1406"/>
      <c r="AC33" s="1406"/>
      <c r="AD33" s="1406"/>
      <c r="AE33" s="1406"/>
      <c r="AF33" s="1406"/>
      <c r="AG33" s="1406"/>
      <c r="AH33" s="1406"/>
    </row>
    <row r="34" spans="1:34" ht="16.5" customHeight="1">
      <c r="A34" s="1409">
        <v>10</v>
      </c>
      <c r="B34" s="3450"/>
      <c r="C34" s="3450"/>
      <c r="D34" s="3450"/>
      <c r="E34" s="3450"/>
      <c r="F34" s="3450"/>
      <c r="G34" s="3450"/>
      <c r="H34" s="3450"/>
      <c r="I34" s="3450"/>
      <c r="J34" s="1410"/>
      <c r="K34" s="1406"/>
      <c r="L34" s="1406"/>
      <c r="M34" s="1406"/>
      <c r="N34" s="1406"/>
      <c r="O34" s="1406"/>
      <c r="P34" s="1406"/>
      <c r="Q34" s="1406"/>
      <c r="R34" s="1406"/>
      <c r="S34" s="1406"/>
      <c r="T34" s="1406"/>
      <c r="U34" s="1406"/>
      <c r="V34" s="1406"/>
      <c r="W34" s="1406"/>
      <c r="X34" s="1406"/>
      <c r="Y34" s="1406"/>
      <c r="Z34" s="1406"/>
      <c r="AA34" s="1406"/>
      <c r="AB34" s="1406"/>
      <c r="AC34" s="1406"/>
      <c r="AD34" s="1406"/>
      <c r="AE34" s="1406"/>
      <c r="AF34" s="1406"/>
      <c r="AG34" s="1406"/>
      <c r="AH34" s="1406"/>
    </row>
    <row r="35" spans="1:34" ht="16.5" customHeight="1">
      <c r="A35" s="1409">
        <v>11</v>
      </c>
      <c r="B35" s="3450"/>
      <c r="C35" s="3450"/>
      <c r="D35" s="3450"/>
      <c r="E35" s="3450"/>
      <c r="F35" s="3450"/>
      <c r="G35" s="3450"/>
      <c r="H35" s="3450"/>
      <c r="I35" s="3450"/>
      <c r="J35" s="1410"/>
      <c r="K35" s="1406"/>
      <c r="L35" s="1406"/>
      <c r="M35" s="1406"/>
      <c r="N35" s="1406"/>
      <c r="O35" s="1406"/>
      <c r="P35" s="1406"/>
      <c r="Q35" s="1406"/>
      <c r="R35" s="1406"/>
      <c r="S35" s="1406"/>
      <c r="T35" s="1406"/>
      <c r="U35" s="1406"/>
      <c r="V35" s="1406"/>
      <c r="W35" s="1406"/>
      <c r="X35" s="1406"/>
      <c r="Y35" s="1406"/>
      <c r="Z35" s="1406"/>
      <c r="AA35" s="1406"/>
      <c r="AB35" s="1406"/>
      <c r="AC35" s="1406"/>
      <c r="AD35" s="1406"/>
      <c r="AE35" s="1406"/>
      <c r="AF35" s="1406"/>
      <c r="AG35" s="1406"/>
      <c r="AH35" s="1406"/>
    </row>
    <row r="36" spans="1:34" ht="16.5" customHeight="1">
      <c r="A36" s="1409">
        <v>12</v>
      </c>
      <c r="B36" s="3450"/>
      <c r="C36" s="3450"/>
      <c r="D36" s="3450"/>
      <c r="E36" s="3450"/>
      <c r="F36" s="3450"/>
      <c r="G36" s="3450"/>
      <c r="H36" s="3450"/>
      <c r="I36" s="3450"/>
      <c r="J36" s="1410"/>
      <c r="K36" s="1406"/>
      <c r="L36" s="1406"/>
      <c r="M36" s="1406"/>
      <c r="N36" s="1406"/>
      <c r="O36" s="1406"/>
      <c r="P36" s="1406"/>
      <c r="Q36" s="1406"/>
      <c r="R36" s="1406"/>
      <c r="S36" s="1406"/>
      <c r="T36" s="1406"/>
      <c r="U36" s="1406"/>
      <c r="V36" s="1406"/>
      <c r="W36" s="1406"/>
      <c r="X36" s="1406"/>
      <c r="Y36" s="1406"/>
      <c r="Z36" s="1406"/>
      <c r="AA36" s="1406"/>
      <c r="AB36" s="1406"/>
      <c r="AC36" s="1406"/>
      <c r="AD36" s="1406"/>
      <c r="AE36" s="1406"/>
      <c r="AF36" s="1406"/>
      <c r="AG36" s="1406"/>
      <c r="AH36" s="1406"/>
    </row>
    <row r="37" spans="1:34" ht="18" customHeight="1">
      <c r="A37" s="1413" t="s">
        <v>757</v>
      </c>
      <c r="B37" s="3451">
        <f>SUM(B25:C36)</f>
        <v>0</v>
      </c>
      <c r="C37" s="3451"/>
      <c r="D37" s="3451">
        <f>SUM(D25:E36)</f>
        <v>0</v>
      </c>
      <c r="E37" s="3451"/>
      <c r="F37" s="3451">
        <f>SUM(F25:G36)</f>
        <v>0</v>
      </c>
      <c r="G37" s="3451"/>
      <c r="H37" s="3451">
        <f>SUM(H25:I36)</f>
        <v>0</v>
      </c>
      <c r="I37" s="3451"/>
      <c r="J37" s="1414">
        <f>SUM(J25:J36)</f>
        <v>0</v>
      </c>
      <c r="K37" s="1406"/>
      <c r="L37" s="1406"/>
      <c r="M37" s="1406"/>
      <c r="N37" s="1406"/>
      <c r="O37" s="1406"/>
      <c r="P37" s="1406"/>
      <c r="Q37" s="1406"/>
      <c r="R37" s="1406"/>
      <c r="S37" s="1406"/>
      <c r="T37" s="1406"/>
      <c r="U37" s="1406"/>
      <c r="V37" s="1406"/>
      <c r="W37" s="1406"/>
      <c r="X37" s="1406"/>
      <c r="Y37" s="1406"/>
      <c r="Z37" s="1406"/>
      <c r="AA37" s="1406"/>
      <c r="AB37" s="1406"/>
      <c r="AC37" s="1406"/>
      <c r="AD37" s="1406"/>
      <c r="AE37" s="1406"/>
      <c r="AF37" s="1406"/>
      <c r="AG37" s="1406"/>
      <c r="AH37" s="1406"/>
    </row>
    <row r="38" spans="1:34">
      <c r="A38" s="1406"/>
      <c r="B38" s="1406"/>
      <c r="C38" s="1406"/>
      <c r="D38" s="1406"/>
      <c r="E38" s="1406"/>
      <c r="F38" s="1406"/>
      <c r="G38" s="1406"/>
      <c r="H38" s="1406"/>
      <c r="I38" s="1406"/>
      <c r="J38" s="1406"/>
      <c r="K38" s="1406"/>
      <c r="L38" s="1406"/>
      <c r="M38" s="1406"/>
      <c r="N38" s="1406"/>
      <c r="O38" s="1406"/>
      <c r="P38" s="1406"/>
      <c r="Q38" s="1406"/>
      <c r="R38" s="1406"/>
      <c r="S38" s="1406"/>
      <c r="T38" s="1406"/>
      <c r="U38" s="1406"/>
      <c r="V38" s="1406"/>
      <c r="W38" s="1406"/>
      <c r="X38" s="1406"/>
      <c r="Y38" s="1406"/>
      <c r="Z38" s="1406"/>
      <c r="AA38" s="1406"/>
      <c r="AB38" s="1406"/>
      <c r="AC38" s="1406"/>
      <c r="AD38" s="1406"/>
      <c r="AE38" s="1406"/>
      <c r="AF38" s="1406"/>
      <c r="AG38" s="1406"/>
      <c r="AH38" s="1406"/>
    </row>
    <row r="39" spans="1:34">
      <c r="A39" s="1406"/>
      <c r="B39" s="1406"/>
      <c r="C39" s="1406"/>
      <c r="D39" s="1406"/>
      <c r="E39" s="1406"/>
      <c r="F39" s="1406"/>
      <c r="G39" s="1406"/>
      <c r="H39" s="1406"/>
      <c r="I39" s="1406"/>
      <c r="J39" s="1406"/>
      <c r="K39" s="1406"/>
      <c r="L39" s="1406"/>
      <c r="M39" s="1406"/>
      <c r="N39" s="1406"/>
      <c r="O39" s="1406"/>
      <c r="P39" s="1406"/>
      <c r="Q39" s="1406"/>
      <c r="R39" s="1406"/>
      <c r="S39" s="1406"/>
      <c r="T39" s="1406"/>
      <c r="U39" s="1406"/>
      <c r="V39" s="1406"/>
      <c r="W39" s="1406"/>
      <c r="X39" s="1406"/>
      <c r="Y39" s="1406"/>
      <c r="Z39" s="1406"/>
      <c r="AA39" s="1406"/>
      <c r="AB39" s="1406"/>
      <c r="AC39" s="1406"/>
      <c r="AD39" s="1406"/>
      <c r="AE39" s="1406"/>
      <c r="AF39" s="1406"/>
      <c r="AG39" s="1406"/>
      <c r="AH39" s="1406"/>
    </row>
    <row r="40" spans="1:34">
      <c r="A40" s="1406"/>
      <c r="B40" s="1406"/>
      <c r="C40" s="1406"/>
      <c r="D40" s="1406"/>
      <c r="E40" s="1406"/>
      <c r="F40" s="1406"/>
      <c r="G40" s="1406"/>
      <c r="H40" s="1406"/>
      <c r="I40" s="1406"/>
      <c r="J40" s="1406"/>
      <c r="K40" s="1406"/>
      <c r="L40" s="1406"/>
      <c r="M40" s="1406"/>
      <c r="N40" s="1406"/>
      <c r="O40" s="1406"/>
      <c r="P40" s="1406"/>
      <c r="Q40" s="1406"/>
      <c r="R40" s="1406"/>
      <c r="S40" s="1406"/>
      <c r="T40" s="1406"/>
      <c r="U40" s="1406"/>
      <c r="V40" s="1406"/>
      <c r="W40" s="1406"/>
      <c r="X40" s="1406"/>
      <c r="Y40" s="1406"/>
      <c r="Z40" s="1406"/>
      <c r="AA40" s="1406"/>
      <c r="AB40" s="1406"/>
      <c r="AC40" s="1406"/>
      <c r="AD40" s="1406"/>
      <c r="AE40" s="1406"/>
      <c r="AF40" s="1406"/>
      <c r="AG40" s="1406"/>
      <c r="AH40" s="1406"/>
    </row>
    <row r="41" spans="1:34">
      <c r="A41" s="1406"/>
      <c r="B41" s="1406"/>
      <c r="C41" s="1406"/>
      <c r="D41" s="1406"/>
      <c r="E41" s="1406"/>
      <c r="F41" s="1406"/>
      <c r="G41" s="1406"/>
      <c r="H41" s="1406"/>
      <c r="I41" s="1406"/>
      <c r="J41" s="1406"/>
      <c r="K41" s="1406"/>
      <c r="L41" s="1406"/>
      <c r="M41" s="1406"/>
      <c r="N41" s="1406"/>
      <c r="O41" s="1406"/>
      <c r="P41" s="1406"/>
      <c r="Q41" s="1406"/>
      <c r="R41" s="1406"/>
      <c r="S41" s="1406"/>
      <c r="T41" s="1406"/>
      <c r="U41" s="1406"/>
      <c r="V41" s="1406"/>
      <c r="W41" s="1406"/>
      <c r="X41" s="1406"/>
      <c r="Y41" s="1406"/>
      <c r="Z41" s="1406"/>
      <c r="AA41" s="1406"/>
      <c r="AB41" s="1406"/>
      <c r="AC41" s="1406"/>
      <c r="AD41" s="1406"/>
      <c r="AE41" s="1406"/>
      <c r="AF41" s="1406"/>
      <c r="AG41" s="1406"/>
      <c r="AH41" s="1406"/>
    </row>
    <row r="42" spans="1:34">
      <c r="A42" s="1406"/>
      <c r="B42" s="1406"/>
      <c r="C42" s="1406"/>
      <c r="D42" s="1406"/>
      <c r="E42" s="1406"/>
      <c r="F42" s="1406"/>
      <c r="G42" s="1406"/>
      <c r="H42" s="1406"/>
      <c r="I42" s="1406"/>
      <c r="J42" s="1406"/>
      <c r="K42" s="1406"/>
      <c r="L42" s="1406"/>
      <c r="M42" s="1406"/>
      <c r="N42" s="1406"/>
      <c r="O42" s="1406"/>
      <c r="P42" s="1406"/>
      <c r="Q42" s="1406"/>
      <c r="R42" s="1406"/>
      <c r="S42" s="1406"/>
      <c r="T42" s="1406"/>
      <c r="U42" s="1406"/>
      <c r="V42" s="1406"/>
      <c r="W42" s="1406"/>
      <c r="X42" s="1406"/>
      <c r="Y42" s="1406"/>
      <c r="Z42" s="1406"/>
      <c r="AA42" s="1406"/>
      <c r="AB42" s="1406"/>
      <c r="AC42" s="1406"/>
      <c r="AD42" s="1406"/>
      <c r="AE42" s="1406"/>
      <c r="AF42" s="1406"/>
      <c r="AG42" s="1406"/>
      <c r="AH42" s="1406"/>
    </row>
    <row r="43" spans="1:34">
      <c r="A43" s="1406"/>
      <c r="B43" s="1406"/>
      <c r="C43" s="1406"/>
      <c r="D43" s="1406"/>
      <c r="E43" s="1406"/>
      <c r="F43" s="1406"/>
      <c r="G43" s="1406"/>
      <c r="H43" s="1406"/>
      <c r="I43" s="1406"/>
      <c r="J43" s="1406"/>
      <c r="K43" s="1406"/>
      <c r="L43" s="1406"/>
      <c r="M43" s="1406"/>
      <c r="N43" s="1406"/>
      <c r="O43" s="1406"/>
      <c r="P43" s="1406"/>
      <c r="Q43" s="1406"/>
      <c r="R43" s="1406"/>
      <c r="S43" s="1406"/>
      <c r="T43" s="1406"/>
      <c r="U43" s="1406"/>
      <c r="V43" s="1406"/>
      <c r="W43" s="1406"/>
      <c r="X43" s="1406"/>
      <c r="Y43" s="1406"/>
      <c r="Z43" s="1406"/>
      <c r="AA43" s="1406"/>
      <c r="AB43" s="1406"/>
      <c r="AC43" s="1406"/>
      <c r="AD43" s="1406"/>
      <c r="AE43" s="1406"/>
      <c r="AF43" s="1406"/>
      <c r="AG43" s="1406"/>
      <c r="AH43" s="1406"/>
    </row>
    <row r="44" spans="1:34">
      <c r="A44" s="1406"/>
      <c r="B44" s="1406"/>
      <c r="C44" s="1406"/>
      <c r="D44" s="1406"/>
      <c r="E44" s="1406"/>
      <c r="F44" s="1406"/>
      <c r="G44" s="1406"/>
      <c r="H44" s="1406"/>
      <c r="I44" s="1406"/>
      <c r="J44" s="1406"/>
      <c r="K44" s="1406"/>
      <c r="L44" s="1406"/>
      <c r="M44" s="1406"/>
      <c r="N44" s="1406"/>
      <c r="O44" s="1406"/>
      <c r="P44" s="1406"/>
      <c r="Q44" s="1406"/>
      <c r="R44" s="1406"/>
      <c r="S44" s="1406"/>
      <c r="T44" s="1406"/>
      <c r="U44" s="1406"/>
      <c r="V44" s="1406"/>
      <c r="W44" s="1406"/>
      <c r="X44" s="1406"/>
      <c r="Y44" s="1406"/>
      <c r="Z44" s="1406"/>
      <c r="AA44" s="1406"/>
      <c r="AB44" s="1406"/>
      <c r="AC44" s="1406"/>
      <c r="AD44" s="1406"/>
      <c r="AE44" s="1406"/>
      <c r="AF44" s="1406"/>
      <c r="AG44" s="1406"/>
      <c r="AH44" s="1406"/>
    </row>
    <row r="45" spans="1:34">
      <c r="A45" s="1406"/>
      <c r="B45" s="1406"/>
      <c r="C45" s="1406"/>
      <c r="D45" s="1406"/>
      <c r="E45" s="1406"/>
      <c r="F45" s="1406"/>
      <c r="G45" s="1406"/>
      <c r="H45" s="1406"/>
      <c r="I45" s="1406"/>
      <c r="J45" s="1406"/>
      <c r="K45" s="1406"/>
      <c r="L45" s="1406"/>
      <c r="M45" s="1406"/>
      <c r="N45" s="1406"/>
      <c r="O45" s="1406"/>
      <c r="P45" s="1406"/>
      <c r="Q45" s="1406"/>
      <c r="R45" s="1406"/>
      <c r="S45" s="1406"/>
      <c r="T45" s="1406"/>
      <c r="U45" s="1406"/>
      <c r="V45" s="1406"/>
      <c r="W45" s="1406"/>
      <c r="X45" s="1406"/>
      <c r="Y45" s="1406"/>
      <c r="Z45" s="1406"/>
      <c r="AA45" s="1406"/>
      <c r="AB45" s="1406"/>
      <c r="AC45" s="1406"/>
      <c r="AD45" s="1406"/>
      <c r="AE45" s="1406"/>
      <c r="AF45" s="1406"/>
      <c r="AG45" s="1406"/>
      <c r="AH45" s="1406"/>
    </row>
    <row r="46" spans="1:34">
      <c r="A46" s="1406"/>
      <c r="B46" s="1406"/>
      <c r="C46" s="1406"/>
      <c r="D46" s="1406"/>
      <c r="E46" s="1406"/>
      <c r="F46" s="1406"/>
      <c r="G46" s="1406"/>
      <c r="H46" s="1406"/>
      <c r="I46" s="1406"/>
      <c r="J46" s="1406"/>
      <c r="K46" s="1406"/>
      <c r="L46" s="1406"/>
      <c r="M46" s="1406"/>
      <c r="N46" s="1406"/>
      <c r="O46" s="1406"/>
      <c r="P46" s="1406"/>
      <c r="Q46" s="1406"/>
      <c r="R46" s="1406"/>
      <c r="S46" s="1406"/>
      <c r="T46" s="1406"/>
      <c r="U46" s="1406"/>
      <c r="V46" s="1406"/>
      <c r="W46" s="1406"/>
      <c r="X46" s="1406"/>
      <c r="Y46" s="1406"/>
      <c r="Z46" s="1406"/>
      <c r="AA46" s="1406"/>
      <c r="AB46" s="1406"/>
      <c r="AC46" s="1406"/>
      <c r="AD46" s="1406"/>
      <c r="AE46" s="1406"/>
      <c r="AF46" s="1406"/>
      <c r="AG46" s="1406"/>
      <c r="AH46" s="1406"/>
    </row>
    <row r="47" spans="1:34">
      <c r="A47" s="1406"/>
      <c r="B47" s="1406"/>
      <c r="C47" s="1406"/>
      <c r="D47" s="1406"/>
      <c r="E47" s="1406"/>
      <c r="F47" s="1406"/>
      <c r="G47" s="1406"/>
      <c r="H47" s="1406"/>
      <c r="I47" s="1406"/>
      <c r="J47" s="1406"/>
      <c r="K47" s="1406"/>
      <c r="L47" s="1406"/>
      <c r="M47" s="1406"/>
      <c r="N47" s="1406"/>
      <c r="O47" s="1406"/>
      <c r="P47" s="1406"/>
      <c r="Q47" s="1406"/>
      <c r="R47" s="1406"/>
      <c r="S47" s="1406"/>
      <c r="T47" s="1406"/>
      <c r="U47" s="1406"/>
      <c r="V47" s="1406"/>
      <c r="W47" s="1406"/>
      <c r="X47" s="1406"/>
      <c r="Y47" s="1406"/>
      <c r="Z47" s="1406"/>
      <c r="AA47" s="1406"/>
      <c r="AB47" s="1406"/>
      <c r="AC47" s="1406"/>
      <c r="AD47" s="1406"/>
      <c r="AE47" s="1406"/>
      <c r="AF47" s="1406"/>
      <c r="AG47" s="1406"/>
      <c r="AH47" s="1406"/>
    </row>
    <row r="48" spans="1:34">
      <c r="A48" s="1406"/>
      <c r="B48" s="1406"/>
      <c r="C48" s="1406"/>
      <c r="D48" s="1406"/>
      <c r="E48" s="1406"/>
      <c r="F48" s="1406"/>
      <c r="G48" s="1406"/>
      <c r="H48" s="1406"/>
      <c r="I48" s="1406"/>
      <c r="J48" s="1406"/>
      <c r="K48" s="1406"/>
      <c r="L48" s="1406"/>
      <c r="M48" s="1406"/>
      <c r="N48" s="1406"/>
      <c r="O48" s="1406"/>
      <c r="P48" s="1406"/>
      <c r="Q48" s="1406"/>
      <c r="R48" s="1406"/>
      <c r="S48" s="1406"/>
      <c r="T48" s="1406"/>
      <c r="U48" s="1406"/>
      <c r="V48" s="1406"/>
      <c r="W48" s="1406"/>
      <c r="X48" s="1406"/>
      <c r="Y48" s="1406"/>
      <c r="Z48" s="1406"/>
      <c r="AA48" s="1406"/>
      <c r="AB48" s="1406"/>
      <c r="AC48" s="1406"/>
      <c r="AD48" s="1406"/>
      <c r="AE48" s="1406"/>
      <c r="AF48" s="1406"/>
      <c r="AG48" s="1406"/>
      <c r="AH48" s="1406"/>
    </row>
    <row r="49" spans="1:34">
      <c r="A49" s="1406"/>
      <c r="B49" s="1406"/>
      <c r="C49" s="1406"/>
      <c r="D49" s="1406"/>
      <c r="E49" s="1406"/>
      <c r="F49" s="1406"/>
      <c r="G49" s="1406"/>
      <c r="H49" s="1406"/>
      <c r="I49" s="1406"/>
      <c r="J49" s="1406"/>
      <c r="K49" s="1406"/>
      <c r="L49" s="1406"/>
      <c r="M49" s="1406"/>
      <c r="N49" s="1406"/>
      <c r="O49" s="1406"/>
      <c r="P49" s="1406"/>
      <c r="Q49" s="1406"/>
      <c r="R49" s="1406"/>
      <c r="S49" s="1406"/>
      <c r="T49" s="1406"/>
      <c r="U49" s="1406"/>
      <c r="V49" s="1406"/>
      <c r="W49" s="1406"/>
      <c r="X49" s="1406"/>
      <c r="Y49" s="1406"/>
      <c r="Z49" s="1406"/>
      <c r="AA49" s="1406"/>
      <c r="AB49" s="1406"/>
      <c r="AC49" s="1406"/>
      <c r="AD49" s="1406"/>
      <c r="AE49" s="1406"/>
      <c r="AF49" s="1406"/>
      <c r="AG49" s="1406"/>
      <c r="AH49" s="1406"/>
    </row>
    <row r="50" spans="1:34" s="1406" customFormat="1"/>
    <row r="51" spans="1:34" s="1406" customFormat="1"/>
    <row r="52" spans="1:34" s="1406" customFormat="1"/>
    <row r="53" spans="1:34" s="1406" customFormat="1"/>
    <row r="54" spans="1:34" s="1406" customFormat="1"/>
    <row r="55" spans="1:34" s="1406" customFormat="1"/>
    <row r="56" spans="1:34" s="1406" customFormat="1"/>
    <row r="57" spans="1:34" s="1406" customFormat="1"/>
    <row r="58" spans="1:34" s="1406" customFormat="1"/>
    <row r="59" spans="1:34" s="1406" customFormat="1"/>
    <row r="60" spans="1:34" s="1406" customFormat="1"/>
    <row r="61" spans="1:34" s="1406" customFormat="1"/>
    <row r="62" spans="1:34" s="1406" customFormat="1"/>
    <row r="63" spans="1:34" s="1406" customFormat="1"/>
    <row r="64" spans="1:34" s="1406" customFormat="1"/>
    <row r="65" s="1406" customFormat="1"/>
    <row r="66" s="1406" customFormat="1"/>
    <row r="67" s="1406" customFormat="1"/>
    <row r="68" s="1406" customFormat="1"/>
    <row r="69" s="1406" customFormat="1"/>
    <row r="70" s="1406" customFormat="1"/>
    <row r="71" s="1406" customFormat="1"/>
    <row r="72" s="1406" customFormat="1"/>
    <row r="73" s="1406" customFormat="1"/>
    <row r="74" s="1406" customFormat="1"/>
    <row r="75" s="1406" customFormat="1"/>
    <row r="76" s="1406" customFormat="1"/>
    <row r="77" s="1406" customFormat="1"/>
    <row r="78" s="1406" customFormat="1"/>
    <row r="79" s="1406" customFormat="1"/>
    <row r="80" s="1406" customFormat="1"/>
    <row r="81" s="1406" customFormat="1"/>
    <row r="82" s="1406" customFormat="1"/>
    <row r="83" s="1406" customFormat="1"/>
    <row r="84" s="1406" customFormat="1"/>
    <row r="85" s="1406" customFormat="1"/>
    <row r="86" s="1406" customFormat="1"/>
    <row r="87" s="1406" customFormat="1"/>
    <row r="88" s="1406" customFormat="1"/>
    <row r="89" s="1406" customFormat="1"/>
    <row r="90" s="1406" customFormat="1"/>
    <row r="91" s="1406" customFormat="1"/>
    <row r="92" s="1406" customFormat="1"/>
    <row r="93" s="1406" customFormat="1"/>
    <row r="94" s="1406" customFormat="1"/>
    <row r="95" s="1406" customFormat="1"/>
    <row r="96" s="1406" customFormat="1"/>
    <row r="97" s="1406" customFormat="1"/>
    <row r="98" s="1406" customFormat="1"/>
    <row r="99" s="1406" customFormat="1"/>
    <row r="100" s="1406" customFormat="1"/>
    <row r="101" s="1406" customFormat="1"/>
    <row r="102" s="1406" customFormat="1"/>
    <row r="103" s="1406" customFormat="1"/>
    <row r="104" s="1406" customFormat="1"/>
    <row r="105" s="1406" customFormat="1"/>
    <row r="106" s="1406" customFormat="1"/>
    <row r="107" s="1406" customFormat="1"/>
    <row r="108" s="1406" customFormat="1"/>
    <row r="109" s="1406" customFormat="1"/>
    <row r="110" s="1406" customFormat="1"/>
    <row r="111" s="1406" customFormat="1"/>
    <row r="112" s="1406" customFormat="1"/>
    <row r="113" s="1406" customFormat="1"/>
    <row r="114" s="1406" customFormat="1"/>
    <row r="115" s="1406" customFormat="1"/>
    <row r="116" s="1406" customFormat="1"/>
    <row r="117" s="1406" customFormat="1"/>
    <row r="118" s="1406" customFormat="1"/>
    <row r="119" s="1406" customFormat="1"/>
    <row r="120" s="1406" customFormat="1"/>
    <row r="121" s="1406" customFormat="1"/>
    <row r="122" s="1406" customFormat="1"/>
    <row r="123" s="1406" customFormat="1"/>
    <row r="124" s="1406" customFormat="1"/>
    <row r="125" s="1406" customFormat="1"/>
    <row r="126" s="1406" customFormat="1"/>
    <row r="127" s="1406" customFormat="1"/>
    <row r="128" s="1406" customFormat="1"/>
    <row r="129" s="1406" customFormat="1"/>
    <row r="130" s="1406" customFormat="1"/>
    <row r="131" s="1406" customFormat="1"/>
    <row r="132" s="1406" customFormat="1"/>
    <row r="133" s="1406" customFormat="1"/>
    <row r="134" s="1406" customFormat="1"/>
    <row r="135" s="1406" customFormat="1"/>
    <row r="136" s="1406" customFormat="1"/>
    <row r="137" s="1406" customFormat="1"/>
    <row r="138" s="1406" customFormat="1"/>
    <row r="139" s="1406" customFormat="1"/>
    <row r="140" s="1406" customFormat="1"/>
    <row r="141" s="1406" customFormat="1"/>
    <row r="142" s="1406" customFormat="1"/>
    <row r="143" s="1406" customFormat="1"/>
    <row r="144" s="1406" customFormat="1"/>
    <row r="145" s="1406" customFormat="1"/>
    <row r="146" s="1406" customFormat="1"/>
    <row r="147" s="1406" customFormat="1"/>
    <row r="148" s="1406" customFormat="1"/>
    <row r="149" s="1406" customFormat="1"/>
    <row r="150" s="1406" customFormat="1"/>
    <row r="151" s="1406" customFormat="1"/>
    <row r="152" s="1406" customFormat="1"/>
    <row r="153" s="1406" customFormat="1"/>
    <row r="154" s="1406" customFormat="1"/>
    <row r="155" s="1406" customFormat="1"/>
    <row r="156" s="1406" customFormat="1"/>
    <row r="157" s="1406" customFormat="1"/>
    <row r="158" s="1406" customFormat="1"/>
    <row r="159" s="1406" customFormat="1"/>
    <row r="160" s="1406" customFormat="1"/>
    <row r="161" s="1406" customFormat="1"/>
    <row r="162" s="1406" customFormat="1"/>
    <row r="163" s="1406" customFormat="1"/>
    <row r="164" s="1406" customFormat="1"/>
    <row r="165" s="1406" customFormat="1"/>
  </sheetData>
  <sheetProtection selectLockedCells="1" selectUnlockedCells="1"/>
  <mergeCells count="127">
    <mergeCell ref="A1:J2"/>
    <mergeCell ref="A4:E5"/>
    <mergeCell ref="G4:H4"/>
    <mergeCell ref="G5:H5"/>
    <mergeCell ref="J5:J6"/>
    <mergeCell ref="A6:E6"/>
    <mergeCell ref="G6:H6"/>
    <mergeCell ref="B10:C10"/>
    <mergeCell ref="D10:E10"/>
    <mergeCell ref="F10:G10"/>
    <mergeCell ref="H10:I10"/>
    <mergeCell ref="B11:C11"/>
    <mergeCell ref="D11:E11"/>
    <mergeCell ref="F11:G11"/>
    <mergeCell ref="H11:I11"/>
    <mergeCell ref="A7:J7"/>
    <mergeCell ref="A8:A9"/>
    <mergeCell ref="B8:E8"/>
    <mergeCell ref="F8:I8"/>
    <mergeCell ref="B9:C9"/>
    <mergeCell ref="D9:E9"/>
    <mergeCell ref="F9:G9"/>
    <mergeCell ref="H9:I9"/>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B22:C22"/>
    <mergeCell ref="D22:E22"/>
    <mergeCell ref="F22:G22"/>
    <mergeCell ref="H22:I22"/>
    <mergeCell ref="A23:A24"/>
    <mergeCell ref="B23:E23"/>
    <mergeCell ref="F23:I23"/>
    <mergeCell ref="B20:C20"/>
    <mergeCell ref="D20:E20"/>
    <mergeCell ref="F20:G20"/>
    <mergeCell ref="H20:I20"/>
    <mergeCell ref="B21:C21"/>
    <mergeCell ref="D21:E21"/>
    <mergeCell ref="F21:G21"/>
    <mergeCell ref="H21:I21"/>
    <mergeCell ref="J23:J24"/>
    <mergeCell ref="B24:C24"/>
    <mergeCell ref="D24:E24"/>
    <mergeCell ref="F24:G24"/>
    <mergeCell ref="H24:I24"/>
    <mergeCell ref="B25:C25"/>
    <mergeCell ref="D25:E25"/>
    <mergeCell ref="F25:G25"/>
    <mergeCell ref="H25:I25"/>
    <mergeCell ref="B28:C28"/>
    <mergeCell ref="D28:E28"/>
    <mergeCell ref="F28:G28"/>
    <mergeCell ref="H28:I28"/>
    <mergeCell ref="B29:C29"/>
    <mergeCell ref="D29:E29"/>
    <mergeCell ref="F29:G29"/>
    <mergeCell ref="H29:I29"/>
    <mergeCell ref="B26:C26"/>
    <mergeCell ref="D26:E26"/>
    <mergeCell ref="F26:G26"/>
    <mergeCell ref="H26:I26"/>
    <mergeCell ref="B27:C27"/>
    <mergeCell ref="D27:E27"/>
    <mergeCell ref="F27:G27"/>
    <mergeCell ref="H27:I27"/>
    <mergeCell ref="B32:C32"/>
    <mergeCell ref="D32:E32"/>
    <mergeCell ref="F32:G32"/>
    <mergeCell ref="H32:I32"/>
    <mergeCell ref="B33:C33"/>
    <mergeCell ref="D33:E33"/>
    <mergeCell ref="F33:G33"/>
    <mergeCell ref="H33:I33"/>
    <mergeCell ref="B30:C30"/>
    <mergeCell ref="D30:E30"/>
    <mergeCell ref="F30:G30"/>
    <mergeCell ref="H30:I30"/>
    <mergeCell ref="B31:C31"/>
    <mergeCell ref="D31:E31"/>
    <mergeCell ref="F31:G31"/>
    <mergeCell ref="H31:I31"/>
    <mergeCell ref="B36:C36"/>
    <mergeCell ref="D36:E36"/>
    <mergeCell ref="F36:G36"/>
    <mergeCell ref="H36:I36"/>
    <mergeCell ref="B37:C37"/>
    <mergeCell ref="D37:E37"/>
    <mergeCell ref="F37:G37"/>
    <mergeCell ref="H37:I37"/>
    <mergeCell ref="B34:C34"/>
    <mergeCell ref="D34:E34"/>
    <mergeCell ref="F34:G34"/>
    <mergeCell ref="H34:I34"/>
    <mergeCell ref="B35:C35"/>
    <mergeCell ref="D35:E35"/>
    <mergeCell ref="F35:G35"/>
    <mergeCell ref="H35:I35"/>
  </mergeCells>
  <phoneticPr fontId="135" type="noConversion"/>
  <dataValidations count="1">
    <dataValidation allowBlank="1" showErrorMessage="1" sqref="G5:H5">
      <formula1>0</formula1>
      <formula2>0</formula2>
    </dataValidation>
  </dataValidations>
  <hyperlinks>
    <hyperlink ref="K10" location="社保!A1" display="社保"/>
    <hyperlink ref="K12" location="工资福利!A1" display="工资福利"/>
    <hyperlink ref="K14" location="税收优惠明细表!C49" display="税收优惠明细表"/>
    <hyperlink ref="K16" location="纳税调整明细表!A1" display="纳税调整明细表!A1"/>
    <hyperlink ref="K18" location="凭证检查!A1" display="凭证检查"/>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T156"/>
  <sheetViews>
    <sheetView topLeftCell="D1" workbookViewId="0">
      <selection activeCell="A5" sqref="A5:L5"/>
    </sheetView>
  </sheetViews>
  <sheetFormatPr defaultColWidth="9" defaultRowHeight="16.5"/>
  <cols>
    <col min="1" max="1" width="4.625" style="565" customWidth="1"/>
    <col min="2" max="2" width="7" style="565" customWidth="1"/>
    <col min="3" max="3" width="23.75" style="565" customWidth="1"/>
    <col min="4" max="4" width="18.125" style="565" customWidth="1"/>
    <col min="5" max="5" width="10.625" style="565" customWidth="1"/>
    <col min="6" max="7" width="6.625" style="565" customWidth="1"/>
    <col min="8" max="9" width="10.625" style="565" customWidth="1"/>
    <col min="10" max="10" width="12.875" style="565" customWidth="1"/>
    <col min="11" max="11" width="5.25" style="565" customWidth="1"/>
    <col min="12" max="12" width="5.625" style="565" customWidth="1"/>
    <col min="13" max="16384" width="9" style="565"/>
  </cols>
  <sheetData>
    <row r="1" spans="1:20" ht="22.5">
      <c r="A1" s="3477" t="s">
        <v>4550</v>
      </c>
      <c r="B1" s="3477"/>
      <c r="C1" s="3477"/>
      <c r="D1" s="3477"/>
      <c r="E1" s="3477"/>
      <c r="F1" s="3477"/>
      <c r="G1" s="3477"/>
      <c r="H1" s="3477"/>
      <c r="I1" s="3477"/>
      <c r="J1" s="3477"/>
      <c r="K1" s="3477"/>
      <c r="L1" s="3477"/>
    </row>
    <row r="2" spans="1:20" ht="7.5" customHeight="1">
      <c r="A2" s="1446"/>
      <c r="B2" s="1446"/>
      <c r="C2" s="1446"/>
      <c r="D2" s="1446"/>
      <c r="E2" s="1446"/>
      <c r="F2" s="1446"/>
      <c r="G2" s="1446"/>
      <c r="H2" s="1446"/>
      <c r="I2" s="1446"/>
      <c r="J2" s="1446"/>
      <c r="K2" s="1446"/>
      <c r="L2" s="1446"/>
    </row>
    <row r="3" spans="1:20" ht="19.5" customHeight="1">
      <c r="A3" s="3083" t="s">
        <v>4510</v>
      </c>
      <c r="B3" s="3083"/>
      <c r="C3" s="3084" t="str">
        <f>基本情况!$C$3</f>
        <v/>
      </c>
      <c r="D3" s="3084"/>
      <c r="E3" s="3084"/>
      <c r="F3" s="3084"/>
      <c r="G3" s="656" t="s">
        <v>4407</v>
      </c>
      <c r="H3" s="657" t="str">
        <f>基本情况!$F$19&amp;""</f>
        <v/>
      </c>
      <c r="I3" s="656" t="s">
        <v>4575</v>
      </c>
      <c r="J3" s="658" t="str">
        <f>TEXT(基本情况!$F$27,"yyyy-mm-dd")</f>
        <v>2018-03-16</v>
      </c>
      <c r="K3" s="3085" t="s">
        <v>4409</v>
      </c>
      <c r="L3" s="3085"/>
    </row>
    <row r="4" spans="1:20" ht="19.5" customHeight="1">
      <c r="A4" s="3086" t="s">
        <v>4512</v>
      </c>
      <c r="B4" s="3086"/>
      <c r="C4" s="3087" t="str">
        <f>基本情况!$F$9</f>
        <v>2017年01月01日至2017年12月31日</v>
      </c>
      <c r="D4" s="3087"/>
      <c r="E4" s="3087"/>
      <c r="F4" s="3087"/>
      <c r="G4" s="673" t="s">
        <v>4410</v>
      </c>
      <c r="H4" s="661" t="str">
        <f>基本情况!$F$18&amp;""</f>
        <v/>
      </c>
      <c r="I4" s="673" t="s">
        <v>4575</v>
      </c>
      <c r="J4" s="661" t="str">
        <f>TEXT(基本情况!$F$28,"yyyy-mm-dd")</f>
        <v>2018-05-04</v>
      </c>
      <c r="K4" s="3478" t="str">
        <f>开始!J22</f>
        <v>GL-20</v>
      </c>
      <c r="L4" s="3478"/>
    </row>
    <row r="5" spans="1:20" ht="7.5" customHeight="1">
      <c r="A5" s="3089"/>
      <c r="B5" s="3089"/>
      <c r="C5" s="3089"/>
      <c r="D5" s="3089"/>
      <c r="E5" s="3089"/>
      <c r="F5" s="3089"/>
      <c r="G5" s="3089"/>
      <c r="H5" s="3089"/>
      <c r="I5" s="3089"/>
      <c r="J5" s="3089"/>
      <c r="K5" s="3089"/>
      <c r="L5" s="3089"/>
    </row>
    <row r="6" spans="1:20" ht="9" customHeight="1">
      <c r="A6" s="3090" t="s">
        <v>4513</v>
      </c>
      <c r="B6" s="3479" t="s">
        <v>5252</v>
      </c>
      <c r="C6" s="3475" t="s">
        <v>5271</v>
      </c>
      <c r="D6" s="3475" t="s">
        <v>5272</v>
      </c>
      <c r="E6" s="3475" t="s">
        <v>5273</v>
      </c>
      <c r="F6" s="3475" t="s">
        <v>5274</v>
      </c>
      <c r="G6" s="3475" t="s">
        <v>5275</v>
      </c>
      <c r="H6" s="3475" t="s">
        <v>5276</v>
      </c>
      <c r="I6" s="3475" t="s">
        <v>5277</v>
      </c>
      <c r="J6" s="3475" t="s">
        <v>5278</v>
      </c>
      <c r="K6" s="3149" t="s">
        <v>4388</v>
      </c>
      <c r="L6" s="3149"/>
    </row>
    <row r="7" spans="1:20" ht="20.25" customHeight="1">
      <c r="A7" s="3090"/>
      <c r="B7" s="3479"/>
      <c r="C7" s="3475"/>
      <c r="D7" s="3475"/>
      <c r="E7" s="3475"/>
      <c r="F7" s="3475"/>
      <c r="G7" s="3475"/>
      <c r="H7" s="3475"/>
      <c r="I7" s="3475"/>
      <c r="J7" s="3475"/>
      <c r="K7" s="3149"/>
      <c r="L7" s="3149"/>
      <c r="M7" s="565" t="s">
        <v>1724</v>
      </c>
    </row>
    <row r="8" spans="1:20" ht="17.25" customHeight="1">
      <c r="A8" s="655">
        <v>1</v>
      </c>
      <c r="B8" s="1447"/>
      <c r="C8" s="1447"/>
      <c r="D8" s="665"/>
      <c r="E8" s="1448"/>
      <c r="F8" s="665"/>
      <c r="G8" s="1270"/>
      <c r="H8" s="1270"/>
      <c r="I8" s="1270"/>
      <c r="J8" s="1419">
        <f t="shared" ref="J8:J17" si="0">H8-I8</f>
        <v>0</v>
      </c>
      <c r="K8" s="3476"/>
      <c r="L8" s="3476"/>
      <c r="M8" s="3473" t="s">
        <v>5279</v>
      </c>
      <c r="N8" s="3473"/>
      <c r="O8" s="3473"/>
    </row>
    <row r="9" spans="1:20" ht="17.25" customHeight="1">
      <c r="A9" s="1449">
        <v>2</v>
      </c>
      <c r="B9" s="1450"/>
      <c r="C9" s="1450"/>
      <c r="D9" s="669"/>
      <c r="E9" s="1451"/>
      <c r="F9" s="669"/>
      <c r="G9" s="1429"/>
      <c r="H9" s="1429"/>
      <c r="I9" s="1429"/>
      <c r="J9" s="721">
        <f t="shared" si="0"/>
        <v>0</v>
      </c>
      <c r="K9" s="3472"/>
      <c r="L9" s="3472"/>
    </row>
    <row r="10" spans="1:20" ht="17.25" customHeight="1">
      <c r="A10" s="1449">
        <v>3</v>
      </c>
      <c r="B10" s="1450"/>
      <c r="C10" s="1450"/>
      <c r="D10" s="669"/>
      <c r="E10" s="1451"/>
      <c r="F10" s="669"/>
      <c r="G10" s="1429"/>
      <c r="H10" s="1429"/>
      <c r="I10" s="1429"/>
      <c r="J10" s="721">
        <f t="shared" si="0"/>
        <v>0</v>
      </c>
      <c r="K10" s="3472"/>
      <c r="L10" s="3472"/>
      <c r="M10" s="3473" t="s">
        <v>4551</v>
      </c>
      <c r="N10" s="3473"/>
      <c r="O10" s="3473"/>
    </row>
    <row r="11" spans="1:20" ht="17.25" customHeight="1">
      <c r="A11" s="1449">
        <v>4</v>
      </c>
      <c r="B11" s="1450"/>
      <c r="C11" s="1450"/>
      <c r="D11" s="669"/>
      <c r="E11" s="1451"/>
      <c r="F11" s="669"/>
      <c r="G11" s="1429"/>
      <c r="H11" s="1429"/>
      <c r="I11" s="1429"/>
      <c r="J11" s="721">
        <f t="shared" si="0"/>
        <v>0</v>
      </c>
      <c r="K11" s="3472"/>
      <c r="L11" s="3472"/>
    </row>
    <row r="12" spans="1:20" ht="17.25" customHeight="1">
      <c r="A12" s="1449">
        <v>5</v>
      </c>
      <c r="B12" s="1450"/>
      <c r="C12" s="1450"/>
      <c r="D12" s="669"/>
      <c r="E12" s="1451"/>
      <c r="F12" s="669"/>
      <c r="G12" s="1429"/>
      <c r="H12" s="1429"/>
      <c r="I12" s="1429"/>
      <c r="J12" s="721">
        <f t="shared" si="0"/>
        <v>0</v>
      </c>
      <c r="K12" s="3472"/>
      <c r="L12" s="3472"/>
      <c r="M12" s="3473" t="s">
        <v>5280</v>
      </c>
      <c r="N12" s="3473"/>
      <c r="O12" s="3473"/>
    </row>
    <row r="13" spans="1:20" ht="17.25" customHeight="1">
      <c r="A13" s="1449">
        <v>6</v>
      </c>
      <c r="B13" s="1450"/>
      <c r="C13" s="1450"/>
      <c r="D13" s="669"/>
      <c r="E13" s="1451"/>
      <c r="F13" s="669"/>
      <c r="G13" s="1429"/>
      <c r="H13" s="1429"/>
      <c r="I13" s="1429"/>
      <c r="J13" s="721">
        <f t="shared" si="0"/>
        <v>0</v>
      </c>
      <c r="K13" s="3472"/>
      <c r="L13" s="3472"/>
      <c r="M13" s="3458" t="s">
        <v>5281</v>
      </c>
      <c r="N13" s="3458"/>
      <c r="O13" s="3458"/>
      <c r="P13" s="3458"/>
      <c r="Q13" s="3458"/>
      <c r="R13" s="3458"/>
      <c r="S13" s="3458"/>
      <c r="T13" s="3458"/>
    </row>
    <row r="14" spans="1:20" ht="17.25" customHeight="1">
      <c r="A14" s="1449">
        <v>7</v>
      </c>
      <c r="B14" s="1450"/>
      <c r="C14" s="1450"/>
      <c r="D14" s="669"/>
      <c r="E14" s="1451"/>
      <c r="F14" s="669"/>
      <c r="G14" s="1429"/>
      <c r="H14" s="1429"/>
      <c r="I14" s="1429"/>
      <c r="J14" s="721">
        <f t="shared" si="0"/>
        <v>0</v>
      </c>
      <c r="K14" s="3472"/>
      <c r="L14" s="3472"/>
      <c r="M14" s="3458"/>
      <c r="N14" s="3458"/>
      <c r="O14" s="3458"/>
      <c r="P14" s="3458"/>
      <c r="Q14" s="3458"/>
      <c r="R14" s="3458"/>
      <c r="S14" s="3458"/>
      <c r="T14" s="3458"/>
    </row>
    <row r="15" spans="1:20" ht="17.25" customHeight="1">
      <c r="A15" s="1449">
        <v>8</v>
      </c>
      <c r="B15" s="1450"/>
      <c r="C15" s="1450"/>
      <c r="D15" s="669"/>
      <c r="E15" s="1451"/>
      <c r="F15" s="669"/>
      <c r="G15" s="1429"/>
      <c r="H15" s="1429"/>
      <c r="I15" s="1429"/>
      <c r="J15" s="721">
        <f t="shared" si="0"/>
        <v>0</v>
      </c>
      <c r="K15" s="3472"/>
      <c r="L15" s="3472"/>
      <c r="M15" s="3458"/>
      <c r="N15" s="3458"/>
      <c r="O15" s="3458"/>
      <c r="P15" s="3458"/>
      <c r="Q15" s="3458"/>
      <c r="R15" s="3458"/>
      <c r="S15" s="3458"/>
      <c r="T15" s="3458"/>
    </row>
    <row r="16" spans="1:20" ht="17.25" customHeight="1">
      <c r="A16" s="1449">
        <v>9</v>
      </c>
      <c r="B16" s="1450"/>
      <c r="C16" s="1450"/>
      <c r="D16" s="669"/>
      <c r="E16" s="1451"/>
      <c r="F16" s="669"/>
      <c r="G16" s="1429"/>
      <c r="H16" s="1429"/>
      <c r="I16" s="1429"/>
      <c r="J16" s="721">
        <f t="shared" si="0"/>
        <v>0</v>
      </c>
      <c r="K16" s="3472"/>
      <c r="L16" s="3472"/>
      <c r="M16" s="3458"/>
      <c r="N16" s="3458"/>
      <c r="O16" s="3458"/>
      <c r="P16" s="3458"/>
      <c r="Q16" s="3458"/>
      <c r="R16" s="3458"/>
      <c r="S16" s="3458"/>
      <c r="T16" s="3458"/>
    </row>
    <row r="17" spans="1:20" ht="17.25" customHeight="1">
      <c r="A17" s="659">
        <v>10</v>
      </c>
      <c r="B17" s="1452"/>
      <c r="C17" s="1452"/>
      <c r="D17" s="1453"/>
      <c r="E17" s="1454"/>
      <c r="F17" s="1453"/>
      <c r="G17" s="1455"/>
      <c r="H17" s="1455"/>
      <c r="I17" s="1455"/>
      <c r="J17" s="648">
        <f t="shared" si="0"/>
        <v>0</v>
      </c>
      <c r="K17" s="3474"/>
      <c r="L17" s="3474"/>
      <c r="M17" s="3458"/>
      <c r="N17" s="3458"/>
      <c r="O17" s="3458"/>
      <c r="P17" s="3458"/>
      <c r="Q17" s="3458"/>
      <c r="R17" s="3458"/>
      <c r="S17" s="3458"/>
      <c r="T17" s="3458"/>
    </row>
    <row r="18" spans="1:20" ht="19.5" customHeight="1">
      <c r="A18" s="3076" t="s">
        <v>5282</v>
      </c>
      <c r="B18" s="3076"/>
      <c r="C18" s="3076"/>
      <c r="D18" s="1265">
        <f>SUM(D8:D17)</f>
        <v>0</v>
      </c>
      <c r="E18" s="1456"/>
      <c r="F18" s="1457"/>
      <c r="G18" s="1458"/>
      <c r="H18" s="1265">
        <f>SUM(H8:H17)</f>
        <v>0</v>
      </c>
      <c r="I18" s="1265">
        <f>SUM(I8:I17)</f>
        <v>0</v>
      </c>
      <c r="J18" s="1265">
        <f>SUM(J8:J17)</f>
        <v>0</v>
      </c>
      <c r="K18" s="3466"/>
      <c r="L18" s="3466"/>
      <c r="M18" s="3458"/>
      <c r="N18" s="3458"/>
      <c r="O18" s="3458"/>
      <c r="P18" s="3458"/>
      <c r="Q18" s="3458"/>
      <c r="R18" s="3458"/>
      <c r="S18" s="3458"/>
      <c r="T18" s="3458"/>
    </row>
    <row r="19" spans="1:20" ht="19.5" customHeight="1">
      <c r="A19" s="3467" t="s">
        <v>5283</v>
      </c>
      <c r="B19" s="3467"/>
      <c r="C19" s="3467"/>
      <c r="D19" s="3467"/>
      <c r="E19" s="3467"/>
      <c r="F19" s="3467"/>
      <c r="G19" s="3467"/>
      <c r="H19" s="3467"/>
      <c r="I19" s="3467"/>
      <c r="J19" s="3467"/>
      <c r="K19" s="3468"/>
      <c r="L19" s="3468"/>
      <c r="M19" s="3458"/>
      <c r="N19" s="3458"/>
      <c r="O19" s="3458"/>
      <c r="P19" s="3458"/>
      <c r="Q19" s="3458"/>
      <c r="R19" s="3458"/>
      <c r="S19" s="3458"/>
      <c r="T19" s="3458"/>
    </row>
    <row r="20" spans="1:20" ht="19.5" customHeight="1">
      <c r="A20" s="3469" t="s">
        <v>5131</v>
      </c>
      <c r="B20" s="3469"/>
      <c r="C20" s="668" t="s">
        <v>346</v>
      </c>
      <c r="D20" s="3470" t="s">
        <v>5132</v>
      </c>
      <c r="E20" s="3470"/>
      <c r="F20" s="3470"/>
      <c r="G20" s="3470" t="s">
        <v>5134</v>
      </c>
      <c r="H20" s="3470"/>
      <c r="I20" s="3470"/>
      <c r="J20" s="668" t="s">
        <v>757</v>
      </c>
      <c r="K20" s="3471"/>
      <c r="L20" s="3471"/>
      <c r="M20" s="3458"/>
      <c r="N20" s="3458"/>
      <c r="O20" s="3458"/>
      <c r="P20" s="3458"/>
      <c r="Q20" s="3458"/>
      <c r="R20" s="3458"/>
      <c r="S20" s="3458"/>
      <c r="T20" s="3458"/>
    </row>
    <row r="21" spans="1:20" ht="19.5" customHeight="1">
      <c r="A21" s="3461" t="s">
        <v>4378</v>
      </c>
      <c r="B21" s="3461"/>
      <c r="C21" s="1459">
        <f>财务费用!$H$7</f>
        <v>0</v>
      </c>
      <c r="D21" s="3462"/>
      <c r="E21" s="3462"/>
      <c r="F21" s="3462"/>
      <c r="G21" s="3462"/>
      <c r="H21" s="3462"/>
      <c r="I21" s="3462"/>
      <c r="J21" s="1460">
        <f>SUM(C21:I21)</f>
        <v>0</v>
      </c>
      <c r="K21" s="3463"/>
      <c r="L21" s="3463"/>
      <c r="M21" s="3458"/>
      <c r="N21" s="3458"/>
      <c r="O21" s="3458"/>
      <c r="P21" s="3458"/>
      <c r="Q21" s="3458"/>
      <c r="R21" s="3458"/>
      <c r="S21" s="3458"/>
      <c r="T21" s="3458"/>
    </row>
    <row r="22" spans="1:20" ht="19.5" customHeight="1">
      <c r="A22" s="3076" t="s">
        <v>4430</v>
      </c>
      <c r="B22" s="3076"/>
      <c r="C22" s="3076"/>
      <c r="D22" s="3464" t="str">
        <f>IF(H18&lt;&gt;J21,"原始凭证检查金额与账载不符，请检查！","原始凭证检查金额与账载相符！")</f>
        <v>原始凭证检查金额与账载相符！</v>
      </c>
      <c r="E22" s="3464"/>
      <c r="F22" s="3464"/>
      <c r="G22" s="3464"/>
      <c r="H22" s="3464"/>
      <c r="I22" s="3464"/>
      <c r="J22" s="3464"/>
      <c r="K22" s="3465"/>
      <c r="L22" s="3465"/>
      <c r="M22" s="3458"/>
      <c r="N22" s="3458"/>
      <c r="O22" s="3458"/>
      <c r="P22" s="3458"/>
      <c r="Q22" s="3458"/>
      <c r="R22" s="3458"/>
      <c r="S22" s="3458"/>
      <c r="T22" s="3458"/>
    </row>
    <row r="23" spans="1:20" ht="15" customHeight="1">
      <c r="A23" s="3081" t="s">
        <v>4431</v>
      </c>
      <c r="B23" s="3081"/>
      <c r="C23" s="3081"/>
      <c r="D23" s="681" t="s">
        <v>5268</v>
      </c>
      <c r="E23" s="3456" t="str">
        <f>IF(J18&gt;0,"、E","")</f>
        <v/>
      </c>
      <c r="F23" s="3456"/>
      <c r="G23" s="3456"/>
      <c r="H23" s="3456"/>
      <c r="I23" s="3456"/>
      <c r="J23" s="3456"/>
      <c r="K23" s="3456"/>
      <c r="L23" s="3456"/>
      <c r="M23" s="3458"/>
      <c r="N23" s="3458"/>
      <c r="O23" s="3458"/>
      <c r="P23" s="3458"/>
      <c r="Q23" s="3458"/>
      <c r="R23" s="3458"/>
      <c r="S23" s="3458"/>
      <c r="T23" s="3458"/>
    </row>
    <row r="24" spans="1:20" ht="31.5" customHeight="1">
      <c r="A24" s="3081"/>
      <c r="B24" s="3081"/>
      <c r="C24" s="3081"/>
      <c r="D24" s="3457"/>
      <c r="E24" s="3457"/>
      <c r="F24" s="3457"/>
      <c r="G24" s="3457"/>
      <c r="H24" s="3457"/>
      <c r="I24" s="3457"/>
      <c r="J24" s="3457"/>
      <c r="K24" s="3457"/>
      <c r="L24" s="3457"/>
      <c r="M24" s="3458" t="s">
        <v>5284</v>
      </c>
      <c r="N24" s="3458"/>
      <c r="O24" s="3458"/>
      <c r="P24" s="3458"/>
      <c r="Q24" s="3458"/>
      <c r="R24" s="3458"/>
      <c r="S24" s="3458"/>
      <c r="T24" s="3458"/>
    </row>
    <row r="25" spans="1:20" ht="30.75" customHeight="1">
      <c r="A25" s="3081"/>
      <c r="B25" s="3081"/>
      <c r="C25" s="3081"/>
      <c r="D25" s="3457"/>
      <c r="E25" s="3457"/>
      <c r="F25" s="3457"/>
      <c r="G25" s="3457"/>
      <c r="H25" s="3457"/>
      <c r="I25" s="3457"/>
      <c r="J25" s="3457"/>
      <c r="K25" s="3457"/>
      <c r="L25" s="3457"/>
      <c r="M25" s="3458"/>
      <c r="N25" s="3458"/>
      <c r="O25" s="3458"/>
      <c r="P25" s="3458"/>
      <c r="Q25" s="3458"/>
      <c r="R25" s="3458"/>
      <c r="S25" s="3458"/>
      <c r="T25" s="3458"/>
    </row>
    <row r="26" spans="1:20" ht="8.25" customHeight="1">
      <c r="A26" s="3086" t="s">
        <v>4433</v>
      </c>
      <c r="B26" s="3086"/>
      <c r="C26" s="3086"/>
      <c r="D26" s="3459" t="str">
        <f>IF(J18&lt;&gt;0,"实际列支利息支出大于税法允许列支的限额,应予纳税调整增加"&amp;DOLLAR(J18,2)&amp;"元！","不存在利息支出调整事项，认可！")</f>
        <v>不存在利息支出调整事项，认可！</v>
      </c>
      <c r="E26" s="3459"/>
      <c r="F26" s="3459"/>
      <c r="G26" s="3459"/>
      <c r="H26" s="3459"/>
      <c r="I26" s="3459"/>
      <c r="J26" s="3459"/>
      <c r="K26" s="3459"/>
      <c r="L26" s="3459"/>
      <c r="M26" s="3460" t="s">
        <v>5285</v>
      </c>
      <c r="N26" s="3460"/>
      <c r="O26" s="3460"/>
      <c r="P26" s="3460"/>
      <c r="Q26" s="3460"/>
      <c r="R26" s="3460"/>
      <c r="S26" s="3460"/>
      <c r="T26" s="3460"/>
    </row>
    <row r="27" spans="1:20" ht="8.25" customHeight="1">
      <c r="A27" s="3086"/>
      <c r="B27" s="3086"/>
      <c r="C27" s="3086"/>
      <c r="D27" s="3459"/>
      <c r="E27" s="3459"/>
      <c r="F27" s="3459"/>
      <c r="G27" s="3459"/>
      <c r="H27" s="3459"/>
      <c r="I27" s="3459"/>
      <c r="J27" s="3459"/>
      <c r="K27" s="3459"/>
      <c r="L27" s="3459"/>
      <c r="M27" s="3460"/>
      <c r="N27" s="3460"/>
      <c r="O27" s="3460"/>
      <c r="P27" s="3460"/>
      <c r="Q27" s="3460"/>
      <c r="R27" s="3460"/>
      <c r="S27" s="3460"/>
      <c r="T27" s="3460"/>
    </row>
    <row r="28" spans="1:20" ht="8.25" customHeight="1">
      <c r="A28" s="3086"/>
      <c r="B28" s="3086"/>
      <c r="C28" s="3086"/>
      <c r="D28" s="3459"/>
      <c r="E28" s="3459"/>
      <c r="F28" s="3459"/>
      <c r="G28" s="3459"/>
      <c r="H28" s="3459"/>
      <c r="I28" s="3459"/>
      <c r="J28" s="3459"/>
      <c r="K28" s="3459"/>
      <c r="L28" s="3459"/>
      <c r="M28" s="3460"/>
      <c r="N28" s="3460"/>
      <c r="O28" s="3460"/>
      <c r="P28" s="3460"/>
      <c r="Q28" s="3460"/>
      <c r="R28" s="3460"/>
      <c r="S28" s="3460"/>
      <c r="T28" s="3460"/>
    </row>
    <row r="29" spans="1:20">
      <c r="A29" s="640"/>
      <c r="B29" s="640"/>
      <c r="C29" s="640"/>
      <c r="D29" s="640"/>
      <c r="E29" s="640"/>
      <c r="F29" s="640"/>
      <c r="G29" s="640"/>
      <c r="H29" s="640"/>
      <c r="I29" s="640"/>
      <c r="J29" s="640"/>
      <c r="K29" s="640"/>
      <c r="L29" s="640"/>
      <c r="M29" s="3460"/>
      <c r="N29" s="3460"/>
      <c r="O29" s="3460"/>
      <c r="P29" s="3460"/>
      <c r="Q29" s="3460"/>
      <c r="R29" s="3460"/>
      <c r="S29" s="3460"/>
      <c r="T29" s="3460"/>
    </row>
    <row r="30" spans="1:20">
      <c r="A30" s="640"/>
      <c r="B30" s="640"/>
      <c r="C30" s="640"/>
      <c r="D30" s="640"/>
      <c r="E30" s="640"/>
      <c r="F30" s="640"/>
      <c r="G30" s="640"/>
      <c r="H30" s="640"/>
      <c r="I30" s="640"/>
      <c r="J30" s="640"/>
      <c r="K30" s="640"/>
      <c r="L30" s="640"/>
      <c r="M30" s="3460"/>
      <c r="N30" s="3460"/>
      <c r="O30" s="3460"/>
      <c r="P30" s="3460"/>
      <c r="Q30" s="3460"/>
      <c r="R30" s="3460"/>
      <c r="S30" s="3460"/>
      <c r="T30" s="3460"/>
    </row>
    <row r="31" spans="1:20">
      <c r="A31" s="640"/>
      <c r="B31" s="640"/>
      <c r="C31" s="640"/>
      <c r="D31" s="640"/>
      <c r="E31" s="640"/>
      <c r="F31" s="640"/>
      <c r="G31" s="640"/>
      <c r="H31" s="640"/>
      <c r="I31" s="640"/>
      <c r="J31" s="640"/>
      <c r="K31" s="640"/>
      <c r="L31" s="640"/>
    </row>
    <row r="32" spans="1:20">
      <c r="A32" s="640"/>
      <c r="B32" s="640"/>
      <c r="C32" s="640"/>
      <c r="D32" s="640"/>
      <c r="E32" s="640"/>
      <c r="F32" s="640"/>
      <c r="G32" s="640"/>
      <c r="H32" s="640"/>
      <c r="I32" s="640"/>
      <c r="J32" s="640"/>
      <c r="K32" s="640"/>
      <c r="L32" s="640"/>
    </row>
    <row r="33" spans="1:12">
      <c r="A33" s="640"/>
      <c r="B33" s="640"/>
      <c r="C33" s="640"/>
      <c r="D33" s="640"/>
      <c r="E33" s="640"/>
      <c r="F33" s="640"/>
      <c r="G33" s="640"/>
      <c r="H33" s="640"/>
      <c r="I33" s="640"/>
      <c r="J33" s="640"/>
      <c r="K33" s="640"/>
      <c r="L33" s="640"/>
    </row>
    <row r="34" spans="1:12">
      <c r="A34" s="640"/>
      <c r="B34" s="640"/>
      <c r="C34" s="640"/>
      <c r="D34" s="640"/>
      <c r="E34" s="640"/>
      <c r="F34" s="640"/>
      <c r="G34" s="640"/>
      <c r="H34" s="640"/>
      <c r="I34" s="640"/>
      <c r="J34" s="640"/>
      <c r="K34" s="640"/>
      <c r="L34" s="640"/>
    </row>
    <row r="35" spans="1:12">
      <c r="A35" s="640"/>
      <c r="B35" s="640"/>
      <c r="C35" s="640"/>
      <c r="D35" s="640"/>
      <c r="E35" s="640"/>
      <c r="F35" s="640"/>
      <c r="G35" s="640"/>
      <c r="H35" s="640"/>
      <c r="I35" s="640"/>
      <c r="J35" s="640"/>
      <c r="K35" s="640"/>
      <c r="L35" s="640"/>
    </row>
    <row r="36" spans="1:12">
      <c r="A36" s="640"/>
      <c r="B36" s="640"/>
      <c r="C36" s="640"/>
      <c r="D36" s="640"/>
      <c r="E36" s="640"/>
      <c r="F36" s="640"/>
      <c r="G36" s="640"/>
      <c r="H36" s="640"/>
      <c r="I36" s="640"/>
      <c r="J36" s="640"/>
      <c r="K36" s="640"/>
      <c r="L36" s="640"/>
    </row>
    <row r="37" spans="1:12">
      <c r="A37" s="640"/>
      <c r="B37" s="640"/>
      <c r="C37" s="640"/>
      <c r="D37" s="640"/>
      <c r="E37" s="640"/>
      <c r="F37" s="640"/>
      <c r="G37" s="640"/>
      <c r="H37" s="640"/>
      <c r="I37" s="640"/>
      <c r="J37" s="640"/>
      <c r="K37" s="640"/>
      <c r="L37" s="640"/>
    </row>
    <row r="38" spans="1:12">
      <c r="A38" s="640"/>
      <c r="B38" s="640"/>
      <c r="C38" s="640"/>
      <c r="D38" s="640"/>
      <c r="E38" s="640"/>
      <c r="F38" s="640"/>
      <c r="G38" s="640"/>
      <c r="H38" s="640"/>
      <c r="I38" s="640"/>
      <c r="J38" s="640"/>
      <c r="K38" s="640"/>
      <c r="L38" s="640"/>
    </row>
    <row r="39" spans="1:12">
      <c r="A39" s="640"/>
      <c r="B39" s="640"/>
      <c r="C39" s="640"/>
      <c r="D39" s="640"/>
      <c r="E39" s="640"/>
      <c r="F39" s="640"/>
      <c r="G39" s="640"/>
      <c r="H39" s="640"/>
      <c r="I39" s="640"/>
      <c r="J39" s="640"/>
      <c r="K39" s="640"/>
      <c r="L39" s="640"/>
    </row>
    <row r="40" spans="1:12">
      <c r="A40" s="640"/>
      <c r="B40" s="640"/>
      <c r="C40" s="640"/>
      <c r="D40" s="640"/>
      <c r="E40" s="640"/>
      <c r="F40" s="640"/>
      <c r="G40" s="640"/>
      <c r="H40" s="640"/>
      <c r="I40" s="640"/>
      <c r="J40" s="640"/>
      <c r="K40" s="640"/>
      <c r="L40" s="640"/>
    </row>
    <row r="41" spans="1:12">
      <c r="A41" s="640"/>
      <c r="B41" s="640"/>
      <c r="C41" s="640"/>
      <c r="D41" s="640"/>
      <c r="E41" s="640"/>
      <c r="F41" s="640"/>
      <c r="G41" s="640"/>
      <c r="H41" s="640"/>
      <c r="I41" s="640"/>
      <c r="J41" s="640"/>
      <c r="K41" s="640"/>
      <c r="L41" s="640"/>
    </row>
    <row r="42" spans="1:12">
      <c r="A42" s="640"/>
      <c r="B42" s="640"/>
      <c r="C42" s="640"/>
      <c r="D42" s="640"/>
      <c r="E42" s="640"/>
      <c r="F42" s="640"/>
      <c r="G42" s="640"/>
      <c r="H42" s="640"/>
      <c r="I42" s="640"/>
      <c r="J42" s="640"/>
      <c r="K42" s="640"/>
      <c r="L42" s="640"/>
    </row>
    <row r="43" spans="1:12">
      <c r="A43" s="640"/>
      <c r="B43" s="640"/>
      <c r="C43" s="640"/>
      <c r="D43" s="640"/>
      <c r="E43" s="640"/>
      <c r="F43" s="640"/>
      <c r="G43" s="640"/>
      <c r="H43" s="640"/>
      <c r="I43" s="640"/>
      <c r="J43" s="640"/>
      <c r="K43" s="640"/>
      <c r="L43" s="640"/>
    </row>
    <row r="44" spans="1:12">
      <c r="A44" s="640"/>
      <c r="B44" s="640"/>
      <c r="C44" s="640"/>
      <c r="D44" s="640"/>
      <c r="E44" s="640"/>
      <c r="F44" s="640"/>
      <c r="G44" s="640"/>
      <c r="H44" s="640"/>
      <c r="I44" s="640"/>
      <c r="J44" s="640"/>
      <c r="K44" s="640"/>
      <c r="L44" s="640"/>
    </row>
    <row r="45" spans="1:12">
      <c r="A45" s="640"/>
      <c r="B45" s="640"/>
      <c r="C45" s="640"/>
      <c r="D45" s="640"/>
      <c r="E45" s="640"/>
      <c r="F45" s="640"/>
      <c r="G45" s="640"/>
      <c r="H45" s="640"/>
      <c r="I45" s="640"/>
      <c r="J45" s="640"/>
      <c r="K45" s="640"/>
      <c r="L45" s="640"/>
    </row>
    <row r="46" spans="1:12">
      <c r="A46" s="640"/>
      <c r="B46" s="640"/>
      <c r="C46" s="640"/>
      <c r="D46" s="640"/>
      <c r="E46" s="640"/>
      <c r="F46" s="640"/>
      <c r="G46" s="640"/>
      <c r="H46" s="640"/>
      <c r="I46" s="640"/>
      <c r="J46" s="640"/>
      <c r="K46" s="640"/>
      <c r="L46" s="640"/>
    </row>
    <row r="47" spans="1:12">
      <c r="A47" s="640"/>
      <c r="B47" s="640"/>
      <c r="C47" s="640"/>
      <c r="D47" s="640"/>
      <c r="E47" s="640"/>
      <c r="F47" s="640"/>
      <c r="G47" s="640"/>
      <c r="H47" s="640"/>
      <c r="I47" s="640"/>
      <c r="J47" s="640"/>
      <c r="K47" s="640"/>
      <c r="L47" s="640"/>
    </row>
    <row r="48" spans="1:12">
      <c r="A48" s="640"/>
      <c r="B48" s="640"/>
      <c r="C48" s="640"/>
      <c r="D48" s="640"/>
      <c r="E48" s="640"/>
      <c r="F48" s="640"/>
      <c r="G48" s="640"/>
      <c r="H48" s="640"/>
      <c r="I48" s="640"/>
      <c r="J48" s="640"/>
      <c r="K48" s="640"/>
      <c r="L48" s="640"/>
    </row>
    <row r="49" spans="1:12">
      <c r="A49" s="640"/>
      <c r="B49" s="640"/>
      <c r="C49" s="640"/>
      <c r="D49" s="640"/>
      <c r="E49" s="640"/>
      <c r="F49" s="640"/>
      <c r="G49" s="640"/>
      <c r="H49" s="640"/>
      <c r="I49" s="640"/>
      <c r="J49" s="640"/>
      <c r="K49" s="640"/>
      <c r="L49" s="640"/>
    </row>
    <row r="50" spans="1:12">
      <c r="A50" s="640"/>
      <c r="B50" s="640"/>
      <c r="C50" s="640"/>
      <c r="D50" s="640"/>
      <c r="E50" s="640"/>
      <c r="F50" s="640"/>
      <c r="G50" s="640"/>
      <c r="H50" s="640"/>
      <c r="I50" s="640"/>
      <c r="J50" s="640"/>
      <c r="K50" s="640"/>
      <c r="L50" s="640"/>
    </row>
    <row r="51" spans="1:12">
      <c r="A51" s="640"/>
      <c r="B51" s="640"/>
      <c r="C51" s="640"/>
      <c r="D51" s="640"/>
      <c r="E51" s="640"/>
      <c r="F51" s="640"/>
      <c r="G51" s="640"/>
      <c r="H51" s="640"/>
      <c r="I51" s="640"/>
      <c r="J51" s="640"/>
      <c r="K51" s="640"/>
      <c r="L51" s="640"/>
    </row>
    <row r="52" spans="1:12">
      <c r="A52" s="640"/>
      <c r="B52" s="640"/>
      <c r="C52" s="640"/>
      <c r="D52" s="640"/>
      <c r="E52" s="640"/>
      <c r="F52" s="640"/>
      <c r="G52" s="640"/>
      <c r="H52" s="640"/>
      <c r="I52" s="640"/>
      <c r="J52" s="640"/>
      <c r="K52" s="640"/>
      <c r="L52" s="640"/>
    </row>
    <row r="53" spans="1:12">
      <c r="A53" s="640"/>
      <c r="B53" s="640"/>
      <c r="C53" s="640"/>
      <c r="D53" s="640"/>
      <c r="E53" s="640"/>
      <c r="F53" s="640"/>
      <c r="G53" s="640"/>
      <c r="H53" s="640"/>
      <c r="I53" s="640"/>
      <c r="J53" s="640"/>
      <c r="K53" s="640"/>
      <c r="L53" s="640"/>
    </row>
    <row r="54" spans="1:12">
      <c r="A54" s="640"/>
      <c r="B54" s="640"/>
      <c r="C54" s="640"/>
      <c r="D54" s="640"/>
      <c r="E54" s="640"/>
      <c r="F54" s="640"/>
      <c r="G54" s="640"/>
      <c r="H54" s="640"/>
      <c r="I54" s="640"/>
      <c r="J54" s="640"/>
      <c r="K54" s="640"/>
      <c r="L54" s="640"/>
    </row>
    <row r="55" spans="1:12">
      <c r="A55" s="640"/>
      <c r="B55" s="640"/>
      <c r="C55" s="640"/>
      <c r="D55" s="640"/>
      <c r="E55" s="640"/>
      <c r="F55" s="640"/>
      <c r="G55" s="640"/>
      <c r="H55" s="640"/>
      <c r="I55" s="640"/>
      <c r="J55" s="640"/>
      <c r="K55" s="640"/>
      <c r="L55" s="640"/>
    </row>
    <row r="56" spans="1:12">
      <c r="A56" s="640"/>
      <c r="B56" s="640"/>
      <c r="C56" s="640"/>
      <c r="D56" s="640"/>
      <c r="E56" s="640"/>
      <c r="F56" s="640"/>
      <c r="G56" s="640"/>
      <c r="H56" s="640"/>
      <c r="I56" s="640"/>
      <c r="J56" s="640"/>
      <c r="K56" s="640"/>
      <c r="L56" s="640"/>
    </row>
    <row r="57" spans="1:12">
      <c r="A57" s="640"/>
      <c r="B57" s="640"/>
      <c r="C57" s="640"/>
      <c r="D57" s="640"/>
      <c r="E57" s="640"/>
      <c r="F57" s="640"/>
      <c r="G57" s="640"/>
      <c r="H57" s="640"/>
      <c r="I57" s="640"/>
      <c r="J57" s="640"/>
      <c r="K57" s="640"/>
      <c r="L57" s="640"/>
    </row>
    <row r="58" spans="1:12">
      <c r="A58" s="640"/>
      <c r="B58" s="640"/>
      <c r="C58" s="640"/>
      <c r="D58" s="640"/>
      <c r="E58" s="640"/>
      <c r="F58" s="640"/>
      <c r="G58" s="640"/>
      <c r="H58" s="640"/>
      <c r="I58" s="640"/>
      <c r="J58" s="640"/>
      <c r="K58" s="640"/>
      <c r="L58" s="640"/>
    </row>
    <row r="59" spans="1:12">
      <c r="A59" s="640"/>
      <c r="B59" s="640"/>
      <c r="C59" s="640"/>
      <c r="D59" s="640"/>
      <c r="E59" s="640"/>
      <c r="F59" s="640"/>
      <c r="G59" s="640"/>
      <c r="H59" s="640"/>
      <c r="I59" s="640"/>
      <c r="J59" s="640"/>
      <c r="K59" s="640"/>
      <c r="L59" s="640"/>
    </row>
    <row r="60" spans="1:12">
      <c r="A60" s="640"/>
      <c r="B60" s="640"/>
      <c r="C60" s="640"/>
      <c r="D60" s="640"/>
      <c r="E60" s="640"/>
      <c r="F60" s="640"/>
      <c r="G60" s="640"/>
      <c r="H60" s="640"/>
      <c r="I60" s="640"/>
      <c r="J60" s="640"/>
      <c r="K60" s="640"/>
      <c r="L60" s="640"/>
    </row>
    <row r="61" spans="1:12">
      <c r="A61" s="640"/>
      <c r="B61" s="640"/>
      <c r="C61" s="640"/>
      <c r="D61" s="640"/>
      <c r="E61" s="640"/>
      <c r="F61" s="640"/>
      <c r="G61" s="640"/>
      <c r="H61" s="640"/>
      <c r="I61" s="640"/>
      <c r="J61" s="640"/>
      <c r="K61" s="640"/>
      <c r="L61" s="640"/>
    </row>
    <row r="62" spans="1:12">
      <c r="A62" s="640"/>
      <c r="B62" s="640"/>
      <c r="C62" s="640"/>
      <c r="D62" s="640"/>
      <c r="E62" s="640"/>
      <c r="F62" s="640"/>
      <c r="G62" s="640"/>
      <c r="H62" s="640"/>
      <c r="I62" s="640"/>
      <c r="J62" s="640"/>
      <c r="K62" s="640"/>
      <c r="L62" s="640"/>
    </row>
    <row r="63" spans="1:12">
      <c r="A63" s="640"/>
      <c r="B63" s="640"/>
      <c r="C63" s="640"/>
      <c r="D63" s="640"/>
      <c r="E63" s="640"/>
      <c r="F63" s="640"/>
      <c r="G63" s="640"/>
      <c r="H63" s="640"/>
      <c r="I63" s="640"/>
      <c r="J63" s="640"/>
      <c r="K63" s="640"/>
      <c r="L63" s="640"/>
    </row>
    <row r="64" spans="1:12">
      <c r="A64" s="640"/>
      <c r="B64" s="640"/>
      <c r="C64" s="640"/>
      <c r="D64" s="640"/>
      <c r="E64" s="640"/>
      <c r="F64" s="640"/>
      <c r="G64" s="640"/>
      <c r="H64" s="640"/>
      <c r="I64" s="640"/>
      <c r="J64" s="640"/>
      <c r="K64" s="640"/>
      <c r="L64" s="640"/>
    </row>
    <row r="65" spans="1:12">
      <c r="A65" s="640"/>
      <c r="B65" s="640"/>
      <c r="C65" s="640"/>
      <c r="D65" s="640"/>
      <c r="E65" s="640"/>
      <c r="F65" s="640"/>
      <c r="G65" s="640"/>
      <c r="H65" s="640"/>
      <c r="I65" s="640"/>
      <c r="J65" s="640"/>
      <c r="K65" s="640"/>
      <c r="L65" s="640"/>
    </row>
    <row r="66" spans="1:12">
      <c r="A66" s="640"/>
      <c r="B66" s="640"/>
      <c r="C66" s="640"/>
      <c r="D66" s="640"/>
      <c r="E66" s="640"/>
      <c r="F66" s="640"/>
      <c r="G66" s="640"/>
      <c r="H66" s="640"/>
      <c r="I66" s="640"/>
      <c r="J66" s="640"/>
      <c r="K66" s="640"/>
      <c r="L66" s="640"/>
    </row>
    <row r="67" spans="1:12">
      <c r="A67" s="640"/>
      <c r="B67" s="640"/>
      <c r="C67" s="640"/>
      <c r="D67" s="640"/>
      <c r="E67" s="640"/>
      <c r="F67" s="640"/>
      <c r="G67" s="640"/>
      <c r="H67" s="640"/>
      <c r="I67" s="640"/>
      <c r="J67" s="640"/>
      <c r="K67" s="640"/>
      <c r="L67" s="640"/>
    </row>
    <row r="68" spans="1:12">
      <c r="A68" s="640"/>
      <c r="B68" s="640"/>
      <c r="C68" s="640"/>
      <c r="D68" s="640"/>
      <c r="E68" s="640"/>
      <c r="F68" s="640"/>
      <c r="G68" s="640"/>
      <c r="H68" s="640"/>
      <c r="I68" s="640"/>
      <c r="J68" s="640"/>
      <c r="K68" s="640"/>
      <c r="L68" s="640"/>
    </row>
    <row r="69" spans="1:12">
      <c r="A69" s="640"/>
      <c r="B69" s="640"/>
      <c r="C69" s="640"/>
      <c r="D69" s="640"/>
      <c r="E69" s="640"/>
      <c r="F69" s="640"/>
      <c r="G69" s="640"/>
      <c r="H69" s="640"/>
      <c r="I69" s="640"/>
      <c r="J69" s="640"/>
      <c r="K69" s="640"/>
      <c r="L69" s="640"/>
    </row>
    <row r="70" spans="1:12">
      <c r="A70" s="640"/>
      <c r="B70" s="640"/>
      <c r="C70" s="640"/>
      <c r="D70" s="640"/>
      <c r="E70" s="640"/>
      <c r="F70" s="640"/>
      <c r="G70" s="640"/>
      <c r="H70" s="640"/>
      <c r="I70" s="640"/>
      <c r="J70" s="640"/>
      <c r="K70" s="640"/>
      <c r="L70" s="640"/>
    </row>
    <row r="71" spans="1:12">
      <c r="A71" s="640"/>
      <c r="B71" s="640"/>
      <c r="C71" s="640"/>
      <c r="D71" s="640"/>
      <c r="E71" s="640"/>
      <c r="F71" s="640"/>
      <c r="G71" s="640"/>
      <c r="H71" s="640"/>
      <c r="I71" s="640"/>
      <c r="J71" s="640"/>
      <c r="K71" s="640"/>
      <c r="L71" s="640"/>
    </row>
    <row r="72" spans="1:12">
      <c r="A72" s="640"/>
      <c r="B72" s="640"/>
      <c r="C72" s="640"/>
      <c r="D72" s="640"/>
      <c r="E72" s="640"/>
      <c r="F72" s="640"/>
      <c r="G72" s="640"/>
      <c r="H72" s="640"/>
      <c r="I72" s="640"/>
      <c r="J72" s="640"/>
      <c r="K72" s="640"/>
      <c r="L72" s="640"/>
    </row>
    <row r="73" spans="1:12">
      <c r="A73" s="640"/>
      <c r="B73" s="640"/>
      <c r="C73" s="640"/>
      <c r="D73" s="640"/>
      <c r="E73" s="640"/>
      <c r="F73" s="640"/>
      <c r="G73" s="640"/>
      <c r="H73" s="640"/>
      <c r="I73" s="640"/>
      <c r="J73" s="640"/>
      <c r="K73" s="640"/>
      <c r="L73" s="640"/>
    </row>
    <row r="74" spans="1:12">
      <c r="A74" s="640"/>
      <c r="B74" s="640"/>
      <c r="C74" s="640"/>
      <c r="D74" s="640"/>
      <c r="E74" s="640"/>
      <c r="F74" s="640"/>
      <c r="G74" s="640"/>
      <c r="H74" s="640"/>
      <c r="I74" s="640"/>
      <c r="J74" s="640"/>
      <c r="K74" s="640"/>
      <c r="L74" s="640"/>
    </row>
    <row r="75" spans="1:12">
      <c r="A75" s="640"/>
      <c r="B75" s="640"/>
      <c r="C75" s="640"/>
      <c r="D75" s="640"/>
      <c r="E75" s="640"/>
      <c r="F75" s="640"/>
      <c r="G75" s="640"/>
      <c r="H75" s="640"/>
      <c r="I75" s="640"/>
      <c r="J75" s="640"/>
      <c r="K75" s="640"/>
      <c r="L75" s="640"/>
    </row>
    <row r="76" spans="1:12">
      <c r="A76" s="640"/>
      <c r="B76" s="640"/>
      <c r="C76" s="640"/>
      <c r="D76" s="640"/>
      <c r="E76" s="640"/>
      <c r="F76" s="640"/>
      <c r="G76" s="640"/>
      <c r="H76" s="640"/>
      <c r="I76" s="640"/>
      <c r="J76" s="640"/>
      <c r="K76" s="640"/>
      <c r="L76" s="640"/>
    </row>
    <row r="77" spans="1:12">
      <c r="A77" s="640"/>
      <c r="B77" s="640"/>
      <c r="C77" s="640"/>
      <c r="D77" s="640"/>
      <c r="E77" s="640"/>
      <c r="F77" s="640"/>
      <c r="G77" s="640"/>
      <c r="H77" s="640"/>
      <c r="I77" s="640"/>
      <c r="J77" s="640"/>
      <c r="K77" s="640"/>
      <c r="L77" s="640"/>
    </row>
    <row r="78" spans="1:12">
      <c r="A78" s="640"/>
      <c r="B78" s="640"/>
      <c r="C78" s="640"/>
      <c r="D78" s="640"/>
      <c r="E78" s="640"/>
      <c r="F78" s="640"/>
      <c r="G78" s="640"/>
      <c r="H78" s="640"/>
      <c r="I78" s="640"/>
      <c r="J78" s="640"/>
      <c r="K78" s="640"/>
      <c r="L78" s="640"/>
    </row>
    <row r="79" spans="1:12">
      <c r="A79" s="640"/>
      <c r="B79" s="640"/>
      <c r="C79" s="640"/>
      <c r="D79" s="640"/>
      <c r="E79" s="640"/>
      <c r="F79" s="640"/>
      <c r="G79" s="640"/>
      <c r="H79" s="640"/>
      <c r="I79" s="640"/>
      <c r="J79" s="640"/>
      <c r="K79" s="640"/>
      <c r="L79" s="640"/>
    </row>
    <row r="80" spans="1:12">
      <c r="A80" s="640"/>
      <c r="B80" s="640"/>
      <c r="C80" s="640"/>
      <c r="D80" s="640"/>
      <c r="E80" s="640"/>
      <c r="F80" s="640"/>
      <c r="G80" s="640"/>
      <c r="H80" s="640"/>
      <c r="I80" s="640"/>
      <c r="J80" s="640"/>
      <c r="K80" s="640"/>
      <c r="L80" s="640"/>
    </row>
    <row r="81" spans="1:12">
      <c r="A81" s="640"/>
      <c r="B81" s="640"/>
      <c r="C81" s="640"/>
      <c r="D81" s="640"/>
      <c r="E81" s="640"/>
      <c r="F81" s="640"/>
      <c r="G81" s="640"/>
      <c r="H81" s="640"/>
      <c r="I81" s="640"/>
      <c r="J81" s="640"/>
      <c r="K81" s="640"/>
      <c r="L81" s="640"/>
    </row>
    <row r="82" spans="1:12">
      <c r="A82" s="640"/>
      <c r="B82" s="640"/>
      <c r="C82" s="640"/>
      <c r="D82" s="640"/>
      <c r="E82" s="640"/>
      <c r="F82" s="640"/>
      <c r="G82" s="640"/>
      <c r="H82" s="640"/>
      <c r="I82" s="640"/>
      <c r="J82" s="640"/>
      <c r="K82" s="640"/>
      <c r="L82" s="640"/>
    </row>
    <row r="83" spans="1:12">
      <c r="A83" s="640"/>
      <c r="B83" s="640"/>
      <c r="C83" s="640"/>
      <c r="D83" s="640"/>
      <c r="E83" s="640"/>
      <c r="F83" s="640"/>
      <c r="G83" s="640"/>
      <c r="H83" s="640"/>
      <c r="I83" s="640"/>
      <c r="J83" s="640"/>
      <c r="K83" s="640"/>
      <c r="L83" s="640"/>
    </row>
    <row r="84" spans="1:12">
      <c r="A84" s="640"/>
      <c r="B84" s="640"/>
      <c r="C84" s="640"/>
      <c r="D84" s="640"/>
      <c r="E84" s="640"/>
      <c r="F84" s="640"/>
      <c r="G84" s="640"/>
      <c r="H84" s="640"/>
      <c r="I84" s="640"/>
      <c r="J84" s="640"/>
      <c r="K84" s="640"/>
      <c r="L84" s="640"/>
    </row>
    <row r="85" spans="1:12">
      <c r="A85" s="640"/>
      <c r="B85" s="640"/>
      <c r="C85" s="640"/>
      <c r="D85" s="640"/>
      <c r="E85" s="640"/>
      <c r="F85" s="640"/>
      <c r="G85" s="640"/>
      <c r="H85" s="640"/>
      <c r="I85" s="640"/>
      <c r="J85" s="640"/>
      <c r="K85" s="640"/>
      <c r="L85" s="640"/>
    </row>
    <row r="86" spans="1:12">
      <c r="A86" s="640"/>
      <c r="B86" s="640"/>
      <c r="C86" s="640"/>
      <c r="D86" s="640"/>
      <c r="E86" s="640"/>
      <c r="F86" s="640"/>
      <c r="G86" s="640"/>
      <c r="H86" s="640"/>
      <c r="I86" s="640"/>
      <c r="J86" s="640"/>
      <c r="K86" s="640"/>
      <c r="L86" s="640"/>
    </row>
    <row r="87" spans="1:12">
      <c r="A87" s="640"/>
      <c r="B87" s="640"/>
      <c r="C87" s="640"/>
      <c r="D87" s="640"/>
      <c r="E87" s="640"/>
      <c r="F87" s="640"/>
      <c r="G87" s="640"/>
      <c r="H87" s="640"/>
      <c r="I87" s="640"/>
      <c r="J87" s="640"/>
      <c r="K87" s="640"/>
      <c r="L87" s="640"/>
    </row>
    <row r="88" spans="1:12">
      <c r="A88" s="640"/>
      <c r="B88" s="640"/>
      <c r="C88" s="640"/>
      <c r="D88" s="640"/>
      <c r="E88" s="640"/>
      <c r="F88" s="640"/>
      <c r="G88" s="640"/>
      <c r="H88" s="640"/>
      <c r="I88" s="640"/>
      <c r="J88" s="640"/>
      <c r="K88" s="640"/>
      <c r="L88" s="640"/>
    </row>
    <row r="89" spans="1:12">
      <c r="A89" s="640"/>
      <c r="B89" s="640"/>
      <c r="C89" s="640"/>
      <c r="D89" s="640"/>
      <c r="E89" s="640"/>
      <c r="F89" s="640"/>
      <c r="G89" s="640"/>
      <c r="H89" s="640"/>
      <c r="I89" s="640"/>
      <c r="J89" s="640"/>
      <c r="K89" s="640"/>
      <c r="L89" s="640"/>
    </row>
    <row r="90" spans="1:12">
      <c r="A90" s="640"/>
      <c r="B90" s="640"/>
      <c r="C90" s="640"/>
      <c r="D90" s="640"/>
      <c r="E90" s="640"/>
      <c r="F90" s="640"/>
      <c r="G90" s="640"/>
      <c r="H90" s="640"/>
      <c r="I90" s="640"/>
      <c r="J90" s="640"/>
      <c r="K90" s="640"/>
      <c r="L90" s="640"/>
    </row>
    <row r="91" spans="1:12">
      <c r="A91" s="640"/>
      <c r="B91" s="640"/>
      <c r="C91" s="640"/>
      <c r="D91" s="640"/>
      <c r="E91" s="640"/>
      <c r="F91" s="640"/>
      <c r="G91" s="640"/>
      <c r="H91" s="640"/>
      <c r="I91" s="640"/>
      <c r="J91" s="640"/>
      <c r="K91" s="640"/>
      <c r="L91" s="640"/>
    </row>
    <row r="92" spans="1:12">
      <c r="A92" s="640"/>
      <c r="B92" s="640"/>
      <c r="C92" s="640"/>
      <c r="D92" s="640"/>
      <c r="E92" s="640"/>
      <c r="F92" s="640"/>
      <c r="G92" s="640"/>
      <c r="H92" s="640"/>
      <c r="I92" s="640"/>
      <c r="J92" s="640"/>
      <c r="K92" s="640"/>
      <c r="L92" s="640"/>
    </row>
    <row r="93" spans="1:12">
      <c r="A93" s="640"/>
      <c r="B93" s="640"/>
      <c r="C93" s="640"/>
      <c r="D93" s="640"/>
      <c r="E93" s="640"/>
      <c r="F93" s="640"/>
      <c r="G93" s="640"/>
      <c r="H93" s="640"/>
      <c r="I93" s="640"/>
      <c r="J93" s="640"/>
      <c r="K93" s="640"/>
      <c r="L93" s="640"/>
    </row>
    <row r="94" spans="1:12">
      <c r="A94" s="640"/>
      <c r="B94" s="640"/>
      <c r="C94" s="640"/>
      <c r="D94" s="640"/>
      <c r="E94" s="640"/>
      <c r="F94" s="640"/>
      <c r="G94" s="640"/>
      <c r="H94" s="640"/>
      <c r="I94" s="640"/>
      <c r="J94" s="640"/>
      <c r="K94" s="640"/>
      <c r="L94" s="640"/>
    </row>
    <row r="95" spans="1:12">
      <c r="A95" s="640"/>
      <c r="B95" s="640"/>
      <c r="C95" s="640"/>
      <c r="D95" s="640"/>
      <c r="E95" s="640"/>
      <c r="F95" s="640"/>
      <c r="G95" s="640"/>
      <c r="H95" s="640"/>
      <c r="I95" s="640"/>
      <c r="J95" s="640"/>
      <c r="K95" s="640"/>
      <c r="L95" s="640"/>
    </row>
    <row r="96" spans="1:12">
      <c r="A96" s="640"/>
      <c r="B96" s="640"/>
      <c r="C96" s="640"/>
      <c r="D96" s="640"/>
      <c r="E96" s="640"/>
      <c r="F96" s="640"/>
      <c r="G96" s="640"/>
      <c r="H96" s="640"/>
      <c r="I96" s="640"/>
      <c r="J96" s="640"/>
      <c r="K96" s="640"/>
      <c r="L96" s="640"/>
    </row>
    <row r="97" spans="1:12">
      <c r="A97" s="640"/>
      <c r="B97" s="640"/>
      <c r="C97" s="640"/>
      <c r="D97" s="640"/>
      <c r="E97" s="640"/>
      <c r="F97" s="640"/>
      <c r="G97" s="640"/>
      <c r="H97" s="640"/>
      <c r="I97" s="640"/>
      <c r="J97" s="640"/>
      <c r="K97" s="640"/>
      <c r="L97" s="640"/>
    </row>
    <row r="98" spans="1:12">
      <c r="A98" s="640"/>
      <c r="B98" s="640"/>
      <c r="C98" s="640"/>
      <c r="D98" s="640"/>
      <c r="E98" s="640"/>
      <c r="F98" s="640"/>
      <c r="G98" s="640"/>
      <c r="H98" s="640"/>
      <c r="I98" s="640"/>
      <c r="J98" s="640"/>
      <c r="K98" s="640"/>
      <c r="L98" s="640"/>
    </row>
    <row r="99" spans="1:12">
      <c r="A99" s="640"/>
      <c r="B99" s="640"/>
      <c r="C99" s="640"/>
      <c r="D99" s="640"/>
      <c r="E99" s="640"/>
      <c r="F99" s="640"/>
      <c r="G99" s="640"/>
      <c r="H99" s="640"/>
      <c r="I99" s="640"/>
      <c r="J99" s="640"/>
      <c r="K99" s="640"/>
      <c r="L99" s="640"/>
    </row>
    <row r="100" spans="1:12">
      <c r="A100" s="640"/>
      <c r="B100" s="640"/>
      <c r="C100" s="640"/>
      <c r="D100" s="640"/>
      <c r="E100" s="640"/>
      <c r="F100" s="640"/>
      <c r="G100" s="640"/>
      <c r="H100" s="640"/>
      <c r="I100" s="640"/>
      <c r="J100" s="640"/>
      <c r="K100" s="640"/>
      <c r="L100" s="640"/>
    </row>
    <row r="101" spans="1:12">
      <c r="A101" s="640"/>
      <c r="B101" s="640"/>
      <c r="C101" s="640"/>
      <c r="D101" s="640"/>
      <c r="E101" s="640"/>
      <c r="F101" s="640"/>
      <c r="G101" s="640"/>
      <c r="H101" s="640"/>
      <c r="I101" s="640"/>
      <c r="J101" s="640"/>
      <c r="K101" s="640"/>
      <c r="L101" s="640"/>
    </row>
    <row r="102" spans="1:12">
      <c r="A102" s="640"/>
      <c r="B102" s="640"/>
      <c r="C102" s="640"/>
      <c r="D102" s="640"/>
      <c r="E102" s="640"/>
      <c r="F102" s="640"/>
      <c r="G102" s="640"/>
      <c r="H102" s="640"/>
      <c r="I102" s="640"/>
      <c r="J102" s="640"/>
      <c r="K102" s="640"/>
      <c r="L102" s="640"/>
    </row>
    <row r="103" spans="1:12">
      <c r="A103" s="640"/>
      <c r="B103" s="640"/>
      <c r="C103" s="640"/>
      <c r="D103" s="640"/>
      <c r="E103" s="640"/>
      <c r="F103" s="640"/>
      <c r="G103" s="640"/>
      <c r="H103" s="640"/>
      <c r="I103" s="640"/>
      <c r="J103" s="640"/>
      <c r="K103" s="640"/>
      <c r="L103" s="640"/>
    </row>
    <row r="104" spans="1:12">
      <c r="A104" s="640"/>
      <c r="B104" s="640"/>
      <c r="C104" s="640"/>
      <c r="D104" s="640"/>
      <c r="E104" s="640"/>
      <c r="F104" s="640"/>
      <c r="G104" s="640"/>
      <c r="H104" s="640"/>
      <c r="I104" s="640"/>
      <c r="J104" s="640"/>
      <c r="K104" s="640"/>
      <c r="L104" s="640"/>
    </row>
    <row r="105" spans="1:12">
      <c r="A105" s="640"/>
      <c r="B105" s="640"/>
      <c r="C105" s="640"/>
      <c r="D105" s="640"/>
      <c r="E105" s="640"/>
      <c r="F105" s="640"/>
      <c r="G105" s="640"/>
      <c r="H105" s="640"/>
      <c r="I105" s="640"/>
      <c r="J105" s="640"/>
      <c r="K105" s="640"/>
      <c r="L105" s="640"/>
    </row>
    <row r="106" spans="1:12">
      <c r="A106" s="640"/>
      <c r="B106" s="640"/>
      <c r="C106" s="640"/>
      <c r="D106" s="640"/>
      <c r="E106" s="640"/>
      <c r="F106" s="640"/>
      <c r="G106" s="640"/>
      <c r="H106" s="640"/>
      <c r="I106" s="640"/>
      <c r="J106" s="640"/>
      <c r="K106" s="640"/>
      <c r="L106" s="640"/>
    </row>
    <row r="107" spans="1:12">
      <c r="A107" s="640"/>
      <c r="B107" s="640"/>
      <c r="C107" s="640"/>
      <c r="D107" s="640"/>
      <c r="E107" s="640"/>
      <c r="F107" s="640"/>
      <c r="G107" s="640"/>
      <c r="H107" s="640"/>
      <c r="I107" s="640"/>
      <c r="J107" s="640"/>
      <c r="K107" s="640"/>
      <c r="L107" s="640"/>
    </row>
    <row r="108" spans="1:12">
      <c r="A108" s="640"/>
      <c r="B108" s="640"/>
      <c r="C108" s="640"/>
      <c r="D108" s="640"/>
      <c r="E108" s="640"/>
      <c r="F108" s="640"/>
      <c r="G108" s="640"/>
      <c r="H108" s="640"/>
      <c r="I108" s="640"/>
      <c r="J108" s="640"/>
      <c r="K108" s="640"/>
      <c r="L108" s="640"/>
    </row>
    <row r="109" spans="1:12">
      <c r="A109" s="640"/>
      <c r="B109" s="640"/>
      <c r="C109" s="640"/>
      <c r="D109" s="640"/>
      <c r="E109" s="640"/>
      <c r="F109" s="640"/>
      <c r="G109" s="640"/>
      <c r="H109" s="640"/>
      <c r="I109" s="640"/>
      <c r="J109" s="640"/>
      <c r="K109" s="640"/>
      <c r="L109" s="640"/>
    </row>
    <row r="110" spans="1:12">
      <c r="A110" s="640"/>
      <c r="B110" s="640"/>
      <c r="C110" s="640"/>
      <c r="D110" s="640"/>
      <c r="E110" s="640"/>
      <c r="F110" s="640"/>
      <c r="G110" s="640"/>
      <c r="H110" s="640"/>
      <c r="I110" s="640"/>
      <c r="J110" s="640"/>
      <c r="K110" s="640"/>
      <c r="L110" s="640"/>
    </row>
    <row r="111" spans="1:12">
      <c r="A111" s="640"/>
      <c r="B111" s="640"/>
      <c r="C111" s="640"/>
      <c r="D111" s="640"/>
      <c r="E111" s="640"/>
      <c r="F111" s="640"/>
      <c r="G111" s="640"/>
      <c r="H111" s="640"/>
      <c r="I111" s="640"/>
      <c r="J111" s="640"/>
      <c r="K111" s="640"/>
      <c r="L111" s="640"/>
    </row>
    <row r="112" spans="1:12">
      <c r="A112" s="640"/>
      <c r="B112" s="640"/>
      <c r="C112" s="640"/>
      <c r="D112" s="640"/>
      <c r="E112" s="640"/>
      <c r="F112" s="640"/>
      <c r="G112" s="640"/>
      <c r="H112" s="640"/>
      <c r="I112" s="640"/>
      <c r="J112" s="640"/>
      <c r="K112" s="640"/>
      <c r="L112" s="640"/>
    </row>
    <row r="113" spans="1:12">
      <c r="A113" s="640"/>
      <c r="B113" s="640"/>
      <c r="C113" s="640"/>
      <c r="D113" s="640"/>
      <c r="E113" s="640"/>
      <c r="F113" s="640"/>
      <c r="G113" s="640"/>
      <c r="H113" s="640"/>
      <c r="I113" s="640"/>
      <c r="J113" s="640"/>
      <c r="K113" s="640"/>
      <c r="L113" s="640"/>
    </row>
    <row r="114" spans="1:12">
      <c r="A114" s="640"/>
      <c r="B114" s="640"/>
      <c r="C114" s="640"/>
      <c r="D114" s="640"/>
      <c r="E114" s="640"/>
      <c r="F114" s="640"/>
      <c r="G114" s="640"/>
      <c r="H114" s="640"/>
      <c r="I114" s="640"/>
      <c r="J114" s="640"/>
      <c r="K114" s="640"/>
      <c r="L114" s="640"/>
    </row>
    <row r="115" spans="1:12">
      <c r="A115" s="640"/>
      <c r="B115" s="640"/>
      <c r="C115" s="640"/>
      <c r="D115" s="640"/>
      <c r="E115" s="640"/>
      <c r="F115" s="640"/>
      <c r="G115" s="640"/>
      <c r="H115" s="640"/>
      <c r="I115" s="640"/>
      <c r="J115" s="640"/>
      <c r="K115" s="640"/>
      <c r="L115" s="640"/>
    </row>
    <row r="116" spans="1:12">
      <c r="A116" s="640"/>
      <c r="B116" s="640"/>
      <c r="C116" s="640"/>
      <c r="D116" s="640"/>
      <c r="E116" s="640"/>
      <c r="F116" s="640"/>
      <c r="G116" s="640"/>
      <c r="H116" s="640"/>
      <c r="I116" s="640"/>
      <c r="J116" s="640"/>
      <c r="K116" s="640"/>
      <c r="L116" s="640"/>
    </row>
    <row r="117" spans="1:12">
      <c r="A117" s="640"/>
      <c r="B117" s="640"/>
      <c r="C117" s="640"/>
      <c r="D117" s="640"/>
      <c r="E117" s="640"/>
      <c r="F117" s="640"/>
      <c r="G117" s="640"/>
      <c r="H117" s="640"/>
      <c r="I117" s="640"/>
      <c r="J117" s="640"/>
      <c r="K117" s="640"/>
      <c r="L117" s="640"/>
    </row>
    <row r="118" spans="1:12">
      <c r="A118" s="640"/>
      <c r="B118" s="640"/>
      <c r="C118" s="640"/>
      <c r="D118" s="640"/>
      <c r="E118" s="640"/>
      <c r="F118" s="640"/>
      <c r="G118" s="640"/>
      <c r="H118" s="640"/>
      <c r="I118" s="640"/>
      <c r="J118" s="640"/>
      <c r="K118" s="640"/>
      <c r="L118" s="640"/>
    </row>
    <row r="119" spans="1:12">
      <c r="A119" s="640"/>
      <c r="B119" s="640"/>
      <c r="C119" s="640"/>
      <c r="D119" s="640"/>
      <c r="E119" s="640"/>
      <c r="F119" s="640"/>
      <c r="G119" s="640"/>
      <c r="H119" s="640"/>
      <c r="I119" s="640"/>
      <c r="J119" s="640"/>
      <c r="K119" s="640"/>
      <c r="L119" s="640"/>
    </row>
    <row r="120" spans="1:12">
      <c r="A120" s="640"/>
      <c r="B120" s="640"/>
      <c r="C120" s="640"/>
      <c r="D120" s="640"/>
      <c r="E120" s="640"/>
      <c r="F120" s="640"/>
      <c r="G120" s="640"/>
      <c r="H120" s="640"/>
      <c r="I120" s="640"/>
      <c r="J120" s="640"/>
      <c r="K120" s="640"/>
      <c r="L120" s="640"/>
    </row>
    <row r="121" spans="1:12">
      <c r="A121" s="640"/>
      <c r="B121" s="640"/>
      <c r="C121" s="640"/>
      <c r="D121" s="640"/>
      <c r="E121" s="640"/>
      <c r="F121" s="640"/>
      <c r="G121" s="640"/>
      <c r="H121" s="640"/>
      <c r="I121" s="640"/>
      <c r="J121" s="640"/>
      <c r="K121" s="640"/>
      <c r="L121" s="640"/>
    </row>
    <row r="122" spans="1:12">
      <c r="A122" s="640"/>
      <c r="B122" s="640"/>
      <c r="C122" s="640"/>
      <c r="D122" s="640"/>
      <c r="E122" s="640"/>
      <c r="F122" s="640"/>
      <c r="G122" s="640"/>
      <c r="H122" s="640"/>
      <c r="I122" s="640"/>
      <c r="J122" s="640"/>
      <c r="K122" s="640"/>
      <c r="L122" s="640"/>
    </row>
    <row r="123" spans="1:12">
      <c r="A123" s="640"/>
      <c r="B123" s="640"/>
      <c r="C123" s="640"/>
      <c r="D123" s="640"/>
      <c r="E123" s="640"/>
      <c r="F123" s="640"/>
      <c r="G123" s="640"/>
      <c r="H123" s="640"/>
      <c r="I123" s="640"/>
      <c r="J123" s="640"/>
      <c r="K123" s="640"/>
      <c r="L123" s="640"/>
    </row>
    <row r="124" spans="1:12">
      <c r="A124" s="640"/>
      <c r="B124" s="640"/>
      <c r="C124" s="640"/>
      <c r="D124" s="640"/>
      <c r="E124" s="640"/>
      <c r="F124" s="640"/>
      <c r="G124" s="640"/>
      <c r="H124" s="640"/>
      <c r="I124" s="640"/>
      <c r="J124" s="640"/>
      <c r="K124" s="640"/>
      <c r="L124" s="640"/>
    </row>
    <row r="125" spans="1:12">
      <c r="A125" s="640"/>
      <c r="B125" s="640"/>
      <c r="C125" s="640"/>
      <c r="D125" s="640"/>
      <c r="E125" s="640"/>
      <c r="F125" s="640"/>
      <c r="G125" s="640"/>
      <c r="H125" s="640"/>
      <c r="I125" s="640"/>
      <c r="J125" s="640"/>
      <c r="K125" s="640"/>
      <c r="L125" s="640"/>
    </row>
    <row r="126" spans="1:12">
      <c r="A126" s="640"/>
      <c r="B126" s="640"/>
      <c r="C126" s="640"/>
      <c r="D126" s="640"/>
      <c r="E126" s="640"/>
      <c r="F126" s="640"/>
      <c r="G126" s="640"/>
      <c r="H126" s="640"/>
      <c r="I126" s="640"/>
      <c r="J126" s="640"/>
      <c r="K126" s="640"/>
      <c r="L126" s="640"/>
    </row>
    <row r="127" spans="1:12">
      <c r="A127" s="640"/>
      <c r="B127" s="640"/>
      <c r="C127" s="640"/>
      <c r="D127" s="640"/>
      <c r="E127" s="640"/>
      <c r="F127" s="640"/>
      <c r="G127" s="640"/>
      <c r="H127" s="640"/>
      <c r="I127" s="640"/>
      <c r="J127" s="640"/>
      <c r="K127" s="640"/>
      <c r="L127" s="640"/>
    </row>
    <row r="128" spans="1:12">
      <c r="A128" s="640"/>
      <c r="B128" s="640"/>
      <c r="C128" s="640"/>
      <c r="D128" s="640"/>
      <c r="E128" s="640"/>
      <c r="F128" s="640"/>
      <c r="G128" s="640"/>
      <c r="H128" s="640"/>
      <c r="I128" s="640"/>
      <c r="J128" s="640"/>
      <c r="K128" s="640"/>
      <c r="L128" s="640"/>
    </row>
    <row r="129" spans="1:12">
      <c r="A129" s="640"/>
      <c r="B129" s="640"/>
      <c r="C129" s="640"/>
      <c r="D129" s="640"/>
      <c r="E129" s="640"/>
      <c r="F129" s="640"/>
      <c r="G129" s="640"/>
      <c r="H129" s="640"/>
      <c r="I129" s="640"/>
      <c r="J129" s="640"/>
      <c r="K129" s="640"/>
      <c r="L129" s="640"/>
    </row>
    <row r="130" spans="1:12">
      <c r="A130" s="640"/>
      <c r="B130" s="640"/>
      <c r="C130" s="640"/>
      <c r="D130" s="640"/>
      <c r="E130" s="640"/>
      <c r="F130" s="640"/>
      <c r="G130" s="640"/>
      <c r="H130" s="640"/>
      <c r="I130" s="640"/>
      <c r="J130" s="640"/>
      <c r="K130" s="640"/>
      <c r="L130" s="640"/>
    </row>
    <row r="131" spans="1:12">
      <c r="A131" s="640"/>
      <c r="B131" s="640"/>
      <c r="C131" s="640"/>
      <c r="D131" s="640"/>
      <c r="E131" s="640"/>
      <c r="F131" s="640"/>
      <c r="G131" s="640"/>
      <c r="H131" s="640"/>
      <c r="I131" s="640"/>
      <c r="J131" s="640"/>
      <c r="K131" s="640"/>
      <c r="L131" s="640"/>
    </row>
    <row r="132" spans="1:12">
      <c r="A132" s="640"/>
      <c r="B132" s="640"/>
      <c r="C132" s="640"/>
      <c r="D132" s="640"/>
      <c r="E132" s="640"/>
      <c r="F132" s="640"/>
      <c r="G132" s="640"/>
      <c r="H132" s="640"/>
      <c r="I132" s="640"/>
      <c r="J132" s="640"/>
      <c r="K132" s="640"/>
      <c r="L132" s="640"/>
    </row>
    <row r="133" spans="1:12">
      <c r="A133" s="640"/>
      <c r="B133" s="640"/>
      <c r="C133" s="640"/>
      <c r="D133" s="640"/>
      <c r="E133" s="640"/>
      <c r="F133" s="640"/>
      <c r="G133" s="640"/>
      <c r="H133" s="640"/>
      <c r="I133" s="640"/>
      <c r="J133" s="640"/>
      <c r="K133" s="640"/>
      <c r="L133" s="640"/>
    </row>
    <row r="134" spans="1:12">
      <c r="A134" s="640"/>
      <c r="B134" s="640"/>
      <c r="C134" s="640"/>
      <c r="D134" s="640"/>
      <c r="E134" s="640"/>
      <c r="F134" s="640"/>
      <c r="G134" s="640"/>
      <c r="H134" s="640"/>
      <c r="I134" s="640"/>
      <c r="J134" s="640"/>
      <c r="K134" s="640"/>
      <c r="L134" s="640"/>
    </row>
    <row r="135" spans="1:12">
      <c r="A135" s="640"/>
      <c r="B135" s="640"/>
      <c r="C135" s="640"/>
      <c r="D135" s="640"/>
      <c r="E135" s="640"/>
      <c r="F135" s="640"/>
      <c r="G135" s="640"/>
      <c r="H135" s="640"/>
      <c r="I135" s="640"/>
      <c r="J135" s="640"/>
      <c r="K135" s="640"/>
      <c r="L135" s="640"/>
    </row>
    <row r="136" spans="1:12">
      <c r="A136" s="640"/>
      <c r="B136" s="640"/>
      <c r="C136" s="640"/>
      <c r="D136" s="640"/>
      <c r="E136" s="640"/>
      <c r="F136" s="640"/>
      <c r="G136" s="640"/>
      <c r="H136" s="640"/>
      <c r="I136" s="640"/>
      <c r="J136" s="640"/>
      <c r="K136" s="640"/>
      <c r="L136" s="640"/>
    </row>
    <row r="137" spans="1:12">
      <c r="A137" s="640"/>
      <c r="B137" s="640"/>
      <c r="C137" s="640"/>
      <c r="D137" s="640"/>
      <c r="E137" s="640"/>
      <c r="F137" s="640"/>
      <c r="G137" s="640"/>
      <c r="H137" s="640"/>
      <c r="I137" s="640"/>
      <c r="J137" s="640"/>
      <c r="K137" s="640"/>
      <c r="L137" s="640"/>
    </row>
    <row r="138" spans="1:12">
      <c r="A138" s="640"/>
      <c r="B138" s="640"/>
      <c r="C138" s="640"/>
      <c r="D138" s="640"/>
      <c r="E138" s="640"/>
      <c r="F138" s="640"/>
      <c r="G138" s="640"/>
      <c r="H138" s="640"/>
      <c r="I138" s="640"/>
      <c r="J138" s="640"/>
      <c r="K138" s="640"/>
      <c r="L138" s="640"/>
    </row>
    <row r="139" spans="1:12">
      <c r="A139" s="640"/>
      <c r="B139" s="640"/>
      <c r="C139" s="640"/>
      <c r="D139" s="640"/>
      <c r="E139" s="640"/>
      <c r="F139" s="640"/>
      <c r="G139" s="640"/>
      <c r="H139" s="640"/>
      <c r="I139" s="640"/>
      <c r="J139" s="640"/>
      <c r="K139" s="640"/>
      <c r="L139" s="640"/>
    </row>
    <row r="140" spans="1:12">
      <c r="A140" s="640"/>
      <c r="B140" s="640"/>
      <c r="C140" s="640"/>
      <c r="D140" s="640"/>
      <c r="E140" s="640"/>
      <c r="F140" s="640"/>
      <c r="G140" s="640"/>
      <c r="H140" s="640"/>
      <c r="I140" s="640"/>
      <c r="J140" s="640"/>
      <c r="K140" s="640"/>
      <c r="L140" s="640"/>
    </row>
    <row r="141" spans="1:12">
      <c r="A141" s="640"/>
      <c r="B141" s="640"/>
      <c r="C141" s="640"/>
      <c r="D141" s="640"/>
      <c r="E141" s="640"/>
      <c r="F141" s="640"/>
      <c r="G141" s="640"/>
      <c r="H141" s="640"/>
      <c r="I141" s="640"/>
      <c r="J141" s="640"/>
      <c r="K141" s="640"/>
      <c r="L141" s="640"/>
    </row>
    <row r="142" spans="1:12">
      <c r="A142" s="640"/>
      <c r="B142" s="640"/>
      <c r="C142" s="640"/>
      <c r="D142" s="640"/>
      <c r="E142" s="640"/>
      <c r="F142" s="640"/>
      <c r="G142" s="640"/>
      <c r="H142" s="640"/>
      <c r="I142" s="640"/>
      <c r="J142" s="640"/>
      <c r="K142" s="640"/>
      <c r="L142" s="640"/>
    </row>
    <row r="143" spans="1:12">
      <c r="A143" s="640"/>
      <c r="B143" s="640"/>
      <c r="C143" s="640"/>
      <c r="D143" s="640"/>
      <c r="E143" s="640"/>
      <c r="F143" s="640"/>
      <c r="G143" s="640"/>
      <c r="H143" s="640"/>
      <c r="I143" s="640"/>
      <c r="J143" s="640"/>
      <c r="K143" s="640"/>
      <c r="L143" s="640"/>
    </row>
    <row r="144" spans="1:12">
      <c r="A144" s="640"/>
      <c r="B144" s="640"/>
      <c r="C144" s="640"/>
      <c r="D144" s="640"/>
      <c r="E144" s="640"/>
      <c r="F144" s="640"/>
      <c r="G144" s="640"/>
      <c r="H144" s="640"/>
      <c r="I144" s="640"/>
      <c r="J144" s="640"/>
      <c r="K144" s="640"/>
      <c r="L144" s="640"/>
    </row>
    <row r="145" spans="1:12">
      <c r="A145" s="640"/>
      <c r="B145" s="640"/>
      <c r="C145" s="640"/>
      <c r="D145" s="640"/>
      <c r="E145" s="640"/>
      <c r="F145" s="640"/>
      <c r="G145" s="640"/>
      <c r="H145" s="640"/>
      <c r="I145" s="640"/>
      <c r="J145" s="640"/>
      <c r="K145" s="640"/>
      <c r="L145" s="640"/>
    </row>
    <row r="146" spans="1:12">
      <c r="A146" s="640"/>
      <c r="B146" s="640"/>
      <c r="C146" s="640"/>
      <c r="D146" s="640"/>
      <c r="E146" s="640"/>
      <c r="F146" s="640"/>
      <c r="G146" s="640"/>
      <c r="H146" s="640"/>
      <c r="I146" s="640"/>
      <c r="J146" s="640"/>
      <c r="K146" s="640"/>
      <c r="L146" s="640"/>
    </row>
    <row r="147" spans="1:12">
      <c r="A147" s="640"/>
      <c r="B147" s="640"/>
      <c r="C147" s="640"/>
      <c r="D147" s="640"/>
      <c r="E147" s="640"/>
      <c r="F147" s="640"/>
      <c r="G147" s="640"/>
      <c r="H147" s="640"/>
      <c r="I147" s="640"/>
      <c r="J147" s="640"/>
      <c r="K147" s="640"/>
      <c r="L147" s="640"/>
    </row>
    <row r="148" spans="1:12">
      <c r="A148" s="640"/>
      <c r="B148" s="640"/>
      <c r="C148" s="640"/>
      <c r="D148" s="640"/>
      <c r="E148" s="640"/>
      <c r="F148" s="640"/>
      <c r="G148" s="640"/>
      <c r="H148" s="640"/>
      <c r="I148" s="640"/>
      <c r="J148" s="640"/>
      <c r="K148" s="640"/>
      <c r="L148" s="640"/>
    </row>
    <row r="149" spans="1:12">
      <c r="A149" s="640"/>
      <c r="B149" s="640"/>
      <c r="C149" s="640"/>
      <c r="D149" s="640"/>
      <c r="E149" s="640"/>
      <c r="F149" s="640"/>
      <c r="G149" s="640"/>
      <c r="H149" s="640"/>
      <c r="I149" s="640"/>
      <c r="J149" s="640"/>
      <c r="K149" s="640"/>
      <c r="L149" s="640"/>
    </row>
    <row r="150" spans="1:12">
      <c r="A150" s="640"/>
      <c r="B150" s="640"/>
      <c r="C150" s="640"/>
      <c r="D150" s="640"/>
      <c r="E150" s="640"/>
      <c r="F150" s="640"/>
      <c r="G150" s="640"/>
      <c r="H150" s="640"/>
      <c r="I150" s="640"/>
      <c r="J150" s="640"/>
      <c r="K150" s="640"/>
      <c r="L150" s="640"/>
    </row>
    <row r="151" spans="1:12">
      <c r="A151" s="640"/>
      <c r="B151" s="640"/>
      <c r="C151" s="640"/>
      <c r="D151" s="640"/>
      <c r="E151" s="640"/>
      <c r="F151" s="640"/>
      <c r="G151" s="640"/>
      <c r="H151" s="640"/>
      <c r="I151" s="640"/>
      <c r="J151" s="640"/>
      <c r="K151" s="640"/>
      <c r="L151" s="640"/>
    </row>
    <row r="152" spans="1:12">
      <c r="A152" s="640"/>
      <c r="B152" s="640"/>
      <c r="C152" s="640"/>
      <c r="D152" s="640"/>
      <c r="E152" s="640"/>
      <c r="F152" s="640"/>
      <c r="G152" s="640"/>
      <c r="H152" s="640"/>
      <c r="I152" s="640"/>
      <c r="J152" s="640"/>
      <c r="K152" s="640"/>
      <c r="L152" s="640"/>
    </row>
    <row r="153" spans="1:12">
      <c r="A153" s="640"/>
      <c r="B153" s="640"/>
      <c r="C153" s="640"/>
      <c r="D153" s="640"/>
      <c r="E153" s="640"/>
      <c r="F153" s="640"/>
      <c r="G153" s="640"/>
      <c r="H153" s="640"/>
      <c r="I153" s="640"/>
      <c r="J153" s="640"/>
      <c r="K153" s="640"/>
      <c r="L153" s="640"/>
    </row>
    <row r="154" spans="1:12">
      <c r="A154" s="640"/>
      <c r="B154" s="640"/>
      <c r="C154" s="640"/>
      <c r="D154" s="640"/>
      <c r="E154" s="640"/>
      <c r="F154" s="640"/>
      <c r="G154" s="640"/>
      <c r="H154" s="640"/>
      <c r="I154" s="640"/>
      <c r="J154" s="640"/>
      <c r="K154" s="640"/>
      <c r="L154" s="640"/>
    </row>
    <row r="155" spans="1:12">
      <c r="A155" s="640"/>
      <c r="B155" s="640"/>
      <c r="C155" s="640"/>
      <c r="D155" s="640"/>
      <c r="E155" s="640"/>
      <c r="F155" s="640"/>
      <c r="G155" s="640"/>
      <c r="H155" s="640"/>
      <c r="I155" s="640"/>
      <c r="J155" s="640"/>
      <c r="K155" s="640"/>
      <c r="L155" s="640"/>
    </row>
    <row r="156" spans="1:12">
      <c r="A156" s="640"/>
      <c r="B156" s="640"/>
      <c r="C156" s="640"/>
      <c r="D156" s="640"/>
      <c r="E156" s="640"/>
      <c r="F156" s="640"/>
      <c r="G156" s="640"/>
      <c r="H156" s="640"/>
      <c r="I156" s="640"/>
      <c r="J156" s="640"/>
      <c r="K156" s="640"/>
      <c r="L156" s="640"/>
    </row>
  </sheetData>
  <sheetProtection selectLockedCells="1" selectUnlockedCells="1"/>
  <mergeCells count="55">
    <mergeCell ref="K8:L8"/>
    <mergeCell ref="M8:O8"/>
    <mergeCell ref="A1:L1"/>
    <mergeCell ref="A3:B3"/>
    <mergeCell ref="C3:F3"/>
    <mergeCell ref="K3:L3"/>
    <mergeCell ref="A4:B4"/>
    <mergeCell ref="C4:F4"/>
    <mergeCell ref="K4:L4"/>
    <mergeCell ref="A5:L5"/>
    <mergeCell ref="A6:A7"/>
    <mergeCell ref="B6:B7"/>
    <mergeCell ref="C6:C7"/>
    <mergeCell ref="D6:D7"/>
    <mergeCell ref="E6:E7"/>
    <mergeCell ref="F6:F7"/>
    <mergeCell ref="G6:G7"/>
    <mergeCell ref="H6:H7"/>
    <mergeCell ref="I6:I7"/>
    <mergeCell ref="J6:J7"/>
    <mergeCell ref="K6:L7"/>
    <mergeCell ref="K9:L9"/>
    <mergeCell ref="K11:L11"/>
    <mergeCell ref="K12:L12"/>
    <mergeCell ref="M12:O12"/>
    <mergeCell ref="K13:L13"/>
    <mergeCell ref="M13:T23"/>
    <mergeCell ref="K14:L14"/>
    <mergeCell ref="K15:L15"/>
    <mergeCell ref="K16:L16"/>
    <mergeCell ref="K17:L17"/>
    <mergeCell ref="K10:L10"/>
    <mergeCell ref="M10:O10"/>
    <mergeCell ref="A18:C18"/>
    <mergeCell ref="K18:L18"/>
    <mergeCell ref="A19:J19"/>
    <mergeCell ref="K19:L19"/>
    <mergeCell ref="A20:B20"/>
    <mergeCell ref="D20:F20"/>
    <mergeCell ref="G20:I20"/>
    <mergeCell ref="K20:L20"/>
    <mergeCell ref="A21:B21"/>
    <mergeCell ref="D21:F21"/>
    <mergeCell ref="G21:I21"/>
    <mergeCell ref="K21:L21"/>
    <mergeCell ref="A22:C22"/>
    <mergeCell ref="D22:J22"/>
    <mergeCell ref="K22:L22"/>
    <mergeCell ref="A23:C25"/>
    <mergeCell ref="E23:L23"/>
    <mergeCell ref="D24:L25"/>
    <mergeCell ref="M24:T25"/>
    <mergeCell ref="A26:C28"/>
    <mergeCell ref="D26:L28"/>
    <mergeCell ref="M26:T30"/>
  </mergeCells>
  <phoneticPr fontId="135" type="noConversion"/>
  <dataValidations count="2">
    <dataValidation allowBlank="1" showErrorMessage="1" promptTitle="存在调整事项时" prompt="_x000a_选择 “E”" sqref="E23:L23">
      <formula1>0</formula1>
      <formula2>0</formula2>
    </dataValidation>
    <dataValidation allowBlank="1" showErrorMessage="1" sqref="D26:L28">
      <formula1>0</formula1>
      <formula2>0</formula2>
    </dataValidation>
  </dataValidations>
  <hyperlinks>
    <hyperlink ref="M8" location="纳税调整明细表!C34" display="纳税调整明细表!C34"/>
    <hyperlink ref="M10" location="财务费用!A1" display="财务费用审核表"/>
    <hyperlink ref="M12" location="实收公积!A1" display="实收公积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Q29"/>
  <sheetViews>
    <sheetView workbookViewId="0">
      <selection sqref="A1:J1"/>
    </sheetView>
  </sheetViews>
  <sheetFormatPr defaultColWidth="9" defaultRowHeight="16.5"/>
  <cols>
    <col min="1" max="1" width="10.625" style="565" customWidth="1"/>
    <col min="2" max="2" width="9.625" style="565" customWidth="1"/>
    <col min="3" max="3" width="11.375" style="565" customWidth="1"/>
    <col min="4" max="6" width="12.625" style="565" customWidth="1"/>
    <col min="7" max="8" width="12.25" style="565" customWidth="1"/>
    <col min="9" max="10" width="12.625" style="565" customWidth="1"/>
    <col min="11" max="16384" width="9" style="565"/>
  </cols>
  <sheetData>
    <row r="1" spans="1:17" ht="22.5">
      <c r="A1" s="2682" t="s">
        <v>4637</v>
      </c>
      <c r="B1" s="2682"/>
      <c r="C1" s="2682"/>
      <c r="D1" s="2682"/>
      <c r="E1" s="2682"/>
      <c r="F1" s="2682"/>
      <c r="G1" s="2682"/>
      <c r="H1" s="2682"/>
      <c r="I1" s="2682"/>
      <c r="J1" s="2682"/>
      <c r="K1" s="564"/>
      <c r="L1" s="564"/>
      <c r="M1" s="564"/>
      <c r="N1" s="564"/>
      <c r="O1" s="564"/>
      <c r="P1" s="564"/>
      <c r="Q1" s="564"/>
    </row>
    <row r="2" spans="1:17" ht="7.5" customHeight="1">
      <c r="A2" s="645"/>
      <c r="B2" s="645"/>
      <c r="C2" s="645"/>
      <c r="D2" s="645"/>
      <c r="E2" s="645"/>
      <c r="F2" s="645"/>
      <c r="G2" s="645"/>
      <c r="H2" s="645"/>
      <c r="I2" s="645"/>
      <c r="J2" s="645"/>
      <c r="K2" s="564"/>
      <c r="L2" s="564"/>
      <c r="M2" s="564"/>
      <c r="N2" s="564"/>
      <c r="O2" s="564"/>
      <c r="P2" s="564"/>
      <c r="Q2" s="564"/>
    </row>
    <row r="3" spans="1:17" s="1046" customFormat="1" ht="24" customHeight="1">
      <c r="A3" s="627" t="s">
        <v>4510</v>
      </c>
      <c r="B3" s="2663" t="str">
        <f>基本情况!$C$3</f>
        <v/>
      </c>
      <c r="C3" s="2663"/>
      <c r="D3" s="2663"/>
      <c r="E3" s="571" t="s">
        <v>4407</v>
      </c>
      <c r="F3" s="1461" t="str">
        <f>基本情况!$F$19&amp;""</f>
        <v/>
      </c>
      <c r="G3" s="571" t="s">
        <v>4575</v>
      </c>
      <c r="H3" s="1416" t="str">
        <f>TEXT(基本情况!$F$27,"yyyy-mm-dd")</f>
        <v>2018-03-16</v>
      </c>
      <c r="I3" s="2927" t="s">
        <v>4409</v>
      </c>
      <c r="J3" s="3489" t="str">
        <f>开始!J23</f>
        <v>GL-21</v>
      </c>
      <c r="K3" s="1047"/>
      <c r="L3" s="1047"/>
      <c r="M3" s="1047"/>
      <c r="N3" s="1047"/>
      <c r="O3" s="1047"/>
      <c r="P3" s="1047"/>
      <c r="Q3" s="1047"/>
    </row>
    <row r="4" spans="1:17" s="1046" customFormat="1" ht="24" customHeight="1">
      <c r="A4" s="715" t="s">
        <v>4512</v>
      </c>
      <c r="B4" s="2665" t="str">
        <f>基本情况!$F$9</f>
        <v>2017年01月01日至2017年12月31日</v>
      </c>
      <c r="C4" s="2665"/>
      <c r="D4" s="2665"/>
      <c r="E4" s="566" t="s">
        <v>4410</v>
      </c>
      <c r="F4" s="567" t="str">
        <f>基本情况!$F$18&amp;""</f>
        <v/>
      </c>
      <c r="G4" s="566" t="s">
        <v>4575</v>
      </c>
      <c r="H4" s="567" t="str">
        <f>TEXT(基本情况!$F$28,"yyyy-mm-dd")</f>
        <v>2018-05-04</v>
      </c>
      <c r="I4" s="2927"/>
      <c r="J4" s="3489"/>
      <c r="K4" s="1047"/>
      <c r="L4" s="1047"/>
      <c r="M4" s="1047"/>
      <c r="N4" s="1047"/>
      <c r="O4" s="1047"/>
      <c r="P4" s="1047"/>
      <c r="Q4" s="1047"/>
    </row>
    <row r="5" spans="1:17" s="1046" customFormat="1" ht="7.5" customHeight="1">
      <c r="A5" s="2661"/>
      <c r="B5" s="2661"/>
      <c r="C5" s="2661"/>
      <c r="D5" s="2661"/>
      <c r="E5" s="2661"/>
      <c r="F5" s="2661"/>
      <c r="G5" s="2661"/>
      <c r="H5" s="2661"/>
      <c r="I5" s="2661"/>
      <c r="J5" s="2661"/>
      <c r="K5" s="1047"/>
      <c r="L5" s="1047"/>
      <c r="M5" s="1047"/>
      <c r="N5" s="1047"/>
      <c r="O5" s="1047"/>
      <c r="P5" s="1047"/>
      <c r="Q5" s="1047"/>
    </row>
    <row r="6" spans="1:17" s="1046" customFormat="1" ht="19.5" customHeight="1">
      <c r="A6" s="2917" t="s">
        <v>313</v>
      </c>
      <c r="B6" s="2917"/>
      <c r="C6" s="2917"/>
      <c r="D6" s="2927" t="s">
        <v>757</v>
      </c>
      <c r="E6" s="3488" t="s">
        <v>5104</v>
      </c>
      <c r="F6" s="3488"/>
      <c r="G6" s="3488"/>
      <c r="H6" s="3488"/>
      <c r="I6" s="3488"/>
      <c r="J6" s="3488"/>
      <c r="K6" s="564" t="s">
        <v>1724</v>
      </c>
      <c r="L6" s="1047"/>
      <c r="M6" s="1047"/>
      <c r="N6" s="1047"/>
      <c r="O6" s="1047"/>
      <c r="P6" s="1047"/>
      <c r="Q6" s="1047"/>
    </row>
    <row r="7" spans="1:17" s="1046" customFormat="1" ht="19.5" customHeight="1">
      <c r="A7" s="2917"/>
      <c r="B7" s="2917"/>
      <c r="C7" s="2917"/>
      <c r="D7" s="2927"/>
      <c r="E7" s="566" t="s">
        <v>5286</v>
      </c>
      <c r="F7" s="1462"/>
      <c r="G7" s="1462"/>
      <c r="H7" s="1462"/>
      <c r="I7" s="1463"/>
      <c r="J7" s="1464"/>
      <c r="K7" s="1047"/>
      <c r="L7" s="1047"/>
      <c r="M7" s="1047"/>
      <c r="N7" s="1047"/>
      <c r="O7" s="1047"/>
      <c r="P7" s="1047"/>
      <c r="Q7" s="1047"/>
    </row>
    <row r="8" spans="1:17" s="1046" customFormat="1" ht="18" customHeight="1">
      <c r="A8" s="3239" t="s">
        <v>5287</v>
      </c>
      <c r="B8" s="2664" t="s">
        <v>5288</v>
      </c>
      <c r="C8" s="2664"/>
      <c r="D8" s="1419">
        <f>SUM(E8:J8)</f>
        <v>0</v>
      </c>
      <c r="E8" s="1465"/>
      <c r="F8" s="1465"/>
      <c r="G8" s="1465"/>
      <c r="H8" s="1465"/>
      <c r="I8" s="1466"/>
      <c r="J8" s="1467"/>
      <c r="K8" s="3309" t="s">
        <v>5289</v>
      </c>
      <c r="L8" s="3309"/>
      <c r="M8" s="3309"/>
      <c r="N8" s="1047"/>
      <c r="O8" s="1047"/>
      <c r="P8" s="1047"/>
      <c r="Q8" s="1047"/>
    </row>
    <row r="9" spans="1:17" s="1046" customFormat="1" ht="18" customHeight="1">
      <c r="A9" s="3239"/>
      <c r="B9" s="2660" t="s">
        <v>5290</v>
      </c>
      <c r="C9" s="2660"/>
      <c r="D9" s="721">
        <f>SUM(E9:J9)</f>
        <v>0</v>
      </c>
      <c r="E9" s="1202"/>
      <c r="F9" s="1202"/>
      <c r="G9" s="1202"/>
      <c r="H9" s="1202"/>
      <c r="I9" s="1468"/>
      <c r="J9" s="1469"/>
      <c r="K9" s="3309" t="s">
        <v>4552</v>
      </c>
      <c r="L9" s="3309"/>
      <c r="M9" s="3309"/>
      <c r="N9" s="1047"/>
      <c r="O9" s="1047"/>
      <c r="P9" s="1047"/>
      <c r="Q9" s="1047"/>
    </row>
    <row r="10" spans="1:17" s="1046" customFormat="1" ht="18" customHeight="1">
      <c r="A10" s="3239"/>
      <c r="B10" s="2660" t="s">
        <v>5291</v>
      </c>
      <c r="C10" s="2660"/>
      <c r="D10" s="1470" t="s">
        <v>133</v>
      </c>
      <c r="E10" s="1471"/>
      <c r="F10" s="1471"/>
      <c r="G10" s="1471"/>
      <c r="H10" s="1471"/>
      <c r="I10" s="1472"/>
      <c r="J10" s="1473"/>
      <c r="K10" s="3309" t="s">
        <v>4636</v>
      </c>
      <c r="L10" s="3309"/>
      <c r="M10" s="3309"/>
      <c r="N10" s="1047"/>
      <c r="O10" s="1047"/>
      <c r="P10" s="1047"/>
      <c r="Q10" s="1047"/>
    </row>
    <row r="11" spans="1:17" s="1046" customFormat="1" ht="18" customHeight="1">
      <c r="A11" s="3239"/>
      <c r="B11" s="2660" t="s">
        <v>5292</v>
      </c>
      <c r="C11" s="2660"/>
      <c r="D11" s="721">
        <f>SUM(E11:J11)</f>
        <v>0</v>
      </c>
      <c r="E11" s="1202"/>
      <c r="F11" s="1202"/>
      <c r="G11" s="1202"/>
      <c r="H11" s="1202"/>
      <c r="I11" s="1468"/>
      <c r="J11" s="1469"/>
      <c r="K11" s="3336" t="s">
        <v>5293</v>
      </c>
      <c r="L11" s="3336"/>
      <c r="M11" s="3336"/>
      <c r="N11" s="3336"/>
      <c r="O11" s="3336"/>
      <c r="P11" s="3336"/>
      <c r="Q11" s="3336"/>
    </row>
    <row r="12" spans="1:17" s="1046" customFormat="1" ht="18" customHeight="1">
      <c r="A12" s="3239"/>
      <c r="B12" s="2660" t="s">
        <v>5294</v>
      </c>
      <c r="C12" s="2660"/>
      <c r="D12" s="721">
        <f t="shared" ref="D12:D18" si="0">SUM(E12:J12)</f>
        <v>0</v>
      </c>
      <c r="E12" s="1202"/>
      <c r="F12" s="1202"/>
      <c r="G12" s="1202"/>
      <c r="H12" s="1202"/>
      <c r="I12" s="1468"/>
      <c r="J12" s="1469"/>
      <c r="K12" s="3336"/>
      <c r="L12" s="3336"/>
      <c r="M12" s="3336"/>
      <c r="N12" s="3336"/>
      <c r="O12" s="3336"/>
      <c r="P12" s="3336"/>
      <c r="Q12" s="3336"/>
    </row>
    <row r="13" spans="1:17" s="1046" customFormat="1" ht="18" customHeight="1">
      <c r="A13" s="3239"/>
      <c r="B13" s="2660" t="s">
        <v>5295</v>
      </c>
      <c r="C13" s="2660"/>
      <c r="D13" s="721">
        <f t="shared" si="0"/>
        <v>0</v>
      </c>
      <c r="E13" s="1202"/>
      <c r="F13" s="1202"/>
      <c r="G13" s="1202"/>
      <c r="H13" s="1202"/>
      <c r="I13" s="1468"/>
      <c r="J13" s="1469"/>
      <c r="K13" s="3336"/>
      <c r="L13" s="3336"/>
      <c r="M13" s="3336"/>
      <c r="N13" s="3336"/>
      <c r="O13" s="3336"/>
      <c r="P13" s="3336"/>
      <c r="Q13" s="3336"/>
    </row>
    <row r="14" spans="1:17" s="1046" customFormat="1" ht="18" customHeight="1">
      <c r="A14" s="3239"/>
      <c r="B14" s="2660" t="s">
        <v>5296</v>
      </c>
      <c r="C14" s="2660"/>
      <c r="D14" s="721">
        <f t="shared" si="0"/>
        <v>0</v>
      </c>
      <c r="E14" s="2365">
        <f t="shared" ref="E14:J14" si="1">E13-E11</f>
        <v>0</v>
      </c>
      <c r="F14" s="2365">
        <f t="shared" si="1"/>
        <v>0</v>
      </c>
      <c r="G14" s="2365">
        <f t="shared" si="1"/>
        <v>0</v>
      </c>
      <c r="H14" s="2365">
        <f t="shared" si="1"/>
        <v>0</v>
      </c>
      <c r="I14" s="2365">
        <f t="shared" si="1"/>
        <v>0</v>
      </c>
      <c r="J14" s="2365">
        <f t="shared" si="1"/>
        <v>0</v>
      </c>
      <c r="K14" s="3336"/>
      <c r="L14" s="3336"/>
      <c r="M14" s="3336"/>
      <c r="N14" s="3336"/>
      <c r="O14" s="3336"/>
      <c r="P14" s="3336"/>
      <c r="Q14" s="3336"/>
    </row>
    <row r="15" spans="1:17" s="1046" customFormat="1" ht="18" customHeight="1">
      <c r="A15" s="3239"/>
      <c r="B15" s="2660" t="s">
        <v>5131</v>
      </c>
      <c r="C15" s="2660"/>
      <c r="D15" s="1470" t="s">
        <v>133</v>
      </c>
      <c r="E15" s="1471"/>
      <c r="F15" s="1471"/>
      <c r="G15" s="1471"/>
      <c r="H15" s="1471"/>
      <c r="I15" s="1472"/>
      <c r="J15" s="1473"/>
      <c r="K15" s="1047"/>
      <c r="L15" s="1047"/>
      <c r="M15" s="1047"/>
      <c r="N15" s="1047"/>
      <c r="O15" s="1047"/>
      <c r="P15" s="1047"/>
      <c r="Q15" s="1047"/>
    </row>
    <row r="16" spans="1:17" s="1046" customFormat="1" ht="18" customHeight="1">
      <c r="A16" s="3239"/>
      <c r="B16" s="2666" t="s">
        <v>5297</v>
      </c>
      <c r="C16" s="2666"/>
      <c r="D16" s="648">
        <f t="shared" si="0"/>
        <v>0</v>
      </c>
      <c r="E16" s="1284"/>
      <c r="F16" s="1284"/>
      <c r="G16" s="1284"/>
      <c r="H16" s="1284"/>
      <c r="I16" s="1474"/>
      <c r="J16" s="1475"/>
      <c r="K16" s="1047"/>
      <c r="L16" s="1047"/>
      <c r="M16" s="1047"/>
      <c r="N16" s="1047"/>
      <c r="O16" s="1047"/>
      <c r="P16" s="1047"/>
      <c r="Q16" s="1047"/>
    </row>
    <row r="17" spans="1:17" s="1046" customFormat="1" ht="18" customHeight="1">
      <c r="A17" s="3483" t="s">
        <v>5298</v>
      </c>
      <c r="B17" s="2664" t="s">
        <v>5288</v>
      </c>
      <c r="C17" s="2664"/>
      <c r="D17" s="1419">
        <f t="shared" si="0"/>
        <v>0</v>
      </c>
      <c r="E17" s="1465"/>
      <c r="F17" s="1465"/>
      <c r="G17" s="1465"/>
      <c r="H17" s="1465"/>
      <c r="I17" s="1466"/>
      <c r="J17" s="1467"/>
      <c r="K17" s="1047"/>
      <c r="L17" s="1047"/>
      <c r="M17" s="1047"/>
      <c r="N17" s="1047"/>
      <c r="O17" s="1047"/>
      <c r="P17" s="1047"/>
      <c r="Q17" s="1047"/>
    </row>
    <row r="18" spans="1:17" s="1046" customFormat="1" ht="18" customHeight="1">
      <c r="A18" s="3483"/>
      <c r="B18" s="2666" t="s">
        <v>5299</v>
      </c>
      <c r="C18" s="2666"/>
      <c r="D18" s="648">
        <f t="shared" si="0"/>
        <v>0</v>
      </c>
      <c r="E18" s="1284"/>
      <c r="F18" s="1284"/>
      <c r="G18" s="1284"/>
      <c r="H18" s="1284"/>
      <c r="I18" s="1474"/>
      <c r="J18" s="1475"/>
      <c r="K18" s="1047"/>
      <c r="L18" s="1047"/>
      <c r="M18" s="1047"/>
      <c r="N18" s="1047"/>
      <c r="O18" s="1047"/>
      <c r="P18" s="1047"/>
      <c r="Q18" s="1047"/>
    </row>
    <row r="19" spans="1:17" s="1046" customFormat="1" ht="19.5" customHeight="1">
      <c r="A19" s="3446" t="s">
        <v>5300</v>
      </c>
      <c r="B19" s="3446"/>
      <c r="C19" s="3446"/>
      <c r="D19" s="3446"/>
      <c r="E19" s="3446"/>
      <c r="F19" s="3446"/>
      <c r="G19" s="3446"/>
      <c r="H19" s="3446"/>
      <c r="I19" s="3446"/>
      <c r="J19" s="3446"/>
      <c r="K19" s="1047"/>
      <c r="L19" s="1047"/>
      <c r="M19" s="1047"/>
      <c r="N19" s="1047"/>
      <c r="O19" s="1047"/>
      <c r="P19" s="1047"/>
      <c r="Q19" s="1047"/>
    </row>
    <row r="20" spans="1:17" s="1046" customFormat="1" ht="18" customHeight="1">
      <c r="A20" s="1030" t="s">
        <v>5131</v>
      </c>
      <c r="B20" s="2660" t="s">
        <v>5133</v>
      </c>
      <c r="C20" s="2660"/>
      <c r="D20" s="2660" t="s">
        <v>345</v>
      </c>
      <c r="E20" s="2660"/>
      <c r="F20" s="2660" t="s">
        <v>5132</v>
      </c>
      <c r="G20" s="2660"/>
      <c r="H20" s="616" t="s">
        <v>5134</v>
      </c>
      <c r="I20" s="3487" t="s">
        <v>757</v>
      </c>
      <c r="J20" s="3487"/>
      <c r="K20" s="1047"/>
      <c r="L20" s="1047"/>
      <c r="M20" s="1047"/>
      <c r="N20" s="1047"/>
      <c r="O20" s="1047"/>
      <c r="P20" s="1047"/>
      <c r="Q20" s="1047"/>
    </row>
    <row r="21" spans="1:17" s="1046" customFormat="1" ht="18" customHeight="1">
      <c r="A21" s="1398" t="s">
        <v>4378</v>
      </c>
      <c r="B21" s="3484">
        <f>销售费用!H21</f>
        <v>0</v>
      </c>
      <c r="C21" s="3484"/>
      <c r="D21" s="3484">
        <f>管理费用!H21</f>
        <v>0</v>
      </c>
      <c r="E21" s="3484"/>
      <c r="F21" s="3485"/>
      <c r="G21" s="3485"/>
      <c r="H21" s="1207"/>
      <c r="I21" s="3486">
        <f>SUM(B21:H21)</f>
        <v>0</v>
      </c>
      <c r="J21" s="3486"/>
      <c r="K21" s="1047"/>
      <c r="L21" s="1047"/>
      <c r="M21" s="1047"/>
      <c r="N21" s="1047"/>
      <c r="O21" s="1047"/>
      <c r="P21" s="1047"/>
      <c r="Q21" s="1047"/>
    </row>
    <row r="22" spans="1:17" s="1046" customFormat="1" ht="19.5" customHeight="1">
      <c r="A22" s="2917" t="s">
        <v>4430</v>
      </c>
      <c r="B22" s="2917"/>
      <c r="C22" s="2917"/>
      <c r="D22" s="3102" t="str">
        <f>IF(I21&lt;&gt;D8+D17,"原始凭证检查金额与账载数不符，请检查！","原始凭证检查金额与账载数相符！")</f>
        <v>原始凭证检查金额与账载数相符！</v>
      </c>
      <c r="E22" s="3102"/>
      <c r="F22" s="3102"/>
      <c r="G22" s="3102"/>
      <c r="H22" s="3102"/>
      <c r="I22" s="3102"/>
      <c r="J22" s="3102"/>
      <c r="K22" s="1047"/>
      <c r="L22" s="1047"/>
      <c r="M22" s="1047"/>
      <c r="N22" s="1047"/>
      <c r="O22" s="1047"/>
      <c r="P22" s="1047"/>
      <c r="Q22" s="1047"/>
    </row>
    <row r="23" spans="1:17" s="1046" customFormat="1" ht="15" customHeight="1">
      <c r="A23" s="3240" t="s">
        <v>4431</v>
      </c>
      <c r="B23" s="3240"/>
      <c r="C23" s="3240"/>
      <c r="D23" s="3365" t="s">
        <v>5301</v>
      </c>
      <c r="E23" s="3365"/>
      <c r="F23" s="3072" t="str">
        <f>IF(OR(D14&lt;&gt;0,D18&lt;&gt;0),"、E","")</f>
        <v/>
      </c>
      <c r="G23" s="3072"/>
      <c r="H23" s="3072"/>
      <c r="I23" s="3072"/>
      <c r="J23" s="3072"/>
      <c r="K23" s="1047"/>
      <c r="L23" s="1047"/>
      <c r="M23" s="1047"/>
      <c r="N23" s="1047"/>
      <c r="O23" s="1047"/>
      <c r="P23" s="1047"/>
      <c r="Q23" s="1047"/>
    </row>
    <row r="24" spans="1:17" s="1046" customFormat="1" ht="22.5" customHeight="1">
      <c r="A24" s="3240"/>
      <c r="B24" s="3240"/>
      <c r="C24" s="3240"/>
      <c r="D24" s="3482"/>
      <c r="E24" s="3482"/>
      <c r="F24" s="3482"/>
      <c r="G24" s="3482"/>
      <c r="H24" s="3482"/>
      <c r="I24" s="3482"/>
      <c r="J24" s="3482"/>
      <c r="K24" s="1047"/>
      <c r="L24" s="1047"/>
      <c r="M24" s="1047"/>
      <c r="N24" s="1047"/>
      <c r="O24" s="1047"/>
      <c r="P24" s="1047"/>
      <c r="Q24" s="1047"/>
    </row>
    <row r="25" spans="1:17" s="1046" customFormat="1" ht="25.5" customHeight="1">
      <c r="A25" s="3240"/>
      <c r="B25" s="3240"/>
      <c r="C25" s="3240"/>
      <c r="D25" s="3482"/>
      <c r="E25" s="3482"/>
      <c r="F25" s="3482"/>
      <c r="G25" s="3482"/>
      <c r="H25" s="3482"/>
      <c r="I25" s="3482"/>
      <c r="J25" s="3482"/>
      <c r="K25" s="1047"/>
      <c r="L25" s="1047"/>
      <c r="M25" s="1047"/>
      <c r="N25" s="1047"/>
      <c r="O25" s="1047"/>
      <c r="P25" s="1047"/>
      <c r="Q25" s="1047"/>
    </row>
    <row r="26" spans="1:17" s="1046" customFormat="1" ht="18.75" customHeight="1">
      <c r="A26" s="2658" t="s">
        <v>4433</v>
      </c>
      <c r="B26" s="2658"/>
      <c r="C26" s="2658"/>
      <c r="D26" s="3480" t="str">
        <f>IF(D14&lt;&gt;0,"实际列支经营租赁租金大于税法允许列支的金额,应予纳税调整增加"&amp;DOLLAR(D14,2)&amp;"元！","不存在经营租赁租金调整事项，认可！")</f>
        <v>不存在经营租赁租金调整事项，认可！</v>
      </c>
      <c r="E26" s="3480"/>
      <c r="F26" s="3480"/>
      <c r="G26" s="3480"/>
      <c r="H26" s="3480"/>
      <c r="I26" s="3480"/>
      <c r="J26" s="3480"/>
      <c r="K26" s="1047"/>
      <c r="L26" s="1047"/>
      <c r="M26" s="1047"/>
      <c r="N26" s="1047"/>
      <c r="O26" s="1047"/>
      <c r="P26" s="1047"/>
      <c r="Q26" s="1047"/>
    </row>
    <row r="27" spans="1:17" s="1046" customFormat="1" ht="12.75" hidden="1" customHeight="1">
      <c r="A27" s="2658"/>
      <c r="B27" s="2658"/>
      <c r="C27" s="2658"/>
      <c r="D27" s="1476"/>
      <c r="E27" s="1477"/>
      <c r="F27" s="1477"/>
      <c r="G27" s="1477"/>
      <c r="H27" s="1477"/>
      <c r="I27" s="1477"/>
      <c r="J27" s="1478"/>
      <c r="K27" s="1047"/>
      <c r="L27" s="1047"/>
      <c r="M27" s="1047"/>
      <c r="N27" s="1047"/>
      <c r="O27" s="1047"/>
      <c r="P27" s="1047"/>
      <c r="Q27" s="1047"/>
    </row>
    <row r="28" spans="1:17" s="1046" customFormat="1" ht="18.75" customHeight="1">
      <c r="A28" s="2658"/>
      <c r="B28" s="2658"/>
      <c r="C28" s="2658"/>
      <c r="D28" s="3481" t="str">
        <f>IF(D18&lt;&gt;0,"实际列支融资租赁租金大于税法允许列支的限额,应予纳税调整增加"&amp;DOLLAR(D18,2)&amp;"元！","不存在融资租赁租金调整事项，认可！")</f>
        <v>不存在融资租赁租金调整事项，认可！</v>
      </c>
      <c r="E28" s="3481"/>
      <c r="F28" s="3481"/>
      <c r="G28" s="3481"/>
      <c r="H28" s="3481"/>
      <c r="I28" s="3481"/>
      <c r="J28" s="3481"/>
      <c r="K28" s="1047"/>
      <c r="L28" s="1047"/>
      <c r="M28" s="1047"/>
      <c r="N28" s="1047"/>
      <c r="O28" s="1047"/>
      <c r="P28" s="1047"/>
      <c r="Q28" s="1047"/>
    </row>
    <row r="29" spans="1:17">
      <c r="A29" s="640"/>
      <c r="B29" s="640"/>
      <c r="C29" s="640"/>
      <c r="D29" s="640"/>
      <c r="E29" s="640"/>
      <c r="F29" s="640"/>
      <c r="G29" s="640"/>
      <c r="H29" s="640"/>
    </row>
  </sheetData>
  <sheetProtection selectLockedCells="1" selectUnlockedCells="1"/>
  <mergeCells count="44">
    <mergeCell ref="A5:J5"/>
    <mergeCell ref="A1:J1"/>
    <mergeCell ref="B3:D3"/>
    <mergeCell ref="I3:I4"/>
    <mergeCell ref="J3:J4"/>
    <mergeCell ref="B4:D4"/>
    <mergeCell ref="K8:M8"/>
    <mergeCell ref="B9:C9"/>
    <mergeCell ref="K9:M9"/>
    <mergeCell ref="B10:C10"/>
    <mergeCell ref="K10:M10"/>
    <mergeCell ref="A6:C7"/>
    <mergeCell ref="D6:D7"/>
    <mergeCell ref="E6:J6"/>
    <mergeCell ref="A8:A16"/>
    <mergeCell ref="B8:C8"/>
    <mergeCell ref="B11:C11"/>
    <mergeCell ref="B16:C16"/>
    <mergeCell ref="K11:Q14"/>
    <mergeCell ref="B12:C12"/>
    <mergeCell ref="B13:C13"/>
    <mergeCell ref="B14:C14"/>
    <mergeCell ref="B15:C15"/>
    <mergeCell ref="A17:A18"/>
    <mergeCell ref="B17:C17"/>
    <mergeCell ref="B18:C18"/>
    <mergeCell ref="A19:J19"/>
    <mergeCell ref="B21:C21"/>
    <mergeCell ref="D21:E21"/>
    <mergeCell ref="F21:G21"/>
    <mergeCell ref="I21:J21"/>
    <mergeCell ref="B20:C20"/>
    <mergeCell ref="D20:E20"/>
    <mergeCell ref="F20:G20"/>
    <mergeCell ref="I20:J20"/>
    <mergeCell ref="A26:C28"/>
    <mergeCell ref="D26:J26"/>
    <mergeCell ref="D28:J28"/>
    <mergeCell ref="A22:C22"/>
    <mergeCell ref="D22:J22"/>
    <mergeCell ref="A23:C25"/>
    <mergeCell ref="D23:E23"/>
    <mergeCell ref="F23:J23"/>
    <mergeCell ref="D24:J25"/>
  </mergeCells>
  <phoneticPr fontId="135" type="noConversion"/>
  <dataValidations count="2">
    <dataValidation allowBlank="1" showErrorMessage="1" promptTitle="存在调整事项时" prompt="_x000a_选择 “E”" sqref="F23:J23">
      <formula1>0</formula1>
      <formula2>0</formula2>
    </dataValidation>
    <dataValidation allowBlank="1" showErrorMessage="1" sqref="F3 D26">
      <formula1>0</formula1>
      <formula2>0</formula2>
    </dataValidation>
  </dataValidations>
  <hyperlinks>
    <hyperlink ref="K8" location="纳税调整明细表!G45" display="纳税调整明细表!G45"/>
    <hyperlink ref="K9" location="管理费用!A1" display="管理费用审核表"/>
    <hyperlink ref="K10" location="营业费用!A1" display="营业费用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9">
    <pageSetUpPr fitToPage="1"/>
  </sheetPr>
  <dimension ref="A1:K95"/>
  <sheetViews>
    <sheetView topLeftCell="D4" workbookViewId="0">
      <selection activeCell="H10" sqref="H10"/>
    </sheetView>
  </sheetViews>
  <sheetFormatPr defaultRowHeight="16.5"/>
  <cols>
    <col min="1" max="1" width="5.75" customWidth="1"/>
    <col min="2" max="2" width="7.375" style="493" bestFit="1" customWidth="1"/>
    <col min="3" max="3" width="46.875" style="1850" bestFit="1" customWidth="1"/>
    <col min="4" max="5" width="8.75" customWidth="1"/>
    <col min="6" max="9" width="15.625" style="2093" customWidth="1"/>
  </cols>
  <sheetData>
    <row r="1" spans="1:11" s="1850" customFormat="1" ht="25.9" customHeight="1">
      <c r="A1" s="3254" t="s">
        <v>6261</v>
      </c>
      <c r="B1" s="3254"/>
      <c r="C1" s="3254"/>
      <c r="D1" s="3254"/>
      <c r="E1" s="3254"/>
      <c r="F1" s="3254"/>
      <c r="G1" s="2754" t="str">
        <f>基本情况!$F$10</f>
        <v>厦中汇税审（2018）第DS0001号</v>
      </c>
      <c r="H1" s="2754"/>
      <c r="I1" s="2754"/>
    </row>
    <row r="2" spans="1:11" s="1850" customFormat="1" ht="37.15" customHeight="1">
      <c r="A2" s="3254"/>
      <c r="B2" s="3254"/>
      <c r="C2" s="3254"/>
      <c r="D2" s="3254"/>
      <c r="E2" s="3254"/>
      <c r="F2" s="3254"/>
      <c r="G2" s="2949" t="str">
        <f>"底稿编号："&amp;开始!L3</f>
        <v>底稿编号：AD-01</v>
      </c>
      <c r="H2" s="2949"/>
      <c r="I2" s="2949"/>
    </row>
    <row r="3" spans="1:11" s="1850" customFormat="1">
      <c r="A3" s="3500" t="s">
        <v>4510</v>
      </c>
      <c r="B3" s="3501"/>
      <c r="C3" s="3497" t="str">
        <f>基本情况!$C$3</f>
        <v/>
      </c>
      <c r="D3" s="3497"/>
      <c r="E3" s="3497"/>
      <c r="F3" s="3497"/>
      <c r="G3" s="2097"/>
      <c r="H3" s="2098" t="s">
        <v>5080</v>
      </c>
      <c r="I3" s="2105" t="s">
        <v>4575</v>
      </c>
    </row>
    <row r="4" spans="1:11" s="1850" customFormat="1">
      <c r="A4" s="3502"/>
      <c r="B4" s="3503"/>
      <c r="C4" s="3498"/>
      <c r="D4" s="3498"/>
      <c r="E4" s="3498"/>
      <c r="F4" s="3498"/>
      <c r="G4" s="2101" t="s">
        <v>4407</v>
      </c>
      <c r="H4" s="2099" t="str">
        <f>基本情况!$F$19&amp;""</f>
        <v/>
      </c>
      <c r="I4" s="2103" t="str">
        <f>TEXT(基本情况!$F$27,"yyyy-mm-dd")</f>
        <v>2018-03-16</v>
      </c>
    </row>
    <row r="5" spans="1:11" s="1850" customFormat="1">
      <c r="A5" s="3495" t="s">
        <v>4512</v>
      </c>
      <c r="B5" s="3496"/>
      <c r="C5" s="3499" t="str">
        <f>基本情况!$F$9</f>
        <v>2017年01月01日至2017年12月31日</v>
      </c>
      <c r="D5" s="3499"/>
      <c r="E5" s="3499"/>
      <c r="F5" s="3499"/>
      <c r="G5" s="2102" t="s">
        <v>4410</v>
      </c>
      <c r="H5" s="2100" t="str">
        <f>基本情况!$F$18&amp;""</f>
        <v/>
      </c>
      <c r="I5" s="2104" t="str">
        <f>TEXT(基本情况!$F$28,"yyyy-mm-dd")</f>
        <v>2018-05-04</v>
      </c>
    </row>
    <row r="6" spans="1:11" ht="6" customHeight="1"/>
    <row r="7" spans="1:11" ht="17.25" thickBot="1">
      <c r="A7" s="3492" t="s">
        <v>750</v>
      </c>
      <c r="B7" s="3493"/>
      <c r="C7" s="3494"/>
      <c r="D7" s="2116"/>
      <c r="E7" s="2116" t="s">
        <v>6260</v>
      </c>
      <c r="F7" s="2117" t="s">
        <v>370</v>
      </c>
      <c r="G7" s="2117" t="s">
        <v>371</v>
      </c>
      <c r="H7" s="2117" t="s">
        <v>372</v>
      </c>
      <c r="I7" s="2117" t="s">
        <v>373</v>
      </c>
    </row>
    <row r="8" spans="1:11">
      <c r="A8" s="3504" t="s">
        <v>6134</v>
      </c>
      <c r="B8" s="2350" t="s">
        <v>6179</v>
      </c>
      <c r="C8" s="2106" t="s">
        <v>6136</v>
      </c>
      <c r="D8" s="2106" t="s">
        <v>6156</v>
      </c>
      <c r="E8" s="2106" t="str">
        <f>IF(COUNTIF($B$8:$B$94,B8&amp;"*")&gt;1,"非末级","末级")</f>
        <v>末级</v>
      </c>
      <c r="F8" s="2108" t="s">
        <v>133</v>
      </c>
      <c r="G8" s="2108">
        <f>A105010视同销售和房地产开发企业特定业务纳税调整明细表!$C$5</f>
        <v>0</v>
      </c>
      <c r="H8" s="2108">
        <f>A105010视同销售和房地产开发企业特定业务纳税调整明细表!$D$5</f>
        <v>0</v>
      </c>
      <c r="I8" s="2109" t="s">
        <v>133</v>
      </c>
      <c r="J8" t="str">
        <f>IF(E8="末级",IF(AND(H8&lt;&gt;"*",H8&lt;&gt;0),"调增",IF(AND(I8&lt;&gt;"*",I8&lt;&gt;0),"调减","无")),"无")</f>
        <v>无</v>
      </c>
      <c r="K8" s="1850" t="str">
        <f>IF(J8="无","",J8&amp;"-"&amp;COUNTIF($J$8:J8,J8))</f>
        <v/>
      </c>
    </row>
    <row r="9" spans="1:11">
      <c r="A9" s="3505"/>
      <c r="B9" s="2351" t="s">
        <v>4336</v>
      </c>
      <c r="C9" s="2096" t="s">
        <v>6137</v>
      </c>
      <c r="D9" s="2096" t="s">
        <v>6157</v>
      </c>
      <c r="E9" s="2096" t="str">
        <f t="shared" ref="E9:E78" si="0">IF(COUNTIF($B$8:$B$94,B9&amp;"*")&gt;1,"非末级","末级")</f>
        <v>末级</v>
      </c>
      <c r="F9" s="2110">
        <f>A105020未按权责发生制确认收入纳税调整明细表!$D$20</f>
        <v>0</v>
      </c>
      <c r="G9" s="2110">
        <f>A105020未按权责发生制确认收入纳税调整明细表!$F$20</f>
        <v>0</v>
      </c>
      <c r="H9" s="2110">
        <f>IF(A105020未按权责发生制确认收入纳税调整明细表!$H$20&gt;=0,A105020未按权责发生制确认收入纳税调整明细表!$H$20,0)</f>
        <v>0</v>
      </c>
      <c r="I9" s="2111">
        <f>IF(G9-F9&lt;0,ABS(G9-F9),0)</f>
        <v>0</v>
      </c>
      <c r="J9" s="1850" t="str">
        <f t="shared" ref="J9:J78" si="1">IF(E9="末级",IF(AND(H9&lt;&gt;"*",H9&lt;&gt;0),"调增",IF(AND(I9&lt;&gt;"*",I9&lt;&gt;0),"调减","无")),"无")</f>
        <v>无</v>
      </c>
      <c r="K9" s="1850" t="str">
        <f>IF(J9="无","",J9&amp;"-"&amp;COUNTIF($J$8:J9,J9))</f>
        <v/>
      </c>
    </row>
    <row r="10" spans="1:11">
      <c r="A10" s="3505"/>
      <c r="B10" s="2351" t="s">
        <v>6180</v>
      </c>
      <c r="C10" s="2096" t="s">
        <v>4349</v>
      </c>
      <c r="D10" s="2096" t="s">
        <v>6158</v>
      </c>
      <c r="E10" s="2096" t="str">
        <f t="shared" si="0"/>
        <v>末级</v>
      </c>
      <c r="F10" s="2110">
        <f>A105030投资收益纳税调整明细表!$C$18+A105030投资收益纳税调整明细表!$J$18</f>
        <v>0</v>
      </c>
      <c r="G10" s="2110">
        <f>A105030投资收益纳税调整明细表!$D$18+A105030投资收益纳税调整明细表!$K$18</f>
        <v>0</v>
      </c>
      <c r="H10" s="2110">
        <f>IF(A105030投资收益纳税调整明细表!$M$18&gt;=0,A105030投资收益纳税调整明细表!$M$18,0)</f>
        <v>0</v>
      </c>
      <c r="I10" s="2111">
        <f>IF(G10-F10&lt;0,ABS(G10-F10),0)</f>
        <v>0</v>
      </c>
      <c r="J10" s="1850" t="str">
        <f t="shared" si="1"/>
        <v>无</v>
      </c>
      <c r="K10" s="1850" t="str">
        <f>IF(J10="无","",J10&amp;"-"&amp;COUNTIF($J$8:J10,J10))</f>
        <v/>
      </c>
    </row>
    <row r="11" spans="1:11">
      <c r="A11" s="3505"/>
      <c r="B11" s="2351" t="s">
        <v>6181</v>
      </c>
      <c r="C11" s="2096" t="s">
        <v>6138</v>
      </c>
      <c r="D11" s="2096"/>
      <c r="E11" s="2096" t="str">
        <f t="shared" si="0"/>
        <v>末级</v>
      </c>
      <c r="F11" s="2110" t="s">
        <v>133</v>
      </c>
      <c r="G11" s="2110" t="s">
        <v>133</v>
      </c>
      <c r="H11" s="2110" t="s">
        <v>133</v>
      </c>
      <c r="I11" s="2112"/>
      <c r="J11" s="1850" t="str">
        <f t="shared" si="1"/>
        <v>无</v>
      </c>
      <c r="K11" s="1850" t="str">
        <f>IF(J11="无","",J11&amp;"-"&amp;COUNTIF($J$8:J11,J11))</f>
        <v/>
      </c>
    </row>
    <row r="12" spans="1:11">
      <c r="A12" s="3505"/>
      <c r="B12" s="2351" t="s">
        <v>6182</v>
      </c>
      <c r="C12" s="2096" t="s">
        <v>6139</v>
      </c>
      <c r="D12" s="2096"/>
      <c r="E12" s="2096" t="str">
        <f t="shared" si="0"/>
        <v>末级</v>
      </c>
      <c r="F12" s="2110" t="s">
        <v>133</v>
      </c>
      <c r="G12" s="2110" t="s">
        <v>133</v>
      </c>
      <c r="H12" s="2113"/>
      <c r="I12" s="2111" t="s">
        <v>133</v>
      </c>
      <c r="J12" s="1850" t="str">
        <f t="shared" si="1"/>
        <v>无</v>
      </c>
      <c r="K12" s="1850" t="str">
        <f>IF(J12="无","",J12&amp;"-"&amp;COUNTIF($J$8:J12,J12))</f>
        <v/>
      </c>
    </row>
    <row r="13" spans="1:11">
      <c r="A13" s="3505"/>
      <c r="B13" s="2351" t="s">
        <v>6183</v>
      </c>
      <c r="C13" s="2096" t="s">
        <v>6140</v>
      </c>
      <c r="D13" s="2096"/>
      <c r="E13" s="2096" t="str">
        <f t="shared" si="0"/>
        <v>末级</v>
      </c>
      <c r="F13" s="2113"/>
      <c r="G13" s="2110" t="s">
        <v>133</v>
      </c>
      <c r="H13" s="2110">
        <f>IF(F13&lt;0,ABS(F13),0)</f>
        <v>0</v>
      </c>
      <c r="I13" s="2111">
        <f>IF(F13&gt;=0,F13,0)</f>
        <v>0</v>
      </c>
      <c r="J13" s="1850" t="str">
        <f t="shared" si="1"/>
        <v>无</v>
      </c>
      <c r="K13" s="1850" t="str">
        <f>IF(J13="无","",J13&amp;"-"&amp;COUNTIF($J$8:J13,J13))</f>
        <v/>
      </c>
    </row>
    <row r="14" spans="1:11">
      <c r="A14" s="3505"/>
      <c r="B14" s="2351" t="s">
        <v>6184</v>
      </c>
      <c r="C14" s="2096" t="s">
        <v>968</v>
      </c>
      <c r="D14" s="2096"/>
      <c r="E14" s="2096" t="str">
        <f t="shared" si="0"/>
        <v>非末级</v>
      </c>
      <c r="F14" s="2110" t="s">
        <v>133</v>
      </c>
      <c r="G14" s="2110" t="s">
        <v>133</v>
      </c>
      <c r="H14" s="2110">
        <f>MAX(0,H15+H16-I15-I16)</f>
        <v>0</v>
      </c>
      <c r="I14" s="2111">
        <f>MAX(0,-(H15+H16-I15-I16))</f>
        <v>0</v>
      </c>
      <c r="J14" s="1850" t="str">
        <f t="shared" si="1"/>
        <v>无</v>
      </c>
      <c r="K14" s="1850" t="str">
        <f>IF(J14="无","",J14&amp;"-"&amp;COUNTIF($J$8:J14,J14))</f>
        <v/>
      </c>
    </row>
    <row r="15" spans="1:11">
      <c r="A15" s="3505"/>
      <c r="B15" s="2351" t="s">
        <v>6185</v>
      </c>
      <c r="C15" s="2096" t="s">
        <v>6160</v>
      </c>
      <c r="D15" s="2096" t="s">
        <v>6159</v>
      </c>
      <c r="E15" s="2096" t="str">
        <f t="shared" si="0"/>
        <v>末级</v>
      </c>
      <c r="F15" s="2110" t="s">
        <v>133</v>
      </c>
      <c r="G15" s="2110" t="s">
        <v>133</v>
      </c>
      <c r="H15" s="2110">
        <f>A105040专项用途财政性资金纳税调整表!$P$14</f>
        <v>0</v>
      </c>
      <c r="I15" s="2111">
        <f>A105040专项用途财政性资金纳税调整表!$F$14</f>
        <v>0</v>
      </c>
      <c r="J15" s="1850" t="str">
        <f t="shared" si="1"/>
        <v>无</v>
      </c>
      <c r="K15" s="1850" t="str">
        <f>IF(J15="无","",J15&amp;"-"&amp;COUNTIF($J$8:J15,J15))</f>
        <v/>
      </c>
    </row>
    <row r="16" spans="1:11" s="1850" customFormat="1">
      <c r="A16" s="3505"/>
      <c r="B16" s="2351" t="s">
        <v>6186</v>
      </c>
      <c r="C16" s="2096" t="s">
        <v>6233</v>
      </c>
      <c r="D16" s="2096"/>
      <c r="E16" s="2096" t="str">
        <f t="shared" si="0"/>
        <v>末级</v>
      </c>
      <c r="F16" s="2113"/>
      <c r="G16" s="2113"/>
      <c r="H16" s="2110">
        <f>IF(F16-G16&gt;=0,F16-G16,0)</f>
        <v>0</v>
      </c>
      <c r="I16" s="2111">
        <f>IF(F16-G16&lt;0,ABS(F16-G16),0)</f>
        <v>0</v>
      </c>
      <c r="J16" s="1850" t="str">
        <f t="shared" si="1"/>
        <v>无</v>
      </c>
      <c r="K16" s="1850" t="str">
        <f>IF(J16="无","",J16&amp;"-"&amp;COUNTIF($J$8:J16,J16))</f>
        <v/>
      </c>
    </row>
    <row r="17" spans="1:11">
      <c r="A17" s="3505"/>
      <c r="B17" s="2351" t="s">
        <v>6187</v>
      </c>
      <c r="C17" s="2096" t="s">
        <v>6141</v>
      </c>
      <c r="D17" s="2096"/>
      <c r="E17" s="2096" t="str">
        <f t="shared" si="0"/>
        <v>末级</v>
      </c>
      <c r="F17" s="2113"/>
      <c r="G17" s="2113"/>
      <c r="H17" s="2110">
        <f>IF(F17-G17&gt;=0,F17-G17,0)</f>
        <v>0</v>
      </c>
      <c r="I17" s="2111">
        <f>IF(F17-G17&lt;0,ABS(F17-G17),0)</f>
        <v>0</v>
      </c>
      <c r="J17" s="1850" t="str">
        <f t="shared" si="1"/>
        <v>无</v>
      </c>
      <c r="K17" s="1850" t="str">
        <f>IF(J17="无","",J17&amp;"-"&amp;COUNTIF($J$8:J17,J17))</f>
        <v/>
      </c>
    </row>
    <row r="18" spans="1:11">
      <c r="A18" s="3505"/>
      <c r="B18" s="2351" t="s">
        <v>6188</v>
      </c>
      <c r="C18" s="2096" t="s">
        <v>5042</v>
      </c>
      <c r="D18" s="2096"/>
      <c r="E18" s="2096" t="str">
        <f t="shared" si="0"/>
        <v>非末级</v>
      </c>
      <c r="F18" s="2110">
        <f>SUM(F19:F24)</f>
        <v>0</v>
      </c>
      <c r="G18" s="2110">
        <f>SUM(G19:G24)</f>
        <v>0</v>
      </c>
      <c r="H18" s="2110">
        <f>IF(G18&gt;=F18,G18-F18,0)</f>
        <v>0</v>
      </c>
      <c r="I18" s="2111">
        <f>IF(G18&lt;F18,ABS(G18-F18),0)</f>
        <v>0</v>
      </c>
      <c r="J18" s="1850" t="str">
        <f t="shared" si="1"/>
        <v>无</v>
      </c>
      <c r="K18" s="1850" t="str">
        <f>IF(J18="无","",J18&amp;"-"&amp;COUNTIF($J$8:J18,J18))</f>
        <v/>
      </c>
    </row>
    <row r="19" spans="1:11" s="1850" customFormat="1">
      <c r="A19" s="3505"/>
      <c r="B19" s="2351" t="s">
        <v>6234</v>
      </c>
      <c r="C19" s="1815"/>
      <c r="D19" s="2096"/>
      <c r="E19" s="2096" t="str">
        <f t="shared" si="0"/>
        <v>末级</v>
      </c>
      <c r="F19" s="2113"/>
      <c r="G19" s="2113"/>
      <c r="H19" s="2110">
        <f t="shared" ref="H19:H24" si="2">IF(G19&gt;=F19,G19-F19,0)</f>
        <v>0</v>
      </c>
      <c r="I19" s="2111">
        <f t="shared" ref="I19:I24" si="3">IF(G19&lt;F19,ABS(G19-F19),0)</f>
        <v>0</v>
      </c>
      <c r="J19" s="1850" t="str">
        <f t="shared" si="1"/>
        <v>无</v>
      </c>
      <c r="K19" s="1850" t="str">
        <f>IF(J19="无","",J19&amp;"-"&amp;COUNTIF($J$8:J19,J19))</f>
        <v/>
      </c>
    </row>
    <row r="20" spans="1:11" s="1850" customFormat="1">
      <c r="A20" s="3505"/>
      <c r="B20" s="2351" t="s">
        <v>6235</v>
      </c>
      <c r="C20" s="1815"/>
      <c r="D20" s="2096"/>
      <c r="E20" s="2096" t="str">
        <f t="shared" si="0"/>
        <v>末级</v>
      </c>
      <c r="F20" s="2113"/>
      <c r="G20" s="2113"/>
      <c r="H20" s="2110">
        <f t="shared" si="2"/>
        <v>0</v>
      </c>
      <c r="I20" s="2111">
        <f t="shared" si="3"/>
        <v>0</v>
      </c>
      <c r="J20" s="1850" t="str">
        <f t="shared" si="1"/>
        <v>无</v>
      </c>
      <c r="K20" s="1850" t="str">
        <f>IF(J20="无","",J20&amp;"-"&amp;COUNTIF($J$8:J20,J20))</f>
        <v/>
      </c>
    </row>
    <row r="21" spans="1:11" s="1850" customFormat="1">
      <c r="A21" s="3505"/>
      <c r="B21" s="2351" t="s">
        <v>6236</v>
      </c>
      <c r="C21" s="1815"/>
      <c r="D21" s="2096"/>
      <c r="E21" s="2096" t="str">
        <f t="shared" si="0"/>
        <v>末级</v>
      </c>
      <c r="F21" s="2113"/>
      <c r="G21" s="2113"/>
      <c r="H21" s="2110">
        <f t="shared" si="2"/>
        <v>0</v>
      </c>
      <c r="I21" s="2111">
        <f t="shared" si="3"/>
        <v>0</v>
      </c>
      <c r="J21" s="1850" t="str">
        <f t="shared" si="1"/>
        <v>无</v>
      </c>
      <c r="K21" s="1850" t="str">
        <f>IF(J21="无","",J21&amp;"-"&amp;COUNTIF($J$8:J21,J21))</f>
        <v/>
      </c>
    </row>
    <row r="22" spans="1:11" s="1850" customFormat="1">
      <c r="A22" s="3505"/>
      <c r="B22" s="2351" t="s">
        <v>6237</v>
      </c>
      <c r="C22" s="1815"/>
      <c r="D22" s="2096"/>
      <c r="E22" s="2096" t="str">
        <f t="shared" si="0"/>
        <v>末级</v>
      </c>
      <c r="F22" s="2113"/>
      <c r="G22" s="2113"/>
      <c r="H22" s="2110">
        <f t="shared" si="2"/>
        <v>0</v>
      </c>
      <c r="I22" s="2111">
        <f t="shared" si="3"/>
        <v>0</v>
      </c>
      <c r="J22" s="1850" t="str">
        <f t="shared" si="1"/>
        <v>无</v>
      </c>
      <c r="K22" s="1850" t="str">
        <f>IF(J22="无","",J22&amp;"-"&amp;COUNTIF($J$8:J22,J22))</f>
        <v/>
      </c>
    </row>
    <row r="23" spans="1:11" s="1850" customFormat="1">
      <c r="A23" s="3505"/>
      <c r="B23" s="2351" t="s">
        <v>6238</v>
      </c>
      <c r="C23" s="1815"/>
      <c r="D23" s="2096"/>
      <c r="E23" s="2096" t="str">
        <f t="shared" si="0"/>
        <v>末级</v>
      </c>
      <c r="F23" s="2113"/>
      <c r="G23" s="2113"/>
      <c r="H23" s="2110">
        <f t="shared" si="2"/>
        <v>0</v>
      </c>
      <c r="I23" s="2111">
        <f t="shared" si="3"/>
        <v>0</v>
      </c>
      <c r="J23" s="1850" t="str">
        <f t="shared" si="1"/>
        <v>无</v>
      </c>
      <c r="K23" s="1850" t="str">
        <f>IF(J23="无","",J23&amp;"-"&amp;COUNTIF($J$8:J23,J23))</f>
        <v/>
      </c>
    </row>
    <row r="24" spans="1:11" s="1850" customFormat="1">
      <c r="A24" s="3505"/>
      <c r="B24" s="2351" t="s">
        <v>6239</v>
      </c>
      <c r="C24" s="1815"/>
      <c r="D24" s="2096"/>
      <c r="E24" s="2096" t="str">
        <f t="shared" si="0"/>
        <v>末级</v>
      </c>
      <c r="F24" s="2113"/>
      <c r="G24" s="2113"/>
      <c r="H24" s="2110">
        <f t="shared" si="2"/>
        <v>0</v>
      </c>
      <c r="I24" s="2111">
        <f t="shared" si="3"/>
        <v>0</v>
      </c>
      <c r="J24" s="1850" t="str">
        <f t="shared" si="1"/>
        <v>无</v>
      </c>
      <c r="K24" s="1850" t="str">
        <f>IF(J24="无","",J24&amp;"-"&amp;COUNTIF($J$8:J24,J24))</f>
        <v/>
      </c>
    </row>
    <row r="25" spans="1:11" s="1850" customFormat="1" ht="17.25" thickBot="1">
      <c r="A25" s="3506"/>
      <c r="B25" s="2352" t="s">
        <v>6227</v>
      </c>
      <c r="C25" s="2353"/>
      <c r="D25" s="2353"/>
      <c r="E25" s="2353" t="str">
        <f t="shared" si="0"/>
        <v>非末级</v>
      </c>
      <c r="F25" s="2354" t="s">
        <v>1826</v>
      </c>
      <c r="G25" s="2354" t="s">
        <v>6232</v>
      </c>
      <c r="H25" s="2354">
        <f>SUMIF($B$8:$B$24,"????",H8:H24)</f>
        <v>0</v>
      </c>
      <c r="I25" s="2355">
        <f>SUMIF($B$8:$B$24,"????",I8:I24)</f>
        <v>0</v>
      </c>
      <c r="J25" s="1850" t="str">
        <f t="shared" si="1"/>
        <v>无</v>
      </c>
      <c r="K25" s="1850" t="str">
        <f>IF(J25="无","",J25&amp;"-"&amp;COUNTIF($J$8:J25,J25))</f>
        <v/>
      </c>
    </row>
    <row r="26" spans="1:11">
      <c r="A26" s="3508" t="s">
        <v>6161</v>
      </c>
      <c r="B26" s="2350" t="s">
        <v>6189</v>
      </c>
      <c r="C26" s="2106" t="s">
        <v>6135</v>
      </c>
      <c r="D26" s="2107" t="s">
        <v>6165</v>
      </c>
      <c r="E26" s="2106" t="str">
        <f t="shared" si="0"/>
        <v>末级</v>
      </c>
      <c r="F26" s="2108" t="s">
        <v>133</v>
      </c>
      <c r="G26" s="2108">
        <f>A105010视同销售和房地产开发企业特定业务纳税调整明细表!$C$15</f>
        <v>0</v>
      </c>
      <c r="H26" s="2108" t="s">
        <v>133</v>
      </c>
      <c r="I26" s="2109">
        <f>ABS(A105010视同销售和房地产开发企业特定业务纳税调整明细表!$D$15)</f>
        <v>0</v>
      </c>
      <c r="J26" s="1850" t="str">
        <f t="shared" si="1"/>
        <v>无</v>
      </c>
      <c r="K26" s="1850" t="str">
        <f>IF(J26="无","",J26&amp;"-"&amp;COUNTIF($J$8:J26,J26))</f>
        <v/>
      </c>
    </row>
    <row r="27" spans="1:11">
      <c r="A27" s="3509"/>
      <c r="B27" s="2351" t="s">
        <v>6190</v>
      </c>
      <c r="C27" s="2096" t="s">
        <v>1165</v>
      </c>
      <c r="D27" s="2095" t="s">
        <v>6166</v>
      </c>
      <c r="E27" s="2096" t="str">
        <f t="shared" si="0"/>
        <v>末级</v>
      </c>
      <c r="F27" s="2110">
        <f>A105050职工薪酬支出及纳税调整明细表!$C$18</f>
        <v>0</v>
      </c>
      <c r="G27" s="2110">
        <f>A105050职工薪酬支出及纳税调整明细表!$G$18</f>
        <v>0</v>
      </c>
      <c r="H27" s="2110">
        <f>IF(A105050职工薪酬支出及纳税调整明细表!$H$18&gt;=0,A105050职工薪酬支出及纳税调整明细表!$H$18,0)</f>
        <v>0</v>
      </c>
      <c r="I27" s="2111">
        <f>IF(A105050职工薪酬支出及纳税调整明细表!$H$18&lt;0,ABS(A105050职工薪酬支出及纳税调整明细表!$H$18),0)</f>
        <v>0</v>
      </c>
      <c r="J27" s="1850" t="str">
        <f t="shared" si="1"/>
        <v>无</v>
      </c>
      <c r="K27" s="1850" t="str">
        <f>IF(J27="无","",J27&amp;"-"&amp;COUNTIF($J$8:J27,J27))</f>
        <v/>
      </c>
    </row>
    <row r="28" spans="1:11">
      <c r="A28" s="3509"/>
      <c r="B28" s="2351" t="s">
        <v>6191</v>
      </c>
      <c r="C28" s="2096" t="s">
        <v>5812</v>
      </c>
      <c r="D28" s="2095"/>
      <c r="E28" s="2096" t="str">
        <f t="shared" si="0"/>
        <v>末级</v>
      </c>
      <c r="F28" s="2110">
        <f>招待!$J$15</f>
        <v>0</v>
      </c>
      <c r="G28" s="2110">
        <f>招待!$J$22</f>
        <v>0</v>
      </c>
      <c r="H28" s="2110">
        <f>IF(F28&gt;=G28,F28-G28,0)</f>
        <v>0</v>
      </c>
      <c r="I28" s="2111" t="s">
        <v>133</v>
      </c>
      <c r="J28" s="1850" t="str">
        <f t="shared" si="1"/>
        <v>无</v>
      </c>
      <c r="K28" s="1850" t="str">
        <f>IF(J28="无","",J28&amp;"-"&amp;COUNTIF($J$8:J28,J28))</f>
        <v/>
      </c>
    </row>
    <row r="29" spans="1:11">
      <c r="A29" s="3509"/>
      <c r="B29" s="2351" t="s">
        <v>6192</v>
      </c>
      <c r="C29" s="2096" t="s">
        <v>5813</v>
      </c>
      <c r="D29" s="2095" t="s">
        <v>6164</v>
      </c>
      <c r="E29" s="2096" t="str">
        <f t="shared" si="0"/>
        <v>末级</v>
      </c>
      <c r="F29" s="2110" t="s">
        <v>133</v>
      </c>
      <c r="G29" s="2110" t="s">
        <v>133</v>
      </c>
      <c r="H29" s="2110">
        <f>IF(A105060广告费和业务宣传费跨年度纳税调整明细表!$C$16&gt;=0,A105060广告费和业务宣传费跨年度纳税调整明细表!$C$16,0)</f>
        <v>0</v>
      </c>
      <c r="I29" s="2111">
        <f>IF(A105060广告费和业务宣传费跨年度纳税调整明细表!$C$16&lt;0,ABS(A105060广告费和业务宣传费跨年度纳税调整明细表!$C$16),0)</f>
        <v>0</v>
      </c>
      <c r="J29" s="1850" t="str">
        <f t="shared" si="1"/>
        <v>无</v>
      </c>
      <c r="K29" s="1850" t="str">
        <f>IF(J29="无","",J29&amp;"-"&amp;COUNTIF($J$8:J29,J29))</f>
        <v/>
      </c>
    </row>
    <row r="30" spans="1:11">
      <c r="A30" s="3509"/>
      <c r="B30" s="2351" t="s">
        <v>6193</v>
      </c>
      <c r="C30" s="2096" t="s">
        <v>5814</v>
      </c>
      <c r="D30" s="2095" t="s">
        <v>6163</v>
      </c>
      <c r="E30" s="2096" t="str">
        <f t="shared" si="0"/>
        <v>非末级</v>
      </c>
      <c r="F30" s="2110">
        <f>A105070捐赠支出及纳税调整明细表!$C$12</f>
        <v>0</v>
      </c>
      <c r="G30" s="2110">
        <f>A105070捐赠支出及纳税调整明细表!$F$12</f>
        <v>0</v>
      </c>
      <c r="H30" s="2110">
        <f>A105070捐赠支出及纳税调整明细表!$G$12</f>
        <v>0</v>
      </c>
      <c r="I30" s="2111">
        <f>A105070捐赠支出及纳税调整明细表!$H$12</f>
        <v>0</v>
      </c>
      <c r="J30" s="1850" t="str">
        <f t="shared" si="1"/>
        <v>无</v>
      </c>
      <c r="K30" s="1850" t="str">
        <f>IF(J30="无","",J30&amp;"-"&amp;COUNTIF($J$8:J30,J30))</f>
        <v/>
      </c>
    </row>
    <row r="31" spans="1:11" s="1850" customFormat="1">
      <c r="A31" s="3509"/>
      <c r="B31" s="2351" t="s">
        <v>6517</v>
      </c>
      <c r="C31" s="2096" t="s">
        <v>6523</v>
      </c>
      <c r="D31" s="2095"/>
      <c r="E31" s="2096" t="str">
        <f t="shared" si="0"/>
        <v>末级</v>
      </c>
      <c r="F31" s="2110">
        <f>A105070捐赠支出及纳税调整明细表!C5</f>
        <v>0</v>
      </c>
      <c r="G31" s="2110">
        <v>0</v>
      </c>
      <c r="H31" s="2110">
        <f>F31</f>
        <v>0</v>
      </c>
      <c r="I31" s="2111">
        <v>0</v>
      </c>
      <c r="J31" s="1850" t="str">
        <f t="shared" si="1"/>
        <v>无</v>
      </c>
      <c r="K31" s="1850" t="str">
        <f>IF(J31="无","",J31&amp;"-"&amp;COUNTIF($J$8:J31,J31))</f>
        <v/>
      </c>
    </row>
    <row r="32" spans="1:11" s="1850" customFormat="1">
      <c r="A32" s="3509"/>
      <c r="B32" s="2351" t="s">
        <v>6518</v>
      </c>
      <c r="C32" s="2096" t="s">
        <v>6524</v>
      </c>
      <c r="D32" s="2095"/>
      <c r="E32" s="2096" t="str">
        <f t="shared" si="0"/>
        <v>末级</v>
      </c>
      <c r="F32" s="2110">
        <f>A105070捐赠支出及纳税调整明细表!C6</f>
        <v>0</v>
      </c>
      <c r="G32" s="2110">
        <f>A105070捐赠支出及纳税调整明细表!F6</f>
        <v>0</v>
      </c>
      <c r="H32" s="2110">
        <v>0</v>
      </c>
      <c r="I32" s="2111">
        <v>0</v>
      </c>
      <c r="J32" s="1850" t="str">
        <f t="shared" si="1"/>
        <v>无</v>
      </c>
      <c r="K32" s="1850" t="str">
        <f>IF(J32="无","",J32&amp;"-"&amp;COUNTIF($J$8:J32,J32))</f>
        <v/>
      </c>
    </row>
    <row r="33" spans="1:11" s="1850" customFormat="1">
      <c r="A33" s="3509"/>
      <c r="B33" s="2351" t="s">
        <v>6519</v>
      </c>
      <c r="C33" s="2096" t="s">
        <v>6526</v>
      </c>
      <c r="D33" s="2095"/>
      <c r="E33" s="2096" t="str">
        <f t="shared" si="0"/>
        <v>末级</v>
      </c>
      <c r="F33" s="2110" t="s">
        <v>6525</v>
      </c>
      <c r="G33" s="2110">
        <f>A105070捐赠支出及纳税调整明细表!H8</f>
        <v>0</v>
      </c>
      <c r="H33" s="2110" t="s">
        <v>6525</v>
      </c>
      <c r="I33" s="2111">
        <f>G33</f>
        <v>0</v>
      </c>
      <c r="J33" s="1850" t="str">
        <f t="shared" si="1"/>
        <v>无</v>
      </c>
      <c r="K33" s="1850" t="str">
        <f>IF(J33="无","",J33&amp;"-"&amp;COUNTIF($J$8:J33,J33))</f>
        <v/>
      </c>
    </row>
    <row r="34" spans="1:11" s="1850" customFormat="1">
      <c r="A34" s="3509"/>
      <c r="B34" s="2351" t="s">
        <v>6520</v>
      </c>
      <c r="C34" s="2096" t="s">
        <v>6527</v>
      </c>
      <c r="D34" s="2095"/>
      <c r="E34" s="2096" t="str">
        <f t="shared" si="0"/>
        <v>末级</v>
      </c>
      <c r="F34" s="2110" t="s">
        <v>6525</v>
      </c>
      <c r="G34" s="2110">
        <f>A105070捐赠支出及纳税调整明细表!H9</f>
        <v>0</v>
      </c>
      <c r="H34" s="2110" t="s">
        <v>6525</v>
      </c>
      <c r="I34" s="2111">
        <f>G34</f>
        <v>0</v>
      </c>
      <c r="J34" s="1850" t="str">
        <f t="shared" si="1"/>
        <v>无</v>
      </c>
      <c r="K34" s="1850" t="str">
        <f>IF(J34="无","",J34&amp;"-"&amp;COUNTIF($J$8:J34,J34))</f>
        <v/>
      </c>
    </row>
    <row r="35" spans="1:11" s="1850" customFormat="1">
      <c r="A35" s="3509"/>
      <c r="B35" s="2351" t="s">
        <v>6521</v>
      </c>
      <c r="C35" s="2096" t="s">
        <v>6528</v>
      </c>
      <c r="D35" s="2095"/>
      <c r="E35" s="2096" t="str">
        <f t="shared" si="0"/>
        <v>末级</v>
      </c>
      <c r="F35" s="2110" t="s">
        <v>6525</v>
      </c>
      <c r="G35" s="2110">
        <f>A105070捐赠支出及纳税调整明细表!H10</f>
        <v>0</v>
      </c>
      <c r="H35" s="2110" t="s">
        <v>6525</v>
      </c>
      <c r="I35" s="2111">
        <f>G35</f>
        <v>0</v>
      </c>
      <c r="J35" s="1850" t="str">
        <f t="shared" si="1"/>
        <v>无</v>
      </c>
      <c r="K35" s="1850" t="str">
        <f>IF(J35="无","",J35&amp;"-"&amp;COUNTIF($J$8:J35,J35))</f>
        <v/>
      </c>
    </row>
    <row r="36" spans="1:11" s="1850" customFormat="1">
      <c r="A36" s="3509"/>
      <c r="B36" s="2351" t="s">
        <v>6522</v>
      </c>
      <c r="C36" s="2096" t="s">
        <v>6529</v>
      </c>
      <c r="D36" s="2095"/>
      <c r="E36" s="2096" t="str">
        <f t="shared" si="0"/>
        <v>末级</v>
      </c>
      <c r="F36" s="2110">
        <f>A105070捐赠支出及纳税调整明细表!C11</f>
        <v>0</v>
      </c>
      <c r="G36" s="2110">
        <f>A105070捐赠支出及纳税调整明细表!F11</f>
        <v>0</v>
      </c>
      <c r="H36" s="2110">
        <f>A105070捐赠支出及纳税调整明细表!G11</f>
        <v>0</v>
      </c>
      <c r="I36" s="2111" t="s">
        <v>6525</v>
      </c>
      <c r="J36" s="1850" t="str">
        <f t="shared" si="1"/>
        <v>无</v>
      </c>
      <c r="K36" s="1850" t="str">
        <f>IF(J36="无","",J36&amp;"-"&amp;COUNTIF($J$8:J36,J36))</f>
        <v/>
      </c>
    </row>
    <row r="37" spans="1:11">
      <c r="A37" s="3509"/>
      <c r="B37" s="2351" t="s">
        <v>6194</v>
      </c>
      <c r="C37" s="2096" t="s">
        <v>5856</v>
      </c>
      <c r="D37" s="2095"/>
      <c r="E37" s="2096" t="str">
        <f t="shared" si="0"/>
        <v>末级</v>
      </c>
      <c r="F37" s="2110">
        <f>利息!$H$18</f>
        <v>0</v>
      </c>
      <c r="G37" s="2110">
        <f>利息!$I$18</f>
        <v>0</v>
      </c>
      <c r="H37" s="2110">
        <f>IF(F37&gt;=G37,F37-G37,0)</f>
        <v>0</v>
      </c>
      <c r="I37" s="2111">
        <f>IF(F37&lt;G37,ABS(F37-G37),0)</f>
        <v>0</v>
      </c>
      <c r="J37" s="1850" t="str">
        <f t="shared" si="1"/>
        <v>无</v>
      </c>
      <c r="K37" s="1850" t="str">
        <f>IF(J37="无","",J37&amp;"-"&amp;COUNTIF($J$8:J37,J37))</f>
        <v/>
      </c>
    </row>
    <row r="38" spans="1:11">
      <c r="A38" s="3509"/>
      <c r="B38" s="2351" t="s">
        <v>6195</v>
      </c>
      <c r="C38" s="2096" t="s">
        <v>5816</v>
      </c>
      <c r="D38" s="2095"/>
      <c r="E38" s="2096" t="str">
        <f t="shared" si="0"/>
        <v>末级</v>
      </c>
      <c r="F38" s="2110">
        <f>SUMIF(凭证检查!$M$7:$M$206,INDEX(凭证检查!$S$7:$S$56,MATCH(B38,凭证检查!$U$7:$U$56,0)),凭证检查!$G$7:$G$206)</f>
        <v>0</v>
      </c>
      <c r="G38" s="2110" t="s">
        <v>133</v>
      </c>
      <c r="H38" s="2110">
        <f>F38</f>
        <v>0</v>
      </c>
      <c r="I38" s="2111" t="s">
        <v>133</v>
      </c>
      <c r="J38" s="1850" t="str">
        <f t="shared" si="1"/>
        <v>无</v>
      </c>
      <c r="K38" s="1850" t="str">
        <f>IF(J38="无","",J38&amp;"-"&amp;COUNTIF($J$8:J38,J38))</f>
        <v/>
      </c>
    </row>
    <row r="39" spans="1:11">
      <c r="A39" s="3509"/>
      <c r="B39" s="2351" t="s">
        <v>6196</v>
      </c>
      <c r="C39" s="2096" t="s">
        <v>6142</v>
      </c>
      <c r="D39" s="2095"/>
      <c r="E39" s="2096" t="str">
        <f t="shared" si="0"/>
        <v>末级</v>
      </c>
      <c r="F39" s="2110">
        <f>SUMIF(凭证检查!$M$7:$M$206,INDEX(凭证检查!$S$7:$S$56,MATCH(B39,凭证检查!$U$7:$U$56,0)),凭证检查!$G$7:$G$206)</f>
        <v>0</v>
      </c>
      <c r="G39" s="2110" t="s">
        <v>133</v>
      </c>
      <c r="H39" s="2110">
        <f>F39</f>
        <v>0</v>
      </c>
      <c r="I39" s="2111" t="s">
        <v>133</v>
      </c>
      <c r="J39" s="1850" t="str">
        <f t="shared" si="1"/>
        <v>无</v>
      </c>
      <c r="K39" s="1850" t="str">
        <f>IF(J39="无","",J39&amp;"-"&amp;COUNTIF($J$8:J39,J39))</f>
        <v/>
      </c>
    </row>
    <row r="40" spans="1:11">
      <c r="A40" s="3509"/>
      <c r="B40" s="2351" t="s">
        <v>6197</v>
      </c>
      <c r="C40" s="2096" t="s">
        <v>5819</v>
      </c>
      <c r="D40" s="2095"/>
      <c r="E40" s="2096" t="str">
        <f t="shared" si="0"/>
        <v>末级</v>
      </c>
      <c r="F40" s="2110">
        <f>营外收支!$E$28</f>
        <v>0</v>
      </c>
      <c r="G40" s="2110" t="s">
        <v>133</v>
      </c>
      <c r="H40" s="2110">
        <f>F40</f>
        <v>0</v>
      </c>
      <c r="I40" s="2111" t="s">
        <v>133</v>
      </c>
      <c r="J40" s="1850" t="str">
        <f t="shared" si="1"/>
        <v>无</v>
      </c>
      <c r="K40" s="1850" t="str">
        <f>IF(J40="无","",J40&amp;"-"&amp;COUNTIF($J$8:J40,J40))</f>
        <v/>
      </c>
    </row>
    <row r="41" spans="1:11">
      <c r="A41" s="3509"/>
      <c r="B41" s="2351" t="s">
        <v>6198</v>
      </c>
      <c r="C41" s="2096" t="s">
        <v>6143</v>
      </c>
      <c r="D41" s="2095"/>
      <c r="E41" s="2096" t="str">
        <f t="shared" si="0"/>
        <v>末级</v>
      </c>
      <c r="F41" s="2113"/>
      <c r="G41" s="2113"/>
      <c r="H41" s="2110">
        <f>IF(F41&gt;=G41,F41-G41,0)</f>
        <v>0</v>
      </c>
      <c r="I41" s="2111">
        <f>IF(F41&lt;G41,ABS(F41-G41),0)</f>
        <v>0</v>
      </c>
      <c r="J41" s="1850" t="str">
        <f t="shared" si="1"/>
        <v>无</v>
      </c>
      <c r="K41" s="1850" t="str">
        <f>IF(J41="无","",J41&amp;"-"&amp;COUNTIF($J$8:J41,J41))</f>
        <v/>
      </c>
    </row>
    <row r="42" spans="1:11">
      <c r="A42" s="3509"/>
      <c r="B42" s="2351" t="s">
        <v>2384</v>
      </c>
      <c r="C42" s="2096" t="s">
        <v>6144</v>
      </c>
      <c r="D42" s="2095"/>
      <c r="E42" s="2096" t="str">
        <f t="shared" si="0"/>
        <v>末级</v>
      </c>
      <c r="F42" s="2110">
        <f>A104000期间费用明细表!$C$11+A104000期间费用明细表!$E$11+A104000期间费用明细表!$G$11</f>
        <v>0</v>
      </c>
      <c r="G42" s="2113"/>
      <c r="H42" s="2110">
        <f>F42-G42</f>
        <v>0</v>
      </c>
      <c r="I42" s="2111" t="s">
        <v>133</v>
      </c>
      <c r="J42" s="1850" t="str">
        <f t="shared" si="1"/>
        <v>无</v>
      </c>
      <c r="K42" s="1850" t="str">
        <f>IF(J42="无","",J42&amp;"-"&amp;COUNTIF($J$8:J42,J42))</f>
        <v/>
      </c>
    </row>
    <row r="43" spans="1:11">
      <c r="A43" s="3509"/>
      <c r="B43" s="2351" t="s">
        <v>2386</v>
      </c>
      <c r="C43" s="2096" t="s">
        <v>6145</v>
      </c>
      <c r="D43" s="2095"/>
      <c r="E43" s="2096" t="str">
        <f t="shared" si="0"/>
        <v>非末级</v>
      </c>
      <c r="F43" s="2110" t="s">
        <v>133</v>
      </c>
      <c r="G43" s="2110" t="s">
        <v>133</v>
      </c>
      <c r="H43" s="2110">
        <f>H44+H45</f>
        <v>0</v>
      </c>
      <c r="I43" s="2111" t="s">
        <v>133</v>
      </c>
      <c r="J43" s="1850" t="str">
        <f t="shared" si="1"/>
        <v>无</v>
      </c>
      <c r="K43" s="1850" t="str">
        <f>IF(J43="无","",J43&amp;"-"&amp;COUNTIF($J$8:J43,J43))</f>
        <v/>
      </c>
    </row>
    <row r="44" spans="1:11">
      <c r="A44" s="3509"/>
      <c r="B44" s="2351" t="s">
        <v>6199</v>
      </c>
      <c r="C44" s="2096" t="s">
        <v>6162</v>
      </c>
      <c r="D44" s="2095" t="s">
        <v>6159</v>
      </c>
      <c r="E44" s="2096" t="str">
        <f t="shared" si="0"/>
        <v>末级</v>
      </c>
      <c r="F44" s="2110" t="s">
        <v>133</v>
      </c>
      <c r="G44" s="2110" t="s">
        <v>133</v>
      </c>
      <c r="H44" s="2110">
        <f>A105040专项用途财政性资金纳税调整表!$M$14</f>
        <v>0</v>
      </c>
      <c r="I44" s="2111" t="s">
        <v>133</v>
      </c>
      <c r="J44" s="1850" t="str">
        <f t="shared" si="1"/>
        <v>无</v>
      </c>
      <c r="K44" s="1850" t="str">
        <f>IF(J44="无","",J44&amp;"-"&amp;COUNTIF($J$8:J44,J44))</f>
        <v/>
      </c>
    </row>
    <row r="45" spans="1:11" s="1850" customFormat="1">
      <c r="A45" s="3509"/>
      <c r="B45" s="2351" t="s">
        <v>6200</v>
      </c>
      <c r="C45" s="2096" t="s">
        <v>6229</v>
      </c>
      <c r="D45" s="2095"/>
      <c r="E45" s="2096" t="str">
        <f t="shared" si="0"/>
        <v>末级</v>
      </c>
      <c r="F45" s="2110" t="s">
        <v>133</v>
      </c>
      <c r="G45" s="2110" t="s">
        <v>133</v>
      </c>
      <c r="H45" s="2113"/>
      <c r="I45" s="2111" t="s">
        <v>133</v>
      </c>
      <c r="J45" s="1850" t="str">
        <f t="shared" si="1"/>
        <v>无</v>
      </c>
      <c r="K45" s="1850" t="str">
        <f>IF(J45="无","",J45&amp;"-"&amp;COUNTIF($J$8:J45,J45))</f>
        <v/>
      </c>
    </row>
    <row r="46" spans="1:11">
      <c r="A46" s="3509"/>
      <c r="B46" s="2351" t="s">
        <v>6201</v>
      </c>
      <c r="C46" s="2096" t="s">
        <v>6146</v>
      </c>
      <c r="D46" s="2095"/>
      <c r="E46" s="2096" t="str">
        <f t="shared" si="0"/>
        <v>末级</v>
      </c>
      <c r="F46" s="2110">
        <f>SUMIF(凭证检查!$M$7:$M$206,INDEX(凭证检查!$S$7:$S$56,MATCH(B46,凭证检查!$U$7:$U$56,0)),凭证检查!$G$7:$G$206)</f>
        <v>0</v>
      </c>
      <c r="G46" s="2113"/>
      <c r="H46" s="2110">
        <f>IF(F46&gt;=G46,F46-G46,0)</f>
        <v>0</v>
      </c>
      <c r="I46" s="2111">
        <f>IF(F46&lt;G46,ABS(F46-G46),0)</f>
        <v>0</v>
      </c>
      <c r="J46" s="1850" t="str">
        <f t="shared" si="1"/>
        <v>无</v>
      </c>
      <c r="K46" s="1850" t="str">
        <f>IF(J46="无","",J46&amp;"-"&amp;COUNTIF($J$8:J46,J46))</f>
        <v/>
      </c>
    </row>
    <row r="47" spans="1:11">
      <c r="A47" s="3509"/>
      <c r="B47" s="2351" t="s">
        <v>6202</v>
      </c>
      <c r="C47" s="2096" t="s">
        <v>5006</v>
      </c>
      <c r="D47" s="2095"/>
      <c r="E47" s="2096" t="str">
        <f t="shared" si="0"/>
        <v>末级</v>
      </c>
      <c r="F47" s="2110">
        <f>SUMIF(凭证检查!$M$7:$M$206,INDEX(凭证检查!$S$7:$S$56,MATCH(B47,凭证检查!$U$7:$U$56,0)),凭证检查!$G$7:$G$206)</f>
        <v>0</v>
      </c>
      <c r="G47" s="2110" t="s">
        <v>133</v>
      </c>
      <c r="H47" s="2110">
        <f>F47</f>
        <v>0</v>
      </c>
      <c r="I47" s="2111" t="s">
        <v>133</v>
      </c>
      <c r="J47" s="1850" t="str">
        <f t="shared" si="1"/>
        <v>无</v>
      </c>
      <c r="K47" s="1850" t="str">
        <f>IF(J47="无","",J47&amp;"-"&amp;COUNTIF($J$8:J47,J47))</f>
        <v/>
      </c>
    </row>
    <row r="48" spans="1:11">
      <c r="A48" s="3509"/>
      <c r="B48" s="2351" t="s">
        <v>6203</v>
      </c>
      <c r="C48" s="2096" t="s">
        <v>6147</v>
      </c>
      <c r="D48" s="2095"/>
      <c r="E48" s="2096" t="str">
        <f t="shared" si="0"/>
        <v>末级</v>
      </c>
      <c r="F48" s="2110" t="s">
        <v>133</v>
      </c>
      <c r="G48" s="2110" t="s">
        <v>133</v>
      </c>
      <c r="H48" s="2110">
        <f>A108010境外所得纳税调整后所得明细表!$Q$23+A108010境外所得纳税调整后所得明细表!$R$23</f>
        <v>0</v>
      </c>
      <c r="I48" s="2111" t="s">
        <v>133</v>
      </c>
      <c r="J48" s="1850" t="str">
        <f t="shared" si="1"/>
        <v>无</v>
      </c>
      <c r="K48" s="1850" t="str">
        <f>IF(J48="无","",J48&amp;"-"&amp;COUNTIF($J$8:J48,J48))</f>
        <v/>
      </c>
    </row>
    <row r="49" spans="1:11">
      <c r="A49" s="3509"/>
      <c r="B49" s="2351" t="s">
        <v>6204</v>
      </c>
      <c r="C49" s="2096" t="s">
        <v>6148</v>
      </c>
      <c r="D49" s="2095"/>
      <c r="E49" s="2096" t="str">
        <f t="shared" si="0"/>
        <v>末级</v>
      </c>
      <c r="F49" s="2110">
        <f>管理费用!H42</f>
        <v>0</v>
      </c>
      <c r="G49" s="2113"/>
      <c r="H49" s="2110">
        <f>IF(F49&gt;=G49,F49-G49,0)</f>
        <v>0</v>
      </c>
      <c r="I49" s="2111">
        <f>IF(F49&lt;G49,ABS(F49-G49),0)</f>
        <v>0</v>
      </c>
      <c r="J49" s="1850" t="str">
        <f t="shared" si="1"/>
        <v>无</v>
      </c>
      <c r="K49" s="1850" t="str">
        <f>IF(J49="无","",J49&amp;"-"&amp;COUNTIF($J$8:J49,J49))</f>
        <v/>
      </c>
    </row>
    <row r="50" spans="1:11">
      <c r="A50" s="3509"/>
      <c r="B50" s="2351" t="s">
        <v>6205</v>
      </c>
      <c r="C50" s="2096" t="s">
        <v>5042</v>
      </c>
      <c r="D50" s="2095"/>
      <c r="E50" s="2096" t="str">
        <f t="shared" si="0"/>
        <v>非末级</v>
      </c>
      <c r="F50" s="2110">
        <f>SUM($F$51:$F$59)</f>
        <v>0</v>
      </c>
      <c r="G50" s="2110">
        <f>SUM(G51:G59)</f>
        <v>0</v>
      </c>
      <c r="H50" s="2110">
        <f>IF(F50&gt;=G50,F50-G50,0)</f>
        <v>0</v>
      </c>
      <c r="I50" s="2111">
        <f>IF(F50&lt;G50,ABS(F50-G50),0)</f>
        <v>0</v>
      </c>
      <c r="J50" s="1850" t="str">
        <f t="shared" si="1"/>
        <v>无</v>
      </c>
      <c r="K50" s="1850" t="str">
        <f>IF(J50="无","",J50&amp;"-"&amp;COUNTIF($J$8:J50,J50))</f>
        <v/>
      </c>
    </row>
    <row r="51" spans="1:11" s="1850" customFormat="1">
      <c r="A51" s="3509"/>
      <c r="B51" s="2351" t="s">
        <v>6207</v>
      </c>
      <c r="C51" s="1813" t="s">
        <v>5008</v>
      </c>
      <c r="D51" s="2095"/>
      <c r="E51" s="2096" t="str">
        <f t="shared" si="0"/>
        <v>末级</v>
      </c>
      <c r="F51" s="2110">
        <f>SUMIF(凭证检查!$M$7:$M$206,INDEX(凭证检查!$S$7:$S$56,MATCH(B51,凭证检查!$U$7:$U$56,0)),凭证检查!$G$7:$G$206)</f>
        <v>0</v>
      </c>
      <c r="G51" s="2113"/>
      <c r="H51" s="2110">
        <f t="shared" ref="H51:H59" si="4">IF(F51&gt;=G51,F51-G51,0)</f>
        <v>0</v>
      </c>
      <c r="I51" s="2111">
        <f t="shared" ref="I51:I59" si="5">IF(F51&lt;G51,ABS(F51-G51),0)</f>
        <v>0</v>
      </c>
      <c r="J51" s="1850" t="str">
        <f t="shared" si="1"/>
        <v>无</v>
      </c>
      <c r="K51" s="1850" t="str">
        <f>IF(J51="无","",J51&amp;"-"&amp;COUNTIF($J$8:J51,J51))</f>
        <v/>
      </c>
    </row>
    <row r="52" spans="1:11" s="1850" customFormat="1">
      <c r="A52" s="3509"/>
      <c r="B52" s="2351" t="s">
        <v>6208</v>
      </c>
      <c r="C52" s="1813" t="s">
        <v>5005</v>
      </c>
      <c r="D52" s="2095"/>
      <c r="E52" s="2096" t="str">
        <f t="shared" si="0"/>
        <v>末级</v>
      </c>
      <c r="F52" s="2110">
        <f>SUMIF(凭证检查!$M$7:$M$206,INDEX(凭证检查!$S$7:$S$56,MATCH(B52,凭证检查!$U$7:$U$56,0)),凭证检查!$G$7:$G$206)</f>
        <v>0</v>
      </c>
      <c r="G52" s="2113"/>
      <c r="H52" s="2110">
        <f t="shared" si="4"/>
        <v>0</v>
      </c>
      <c r="I52" s="2111">
        <f t="shared" si="5"/>
        <v>0</v>
      </c>
      <c r="J52" s="1850" t="str">
        <f t="shared" si="1"/>
        <v>无</v>
      </c>
      <c r="K52" s="1850" t="str">
        <f>IF(J52="无","",J52&amp;"-"&amp;COUNTIF($J$8:J52,J52))</f>
        <v/>
      </c>
    </row>
    <row r="53" spans="1:11" s="1850" customFormat="1">
      <c r="A53" s="3509"/>
      <c r="B53" s="2351" t="s">
        <v>6209</v>
      </c>
      <c r="C53" s="1813" t="s">
        <v>5004</v>
      </c>
      <c r="D53" s="2095"/>
      <c r="E53" s="2096" t="str">
        <f t="shared" si="0"/>
        <v>末级</v>
      </c>
      <c r="F53" s="2110">
        <f>SUMIF(凭证检查!$M$7:$M$206,INDEX(凭证检查!$S$7:$S$56,MATCH(B53,凭证检查!$U$7:$U$56,0)),凭证检查!$G$7:$G$206)</f>
        <v>0</v>
      </c>
      <c r="G53" s="2113"/>
      <c r="H53" s="2110">
        <f t="shared" si="4"/>
        <v>0</v>
      </c>
      <c r="I53" s="2111">
        <f t="shared" si="5"/>
        <v>0</v>
      </c>
      <c r="J53" s="1850" t="str">
        <f t="shared" si="1"/>
        <v>无</v>
      </c>
      <c r="K53" s="1850" t="str">
        <f>IF(J53="无","",J53&amp;"-"&amp;COUNTIF($J$8:J53,J53))</f>
        <v/>
      </c>
    </row>
    <row r="54" spans="1:11" s="1850" customFormat="1">
      <c r="A54" s="3509"/>
      <c r="B54" s="2351" t="s">
        <v>6210</v>
      </c>
      <c r="C54" s="1813" t="s">
        <v>5002</v>
      </c>
      <c r="D54" s="2095"/>
      <c r="E54" s="2096" t="str">
        <f t="shared" si="0"/>
        <v>末级</v>
      </c>
      <c r="F54" s="2110">
        <f>SUMIF(凭证检查!$M$7:$M$206,INDEX(凭证检查!$S$7:$S$56,MATCH(B54,凭证检查!$U$7:$U$56,0)),凭证检查!$G$7:$G$206)</f>
        <v>0</v>
      </c>
      <c r="G54" s="2113"/>
      <c r="H54" s="2110">
        <f t="shared" si="4"/>
        <v>0</v>
      </c>
      <c r="I54" s="2111">
        <f t="shared" si="5"/>
        <v>0</v>
      </c>
      <c r="J54" s="1850" t="str">
        <f t="shared" si="1"/>
        <v>无</v>
      </c>
      <c r="K54" s="1850" t="str">
        <f>IF(J54="无","",J54&amp;"-"&amp;COUNTIF($J$8:J54,J54))</f>
        <v/>
      </c>
    </row>
    <row r="55" spans="1:11" s="1850" customFormat="1">
      <c r="A55" s="3509"/>
      <c r="B55" s="2351" t="s">
        <v>6211</v>
      </c>
      <c r="C55" s="1813"/>
      <c r="D55" s="2095"/>
      <c r="E55" s="2096" t="str">
        <f t="shared" si="0"/>
        <v>末级</v>
      </c>
      <c r="F55" s="2110">
        <f>SUMIF(凭证检查!$M$7:$M$206,INDEX(凭证检查!$S$7:$S$56,MATCH(B55,凭证检查!$U$7:$U$56,0)),凭证检查!$G$7:$G$206)</f>
        <v>0</v>
      </c>
      <c r="G55" s="2113"/>
      <c r="H55" s="2110">
        <f t="shared" si="4"/>
        <v>0</v>
      </c>
      <c r="I55" s="2111">
        <f t="shared" si="5"/>
        <v>0</v>
      </c>
      <c r="J55" s="1850" t="str">
        <f t="shared" si="1"/>
        <v>无</v>
      </c>
      <c r="K55" s="1850" t="str">
        <f>IF(J55="无","",J55&amp;"-"&amp;COUNTIF($J$8:J55,J55))</f>
        <v/>
      </c>
    </row>
    <row r="56" spans="1:11" s="1850" customFormat="1">
      <c r="A56" s="3509"/>
      <c r="B56" s="2351" t="s">
        <v>6212</v>
      </c>
      <c r="C56" s="1813"/>
      <c r="D56" s="2095"/>
      <c r="E56" s="2096" t="str">
        <f t="shared" si="0"/>
        <v>末级</v>
      </c>
      <c r="F56" s="2110">
        <f>SUMIF(凭证检查!$M$7:$M$206,INDEX(凭证检查!$S$7:$S$56,MATCH(B56,凭证检查!$U$7:$U$56,0)),凭证检查!$G$7:$G$206)</f>
        <v>0</v>
      </c>
      <c r="G56" s="2113"/>
      <c r="H56" s="2110">
        <f t="shared" si="4"/>
        <v>0</v>
      </c>
      <c r="I56" s="2111">
        <f t="shared" si="5"/>
        <v>0</v>
      </c>
      <c r="J56" s="1850" t="str">
        <f t="shared" si="1"/>
        <v>无</v>
      </c>
      <c r="K56" s="1850" t="str">
        <f>IF(J56="无","",J56&amp;"-"&amp;COUNTIF($J$8:J56,J56))</f>
        <v/>
      </c>
    </row>
    <row r="57" spans="1:11" s="1850" customFormat="1">
      <c r="A57" s="3509"/>
      <c r="B57" s="2351" t="s">
        <v>6213</v>
      </c>
      <c r="C57" s="1813"/>
      <c r="D57" s="2095"/>
      <c r="E57" s="2096" t="str">
        <f t="shared" si="0"/>
        <v>末级</v>
      </c>
      <c r="F57" s="2110">
        <f>SUMIF(凭证检查!$M$7:$M$206,INDEX(凭证检查!$S$7:$S$56,MATCH(B57,凭证检查!$U$7:$U$56,0)),凭证检查!$G$7:$G$206)</f>
        <v>0</v>
      </c>
      <c r="G57" s="2113"/>
      <c r="H57" s="2110">
        <f t="shared" si="4"/>
        <v>0</v>
      </c>
      <c r="I57" s="2111">
        <f t="shared" si="5"/>
        <v>0</v>
      </c>
      <c r="J57" s="1850" t="str">
        <f t="shared" si="1"/>
        <v>无</v>
      </c>
      <c r="K57" s="1850" t="str">
        <f>IF(J57="无","",J57&amp;"-"&amp;COUNTIF($J$8:J57,J57))</f>
        <v/>
      </c>
    </row>
    <row r="58" spans="1:11" s="1850" customFormat="1">
      <c r="A58" s="3509"/>
      <c r="B58" s="2351" t="s">
        <v>6214</v>
      </c>
      <c r="C58" s="1813"/>
      <c r="D58" s="2095"/>
      <c r="E58" s="2096" t="str">
        <f t="shared" si="0"/>
        <v>末级</v>
      </c>
      <c r="F58" s="2110">
        <f>SUMIF(凭证检查!$M$7:$M$206,INDEX(凭证检查!$S$7:$S$56,MATCH(B58,凭证检查!$U$7:$U$56,0)),凭证检查!$G$7:$G$206)</f>
        <v>0</v>
      </c>
      <c r="G58" s="2113"/>
      <c r="H58" s="2110">
        <f t="shared" si="4"/>
        <v>0</v>
      </c>
      <c r="I58" s="2111">
        <f t="shared" si="5"/>
        <v>0</v>
      </c>
      <c r="J58" s="1850" t="str">
        <f t="shared" si="1"/>
        <v>无</v>
      </c>
      <c r="K58" s="1850" t="str">
        <f>IF(J58="无","",J58&amp;"-"&amp;COUNTIF($J$8:J58,J58))</f>
        <v/>
      </c>
    </row>
    <row r="59" spans="1:11" s="1850" customFormat="1">
      <c r="A59" s="3509"/>
      <c r="B59" s="2351" t="s">
        <v>6215</v>
      </c>
      <c r="C59" s="1813"/>
      <c r="D59" s="2095"/>
      <c r="E59" s="2096" t="str">
        <f t="shared" si="0"/>
        <v>末级</v>
      </c>
      <c r="F59" s="2110">
        <f>SUMIF(凭证检查!$M$7:$M$206,INDEX(凭证检查!$S$7:$S$56,MATCH(B59,凭证检查!$U$7:$U$56,0)),凭证检查!$G$7:$G$206)</f>
        <v>0</v>
      </c>
      <c r="G59" s="2113"/>
      <c r="H59" s="2110">
        <f t="shared" si="4"/>
        <v>0</v>
      </c>
      <c r="I59" s="2111">
        <f t="shared" si="5"/>
        <v>0</v>
      </c>
      <c r="J59" s="1850" t="str">
        <f t="shared" si="1"/>
        <v>无</v>
      </c>
      <c r="K59" s="1850" t="str">
        <f>IF(J59="无","",J59&amp;"-"&amp;COUNTIF($J$8:J59,J59))</f>
        <v/>
      </c>
    </row>
    <row r="60" spans="1:11" s="1850" customFormat="1" ht="17.25" thickBot="1">
      <c r="A60" s="3510"/>
      <c r="B60" s="2352" t="s">
        <v>6228</v>
      </c>
      <c r="C60" s="2353"/>
      <c r="D60" s="2356"/>
      <c r="E60" s="2353" t="str">
        <f t="shared" si="0"/>
        <v>非末级</v>
      </c>
      <c r="F60" s="2354" t="s">
        <v>133</v>
      </c>
      <c r="G60" s="2354" t="s">
        <v>133</v>
      </c>
      <c r="H60" s="2354">
        <f>SUMIF($B$26:$B$59,"????",H26:H59)</f>
        <v>0</v>
      </c>
      <c r="I60" s="2355">
        <f>SUMIF($B$26:$B$59,"????",I26:I59)</f>
        <v>0</v>
      </c>
      <c r="J60" s="1850" t="str">
        <f t="shared" si="1"/>
        <v>无</v>
      </c>
      <c r="K60" s="1850" t="str">
        <f>IF(J60="无","",J60&amp;"-"&amp;COUNTIF($J$8:J60,J60))</f>
        <v/>
      </c>
    </row>
    <row r="61" spans="1:11">
      <c r="A61" s="3508" t="s">
        <v>6167</v>
      </c>
      <c r="B61" s="2350" t="s">
        <v>6216</v>
      </c>
      <c r="C61" s="2106" t="s">
        <v>6149</v>
      </c>
      <c r="D61" s="2107" t="s">
        <v>6169</v>
      </c>
      <c r="E61" s="2106" t="str">
        <f t="shared" si="0"/>
        <v>末级</v>
      </c>
      <c r="F61" s="2108">
        <f>'A105080 资产折旧、摊销及纳税调整明细表'!$E$50</f>
        <v>0</v>
      </c>
      <c r="G61" s="2108">
        <f>'A105080 资产折旧、摊销及纳税调整明细表'!$H$50</f>
        <v>0</v>
      </c>
      <c r="H61" s="2108">
        <f>IF('A105080 资产折旧、摊销及纳税调整明细表'!$L$50&gt;=0,'A105080 资产折旧、摊销及纳税调整明细表'!$L$50)</f>
        <v>0</v>
      </c>
      <c r="I61" s="2109">
        <f>IF('A105080 资产折旧、摊销及纳税调整明细表'!$L$50&lt;0,ABS('A105080 资产折旧、摊销及纳税调整明细表'!$L$50),0)</f>
        <v>0</v>
      </c>
      <c r="J61" s="1850" t="str">
        <f t="shared" si="1"/>
        <v>无</v>
      </c>
      <c r="K61" s="1850" t="str">
        <f>IF(J61="无","",J61&amp;"-"&amp;COUNTIF($J$8:J61,J61))</f>
        <v/>
      </c>
    </row>
    <row r="62" spans="1:11">
      <c r="A62" s="3509"/>
      <c r="B62" s="2351" t="s">
        <v>6217</v>
      </c>
      <c r="C62" s="2096" t="s">
        <v>6150</v>
      </c>
      <c r="D62" s="2095"/>
      <c r="E62" s="2096" t="str">
        <f t="shared" si="0"/>
        <v>末级</v>
      </c>
      <c r="F62" s="2110">
        <f>减值准备审核表!H22</f>
        <v>0</v>
      </c>
      <c r="G62" s="2110" t="s">
        <v>133</v>
      </c>
      <c r="H62" s="2110">
        <f>IF(F62&gt;=0,F62,0)</f>
        <v>0</v>
      </c>
      <c r="I62" s="2111">
        <f>IF(F62&lt;0,ABS(F62),0)</f>
        <v>0</v>
      </c>
      <c r="J62" s="1850" t="str">
        <f t="shared" si="1"/>
        <v>无</v>
      </c>
      <c r="K62" s="1850" t="str">
        <f>IF(J62="无","",J62&amp;"-"&amp;COUNTIF($J$8:J62,J62))</f>
        <v/>
      </c>
    </row>
    <row r="63" spans="1:11">
      <c r="A63" s="3509"/>
      <c r="B63" s="2351" t="s">
        <v>6218</v>
      </c>
      <c r="C63" s="2096" t="s">
        <v>6151</v>
      </c>
      <c r="D63" s="2095" t="s">
        <v>6170</v>
      </c>
      <c r="E63" s="2096" t="str">
        <f t="shared" si="0"/>
        <v>末级</v>
      </c>
      <c r="F63" s="2110">
        <f>A105090资产损失税前扣除及纳税调整明细表!$C$18</f>
        <v>0</v>
      </c>
      <c r="G63" s="2110">
        <f>A105090资产损失税前扣除及纳税调整明细表!$G$18</f>
        <v>0</v>
      </c>
      <c r="H63" s="2110">
        <f>IF(A105090资产损失税前扣除及纳税调整明细表!$H$18&gt;=0,A105090资产损失税前扣除及纳税调整明细表!$H$18)</f>
        <v>0</v>
      </c>
      <c r="I63" s="2111">
        <f>IF(A105090资产损失税前扣除及纳税调整明细表!$H$18&lt;0,ABS(A105090资产损失税前扣除及纳税调整明细表!$H$18),0)</f>
        <v>0</v>
      </c>
      <c r="J63" s="1850" t="str">
        <f t="shared" si="1"/>
        <v>无</v>
      </c>
      <c r="K63" s="1850" t="str">
        <f>IF(J63="无","",J63&amp;"-"&amp;COUNTIF($J$8:J63,J63))</f>
        <v/>
      </c>
    </row>
    <row r="64" spans="1:11">
      <c r="A64" s="3509"/>
      <c r="B64" s="2351" t="s">
        <v>6219</v>
      </c>
      <c r="C64" s="2096" t="s">
        <v>5042</v>
      </c>
      <c r="D64" s="2095"/>
      <c r="E64" s="2096" t="str">
        <f t="shared" si="0"/>
        <v>非末级</v>
      </c>
      <c r="F64" s="2110">
        <f>SUM(F65:F67)</f>
        <v>0</v>
      </c>
      <c r="G64" s="2110">
        <f>SUM(G65:G67)</f>
        <v>0</v>
      </c>
      <c r="H64" s="2110">
        <f>IF(F64&gt;=G64,F64-G64,0)</f>
        <v>0</v>
      </c>
      <c r="I64" s="2111">
        <f>IF(F64&lt;G64,ABS(F64-G64),0)</f>
        <v>0</v>
      </c>
      <c r="J64" s="1850" t="str">
        <f t="shared" si="1"/>
        <v>无</v>
      </c>
      <c r="K64" s="1850" t="str">
        <f>IF(J64="无","",J64&amp;"-"&amp;COUNTIF($J$8:J64,J64))</f>
        <v/>
      </c>
    </row>
    <row r="65" spans="1:11" s="1850" customFormat="1">
      <c r="A65" s="3509"/>
      <c r="B65" s="2351" t="s">
        <v>6240</v>
      </c>
      <c r="C65" s="1815" t="s">
        <v>5311</v>
      </c>
      <c r="D65" s="2095"/>
      <c r="E65" s="2096" t="str">
        <f t="shared" si="0"/>
        <v>末级</v>
      </c>
      <c r="F65" s="2113"/>
      <c r="G65" s="2113"/>
      <c r="H65" s="2110">
        <f>IF(F65&gt;=G65,F65-G65,0)</f>
        <v>0</v>
      </c>
      <c r="I65" s="2111">
        <f>IF(F65&lt;G65,ABS(F65-G65),0)</f>
        <v>0</v>
      </c>
      <c r="J65" s="1850" t="str">
        <f t="shared" si="1"/>
        <v>无</v>
      </c>
      <c r="K65" s="1850" t="str">
        <f>IF(J65="无","",J65&amp;"-"&amp;COUNTIF($J$8:J65,J65))</f>
        <v/>
      </c>
    </row>
    <row r="66" spans="1:11" s="1850" customFormat="1">
      <c r="A66" s="3509"/>
      <c r="B66" s="2351" t="s">
        <v>6241</v>
      </c>
      <c r="C66" s="1815" t="s">
        <v>5312</v>
      </c>
      <c r="D66" s="2095"/>
      <c r="E66" s="2096" t="str">
        <f t="shared" si="0"/>
        <v>末级</v>
      </c>
      <c r="F66" s="2113"/>
      <c r="G66" s="2113"/>
      <c r="H66" s="2110">
        <f>IF(F66&gt;=G66,F66-G66,0)</f>
        <v>0</v>
      </c>
      <c r="I66" s="2111">
        <f>IF(F66&lt;G66,ABS(F66-G66),0)</f>
        <v>0</v>
      </c>
      <c r="J66" s="1850" t="str">
        <f t="shared" si="1"/>
        <v>无</v>
      </c>
      <c r="K66" s="1850" t="str">
        <f>IF(J66="无","",J66&amp;"-"&amp;COUNTIF($J$8:J66,J66))</f>
        <v/>
      </c>
    </row>
    <row r="67" spans="1:11" s="1850" customFormat="1">
      <c r="A67" s="3509"/>
      <c r="B67" s="2351" t="s">
        <v>6242</v>
      </c>
      <c r="C67" s="1815"/>
      <c r="D67" s="2095"/>
      <c r="E67" s="2096" t="str">
        <f t="shared" si="0"/>
        <v>末级</v>
      </c>
      <c r="F67" s="2113"/>
      <c r="G67" s="2113"/>
      <c r="H67" s="2110">
        <f>IF(F67&gt;=G67,F67-G67,0)</f>
        <v>0</v>
      </c>
      <c r="I67" s="2111">
        <f>IF(F67&lt;G67,ABS(F67-G67),0)</f>
        <v>0</v>
      </c>
      <c r="J67" s="1850" t="str">
        <f t="shared" si="1"/>
        <v>无</v>
      </c>
      <c r="K67" s="1850" t="str">
        <f>IF(J67="无","",J67&amp;"-"&amp;COUNTIF($J$8:J67,J67))</f>
        <v/>
      </c>
    </row>
    <row r="68" spans="1:11" s="1850" customFormat="1" ht="17.25" thickBot="1">
      <c r="A68" s="3510"/>
      <c r="B68" s="2352" t="s">
        <v>6228</v>
      </c>
      <c r="C68" s="2353"/>
      <c r="D68" s="2356"/>
      <c r="E68" s="2353" t="str">
        <f t="shared" si="0"/>
        <v>非末级</v>
      </c>
      <c r="F68" s="2354" t="s">
        <v>133</v>
      </c>
      <c r="G68" s="2354" t="s">
        <v>133</v>
      </c>
      <c r="H68" s="2354">
        <f>SUMIF($B$61:$B$67,"????",H61:H67)</f>
        <v>0</v>
      </c>
      <c r="I68" s="2355">
        <f>SUMIF($B$61:$B$67,"????",I61:I67)</f>
        <v>0</v>
      </c>
      <c r="J68" s="1850" t="str">
        <f t="shared" si="1"/>
        <v>无</v>
      </c>
      <c r="K68" s="1850" t="str">
        <f>IF(J68="无","",J68&amp;"-"&amp;COUNTIF($J$8:J68,J68))</f>
        <v/>
      </c>
    </row>
    <row r="69" spans="1:11">
      <c r="A69" s="3508" t="s">
        <v>6168</v>
      </c>
      <c r="B69" s="2350" t="s">
        <v>6220</v>
      </c>
      <c r="C69" s="2106" t="s">
        <v>6152</v>
      </c>
      <c r="D69" s="2107" t="s">
        <v>6173</v>
      </c>
      <c r="E69" s="2106" t="str">
        <f t="shared" si="0"/>
        <v>末级</v>
      </c>
      <c r="F69" s="2108">
        <f>A105100企业重组及递延纳税事项调整明细表!$C$21+A105100企业重组及递延纳税事项调整明细表!$F$21</f>
        <v>0</v>
      </c>
      <c r="G69" s="2108">
        <f>A105100企业重组及递延纳税事项调整明细表!$D$21+A105100企业重组及递延纳税事项调整明细表!$G$21</f>
        <v>0</v>
      </c>
      <c r="H69" s="2108">
        <f>IF(A105100企业重组及递延纳税事项调整明细表!L38&gt;=0,A105100企业重组及递延纳税事项调整明细表!L38)</f>
        <v>0</v>
      </c>
      <c r="I69" s="2109">
        <f>IF(A105100企业重组及递延纳税事项调整明细表!L38&lt;0,ABS(A105100企业重组及递延纳税事项调整明细表!L38),0)</f>
        <v>0</v>
      </c>
      <c r="J69" s="1850" t="str">
        <f t="shared" si="1"/>
        <v>无</v>
      </c>
      <c r="K69" s="1850" t="str">
        <f>IF(J69="无","",J69&amp;"-"&amp;COUNTIF($J$8:J69,J69))</f>
        <v/>
      </c>
    </row>
    <row r="70" spans="1:11">
      <c r="A70" s="3509"/>
      <c r="B70" s="2351" t="s">
        <v>4345</v>
      </c>
      <c r="C70" s="2096" t="s">
        <v>6153</v>
      </c>
      <c r="D70" s="2095" t="s">
        <v>6174</v>
      </c>
      <c r="E70" s="2096" t="str">
        <f t="shared" si="0"/>
        <v>末级</v>
      </c>
      <c r="F70" s="2110" t="s">
        <v>133</v>
      </c>
      <c r="G70" s="2110" t="s">
        <v>133</v>
      </c>
      <c r="H70" s="2110">
        <f>IF(A105110政策性搬迁纳税调整明细表!$C$27&gt;=0,A105110政策性搬迁纳税调整明细表!$C$27)</f>
        <v>0</v>
      </c>
      <c r="I70" s="2111">
        <f>IF(A105110政策性搬迁纳税调整明细表!$C$27&lt;0,ABS(A105110政策性搬迁纳税调整明细表!$C$27),0)</f>
        <v>0</v>
      </c>
      <c r="J70" s="1850" t="str">
        <f t="shared" si="1"/>
        <v>无</v>
      </c>
      <c r="K70" s="1850" t="str">
        <f>IF(J70="无","",J70&amp;"-"&amp;COUNTIF($J$8:J70,J70))</f>
        <v/>
      </c>
    </row>
    <row r="71" spans="1:11">
      <c r="A71" s="3509"/>
      <c r="B71" s="2351" t="s">
        <v>6221</v>
      </c>
      <c r="C71" s="2096" t="s">
        <v>6154</v>
      </c>
      <c r="D71" s="2095" t="s">
        <v>6175</v>
      </c>
      <c r="E71" s="2096" t="str">
        <f t="shared" si="0"/>
        <v>末级</v>
      </c>
      <c r="F71" s="2110">
        <f>'A105120 特殊行业准备金及纳税调整明细表'!$E$47</f>
        <v>0</v>
      </c>
      <c r="G71" s="2110">
        <f>'A105120 特殊行业准备金及纳税调整明细表'!$F$47</f>
        <v>0</v>
      </c>
      <c r="H71" s="2110">
        <f>IF('A105120 特殊行业准备金及纳税调整明细表'!J64&gt;=0,'A105120 特殊行业准备金及纳税调整明细表'!J64)</f>
        <v>0</v>
      </c>
      <c r="I71" s="2111">
        <f>IF('A105120 特殊行业准备金及纳税调整明细表'!J64&lt;0,ABS('A105120 特殊行业准备金及纳税调整明细表'!J64),0)</f>
        <v>0</v>
      </c>
      <c r="J71" s="1850" t="str">
        <f t="shared" si="1"/>
        <v>无</v>
      </c>
      <c r="K71" s="1850" t="str">
        <f>IF(J71="无","",J71&amp;"-"&amp;COUNTIF($J$8:J71,J71))</f>
        <v/>
      </c>
    </row>
    <row r="72" spans="1:11">
      <c r="A72" s="3509"/>
      <c r="B72" s="2351" t="s">
        <v>6222</v>
      </c>
      <c r="C72" s="2096" t="s">
        <v>6176</v>
      </c>
      <c r="D72" s="2095" t="s">
        <v>6156</v>
      </c>
      <c r="E72" s="2096" t="str">
        <f t="shared" si="0"/>
        <v>末级</v>
      </c>
      <c r="F72" s="2110" t="s">
        <v>133</v>
      </c>
      <c r="G72" s="2110">
        <f>A105010视同销售和房地产开发企业特定业务纳税调整明细表!$C$25</f>
        <v>0</v>
      </c>
      <c r="H72" s="2110">
        <f>IF(A105010视同销售和房地产开发企业特定业务纳税调整明细表!$D$25&gt;=0,A105010视同销售和房地产开发企业特定业务纳税调整明细表!$C$25)</f>
        <v>0</v>
      </c>
      <c r="I72" s="2111">
        <f>IF(A105010视同销售和房地产开发企业特定业务纳税调整明细表!$D$25&lt;0,ABS(A105010视同销售和房地产开发企业特定业务纳税调整明细表!$C$25),0)</f>
        <v>0</v>
      </c>
      <c r="J72" s="1850" t="str">
        <f t="shared" si="1"/>
        <v>无</v>
      </c>
      <c r="K72" s="1850" t="str">
        <f>IF(J72="无","",J72&amp;"-"&amp;COUNTIF($J$8:J72,J72))</f>
        <v/>
      </c>
    </row>
    <row r="73" spans="1:11">
      <c r="A73" s="3509"/>
      <c r="B73" s="2351" t="s">
        <v>6223</v>
      </c>
      <c r="C73" s="2096" t="s">
        <v>6155</v>
      </c>
      <c r="D73" s="2095"/>
      <c r="E73" s="2096" t="str">
        <f t="shared" si="0"/>
        <v>末级</v>
      </c>
      <c r="F73" s="2113"/>
      <c r="G73" s="2113"/>
      <c r="H73" s="2110">
        <f>IF(F73&lt;=G73,G73-F73,0)</f>
        <v>0</v>
      </c>
      <c r="I73" s="2111">
        <f>IF(F73&gt;G73,ABS(G73-F73),0)</f>
        <v>0</v>
      </c>
      <c r="J73" s="1850" t="str">
        <f t="shared" si="1"/>
        <v>无</v>
      </c>
      <c r="K73" s="1850" t="str">
        <f>IF(J73="无","",J73&amp;"-"&amp;COUNTIF($J$8:J73,J73))</f>
        <v/>
      </c>
    </row>
    <row r="74" spans="1:11">
      <c r="A74" s="3509"/>
      <c r="B74" s="2351" t="s">
        <v>6224</v>
      </c>
      <c r="C74" s="2096" t="s">
        <v>5042</v>
      </c>
      <c r="D74" s="2095"/>
      <c r="E74" s="2096" t="str">
        <f t="shared" si="0"/>
        <v>非末级</v>
      </c>
      <c r="F74" s="2110" t="s">
        <v>133</v>
      </c>
      <c r="G74" s="2110" t="s">
        <v>133</v>
      </c>
      <c r="H74" s="2110">
        <f>MAX(0,SUM($H$75:$H$79)-SUM($I$75:$I$79))</f>
        <v>0</v>
      </c>
      <c r="I74" s="2111">
        <f>MAX(0,-SUM(H75:H79)+SUM(I75:I79))</f>
        <v>0</v>
      </c>
      <c r="J74" s="1850" t="str">
        <f t="shared" si="1"/>
        <v>无</v>
      </c>
      <c r="K74" s="1850" t="str">
        <f>IF(J74="无","",J74&amp;"-"&amp;COUNTIF($J$8:J74,J74))</f>
        <v/>
      </c>
    </row>
    <row r="75" spans="1:11" s="1850" customFormat="1">
      <c r="A75" s="3509"/>
      <c r="B75" s="2351" t="s">
        <v>6243</v>
      </c>
      <c r="C75" s="1815"/>
      <c r="D75" s="2095"/>
      <c r="E75" s="2096" t="str">
        <f t="shared" si="0"/>
        <v>末级</v>
      </c>
      <c r="F75" s="2114"/>
      <c r="G75" s="2114"/>
      <c r="H75" s="2110">
        <f>IF(F75&lt;=G75,G75-F75,0)</f>
        <v>0</v>
      </c>
      <c r="I75" s="2111">
        <f>IF(F75&gt;G75,ABS(G75-F75),0)</f>
        <v>0</v>
      </c>
      <c r="J75" s="1850" t="str">
        <f t="shared" si="1"/>
        <v>无</v>
      </c>
      <c r="K75" s="1850" t="str">
        <f>IF(J75="无","",J75&amp;"-"&amp;COUNTIF($J$8:J75,J75))</f>
        <v/>
      </c>
    </row>
    <row r="76" spans="1:11" s="1850" customFormat="1">
      <c r="A76" s="3509"/>
      <c r="B76" s="2351" t="s">
        <v>6244</v>
      </c>
      <c r="C76" s="1815"/>
      <c r="D76" s="2095"/>
      <c r="E76" s="2096" t="str">
        <f t="shared" si="0"/>
        <v>末级</v>
      </c>
      <c r="F76" s="2114"/>
      <c r="G76" s="2114"/>
      <c r="H76" s="2110">
        <f>IF(F76&lt;=G76,G76-F76,0)</f>
        <v>0</v>
      </c>
      <c r="I76" s="2111">
        <f>IF(F76&gt;G76,ABS(G76-F76),0)</f>
        <v>0</v>
      </c>
      <c r="J76" s="1850" t="str">
        <f t="shared" si="1"/>
        <v>无</v>
      </c>
      <c r="K76" s="1850" t="str">
        <f>IF(J76="无","",J76&amp;"-"&amp;COUNTIF($J$8:J76,J76))</f>
        <v/>
      </c>
    </row>
    <row r="77" spans="1:11" s="1850" customFormat="1">
      <c r="A77" s="3509"/>
      <c r="B77" s="2351" t="s">
        <v>6245</v>
      </c>
      <c r="C77" s="1815"/>
      <c r="D77" s="2095"/>
      <c r="E77" s="2096" t="str">
        <f t="shared" si="0"/>
        <v>末级</v>
      </c>
      <c r="F77" s="2114"/>
      <c r="G77" s="2114"/>
      <c r="H77" s="2110">
        <f>IF(F77&lt;=G77,G77-F77,0)</f>
        <v>0</v>
      </c>
      <c r="I77" s="2111">
        <f>IF(F77&gt;G77,ABS(G77-F77),0)</f>
        <v>0</v>
      </c>
      <c r="J77" s="1850" t="str">
        <f t="shared" si="1"/>
        <v>无</v>
      </c>
      <c r="K77" s="1850" t="str">
        <f>IF(J77="无","",J77&amp;"-"&amp;COUNTIF($J$8:J77,J77))</f>
        <v/>
      </c>
    </row>
    <row r="78" spans="1:11" s="1850" customFormat="1">
      <c r="A78" s="3509"/>
      <c r="B78" s="2351" t="s">
        <v>6246</v>
      </c>
      <c r="C78" s="1815"/>
      <c r="D78" s="2095"/>
      <c r="E78" s="2096" t="str">
        <f t="shared" si="0"/>
        <v>末级</v>
      </c>
      <c r="F78" s="2114"/>
      <c r="G78" s="2114"/>
      <c r="H78" s="2110">
        <f>IF(F78&lt;=G78,G78-F78,0)</f>
        <v>0</v>
      </c>
      <c r="I78" s="2111">
        <f>IF(F78&gt;G78,ABS(G78-F78),0)</f>
        <v>0</v>
      </c>
      <c r="J78" s="1850" t="str">
        <f t="shared" si="1"/>
        <v>无</v>
      </c>
      <c r="K78" s="1850" t="str">
        <f>IF(J78="无","",J78&amp;"-"&amp;COUNTIF($J$8:J78,J78))</f>
        <v/>
      </c>
    </row>
    <row r="79" spans="1:11" s="1850" customFormat="1">
      <c r="A79" s="3509"/>
      <c r="B79" s="2351" t="s">
        <v>6247</v>
      </c>
      <c r="C79" s="1815"/>
      <c r="D79" s="2095"/>
      <c r="E79" s="2096" t="str">
        <f t="shared" ref="E79:E94" si="6">IF(COUNTIF($B$8:$B$94,B79&amp;"*")&gt;1,"非末级","末级")</f>
        <v>末级</v>
      </c>
      <c r="F79" s="2114"/>
      <c r="G79" s="2114"/>
      <c r="H79" s="2110">
        <f>IF(F79&lt;=G79,G79-F79,0)</f>
        <v>0</v>
      </c>
      <c r="I79" s="2111">
        <f>IF(F79&gt;G79,ABS(G79-F79),0)</f>
        <v>0</v>
      </c>
      <c r="J79" s="1850" t="str">
        <f t="shared" ref="J79:J94" si="7">IF(E79="末级",IF(AND(H79&lt;&gt;"*",H79&lt;&gt;0),"调增",IF(AND(I79&lt;&gt;"*",I79&lt;&gt;0),"调减","无")),"无")</f>
        <v>无</v>
      </c>
      <c r="K79" s="1850" t="str">
        <f>IF(J79="无","",J79&amp;"-"&amp;COUNTIF($J$8:J79,J79))</f>
        <v/>
      </c>
    </row>
    <row r="80" spans="1:11" s="1850" customFormat="1" ht="17.25" thickBot="1">
      <c r="A80" s="3510"/>
      <c r="B80" s="2352" t="s">
        <v>6228</v>
      </c>
      <c r="C80" s="2353"/>
      <c r="D80" s="2356"/>
      <c r="E80" s="2353" t="str">
        <f t="shared" si="6"/>
        <v>非末级</v>
      </c>
      <c r="F80" s="2354" t="s">
        <v>133</v>
      </c>
      <c r="G80" s="2354" t="s">
        <v>133</v>
      </c>
      <c r="H80" s="2354">
        <f>SUMIF($B$69:$B$79,"????",H69:H79)</f>
        <v>0</v>
      </c>
      <c r="I80" s="2355">
        <f>SUMIF($B$69:$B$79,"????",I69:I79)</f>
        <v>0</v>
      </c>
      <c r="J80" s="1850" t="str">
        <f t="shared" si="7"/>
        <v>无</v>
      </c>
      <c r="K80" s="1850" t="str">
        <f>IF(J80="无","",J80&amp;"-"&amp;COUNTIF($J$8:J80,J80))</f>
        <v/>
      </c>
    </row>
    <row r="81" spans="1:11">
      <c r="A81" s="3504" t="s">
        <v>6171</v>
      </c>
      <c r="B81" s="2350" t="s">
        <v>6225</v>
      </c>
      <c r="C81" s="2106" t="s">
        <v>6259</v>
      </c>
      <c r="D81" s="2106"/>
      <c r="E81" s="2106" t="str">
        <f t="shared" si="6"/>
        <v>非末级</v>
      </c>
      <c r="F81" s="2115" t="s">
        <v>133</v>
      </c>
      <c r="G81" s="2115" t="s">
        <v>133</v>
      </c>
      <c r="H81" s="2108">
        <f>MAX(0,SUM(H82:H86)-SUM(I82:I86))</f>
        <v>0</v>
      </c>
      <c r="I81" s="2109">
        <f>MAX(0,-SUM(H82:H86)+SUM(I82:I86))</f>
        <v>0</v>
      </c>
      <c r="J81" s="1850" t="str">
        <f t="shared" si="7"/>
        <v>无</v>
      </c>
      <c r="K81" s="1850" t="str">
        <f>IF(J81="无","",J81&amp;"-"&amp;COUNTIF($J$8:J81,J81))</f>
        <v/>
      </c>
    </row>
    <row r="82" spans="1:11" s="1850" customFormat="1">
      <c r="A82" s="3505"/>
      <c r="B82" s="2351" t="s">
        <v>6248</v>
      </c>
      <c r="C82" s="1813"/>
      <c r="D82" s="2096"/>
      <c r="E82" s="2096" t="str">
        <f t="shared" si="6"/>
        <v>末级</v>
      </c>
      <c r="F82" s="2113"/>
      <c r="G82" s="2113"/>
      <c r="H82" s="2113"/>
      <c r="I82" s="2112"/>
      <c r="J82" s="1850" t="str">
        <f t="shared" si="7"/>
        <v>无</v>
      </c>
      <c r="K82" s="1850" t="str">
        <f>IF(J82="无","",J82&amp;"-"&amp;COUNTIF($J$8:J82,J82))</f>
        <v/>
      </c>
    </row>
    <row r="83" spans="1:11" s="1850" customFormat="1">
      <c r="A83" s="3505"/>
      <c r="B83" s="2351" t="s">
        <v>6249</v>
      </c>
      <c r="C83" s="1813"/>
      <c r="D83" s="2096"/>
      <c r="E83" s="2096" t="str">
        <f t="shared" si="6"/>
        <v>末级</v>
      </c>
      <c r="F83" s="2113"/>
      <c r="G83" s="2113"/>
      <c r="H83" s="2113"/>
      <c r="I83" s="2112"/>
      <c r="J83" s="1850" t="str">
        <f t="shared" si="7"/>
        <v>无</v>
      </c>
      <c r="K83" s="1850" t="str">
        <f>IF(J83="无","",J83&amp;"-"&amp;COUNTIF($J$8:J83,J83))</f>
        <v/>
      </c>
    </row>
    <row r="84" spans="1:11" s="1850" customFormat="1">
      <c r="A84" s="3505"/>
      <c r="B84" s="2351" t="s">
        <v>6250</v>
      </c>
      <c r="C84" s="1813"/>
      <c r="D84" s="2096"/>
      <c r="E84" s="2096" t="str">
        <f t="shared" si="6"/>
        <v>末级</v>
      </c>
      <c r="F84" s="2113"/>
      <c r="G84" s="2113"/>
      <c r="H84" s="2113"/>
      <c r="I84" s="2112"/>
      <c r="J84" s="1850" t="str">
        <f t="shared" si="7"/>
        <v>无</v>
      </c>
      <c r="K84" s="1850" t="str">
        <f>IF(J84="无","",J84&amp;"-"&amp;COUNTIF($J$8:J84,J84))</f>
        <v/>
      </c>
    </row>
    <row r="85" spans="1:11" s="1850" customFormat="1">
      <c r="A85" s="3505"/>
      <c r="B85" s="2351" t="s">
        <v>6251</v>
      </c>
      <c r="C85" s="1813"/>
      <c r="D85" s="2096"/>
      <c r="E85" s="2096" t="str">
        <f t="shared" si="6"/>
        <v>末级</v>
      </c>
      <c r="F85" s="2113"/>
      <c r="G85" s="2113"/>
      <c r="H85" s="2113"/>
      <c r="I85" s="2112"/>
      <c r="J85" s="1850" t="str">
        <f t="shared" si="7"/>
        <v>无</v>
      </c>
      <c r="K85" s="1850" t="str">
        <f>IF(J85="无","",J85&amp;"-"&amp;COUNTIF($J$8:J85,J85))</f>
        <v/>
      </c>
    </row>
    <row r="86" spans="1:11" s="1850" customFormat="1">
      <c r="A86" s="3505"/>
      <c r="B86" s="2351" t="s">
        <v>6252</v>
      </c>
      <c r="C86" s="1813"/>
      <c r="D86" s="2096"/>
      <c r="E86" s="2096" t="str">
        <f t="shared" si="6"/>
        <v>末级</v>
      </c>
      <c r="F86" s="2113"/>
      <c r="G86" s="2113"/>
      <c r="H86" s="2113"/>
      <c r="I86" s="2112"/>
      <c r="J86" s="1850" t="str">
        <f t="shared" si="7"/>
        <v>无</v>
      </c>
      <c r="K86" s="1850" t="str">
        <f>IF(J86="无","",J86&amp;"-"&amp;COUNTIF($J$8:J86,J86))</f>
        <v/>
      </c>
    </row>
    <row r="87" spans="1:11" s="1850" customFormat="1" ht="17.25" thickBot="1">
      <c r="A87" s="3506"/>
      <c r="B87" s="2352" t="s">
        <v>6228</v>
      </c>
      <c r="C87" s="2353"/>
      <c r="D87" s="2353"/>
      <c r="E87" s="2353" t="str">
        <f t="shared" si="6"/>
        <v>非末级</v>
      </c>
      <c r="F87" s="2354" t="s">
        <v>133</v>
      </c>
      <c r="G87" s="2354" t="s">
        <v>133</v>
      </c>
      <c r="H87" s="2354">
        <f>SUMIF($B$81:$B$86,"????",H81:H86)</f>
        <v>0</v>
      </c>
      <c r="I87" s="2355">
        <f>SUMIF($B$81:$B$86,"????",I81:I86)</f>
        <v>0</v>
      </c>
      <c r="J87" s="1850" t="str">
        <f t="shared" si="7"/>
        <v>无</v>
      </c>
      <c r="K87" s="1850" t="str">
        <f>IF(J87="无","",J87&amp;"-"&amp;COUNTIF($J$8:J87,J87))</f>
        <v/>
      </c>
    </row>
    <row r="88" spans="1:11">
      <c r="A88" s="3504" t="s">
        <v>6172</v>
      </c>
      <c r="B88" s="2350" t="s">
        <v>6226</v>
      </c>
      <c r="C88" s="2106" t="s">
        <v>6258</v>
      </c>
      <c r="D88" s="2106"/>
      <c r="E88" s="2106" t="str">
        <f t="shared" si="6"/>
        <v>非末级</v>
      </c>
      <c r="F88" s="2115" t="s">
        <v>133</v>
      </c>
      <c r="G88" s="2115" t="s">
        <v>133</v>
      </c>
      <c r="H88" s="2108">
        <f>MAX(0,SUM(H89:H93)-SUM(I89:I93))</f>
        <v>0</v>
      </c>
      <c r="I88" s="2109">
        <f>MAX(0,-SUM(H89:H93)+SUM(I89:I93))</f>
        <v>0</v>
      </c>
      <c r="J88" s="1850" t="str">
        <f t="shared" si="7"/>
        <v>无</v>
      </c>
      <c r="K88" s="1850" t="str">
        <f>IF(J88="无","",J88&amp;"-"&amp;COUNTIF($J$8:J88,J88))</f>
        <v/>
      </c>
    </row>
    <row r="89" spans="1:11" s="1850" customFormat="1">
      <c r="A89" s="3505"/>
      <c r="B89" s="2351" t="s">
        <v>6253</v>
      </c>
      <c r="C89" s="1813"/>
      <c r="D89" s="2096"/>
      <c r="E89" s="2096" t="str">
        <f t="shared" si="6"/>
        <v>末级</v>
      </c>
      <c r="F89" s="2113"/>
      <c r="G89" s="2113"/>
      <c r="H89" s="2113"/>
      <c r="I89" s="2112"/>
      <c r="J89" s="1850" t="str">
        <f t="shared" si="7"/>
        <v>无</v>
      </c>
      <c r="K89" s="1850" t="str">
        <f>IF(J89="无","",J89&amp;"-"&amp;COUNTIF($J$8:J89,J89))</f>
        <v/>
      </c>
    </row>
    <row r="90" spans="1:11" s="1850" customFormat="1">
      <c r="A90" s="3505"/>
      <c r="B90" s="2351" t="s">
        <v>6254</v>
      </c>
      <c r="C90" s="1813"/>
      <c r="D90" s="2096"/>
      <c r="E90" s="2096" t="str">
        <f t="shared" si="6"/>
        <v>末级</v>
      </c>
      <c r="F90" s="2113"/>
      <c r="G90" s="2113"/>
      <c r="H90" s="2113"/>
      <c r="I90" s="2112"/>
      <c r="J90" s="1850" t="str">
        <f t="shared" si="7"/>
        <v>无</v>
      </c>
      <c r="K90" s="1850" t="str">
        <f>IF(J90="无","",J90&amp;"-"&amp;COUNTIF($J$8:J90,J90))</f>
        <v/>
      </c>
    </row>
    <row r="91" spans="1:11" s="1850" customFormat="1">
      <c r="A91" s="3505"/>
      <c r="B91" s="2351" t="s">
        <v>6255</v>
      </c>
      <c r="C91" s="1813"/>
      <c r="D91" s="2096"/>
      <c r="E91" s="2096" t="str">
        <f t="shared" si="6"/>
        <v>末级</v>
      </c>
      <c r="F91" s="2113"/>
      <c r="G91" s="2113"/>
      <c r="H91" s="2113"/>
      <c r="I91" s="2112"/>
      <c r="J91" s="1850" t="str">
        <f t="shared" si="7"/>
        <v>无</v>
      </c>
      <c r="K91" s="1850" t="str">
        <f>IF(J91="无","",J91&amp;"-"&amp;COUNTIF($J$8:J91,J91))</f>
        <v/>
      </c>
    </row>
    <row r="92" spans="1:11" s="1850" customFormat="1">
      <c r="A92" s="3505"/>
      <c r="B92" s="2351" t="s">
        <v>6256</v>
      </c>
      <c r="C92" s="1813"/>
      <c r="D92" s="2096"/>
      <c r="E92" s="2096" t="str">
        <f t="shared" si="6"/>
        <v>末级</v>
      </c>
      <c r="F92" s="2113"/>
      <c r="G92" s="2113"/>
      <c r="H92" s="2113"/>
      <c r="I92" s="2112"/>
      <c r="J92" s="1850" t="str">
        <f t="shared" si="7"/>
        <v>无</v>
      </c>
      <c r="K92" s="1850" t="str">
        <f>IF(J92="无","",J92&amp;"-"&amp;COUNTIF($J$8:J92,J92))</f>
        <v/>
      </c>
    </row>
    <row r="93" spans="1:11" s="1850" customFormat="1">
      <c r="A93" s="3505"/>
      <c r="B93" s="2351" t="s">
        <v>6257</v>
      </c>
      <c r="C93" s="1813"/>
      <c r="D93" s="2096"/>
      <c r="E93" s="2096" t="str">
        <f t="shared" si="6"/>
        <v>末级</v>
      </c>
      <c r="F93" s="2113"/>
      <c r="G93" s="2113"/>
      <c r="H93" s="2113"/>
      <c r="I93" s="2112"/>
      <c r="J93" s="1850" t="str">
        <f t="shared" si="7"/>
        <v>无</v>
      </c>
      <c r="K93" s="1850" t="str">
        <f>IF(J93="无","",J93&amp;"-"&amp;COUNTIF($J$8:J93,J93))</f>
        <v/>
      </c>
    </row>
    <row r="94" spans="1:11" ht="17.25" thickBot="1">
      <c r="A94" s="3507"/>
      <c r="B94" s="2357" t="s">
        <v>6228</v>
      </c>
      <c r="C94" s="2358"/>
      <c r="D94" s="2358"/>
      <c r="E94" s="2358" t="str">
        <f t="shared" si="6"/>
        <v>非末级</v>
      </c>
      <c r="F94" s="2359" t="s">
        <v>133</v>
      </c>
      <c r="G94" s="2359" t="s">
        <v>133</v>
      </c>
      <c r="H94" s="2359">
        <f>SUMIF($B$88:$B$93,"????",H88:H93)</f>
        <v>0</v>
      </c>
      <c r="I94" s="2360">
        <f>SUMIF($B$88:$B$93,"????",I88:I93)</f>
        <v>0</v>
      </c>
      <c r="J94" s="1850" t="str">
        <f t="shared" si="7"/>
        <v>无</v>
      </c>
      <c r="K94" s="1850" t="str">
        <f>IF(J94="无","",J94&amp;"-"&amp;COUNTIF($J$8:J94,J94))</f>
        <v/>
      </c>
    </row>
    <row r="95" spans="1:11" ht="17.25" thickBot="1">
      <c r="A95" s="3490" t="s">
        <v>6262</v>
      </c>
      <c r="B95" s="3491"/>
      <c r="C95" s="3491"/>
      <c r="D95" s="2361"/>
      <c r="E95" s="2361"/>
      <c r="F95" s="2362" t="s">
        <v>133</v>
      </c>
      <c r="G95" s="2362" t="s">
        <v>133</v>
      </c>
      <c r="H95" s="2363">
        <f>H25+H60+H68+H80+H87+H94</f>
        <v>0</v>
      </c>
      <c r="I95" s="2364">
        <f>I25+I60+I68+I80+I87+I94</f>
        <v>0</v>
      </c>
      <c r="K95" s="1850"/>
    </row>
  </sheetData>
  <mergeCells count="15">
    <mergeCell ref="A95:C95"/>
    <mergeCell ref="A7:C7"/>
    <mergeCell ref="A5:B5"/>
    <mergeCell ref="G1:I1"/>
    <mergeCell ref="G2:I2"/>
    <mergeCell ref="A1:F2"/>
    <mergeCell ref="C3:F4"/>
    <mergeCell ref="C5:F5"/>
    <mergeCell ref="A3:B4"/>
    <mergeCell ref="A81:A87"/>
    <mergeCell ref="A88:A94"/>
    <mergeCell ref="A8:A25"/>
    <mergeCell ref="A26:A60"/>
    <mergeCell ref="A61:A68"/>
    <mergeCell ref="A69:A80"/>
  </mergeCells>
  <phoneticPr fontId="135" type="noConversion"/>
  <dataValidations count="1">
    <dataValidation allowBlank="1" showErrorMessage="1" sqref="H4">
      <formula1>0</formula1>
      <formula2>0</formula2>
    </dataValidation>
  </dataValidations>
  <printOptions horizontalCentered="1"/>
  <pageMargins left="0.59055118110236215" right="0.59055118110236215" top="0.39370078740157477" bottom="0.39370078740157477" header="0.31496062992125984" footer="0.31496062992125984"/>
  <pageSetup paperSize="9" scale="80" fitToHeight="0" orientation="landscape" blackAndWhite="1" r:id="rId1"/>
  <drawing r:id="rId2"/>
  <legacyDrawing r:id="rId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EE11"/>
  <sheetViews>
    <sheetView topLeftCell="C1" workbookViewId="0">
      <selection activeCell="A4" sqref="A4:L4"/>
    </sheetView>
  </sheetViews>
  <sheetFormatPr defaultColWidth="9" defaultRowHeight="16.5"/>
  <cols>
    <col min="1" max="1" width="10.875" style="565" customWidth="1"/>
    <col min="2" max="2" width="19" style="565" customWidth="1"/>
    <col min="3" max="3" width="10.5" style="565" customWidth="1"/>
    <col min="4" max="4" width="6.75" style="565" customWidth="1"/>
    <col min="5" max="5" width="10.5" style="565" customWidth="1"/>
    <col min="6" max="6" width="6" style="565" customWidth="1"/>
    <col min="7" max="7" width="12.125" style="565" customWidth="1"/>
    <col min="8" max="8" width="9.25" style="565" customWidth="1"/>
    <col min="9" max="9" width="6.75" style="565" customWidth="1"/>
    <col min="10" max="11" width="10.5" style="565" customWidth="1"/>
    <col min="12" max="16384" width="9" style="565"/>
  </cols>
  <sheetData>
    <row r="1" spans="1:135" ht="22.5">
      <c r="A1" s="3537" t="s">
        <v>5313</v>
      </c>
      <c r="B1" s="3537"/>
      <c r="C1" s="3537"/>
      <c r="D1" s="3537"/>
      <c r="E1" s="3537"/>
      <c r="F1" s="3537"/>
      <c r="G1" s="3537"/>
      <c r="H1" s="3537"/>
      <c r="I1" s="3537"/>
      <c r="J1" s="3537"/>
      <c r="K1" s="3537"/>
      <c r="L1" s="3537"/>
    </row>
    <row r="2" spans="1:135">
      <c r="A2" s="1495" t="s">
        <v>5314</v>
      </c>
      <c r="B2" s="3538" t="str">
        <f>基本情况!$C$3</f>
        <v/>
      </c>
      <c r="C2" s="3538"/>
      <c r="D2" s="1496" t="s">
        <v>5315</v>
      </c>
      <c r="E2" s="1497" t="str">
        <f>基本情况!$F$19&amp;""</f>
        <v/>
      </c>
      <c r="F2" s="1496" t="s">
        <v>5316</v>
      </c>
      <c r="G2" s="2413" t="str">
        <f>基本情况!F27</f>
        <v>2018年3月16日</v>
      </c>
      <c r="H2" s="1498" t="s">
        <v>5317</v>
      </c>
      <c r="I2" s="3539">
        <f>基本情况!$C$24</f>
        <v>0</v>
      </c>
      <c r="J2" s="3540"/>
      <c r="K2" s="3540"/>
      <c r="L2" s="3541"/>
    </row>
    <row r="3" spans="1:135">
      <c r="A3" s="1499" t="s">
        <v>5318</v>
      </c>
      <c r="B3" s="3542" t="str">
        <f>基本情况!$F$6&amp;"年度"</f>
        <v>2017年度</v>
      </c>
      <c r="C3" s="3542"/>
      <c r="D3" s="1500" t="s">
        <v>5319</v>
      </c>
      <c r="E3" s="1501" t="str">
        <f>基本情况!$F$18&amp;""</f>
        <v/>
      </c>
      <c r="F3" s="1500" t="s">
        <v>5316</v>
      </c>
      <c r="G3" s="2414" t="str">
        <f>基本情况!F28</f>
        <v>2018年5月4日</v>
      </c>
      <c r="H3" s="1502"/>
      <c r="I3" s="1502"/>
      <c r="J3" s="1503" t="s">
        <v>5320</v>
      </c>
      <c r="K3" s="3543" t="str">
        <f>开始!L4</f>
        <v>AD-02</v>
      </c>
      <c r="L3" s="3544"/>
    </row>
    <row r="4" spans="1:135" ht="6.75" customHeight="1">
      <c r="A4" s="3534"/>
      <c r="B4" s="3535"/>
      <c r="C4" s="3535"/>
      <c r="D4" s="3535"/>
      <c r="E4" s="3535"/>
      <c r="F4" s="3535"/>
      <c r="G4" s="3535"/>
      <c r="H4" s="3535"/>
      <c r="I4" s="3535"/>
      <c r="J4" s="3535"/>
      <c r="K4" s="3535"/>
      <c r="L4" s="3536"/>
      <c r="M4" s="1406"/>
      <c r="N4" s="1406"/>
      <c r="O4" s="1406"/>
      <c r="P4" s="1406"/>
      <c r="Q4" s="1406"/>
      <c r="R4" s="1406"/>
      <c r="S4" s="1406"/>
      <c r="T4" s="1406"/>
      <c r="U4" s="1406"/>
      <c r="V4" s="1406"/>
      <c r="W4" s="1406"/>
      <c r="X4" s="1406"/>
      <c r="Y4" s="1406"/>
      <c r="Z4" s="1406"/>
      <c r="AA4" s="1406"/>
      <c r="AB4" s="1406"/>
      <c r="AC4" s="1406"/>
      <c r="AD4" s="1406"/>
      <c r="AE4" s="1406"/>
      <c r="AF4" s="1406"/>
      <c r="AG4" s="1406"/>
      <c r="AH4" s="1406"/>
      <c r="AI4" s="1406"/>
      <c r="AJ4" s="1406"/>
      <c r="AK4" s="1406"/>
      <c r="AL4" s="1406"/>
      <c r="AM4" s="1406"/>
      <c r="AN4" s="1406"/>
      <c r="AO4" s="1406"/>
      <c r="AP4" s="1406"/>
      <c r="AQ4" s="1406"/>
      <c r="AR4" s="1406"/>
      <c r="AS4" s="1406"/>
      <c r="AT4" s="1406"/>
      <c r="AU4" s="1406"/>
      <c r="AV4" s="1406"/>
      <c r="AW4" s="1406"/>
      <c r="AX4" s="1406"/>
      <c r="AY4" s="1406"/>
      <c r="AZ4" s="1406"/>
      <c r="BA4" s="1406"/>
      <c r="BB4" s="1406"/>
      <c r="BC4" s="1406"/>
      <c r="BD4" s="1406"/>
      <c r="BE4" s="1406"/>
      <c r="BF4" s="1406"/>
      <c r="BG4" s="1406"/>
      <c r="BH4" s="1406"/>
      <c r="BI4" s="1406"/>
      <c r="BJ4" s="1406"/>
      <c r="BK4" s="1406"/>
      <c r="BL4" s="1406"/>
      <c r="BM4" s="1406"/>
      <c r="BN4" s="1406"/>
      <c r="BO4" s="1406"/>
      <c r="BP4" s="1406"/>
      <c r="BQ4" s="1406"/>
      <c r="BR4" s="1406"/>
      <c r="BS4" s="1406"/>
      <c r="BT4" s="1406"/>
      <c r="BU4" s="1406"/>
      <c r="BV4" s="1406"/>
      <c r="BW4" s="1406"/>
      <c r="BX4" s="1406"/>
      <c r="BY4" s="1406"/>
      <c r="BZ4" s="1406"/>
      <c r="CA4" s="1406"/>
      <c r="CB4" s="1406"/>
      <c r="CC4" s="1406"/>
      <c r="CD4" s="1406"/>
      <c r="CE4" s="1406"/>
      <c r="CF4" s="1406"/>
      <c r="CG4" s="1406"/>
      <c r="CH4" s="1406"/>
      <c r="CI4" s="1406"/>
      <c r="CJ4" s="1406"/>
      <c r="CK4" s="1406"/>
      <c r="CL4" s="1406"/>
      <c r="CM4" s="1406"/>
      <c r="CN4" s="1406"/>
      <c r="CO4" s="1406"/>
      <c r="CP4" s="1406"/>
      <c r="CQ4" s="1406"/>
      <c r="CR4" s="1406"/>
      <c r="CS4" s="1406"/>
      <c r="CT4" s="1406"/>
      <c r="CU4" s="1406"/>
      <c r="CV4" s="1406"/>
      <c r="CW4" s="1406"/>
      <c r="CX4" s="1406"/>
      <c r="CY4" s="1406"/>
      <c r="CZ4" s="1406"/>
      <c r="DA4" s="1406"/>
      <c r="DB4" s="1406"/>
      <c r="DC4" s="1406"/>
      <c r="DD4" s="1406"/>
      <c r="DE4" s="1406"/>
      <c r="DF4" s="1406"/>
      <c r="DG4" s="1406"/>
      <c r="DH4" s="1406"/>
      <c r="DI4" s="1406"/>
      <c r="DJ4" s="1406"/>
      <c r="DK4" s="1406"/>
      <c r="DL4" s="1406"/>
      <c r="DM4" s="1406"/>
      <c r="DN4" s="1406"/>
      <c r="DO4" s="1406"/>
      <c r="DP4" s="1406"/>
      <c r="DQ4" s="1406"/>
      <c r="DR4" s="1406"/>
      <c r="DS4" s="1406"/>
      <c r="DT4" s="1406"/>
      <c r="DU4" s="1406"/>
      <c r="DV4" s="1406"/>
      <c r="DW4" s="1406"/>
      <c r="DX4" s="1406"/>
      <c r="DY4" s="1406"/>
      <c r="DZ4" s="1406"/>
      <c r="EA4" s="1406"/>
      <c r="EB4" s="1406"/>
      <c r="EC4" s="1406"/>
      <c r="ED4" s="1406"/>
      <c r="EE4" s="1406"/>
    </row>
    <row r="5" spans="1:135" ht="39.75" customHeight="1">
      <c r="A5" s="3527" t="s">
        <v>5321</v>
      </c>
      <c r="B5" s="3527"/>
      <c r="C5" s="3528" t="s">
        <v>5322</v>
      </c>
      <c r="D5" s="3528"/>
      <c r="E5" s="3528"/>
      <c r="F5" s="3528" t="s">
        <v>5323</v>
      </c>
      <c r="G5" s="3528"/>
      <c r="H5" s="3528"/>
      <c r="I5" s="3528" t="s">
        <v>5054</v>
      </c>
      <c r="J5" s="3528"/>
      <c r="K5" s="3528"/>
      <c r="L5" s="1504" t="s">
        <v>5324</v>
      </c>
      <c r="M5" s="958" t="s">
        <v>1724</v>
      </c>
    </row>
    <row r="6" spans="1:135" ht="39.75" customHeight="1">
      <c r="A6" s="3529" t="s">
        <v>5035</v>
      </c>
      <c r="B6" s="3530"/>
      <c r="C6" s="3531">
        <f>工资福利!F20</f>
        <v>0</v>
      </c>
      <c r="D6" s="3532"/>
      <c r="E6" s="3532"/>
      <c r="F6" s="3532">
        <f>工资福利!F22</f>
        <v>0</v>
      </c>
      <c r="G6" s="3532"/>
      <c r="H6" s="3532"/>
      <c r="I6" s="3533">
        <f>工资福利!F24</f>
        <v>0</v>
      </c>
      <c r="J6" s="3533"/>
      <c r="K6" s="3533"/>
      <c r="L6" s="1505"/>
    </row>
    <row r="7" spans="1:135" ht="39.75" customHeight="1">
      <c r="A7" s="3519" t="s">
        <v>5325</v>
      </c>
      <c r="B7" s="3520"/>
      <c r="C7" s="3521"/>
      <c r="D7" s="3522"/>
      <c r="E7" s="3522"/>
      <c r="F7" s="3522"/>
      <c r="G7" s="3522"/>
      <c r="H7" s="3522"/>
      <c r="I7" s="3523"/>
      <c r="J7" s="3523"/>
      <c r="K7" s="3523"/>
      <c r="L7" s="1506"/>
    </row>
    <row r="8" spans="1:135" ht="39.75" customHeight="1">
      <c r="A8" s="3519" t="s">
        <v>5326</v>
      </c>
      <c r="B8" s="3520"/>
      <c r="C8" s="3524">
        <f>A105060广告费和业务宣传费跨年度纳税调整明细表!C10</f>
        <v>0</v>
      </c>
      <c r="D8" s="3525"/>
      <c r="E8" s="3525"/>
      <c r="F8" s="3525">
        <f>A105060广告费和业务宣传费跨年度纳税调整明细表!C12</f>
        <v>0</v>
      </c>
      <c r="G8" s="3525"/>
      <c r="H8" s="3525"/>
      <c r="I8" s="3526">
        <f>A105060广告费和业务宣传费跨年度纳税调整明细表!C16</f>
        <v>0</v>
      </c>
      <c r="J8" s="3526"/>
      <c r="K8" s="3526"/>
      <c r="L8" s="1506"/>
    </row>
    <row r="9" spans="1:135" ht="39.75" customHeight="1">
      <c r="A9" s="3511"/>
      <c r="B9" s="3512"/>
      <c r="C9" s="3513"/>
      <c r="D9" s="3514"/>
      <c r="E9" s="3514"/>
      <c r="F9" s="3514"/>
      <c r="G9" s="3514"/>
      <c r="H9" s="3514"/>
      <c r="I9" s="3515"/>
      <c r="J9" s="3515"/>
      <c r="K9" s="3515"/>
      <c r="L9" s="1507"/>
    </row>
    <row r="10" spans="1:135" ht="39.75" customHeight="1">
      <c r="A10" s="3516" t="s">
        <v>5327</v>
      </c>
      <c r="B10" s="3517"/>
      <c r="C10" s="3518">
        <f>SUM(C6:C9)</f>
        <v>0</v>
      </c>
      <c r="D10" s="3518"/>
      <c r="E10" s="3518"/>
      <c r="F10" s="3518">
        <f>SUM(F6:F9)</f>
        <v>0</v>
      </c>
      <c r="G10" s="3518"/>
      <c r="H10" s="3518"/>
      <c r="I10" s="3518">
        <f>SUM(I6:I9)</f>
        <v>0</v>
      </c>
      <c r="J10" s="3518"/>
      <c r="K10" s="3518"/>
      <c r="L10" s="1508"/>
    </row>
    <row r="11" spans="1:135">
      <c r="A11" s="1509"/>
    </row>
  </sheetData>
  <mergeCells count="30">
    <mergeCell ref="A4:L4"/>
    <mergeCell ref="A1:L1"/>
    <mergeCell ref="B2:C2"/>
    <mergeCell ref="I2:L2"/>
    <mergeCell ref="B3:C3"/>
    <mergeCell ref="K3:L3"/>
    <mergeCell ref="A5:B5"/>
    <mergeCell ref="C5:E5"/>
    <mergeCell ref="F5:H5"/>
    <mergeCell ref="I5:K5"/>
    <mergeCell ref="A6:B6"/>
    <mergeCell ref="C6:E6"/>
    <mergeCell ref="F6:H6"/>
    <mergeCell ref="I6:K6"/>
    <mergeCell ref="A7:B7"/>
    <mergeCell ref="C7:E7"/>
    <mergeCell ref="F7:H7"/>
    <mergeCell ref="I7:K7"/>
    <mergeCell ref="A8:B8"/>
    <mergeCell ref="C8:E8"/>
    <mergeCell ref="F8:H8"/>
    <mergeCell ref="I8:K8"/>
    <mergeCell ref="A9:B9"/>
    <mergeCell ref="C9:E9"/>
    <mergeCell ref="F9:H9"/>
    <mergeCell ref="I9:K9"/>
    <mergeCell ref="A10:B10"/>
    <mergeCell ref="C10:E10"/>
    <mergeCell ref="F10:H10"/>
    <mergeCell ref="I10:K10"/>
  </mergeCells>
  <phoneticPr fontId="135" type="noConversion"/>
  <pageMargins left="0.78740157480314998" right="0.35433070866141703" top="0.511811023622047" bottom="0.11811023622047198" header="0.511811023622047" footer="0.511811023622047"/>
  <pageSetup paperSize="9" orientation="landscape" blackAndWhite="1"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EE19"/>
  <sheetViews>
    <sheetView workbookViewId="0">
      <selection activeCell="F3" sqref="F3:G3"/>
    </sheetView>
  </sheetViews>
  <sheetFormatPr defaultColWidth="9" defaultRowHeight="16.5"/>
  <cols>
    <col min="1" max="1" width="10.75" style="565" customWidth="1"/>
    <col min="2" max="2" width="19.25" style="565" customWidth="1"/>
    <col min="3" max="3" width="9" style="565"/>
    <col min="4" max="4" width="13.875" style="565" customWidth="1"/>
    <col min="5" max="5" width="9" style="565"/>
    <col min="6" max="6" width="15" style="565" customWidth="1"/>
    <col min="7" max="16384" width="9" style="565"/>
  </cols>
  <sheetData>
    <row r="1" spans="1:135" ht="22.5">
      <c r="A1" s="3537" t="s">
        <v>5328</v>
      </c>
      <c r="B1" s="3537"/>
      <c r="C1" s="3537"/>
      <c r="D1" s="3537"/>
      <c r="E1" s="3537"/>
      <c r="F1" s="3537"/>
      <c r="G1" s="3537"/>
    </row>
    <row r="2" spans="1:135" ht="22.5">
      <c r="A2" s="1510"/>
      <c r="B2" s="1511"/>
      <c r="C2" s="1512"/>
      <c r="D2" s="1513"/>
      <c r="E2" s="1498" t="s">
        <v>5329</v>
      </c>
      <c r="F2" s="3555" t="str">
        <f>开始!L5</f>
        <v>AD-03</v>
      </c>
      <c r="G2" s="3556"/>
    </row>
    <row r="3" spans="1:135">
      <c r="A3" s="1514" t="s">
        <v>5330</v>
      </c>
      <c r="B3" s="3557" t="str">
        <f>基本情况!$C$3</f>
        <v/>
      </c>
      <c r="C3" s="3557"/>
      <c r="D3" s="1515" t="s">
        <v>5331</v>
      </c>
      <c r="E3" s="1516" t="str">
        <f>基本情况!$F$19&amp;""</f>
        <v/>
      </c>
      <c r="F3" s="3558" t="str">
        <f>基本情况!F27</f>
        <v>2018年3月16日</v>
      </c>
      <c r="G3" s="3559"/>
      <c r="H3" s="1517"/>
    </row>
    <row r="4" spans="1:135">
      <c r="A4" s="1518" t="s">
        <v>5332</v>
      </c>
      <c r="B4" s="3560" t="str">
        <f>基本情况!$C$32</f>
        <v>0</v>
      </c>
      <c r="C4" s="3542"/>
      <c r="D4" s="1503" t="s">
        <v>5333</v>
      </c>
      <c r="E4" s="1519" t="str">
        <f>基本情况!$F$18&amp;""</f>
        <v/>
      </c>
      <c r="F4" s="3561" t="str">
        <f>基本情况!F28</f>
        <v>2018年5月4日</v>
      </c>
      <c r="G4" s="3562"/>
      <c r="H4" s="1520"/>
    </row>
    <row r="5" spans="1:135" ht="6.75" customHeight="1">
      <c r="A5" s="3534"/>
      <c r="B5" s="3535"/>
      <c r="C5" s="3535"/>
      <c r="D5" s="3535"/>
      <c r="E5" s="3535"/>
      <c r="F5" s="3535"/>
      <c r="G5" s="3536"/>
      <c r="H5" s="1521"/>
      <c r="I5" s="1406"/>
      <c r="J5" s="1406"/>
      <c r="K5" s="1406"/>
      <c r="L5" s="1406"/>
      <c r="M5" s="1406"/>
      <c r="N5" s="1406"/>
      <c r="O5" s="1406"/>
      <c r="P5" s="1406"/>
      <c r="Q5" s="1406"/>
      <c r="R5" s="1406"/>
      <c r="S5" s="1406"/>
      <c r="T5" s="1406"/>
      <c r="U5" s="1406"/>
      <c r="V5" s="1406"/>
      <c r="W5" s="1406"/>
      <c r="X5" s="1406"/>
      <c r="Y5" s="1406"/>
      <c r="Z5" s="1406"/>
      <c r="AA5" s="1406"/>
      <c r="AB5" s="1406"/>
      <c r="AC5" s="1406"/>
      <c r="AD5" s="1406"/>
      <c r="AE5" s="1406"/>
      <c r="AF5" s="1406"/>
      <c r="AG5" s="1406"/>
      <c r="AH5" s="1406"/>
      <c r="AI5" s="1406"/>
      <c r="AJ5" s="1406"/>
      <c r="AK5" s="1406"/>
      <c r="AL5" s="1406"/>
      <c r="AM5" s="1406"/>
      <c r="AN5" s="1406"/>
      <c r="AO5" s="1406"/>
      <c r="AP5" s="1406"/>
      <c r="AQ5" s="1406"/>
      <c r="AR5" s="1406"/>
      <c r="AS5" s="1406"/>
      <c r="AT5" s="1406"/>
      <c r="AU5" s="1406"/>
      <c r="AV5" s="1406"/>
      <c r="AW5" s="1406"/>
      <c r="AX5" s="1406"/>
      <c r="AY5" s="1406"/>
      <c r="AZ5" s="1406"/>
      <c r="BA5" s="1406"/>
      <c r="BB5" s="1406"/>
      <c r="BC5" s="1406"/>
      <c r="BD5" s="1406"/>
      <c r="BE5" s="1406"/>
      <c r="BF5" s="1406"/>
      <c r="BG5" s="1406"/>
      <c r="BH5" s="1406"/>
      <c r="BI5" s="1406"/>
      <c r="BJ5" s="1406"/>
      <c r="BK5" s="1406"/>
      <c r="BL5" s="1406"/>
      <c r="BM5" s="1406"/>
      <c r="BN5" s="1406"/>
      <c r="BO5" s="1406"/>
      <c r="BP5" s="1406"/>
      <c r="BQ5" s="1406"/>
      <c r="BR5" s="1406"/>
      <c r="BS5" s="1406"/>
      <c r="BT5" s="1406"/>
      <c r="BU5" s="1406"/>
      <c r="BV5" s="1406"/>
      <c r="BW5" s="1406"/>
      <c r="BX5" s="1406"/>
      <c r="BY5" s="1406"/>
      <c r="BZ5" s="1406"/>
      <c r="CA5" s="1406"/>
      <c r="CB5" s="1406"/>
      <c r="CC5" s="1406"/>
      <c r="CD5" s="1406"/>
      <c r="CE5" s="1406"/>
      <c r="CF5" s="1406"/>
      <c r="CG5" s="1406"/>
      <c r="CH5" s="1406"/>
      <c r="CI5" s="1406"/>
      <c r="CJ5" s="1406"/>
      <c r="CK5" s="1406"/>
      <c r="CL5" s="1406"/>
      <c r="CM5" s="1406"/>
      <c r="CN5" s="1406"/>
      <c r="CO5" s="1406"/>
      <c r="CP5" s="1406"/>
      <c r="CQ5" s="1406"/>
      <c r="CR5" s="1406"/>
      <c r="CS5" s="1406"/>
      <c r="CT5" s="1406"/>
      <c r="CU5" s="1406"/>
      <c r="CV5" s="1406"/>
      <c r="CW5" s="1406"/>
      <c r="CX5" s="1406"/>
      <c r="CY5" s="1406"/>
      <c r="CZ5" s="1406"/>
      <c r="DA5" s="1406"/>
      <c r="DB5" s="1406"/>
      <c r="DC5" s="1406"/>
      <c r="DD5" s="1406"/>
      <c r="DE5" s="1406"/>
      <c r="DF5" s="1406"/>
      <c r="DG5" s="1406"/>
      <c r="DH5" s="1406"/>
      <c r="DI5" s="1406"/>
      <c r="DJ5" s="1406"/>
      <c r="DK5" s="1406"/>
      <c r="DL5" s="1406"/>
      <c r="DM5" s="1406"/>
      <c r="DN5" s="1406"/>
      <c r="DO5" s="1406"/>
      <c r="DP5" s="1406"/>
      <c r="DQ5" s="1406"/>
      <c r="DR5" s="1406"/>
      <c r="DS5" s="1406"/>
      <c r="DT5" s="1406"/>
      <c r="DU5" s="1406"/>
      <c r="DV5" s="1406"/>
      <c r="DW5" s="1406"/>
      <c r="DX5" s="1406"/>
      <c r="DY5" s="1406"/>
      <c r="DZ5" s="1406"/>
      <c r="EA5" s="1406"/>
      <c r="EB5" s="1406"/>
      <c r="EC5" s="1406"/>
      <c r="ED5" s="1406"/>
      <c r="EE5" s="1406"/>
    </row>
    <row r="6" spans="1:135" ht="23.45" customHeight="1">
      <c r="A6" s="3528" t="s">
        <v>750</v>
      </c>
      <c r="B6" s="3528"/>
      <c r="C6" s="3528" t="s">
        <v>5334</v>
      </c>
      <c r="D6" s="3528" t="s">
        <v>5335</v>
      </c>
      <c r="E6" s="3528" t="s">
        <v>5336</v>
      </c>
      <c r="F6" s="3528"/>
      <c r="G6" s="3553" t="s">
        <v>5337</v>
      </c>
      <c r="H6" s="1520"/>
    </row>
    <row r="7" spans="1:135" ht="23.45" customHeight="1">
      <c r="A7" s="3528"/>
      <c r="B7" s="3528"/>
      <c r="C7" s="3528"/>
      <c r="D7" s="3528"/>
      <c r="E7" s="1522" t="s">
        <v>751</v>
      </c>
      <c r="F7" s="1522" t="s">
        <v>4378</v>
      </c>
      <c r="G7" s="3554"/>
      <c r="H7" s="958" t="s">
        <v>1724</v>
      </c>
    </row>
    <row r="8" spans="1:135" ht="31.5" customHeight="1">
      <c r="A8" s="3549" t="s">
        <v>5338</v>
      </c>
      <c r="B8" s="3550"/>
      <c r="C8" s="1523"/>
      <c r="D8" s="1524"/>
      <c r="E8" s="1525"/>
      <c r="F8" s="1524"/>
      <c r="G8" s="1505"/>
    </row>
    <row r="9" spans="1:135" ht="31.5" customHeight="1">
      <c r="A9" s="3551" t="s">
        <v>5339</v>
      </c>
      <c r="B9" s="3552"/>
      <c r="C9" s="1526"/>
      <c r="D9" s="1527"/>
      <c r="E9" s="1528"/>
      <c r="F9" s="1527"/>
      <c r="G9" s="1506"/>
    </row>
    <row r="10" spans="1:135" ht="31.5" customHeight="1">
      <c r="A10" s="3551" t="s">
        <v>5340</v>
      </c>
      <c r="B10" s="3552"/>
      <c r="C10" s="1526"/>
      <c r="D10" s="1527"/>
      <c r="E10" s="1528"/>
      <c r="F10" s="1527"/>
      <c r="G10" s="1506"/>
    </row>
    <row r="11" spans="1:135" ht="31.5" customHeight="1">
      <c r="A11" s="3551" t="s">
        <v>5341</v>
      </c>
      <c r="B11" s="3552"/>
      <c r="C11" s="1526"/>
      <c r="D11" s="1527"/>
      <c r="E11" s="1528"/>
      <c r="F11" s="1527"/>
      <c r="G11" s="1506"/>
    </row>
    <row r="12" spans="1:135" ht="31.5" customHeight="1">
      <c r="A12" s="3545"/>
      <c r="B12" s="3546"/>
      <c r="C12" s="1529"/>
      <c r="D12" s="1530"/>
      <c r="E12" s="1531"/>
      <c r="F12" s="1530"/>
      <c r="G12" s="1506"/>
    </row>
    <row r="13" spans="1:135" ht="31.5" customHeight="1">
      <c r="A13" s="3545"/>
      <c r="B13" s="3546"/>
      <c r="C13" s="1526"/>
      <c r="D13" s="1527"/>
      <c r="E13" s="1528"/>
      <c r="F13" s="1527"/>
      <c r="G13" s="1506"/>
    </row>
    <row r="14" spans="1:135" ht="31.5" customHeight="1">
      <c r="A14" s="3545"/>
      <c r="B14" s="3546"/>
      <c r="C14" s="1526"/>
      <c r="D14" s="1527"/>
      <c r="E14" s="1528"/>
      <c r="F14" s="1527"/>
      <c r="G14" s="1506"/>
    </row>
    <row r="15" spans="1:135" ht="31.5" customHeight="1">
      <c r="A15" s="3545"/>
      <c r="B15" s="3546"/>
      <c r="C15" s="1529"/>
      <c r="D15" s="1530"/>
      <c r="E15" s="1531"/>
      <c r="F15" s="1530"/>
      <c r="G15" s="1506"/>
    </row>
    <row r="16" spans="1:135" ht="31.5" customHeight="1">
      <c r="A16" s="3547"/>
      <c r="B16" s="3548"/>
      <c r="C16" s="1532"/>
      <c r="D16" s="1533"/>
      <c r="E16" s="1534"/>
      <c r="F16" s="1533"/>
      <c r="G16" s="1535"/>
    </row>
    <row r="17" spans="1:7" ht="31.5" customHeight="1">
      <c r="A17" s="3528" t="s">
        <v>5342</v>
      </c>
      <c r="B17" s="3528"/>
      <c r="C17" s="1536"/>
      <c r="D17" s="1537">
        <f>SUM(D8:D16)</f>
        <v>0</v>
      </c>
      <c r="E17" s="1536"/>
      <c r="F17" s="1537">
        <f>SUM(F8:F16)</f>
        <v>0</v>
      </c>
      <c r="G17" s="1508"/>
    </row>
    <row r="18" spans="1:7">
      <c r="A18" s="1538"/>
      <c r="B18" s="1538"/>
      <c r="C18" s="981"/>
      <c r="D18" s="981"/>
      <c r="E18" s="981"/>
      <c r="F18" s="981"/>
      <c r="G18" s="981"/>
    </row>
    <row r="19" spans="1:7">
      <c r="A19" s="1539"/>
      <c r="B19" s="1539"/>
    </row>
  </sheetData>
  <mergeCells count="22">
    <mergeCell ref="A1:G1"/>
    <mergeCell ref="F2:G2"/>
    <mergeCell ref="B3:C3"/>
    <mergeCell ref="F3:G3"/>
    <mergeCell ref="B4:C4"/>
    <mergeCell ref="F4:G4"/>
    <mergeCell ref="A5:G5"/>
    <mergeCell ref="A6:B7"/>
    <mergeCell ref="C6:C7"/>
    <mergeCell ref="D6:D7"/>
    <mergeCell ref="E6:F6"/>
    <mergeCell ref="G6:G7"/>
    <mergeCell ref="A14:B14"/>
    <mergeCell ref="A15:B15"/>
    <mergeCell ref="A16:B16"/>
    <mergeCell ref="A17:B17"/>
    <mergeCell ref="A8:B8"/>
    <mergeCell ref="A9:B9"/>
    <mergeCell ref="A10:B10"/>
    <mergeCell ref="A11:B11"/>
    <mergeCell ref="A12:B12"/>
    <mergeCell ref="A13:B13"/>
  </mergeCells>
  <phoneticPr fontId="135" type="noConversion"/>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2"/>
  <dimension ref="A1:M17"/>
  <sheetViews>
    <sheetView workbookViewId="0">
      <selection activeCell="D9" sqref="D9"/>
    </sheetView>
  </sheetViews>
  <sheetFormatPr defaultColWidth="9" defaultRowHeight="16.5"/>
  <cols>
    <col min="1" max="1" width="3.75" style="565" customWidth="1"/>
    <col min="2" max="2" width="46.25" style="565" customWidth="1"/>
    <col min="3" max="7" width="14.75" style="565" customWidth="1"/>
    <col min="8" max="8" width="12.25" style="565" customWidth="1"/>
    <col min="9" max="16384" width="9" style="565"/>
  </cols>
  <sheetData>
    <row r="1" spans="1:13" ht="25.9" customHeight="1">
      <c r="A1" s="3565" t="s">
        <v>5606</v>
      </c>
      <c r="B1" s="3565"/>
      <c r="C1" s="3565"/>
      <c r="D1" s="3565"/>
      <c r="E1" s="3563" t="str">
        <f>基本情况!$F$10</f>
        <v>厦中汇税审（2018）第DS0001号</v>
      </c>
      <c r="F1" s="3563"/>
      <c r="G1" s="3563"/>
      <c r="H1" s="564"/>
      <c r="I1" s="564"/>
      <c r="J1" s="564"/>
      <c r="K1" s="564"/>
      <c r="L1" s="564"/>
      <c r="M1" s="564"/>
    </row>
    <row r="2" spans="1:13" ht="37.15" customHeight="1">
      <c r="A2" s="3565"/>
      <c r="B2" s="3565"/>
      <c r="C2" s="3565"/>
      <c r="D2" s="3565"/>
      <c r="E2" s="3564" t="str">
        <f>"底稿编号："&amp;开始!$D$6</f>
        <v>底稿编号：BA-04</v>
      </c>
      <c r="F2" s="3564"/>
      <c r="G2" s="3564"/>
      <c r="H2" s="564"/>
      <c r="I2" s="564"/>
      <c r="J2" s="564"/>
      <c r="K2" s="564"/>
      <c r="L2" s="564"/>
      <c r="M2" s="564"/>
    </row>
    <row r="3" spans="1:13">
      <c r="A3" s="624"/>
      <c r="B3" s="3566"/>
      <c r="C3" s="3566"/>
      <c r="D3" s="3566"/>
      <c r="E3" s="3566"/>
      <c r="F3" s="624"/>
      <c r="G3" s="624"/>
      <c r="H3" s="564"/>
      <c r="I3" s="564"/>
      <c r="J3" s="564"/>
      <c r="K3" s="564"/>
      <c r="L3" s="564"/>
      <c r="M3" s="564"/>
    </row>
    <row r="4" spans="1:13">
      <c r="A4" s="624"/>
      <c r="B4" s="3567" t="str">
        <f>"税款所属期间："&amp;基本情况!$F$9</f>
        <v>税款所属期间：2017年01月01日至2017年12月31日</v>
      </c>
      <c r="C4" s="3567"/>
      <c r="D4" s="3567"/>
      <c r="E4" s="3567"/>
      <c r="F4" s="3568" t="s">
        <v>5607</v>
      </c>
      <c r="G4" s="3568"/>
      <c r="H4" s="564"/>
      <c r="I4" s="564"/>
      <c r="J4" s="564"/>
      <c r="K4" s="564"/>
      <c r="L4" s="564"/>
      <c r="M4" s="564"/>
    </row>
    <row r="5" spans="1:13" ht="15.2" customHeight="1">
      <c r="A5" s="2661" t="s">
        <v>147</v>
      </c>
      <c r="B5" s="2661" t="s">
        <v>5608</v>
      </c>
      <c r="C5" s="2661" t="s">
        <v>5609</v>
      </c>
      <c r="D5" s="2661"/>
      <c r="E5" s="2661" t="s">
        <v>5610</v>
      </c>
      <c r="F5" s="2661"/>
      <c r="G5" s="2699" t="s">
        <v>5611</v>
      </c>
      <c r="H5" s="564"/>
      <c r="I5" s="564"/>
      <c r="J5" s="564"/>
      <c r="K5" s="564"/>
      <c r="L5" s="564"/>
      <c r="M5" s="564"/>
    </row>
    <row r="6" spans="1:13" ht="35.25" customHeight="1">
      <c r="A6" s="2661"/>
      <c r="B6" s="2661"/>
      <c r="C6" s="728" t="s">
        <v>5612</v>
      </c>
      <c r="D6" s="568" t="s">
        <v>5105</v>
      </c>
      <c r="E6" s="728" t="s">
        <v>5612</v>
      </c>
      <c r="F6" s="568" t="s">
        <v>5105</v>
      </c>
      <c r="G6" s="2699"/>
      <c r="H6" s="564"/>
      <c r="I6" s="564"/>
      <c r="J6" s="564"/>
      <c r="K6" s="564"/>
      <c r="L6" s="564"/>
      <c r="M6" s="564"/>
    </row>
    <row r="7" spans="1:13" ht="21" customHeight="1">
      <c r="A7" s="2661"/>
      <c r="B7" s="2661"/>
      <c r="C7" s="568">
        <v>1</v>
      </c>
      <c r="D7" s="568">
        <v>2</v>
      </c>
      <c r="E7" s="568">
        <v>3</v>
      </c>
      <c r="F7" s="568">
        <v>4</v>
      </c>
      <c r="G7" s="568">
        <v>5</v>
      </c>
      <c r="H7" s="576" t="s">
        <v>1724</v>
      </c>
      <c r="I7" s="564"/>
      <c r="J7" s="564"/>
      <c r="K7" s="564"/>
      <c r="L7" s="564"/>
      <c r="M7" s="564"/>
    </row>
    <row r="8" spans="1:13" ht="25.5" customHeight="1">
      <c r="A8" s="568">
        <v>1</v>
      </c>
      <c r="B8" s="1252" t="s">
        <v>5613</v>
      </c>
      <c r="C8" s="1640">
        <f>SUM(C9:C11)</f>
        <v>0</v>
      </c>
      <c r="D8" s="1640">
        <f>SUM(D9:D11)</f>
        <v>0</v>
      </c>
      <c r="E8" s="1640">
        <f>SUM(E9:E11)</f>
        <v>0</v>
      </c>
      <c r="F8" s="1640">
        <f>SUM(F9:F11)</f>
        <v>0</v>
      </c>
      <c r="G8" s="1640">
        <f>(F8-D8)-(E8-C8)</f>
        <v>0</v>
      </c>
      <c r="H8" s="564"/>
      <c r="I8" s="564"/>
      <c r="J8" s="564"/>
      <c r="K8" s="564"/>
      <c r="L8" s="564"/>
      <c r="M8" s="564"/>
    </row>
    <row r="9" spans="1:13" ht="25.5" customHeight="1">
      <c r="A9" s="568">
        <v>2</v>
      </c>
      <c r="B9" s="1252" t="s">
        <v>5614</v>
      </c>
      <c r="C9" s="1645"/>
      <c r="D9" s="1645"/>
      <c r="E9" s="1645"/>
      <c r="F9" s="1645"/>
      <c r="G9" s="1640">
        <f t="shared" ref="G9:G16" si="0">(F9-D9)-(E9-C9)</f>
        <v>0</v>
      </c>
      <c r="H9" s="1494" t="s">
        <v>5413</v>
      </c>
      <c r="I9" s="564"/>
      <c r="J9" s="564"/>
      <c r="K9" s="564"/>
      <c r="L9" s="564"/>
      <c r="M9" s="564"/>
    </row>
    <row r="10" spans="1:13" ht="25.5" customHeight="1">
      <c r="A10" s="568">
        <v>3</v>
      </c>
      <c r="B10" s="1252" t="s">
        <v>5615</v>
      </c>
      <c r="C10" s="1645"/>
      <c r="D10" s="1645"/>
      <c r="E10" s="1645"/>
      <c r="F10" s="1645"/>
      <c r="G10" s="1640">
        <f t="shared" si="0"/>
        <v>0</v>
      </c>
      <c r="H10" s="564"/>
      <c r="I10" s="564"/>
      <c r="J10" s="564"/>
      <c r="K10" s="564"/>
      <c r="L10" s="564"/>
      <c r="M10" s="564"/>
    </row>
    <row r="11" spans="1:13" ht="25.5" customHeight="1">
      <c r="A11" s="568">
        <v>4</v>
      </c>
      <c r="B11" s="1252" t="s">
        <v>5616</v>
      </c>
      <c r="C11" s="1645"/>
      <c r="D11" s="1645"/>
      <c r="E11" s="1645"/>
      <c r="F11" s="1645"/>
      <c r="G11" s="1640">
        <f t="shared" si="0"/>
        <v>0</v>
      </c>
      <c r="H11" s="564" t="s">
        <v>4606</v>
      </c>
      <c r="I11" s="564"/>
      <c r="J11" s="564"/>
      <c r="K11" s="564"/>
      <c r="L11" s="564"/>
      <c r="M11" s="564"/>
    </row>
    <row r="12" spans="1:13" ht="25.5" customHeight="1">
      <c r="A12" s="568">
        <v>5</v>
      </c>
      <c r="B12" s="1252" t="s">
        <v>5617</v>
      </c>
      <c r="C12" s="1640">
        <f>SUM(C13:C15)</f>
        <v>0</v>
      </c>
      <c r="D12" s="1640">
        <f>SUM(D13:D15)</f>
        <v>0</v>
      </c>
      <c r="E12" s="1640">
        <f>SUM(E13:E15)</f>
        <v>0</v>
      </c>
      <c r="F12" s="1640">
        <f>SUM(F13:F15)</f>
        <v>0</v>
      </c>
      <c r="G12" s="1640">
        <f>(D12-F12)-(C12-E12)</f>
        <v>0</v>
      </c>
      <c r="H12" s="3336" t="s">
        <v>5618</v>
      </c>
      <c r="I12" s="3336"/>
      <c r="J12" s="3336"/>
      <c r="K12" s="3336"/>
      <c r="L12" s="3336"/>
      <c r="M12" s="3336"/>
    </row>
    <row r="13" spans="1:13" ht="25.5" customHeight="1">
      <c r="A13" s="568">
        <v>6</v>
      </c>
      <c r="B13" s="1252" t="s">
        <v>5619</v>
      </c>
      <c r="C13" s="1645"/>
      <c r="D13" s="1645"/>
      <c r="E13" s="1645"/>
      <c r="F13" s="1645"/>
      <c r="G13" s="1640">
        <f>(D13-F13)-(C13-E13)</f>
        <v>0</v>
      </c>
      <c r="H13" s="3336"/>
      <c r="I13" s="3336"/>
      <c r="J13" s="3336"/>
      <c r="K13" s="3336"/>
      <c r="L13" s="3336"/>
      <c r="M13" s="3336"/>
    </row>
    <row r="14" spans="1:13" ht="25.5" customHeight="1">
      <c r="A14" s="568">
        <v>7</v>
      </c>
      <c r="B14" s="1252" t="s">
        <v>5615</v>
      </c>
      <c r="C14" s="1645"/>
      <c r="D14" s="1645"/>
      <c r="E14" s="1645"/>
      <c r="F14" s="1645"/>
      <c r="G14" s="1640">
        <f>(D14-F14)-(C14-E14)</f>
        <v>0</v>
      </c>
      <c r="H14" s="3336" t="s">
        <v>5620</v>
      </c>
      <c r="I14" s="3336"/>
      <c r="J14" s="3336"/>
      <c r="K14" s="3336"/>
      <c r="L14" s="3336"/>
      <c r="M14" s="3336"/>
    </row>
    <row r="15" spans="1:13" ht="25.5" customHeight="1">
      <c r="A15" s="568">
        <v>8</v>
      </c>
      <c r="B15" s="1252" t="s">
        <v>5621</v>
      </c>
      <c r="C15" s="1645"/>
      <c r="D15" s="1645"/>
      <c r="E15" s="1645"/>
      <c r="F15" s="1645"/>
      <c r="G15" s="1640">
        <f>(D15-F15)-(C15-E15)</f>
        <v>0</v>
      </c>
      <c r="H15" s="564"/>
      <c r="I15" s="564"/>
      <c r="J15" s="564"/>
      <c r="K15" s="564"/>
      <c r="L15" s="564"/>
      <c r="M15" s="564"/>
    </row>
    <row r="16" spans="1:13" ht="25.5" customHeight="1">
      <c r="A16" s="568">
        <v>9</v>
      </c>
      <c r="B16" s="1252" t="s">
        <v>5622</v>
      </c>
      <c r="C16" s="1645"/>
      <c r="D16" s="1645"/>
      <c r="E16" s="1645"/>
      <c r="F16" s="1645"/>
      <c r="G16" s="1640">
        <f t="shared" si="0"/>
        <v>0</v>
      </c>
      <c r="H16" s="564"/>
      <c r="I16" s="564"/>
      <c r="J16" s="564"/>
      <c r="K16" s="564"/>
      <c r="L16" s="564"/>
      <c r="M16" s="564"/>
    </row>
    <row r="17" spans="1:13" ht="29.25" customHeight="1">
      <c r="A17" s="568">
        <v>10</v>
      </c>
      <c r="B17" s="1252" t="s">
        <v>757</v>
      </c>
      <c r="C17" s="1640">
        <f>C8+C12+C16</f>
        <v>0</v>
      </c>
      <c r="D17" s="1640">
        <f>D8+D12+D16</f>
        <v>0</v>
      </c>
      <c r="E17" s="1640">
        <f>E8+E12+E16</f>
        <v>0</v>
      </c>
      <c r="F17" s="1640">
        <f>F8+F12+F16</f>
        <v>0</v>
      </c>
      <c r="G17" s="1640">
        <f>G8+G12+G16</f>
        <v>0</v>
      </c>
      <c r="H17" s="564"/>
      <c r="I17" s="564"/>
      <c r="J17" s="564"/>
      <c r="K17" s="564"/>
      <c r="L17" s="564"/>
      <c r="M17" s="564"/>
    </row>
  </sheetData>
  <sheetProtection selectLockedCells="1" selectUnlockedCells="1"/>
  <mergeCells count="13">
    <mergeCell ref="E1:G1"/>
    <mergeCell ref="E2:G2"/>
    <mergeCell ref="A1:D2"/>
    <mergeCell ref="H12:M13"/>
    <mergeCell ref="H14:M14"/>
    <mergeCell ref="B3:E3"/>
    <mergeCell ref="B4:E4"/>
    <mergeCell ref="F4:G4"/>
    <mergeCell ref="A5:A7"/>
    <mergeCell ref="B5:B7"/>
    <mergeCell ref="C5:D5"/>
    <mergeCell ref="E5:F5"/>
    <mergeCell ref="G5:G6"/>
  </mergeCells>
  <phoneticPr fontId="135" type="noConversion"/>
  <hyperlinks>
    <hyperlink ref="H9" location="利润!A25" display="利润"/>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drawing r:id="rId2"/>
  <legacyDrawing r:id="rId3"/>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1"/>
  <dimension ref="A1:L64"/>
  <sheetViews>
    <sheetView workbookViewId="0">
      <selection activeCell="F3" sqref="F3:H3"/>
    </sheetView>
  </sheetViews>
  <sheetFormatPr defaultColWidth="9" defaultRowHeight="16.5"/>
  <cols>
    <col min="1" max="1" width="5" style="1446" customWidth="1"/>
    <col min="2" max="2" width="31.125" style="1446" customWidth="1"/>
    <col min="3" max="8" width="13.625" style="1446" customWidth="1"/>
    <col min="9" max="9" width="30.5" style="565" customWidth="1"/>
    <col min="10" max="16384" width="9" style="565"/>
  </cols>
  <sheetData>
    <row r="1" spans="1:12" ht="25.9" customHeight="1">
      <c r="A1" s="3569" t="s">
        <v>5589</v>
      </c>
      <c r="B1" s="3569"/>
      <c r="C1" s="3569"/>
      <c r="D1" s="3569"/>
      <c r="E1" s="3569"/>
      <c r="F1" s="2754" t="str">
        <f>基本情况!$F$10</f>
        <v>厦中汇税审（2018）第DS0001号</v>
      </c>
      <c r="G1" s="2754"/>
      <c r="H1" s="2754"/>
      <c r="I1" s="564"/>
      <c r="J1" s="564"/>
      <c r="K1" s="564"/>
    </row>
    <row r="2" spans="1:12" ht="37.15" customHeight="1">
      <c r="A2" s="3569"/>
      <c r="B2" s="3569"/>
      <c r="C2" s="3569"/>
      <c r="D2" s="3569"/>
      <c r="E2" s="3569"/>
      <c r="F2" s="2949" t="str">
        <f>"底稿编号："&amp;开始!L7</f>
        <v>底稿编号：AD-05</v>
      </c>
      <c r="G2" s="2949"/>
      <c r="H2" s="2949"/>
      <c r="I2" s="564"/>
      <c r="J2" s="564"/>
      <c r="K2" s="564"/>
    </row>
    <row r="3" spans="1:12" ht="27.75" customHeight="1">
      <c r="A3" s="624"/>
      <c r="B3" s="3570" t="str">
        <f>"税款所属期间："&amp;基本情况!$F$9</f>
        <v>税款所属期间：2017年01月01日至2017年12月31日</v>
      </c>
      <c r="C3" s="3570"/>
      <c r="D3" s="3570"/>
      <c r="E3" s="3570"/>
      <c r="F3" s="2724" t="s">
        <v>5590</v>
      </c>
      <c r="G3" s="2724"/>
      <c r="H3" s="2724"/>
      <c r="I3" s="564"/>
      <c r="J3" s="564"/>
      <c r="K3" s="564"/>
    </row>
    <row r="4" spans="1:12" ht="19.5" customHeight="1">
      <c r="A4" s="2661" t="s">
        <v>147</v>
      </c>
      <c r="B4" s="2661" t="s">
        <v>5591</v>
      </c>
      <c r="C4" s="568" t="s">
        <v>4475</v>
      </c>
      <c r="D4" s="568" t="s">
        <v>5592</v>
      </c>
      <c r="E4" s="568" t="s">
        <v>5593</v>
      </c>
      <c r="F4" s="568" t="s">
        <v>4478</v>
      </c>
      <c r="G4" s="568"/>
      <c r="H4" s="568" t="s">
        <v>5488</v>
      </c>
      <c r="I4" s="564"/>
      <c r="J4" s="564"/>
      <c r="K4" s="564"/>
    </row>
    <row r="5" spans="1:12" ht="19.5" customHeight="1">
      <c r="A5" s="2661"/>
      <c r="B5" s="2661"/>
      <c r="C5" s="568">
        <v>1</v>
      </c>
      <c r="D5" s="568">
        <v>2</v>
      </c>
      <c r="E5" s="568">
        <v>3</v>
      </c>
      <c r="F5" s="568">
        <v>4</v>
      </c>
      <c r="G5" s="568">
        <v>5</v>
      </c>
      <c r="H5" s="568">
        <v>6</v>
      </c>
      <c r="I5" s="576" t="s">
        <v>1724</v>
      </c>
      <c r="J5" s="564"/>
      <c r="K5" s="564"/>
    </row>
    <row r="6" spans="1:12" ht="19.5" customHeight="1">
      <c r="A6" s="568">
        <v>1</v>
      </c>
      <c r="B6" s="1252" t="s">
        <v>5594</v>
      </c>
      <c r="C6" s="1639"/>
      <c r="D6" s="1639"/>
      <c r="E6" s="1639"/>
      <c r="F6" s="1639"/>
      <c r="G6" s="1639"/>
      <c r="H6" s="1640">
        <f>E6-D6-G6</f>
        <v>0</v>
      </c>
      <c r="I6" s="564"/>
      <c r="J6" s="564"/>
      <c r="K6" s="564"/>
    </row>
    <row r="7" spans="1:12" ht="19.5" customHeight="1">
      <c r="A7" s="568">
        <v>2</v>
      </c>
      <c r="B7" s="1252" t="s">
        <v>4340</v>
      </c>
      <c r="C7" s="1639"/>
      <c r="D7" s="1639"/>
      <c r="E7" s="1639"/>
      <c r="F7" s="1639"/>
      <c r="G7" s="1639"/>
      <c r="H7" s="1640">
        <f>E7-D7-G7</f>
        <v>0</v>
      </c>
      <c r="I7" s="564"/>
      <c r="J7" s="564"/>
      <c r="K7" s="564"/>
    </row>
    <row r="8" spans="1:12" ht="19.5" customHeight="1">
      <c r="A8" s="568">
        <v>3</v>
      </c>
      <c r="B8" s="1252" t="s">
        <v>5595</v>
      </c>
      <c r="C8" s="1639"/>
      <c r="D8" s="1639"/>
      <c r="E8" s="1639"/>
      <c r="F8" s="1639"/>
      <c r="G8" s="1639"/>
      <c r="H8" s="1640">
        <f t="shared" ref="H8:H21" si="0">E8-D8-G8</f>
        <v>0</v>
      </c>
      <c r="I8" s="564"/>
      <c r="J8" s="564"/>
      <c r="K8" s="564"/>
    </row>
    <row r="9" spans="1:12" ht="19.5" customHeight="1">
      <c r="A9" s="568">
        <v>4</v>
      </c>
      <c r="B9" s="1252" t="s">
        <v>5596</v>
      </c>
      <c r="C9" s="1639"/>
      <c r="D9" s="1639"/>
      <c r="E9" s="1639"/>
      <c r="F9" s="1639"/>
      <c r="G9" s="1639"/>
      <c r="H9" s="1640">
        <f t="shared" si="0"/>
        <v>0</v>
      </c>
      <c r="I9" s="564"/>
      <c r="J9" s="564"/>
      <c r="K9" s="564"/>
    </row>
    <row r="10" spans="1:12" ht="19.5" customHeight="1">
      <c r="A10" s="568">
        <v>5</v>
      </c>
      <c r="B10" s="1252" t="s">
        <v>5597</v>
      </c>
      <c r="C10" s="1639"/>
      <c r="D10" s="1641" t="s">
        <v>133</v>
      </c>
      <c r="E10" s="1639"/>
      <c r="F10" s="1639"/>
      <c r="G10" s="1639"/>
      <c r="H10" s="1642"/>
      <c r="I10" s="570"/>
      <c r="J10" s="564"/>
      <c r="K10" s="564"/>
    </row>
    <row r="11" spans="1:12" ht="19.5" customHeight="1">
      <c r="A11" s="568">
        <v>6</v>
      </c>
      <c r="B11" s="1252" t="s">
        <v>5598</v>
      </c>
      <c r="C11" s="1639"/>
      <c r="D11" s="1639"/>
      <c r="E11" s="1639"/>
      <c r="F11" s="1639"/>
      <c r="G11" s="1639"/>
      <c r="H11" s="1640">
        <f t="shared" si="0"/>
        <v>0</v>
      </c>
      <c r="I11" s="564"/>
      <c r="J11" s="564"/>
      <c r="K11" s="564"/>
    </row>
    <row r="12" spans="1:12" ht="19.5" customHeight="1">
      <c r="A12" s="568">
        <v>7</v>
      </c>
      <c r="B12" s="1252" t="s">
        <v>4342</v>
      </c>
      <c r="C12" s="1639"/>
      <c r="D12" s="1639"/>
      <c r="E12" s="1639"/>
      <c r="F12" s="1639"/>
      <c r="G12" s="1639"/>
      <c r="H12" s="1640">
        <f t="shared" si="0"/>
        <v>0</v>
      </c>
      <c r="I12" s="704"/>
      <c r="J12" s="564"/>
      <c r="K12" s="564"/>
    </row>
    <row r="13" spans="1:12" ht="19.5" customHeight="1">
      <c r="A13" s="568">
        <v>8</v>
      </c>
      <c r="B13" s="1252" t="s">
        <v>5599</v>
      </c>
      <c r="C13" s="1639"/>
      <c r="D13" s="1639"/>
      <c r="E13" s="1639"/>
      <c r="F13" s="1639"/>
      <c r="G13" s="1639"/>
      <c r="H13" s="1640">
        <f t="shared" si="0"/>
        <v>0</v>
      </c>
      <c r="I13" s="564" t="s">
        <v>4606</v>
      </c>
      <c r="J13" s="564"/>
      <c r="K13" s="564"/>
    </row>
    <row r="14" spans="1:12" ht="19.5" customHeight="1">
      <c r="A14" s="568">
        <v>9</v>
      </c>
      <c r="B14" s="1252" t="s">
        <v>4343</v>
      </c>
      <c r="C14" s="1639"/>
      <c r="D14" s="1639"/>
      <c r="E14" s="1639"/>
      <c r="F14" s="1639"/>
      <c r="G14" s="1639"/>
      <c r="H14" s="1640">
        <f t="shared" si="0"/>
        <v>0</v>
      </c>
      <c r="I14" s="3336" t="s">
        <v>5600</v>
      </c>
      <c r="J14" s="3336"/>
      <c r="K14" s="3336"/>
      <c r="L14" s="680"/>
    </row>
    <row r="15" spans="1:12" ht="19.5" customHeight="1">
      <c r="A15" s="568">
        <v>10</v>
      </c>
      <c r="B15" s="1252" t="s">
        <v>5601</v>
      </c>
      <c r="C15" s="1639"/>
      <c r="D15" s="1639"/>
      <c r="E15" s="1639"/>
      <c r="F15" s="1639"/>
      <c r="G15" s="1639"/>
      <c r="H15" s="1640">
        <f t="shared" si="0"/>
        <v>0</v>
      </c>
      <c r="I15" s="3336"/>
      <c r="J15" s="3336"/>
      <c r="K15" s="3336"/>
      <c r="L15" s="680"/>
    </row>
    <row r="16" spans="1:12" ht="19.5" customHeight="1">
      <c r="A16" s="568">
        <v>11</v>
      </c>
      <c r="B16" s="1252" t="s">
        <v>5602</v>
      </c>
      <c r="C16" s="1639"/>
      <c r="D16" s="1639"/>
      <c r="E16" s="1639"/>
      <c r="F16" s="1639"/>
      <c r="G16" s="1639"/>
      <c r="H16" s="1640">
        <f t="shared" si="0"/>
        <v>0</v>
      </c>
      <c r="I16" s="572"/>
      <c r="J16" s="1268"/>
      <c r="K16" s="1268"/>
      <c r="L16" s="680"/>
    </row>
    <row r="17" spans="1:11" ht="19.5" customHeight="1">
      <c r="A17" s="568">
        <v>12</v>
      </c>
      <c r="B17" s="1252" t="s">
        <v>4344</v>
      </c>
      <c r="C17" s="1639"/>
      <c r="D17" s="1639"/>
      <c r="E17" s="1639"/>
      <c r="F17" s="1639"/>
      <c r="G17" s="1639"/>
      <c r="H17" s="1640">
        <f t="shared" si="0"/>
        <v>0</v>
      </c>
      <c r="I17" s="564"/>
      <c r="J17" s="564"/>
      <c r="K17" s="564"/>
    </row>
    <row r="18" spans="1:11" ht="19.5" customHeight="1">
      <c r="A18" s="568">
        <v>13</v>
      </c>
      <c r="B18" s="1252" t="s">
        <v>5603</v>
      </c>
      <c r="C18" s="1639"/>
      <c r="D18" s="1639"/>
      <c r="E18" s="1639"/>
      <c r="F18" s="1639"/>
      <c r="G18" s="1639"/>
      <c r="H18" s="1640">
        <f t="shared" si="0"/>
        <v>0</v>
      </c>
      <c r="I18" s="564"/>
      <c r="J18" s="564"/>
      <c r="K18" s="564"/>
    </row>
    <row r="19" spans="1:11" ht="19.5" customHeight="1">
      <c r="A19" s="568">
        <v>14</v>
      </c>
      <c r="B19" s="1252" t="s">
        <v>5604</v>
      </c>
      <c r="C19" s="1639"/>
      <c r="D19" s="1639"/>
      <c r="E19" s="1639"/>
      <c r="F19" s="1639"/>
      <c r="G19" s="1639"/>
      <c r="H19" s="1640">
        <f t="shared" si="0"/>
        <v>0</v>
      </c>
      <c r="I19" s="564"/>
      <c r="J19" s="564"/>
      <c r="K19" s="564"/>
    </row>
    <row r="20" spans="1:11" ht="19.5" customHeight="1">
      <c r="A20" s="568">
        <v>15</v>
      </c>
      <c r="B20" s="1252" t="s">
        <v>5605</v>
      </c>
      <c r="C20" s="1639"/>
      <c r="D20" s="1639"/>
      <c r="E20" s="1639"/>
      <c r="F20" s="1639"/>
      <c r="G20" s="1639"/>
      <c r="H20" s="1640">
        <f t="shared" si="0"/>
        <v>0</v>
      </c>
      <c r="I20" s="564"/>
      <c r="J20" s="564"/>
      <c r="K20" s="564"/>
    </row>
    <row r="21" spans="1:11" ht="19.5" customHeight="1">
      <c r="A21" s="568">
        <v>16</v>
      </c>
      <c r="B21" s="1252" t="s">
        <v>5042</v>
      </c>
      <c r="C21" s="1639"/>
      <c r="D21" s="1639"/>
      <c r="E21" s="1639"/>
      <c r="F21" s="1639"/>
      <c r="G21" s="1639"/>
      <c r="H21" s="1640">
        <f t="shared" si="0"/>
        <v>0</v>
      </c>
      <c r="I21" s="564"/>
      <c r="J21" s="564"/>
      <c r="K21" s="564"/>
    </row>
    <row r="22" spans="1:11" ht="19.5" customHeight="1">
      <c r="A22" s="568">
        <v>17</v>
      </c>
      <c r="B22" s="1252" t="s">
        <v>757</v>
      </c>
      <c r="C22" s="1640">
        <f>SUM(C6:C21)</f>
        <v>0</v>
      </c>
      <c r="D22" s="1640">
        <f>SUM(D6:D21)</f>
        <v>0</v>
      </c>
      <c r="E22" s="1640">
        <f>SUM(E6:E21)</f>
        <v>0</v>
      </c>
      <c r="F22" s="1640">
        <f>SUM(F6:F21)</f>
        <v>0</v>
      </c>
      <c r="G22" s="1643"/>
      <c r="H22" s="1640">
        <f>SUM(H6:H21)</f>
        <v>0</v>
      </c>
      <c r="I22" s="564"/>
      <c r="J22" s="564"/>
      <c r="K22" s="564"/>
    </row>
    <row r="23" spans="1:11" s="1046" customFormat="1">
      <c r="A23" s="1644"/>
      <c r="B23" s="1644"/>
      <c r="C23" s="1644"/>
      <c r="D23" s="1644"/>
      <c r="E23" s="1644"/>
      <c r="F23" s="1644"/>
      <c r="G23" s="1644"/>
      <c r="H23" s="1644"/>
    </row>
    <row r="24" spans="1:11" s="1046" customFormat="1">
      <c r="A24" s="1644"/>
      <c r="B24" s="1644"/>
      <c r="C24" s="1644"/>
      <c r="D24" s="1644"/>
      <c r="E24" s="1644"/>
      <c r="F24" s="1644"/>
      <c r="G24" s="1644"/>
      <c r="H24" s="1644"/>
    </row>
    <row r="25" spans="1:11" s="1046" customFormat="1">
      <c r="A25" s="1644"/>
      <c r="B25" s="1644"/>
      <c r="C25" s="1644"/>
      <c r="D25" s="1644"/>
      <c r="E25" s="1644"/>
      <c r="F25" s="1644"/>
      <c r="G25" s="1644"/>
      <c r="H25" s="1644"/>
    </row>
    <row r="26" spans="1:11" s="1046" customFormat="1">
      <c r="A26" s="1644"/>
      <c r="B26" s="1644"/>
      <c r="C26" s="1644"/>
      <c r="D26" s="1644"/>
      <c r="E26" s="1644"/>
      <c r="F26" s="1644"/>
      <c r="G26" s="1644"/>
      <c r="H26" s="1644"/>
    </row>
    <row r="27" spans="1:11" s="1046" customFormat="1">
      <c r="A27" s="1644"/>
      <c r="B27" s="1644"/>
      <c r="C27" s="1644"/>
      <c r="D27" s="1644"/>
      <c r="E27" s="1644"/>
      <c r="F27" s="1644"/>
      <c r="G27" s="1644"/>
      <c r="H27" s="1644"/>
    </row>
    <row r="28" spans="1:11" s="1046" customFormat="1">
      <c r="A28" s="1644"/>
      <c r="B28" s="1644"/>
      <c r="C28" s="1644"/>
      <c r="D28" s="1644"/>
      <c r="E28" s="1644"/>
      <c r="F28" s="1644"/>
      <c r="G28" s="1644"/>
      <c r="H28" s="1644"/>
    </row>
    <row r="29" spans="1:11" s="1046" customFormat="1">
      <c r="A29" s="1644"/>
      <c r="B29" s="1644"/>
      <c r="C29" s="1644"/>
      <c r="D29" s="1644"/>
      <c r="E29" s="1644"/>
      <c r="F29" s="1644"/>
      <c r="G29" s="1644"/>
      <c r="H29" s="1644"/>
    </row>
    <row r="30" spans="1:11" s="1046" customFormat="1">
      <c r="A30" s="1644"/>
      <c r="B30" s="1644"/>
      <c r="C30" s="1644"/>
      <c r="D30" s="1644"/>
      <c r="E30" s="1644"/>
      <c r="F30" s="1644"/>
      <c r="G30" s="1644"/>
      <c r="H30" s="1644"/>
    </row>
    <row r="31" spans="1:11" s="1046" customFormat="1">
      <c r="A31" s="1644"/>
      <c r="B31" s="1644"/>
      <c r="C31" s="1644"/>
      <c r="D31" s="1644"/>
      <c r="E31" s="1644"/>
      <c r="F31" s="1644"/>
      <c r="G31" s="1644"/>
      <c r="H31" s="1644"/>
    </row>
    <row r="32" spans="1:11" s="1046" customFormat="1">
      <c r="A32" s="1644"/>
      <c r="B32" s="1644"/>
      <c r="C32" s="1644"/>
      <c r="D32" s="1644"/>
      <c r="E32" s="1644"/>
      <c r="F32" s="1644"/>
      <c r="G32" s="1644"/>
      <c r="H32" s="1644"/>
    </row>
    <row r="33" spans="1:8" s="1046" customFormat="1">
      <c r="A33" s="1644"/>
      <c r="B33" s="1644"/>
      <c r="C33" s="1644"/>
      <c r="D33" s="1644"/>
      <c r="E33" s="1644"/>
      <c r="F33" s="1644"/>
      <c r="G33" s="1644"/>
      <c r="H33" s="1644"/>
    </row>
    <row r="34" spans="1:8" s="1046" customFormat="1">
      <c r="A34" s="1644"/>
      <c r="B34" s="1644"/>
      <c r="C34" s="1644"/>
      <c r="D34" s="1644"/>
      <c r="E34" s="1644"/>
      <c r="F34" s="1644"/>
      <c r="G34" s="1644"/>
      <c r="H34" s="1644"/>
    </row>
    <row r="35" spans="1:8" s="1046" customFormat="1">
      <c r="A35" s="1644"/>
      <c r="B35" s="1644"/>
      <c r="C35" s="1644"/>
      <c r="D35" s="1644"/>
      <c r="E35" s="1644"/>
      <c r="F35" s="1644"/>
      <c r="G35" s="1644"/>
      <c r="H35" s="1644"/>
    </row>
    <row r="36" spans="1:8" s="1046" customFormat="1">
      <c r="A36" s="1644"/>
      <c r="B36" s="1644"/>
      <c r="C36" s="1644"/>
      <c r="D36" s="1644"/>
      <c r="E36" s="1644"/>
      <c r="F36" s="1644"/>
      <c r="G36" s="1644"/>
      <c r="H36" s="1644"/>
    </row>
    <row r="37" spans="1:8" s="1046" customFormat="1">
      <c r="A37" s="1644"/>
      <c r="B37" s="1644"/>
      <c r="C37" s="1644"/>
      <c r="D37" s="1644"/>
      <c r="E37" s="1644"/>
      <c r="F37" s="1644"/>
      <c r="G37" s="1644"/>
      <c r="H37" s="1644"/>
    </row>
    <row r="38" spans="1:8" s="1046" customFormat="1">
      <c r="A38" s="1644"/>
      <c r="B38" s="1644"/>
      <c r="C38" s="1644"/>
      <c r="D38" s="1644"/>
      <c r="E38" s="1644"/>
      <c r="F38" s="1644"/>
      <c r="G38" s="1644"/>
      <c r="H38" s="1644"/>
    </row>
    <row r="39" spans="1:8" s="1046" customFormat="1">
      <c r="A39" s="1644"/>
      <c r="B39" s="1644"/>
      <c r="C39" s="1644"/>
      <c r="D39" s="1644"/>
      <c r="E39" s="1644"/>
      <c r="F39" s="1644"/>
      <c r="G39" s="1644"/>
      <c r="H39" s="1644"/>
    </row>
    <row r="40" spans="1:8" s="1046" customFormat="1">
      <c r="A40" s="1644"/>
      <c r="B40" s="1644"/>
      <c r="C40" s="1644"/>
      <c r="D40" s="1644"/>
      <c r="E40" s="1644"/>
      <c r="F40" s="1644"/>
      <c r="G40" s="1644"/>
      <c r="H40" s="1644"/>
    </row>
    <row r="41" spans="1:8" s="1046" customFormat="1">
      <c r="A41" s="1644"/>
      <c r="B41" s="1644"/>
      <c r="C41" s="1644"/>
      <c r="D41" s="1644"/>
      <c r="E41" s="1644"/>
      <c r="F41" s="1644"/>
      <c r="G41" s="1644"/>
      <c r="H41" s="1644"/>
    </row>
    <row r="42" spans="1:8" s="1046" customFormat="1">
      <c r="A42" s="1644"/>
      <c r="B42" s="1644"/>
      <c r="C42" s="1644"/>
      <c r="D42" s="1644"/>
      <c r="E42" s="1644"/>
      <c r="F42" s="1644"/>
      <c r="G42" s="1644"/>
      <c r="H42" s="1644"/>
    </row>
    <row r="43" spans="1:8" s="1046" customFormat="1">
      <c r="A43" s="1644"/>
      <c r="B43" s="1644"/>
      <c r="C43" s="1644"/>
      <c r="D43" s="1644"/>
      <c r="E43" s="1644"/>
      <c r="F43" s="1644"/>
      <c r="G43" s="1644"/>
      <c r="H43" s="1644"/>
    </row>
    <row r="44" spans="1:8" s="1046" customFormat="1">
      <c r="A44" s="1644"/>
      <c r="B44" s="1644"/>
      <c r="C44" s="1644"/>
      <c r="D44" s="1644"/>
      <c r="E44" s="1644"/>
      <c r="F44" s="1644"/>
      <c r="G44" s="1644"/>
      <c r="H44" s="1644"/>
    </row>
    <row r="45" spans="1:8" s="1046" customFormat="1">
      <c r="A45" s="1644"/>
      <c r="B45" s="1644"/>
      <c r="C45" s="1644"/>
      <c r="D45" s="1644"/>
      <c r="E45" s="1644"/>
      <c r="F45" s="1644"/>
      <c r="G45" s="1644"/>
      <c r="H45" s="1644"/>
    </row>
    <row r="46" spans="1:8" s="1046" customFormat="1">
      <c r="A46" s="1644"/>
      <c r="B46" s="1644"/>
      <c r="C46" s="1644"/>
      <c r="D46" s="1644"/>
      <c r="E46" s="1644"/>
      <c r="F46" s="1644"/>
      <c r="G46" s="1644"/>
      <c r="H46" s="1644"/>
    </row>
    <row r="47" spans="1:8" s="1046" customFormat="1">
      <c r="A47" s="1644"/>
      <c r="B47" s="1644"/>
      <c r="C47" s="1644"/>
      <c r="D47" s="1644"/>
      <c r="E47" s="1644"/>
      <c r="F47" s="1644"/>
      <c r="G47" s="1644"/>
      <c r="H47" s="1644"/>
    </row>
    <row r="48" spans="1:8" s="1046" customFormat="1">
      <c r="A48" s="1644"/>
      <c r="B48" s="1644"/>
      <c r="C48" s="1644"/>
      <c r="D48" s="1644"/>
      <c r="E48" s="1644"/>
      <c r="F48" s="1644"/>
      <c r="G48" s="1644"/>
      <c r="H48" s="1644"/>
    </row>
    <row r="49" spans="1:8" s="1046" customFormat="1">
      <c r="A49" s="1644"/>
      <c r="B49" s="1644"/>
      <c r="C49" s="1644"/>
      <c r="D49" s="1644"/>
      <c r="E49" s="1644"/>
      <c r="F49" s="1644"/>
      <c r="G49" s="1644"/>
      <c r="H49" s="1644"/>
    </row>
    <row r="50" spans="1:8" s="1046" customFormat="1">
      <c r="A50" s="1644"/>
      <c r="B50" s="1644"/>
      <c r="C50" s="1644"/>
      <c r="D50" s="1644"/>
      <c r="E50" s="1644"/>
      <c r="F50" s="1644"/>
      <c r="G50" s="1644"/>
      <c r="H50" s="1644"/>
    </row>
    <row r="51" spans="1:8" s="1046" customFormat="1">
      <c r="A51" s="1644"/>
      <c r="B51" s="1644"/>
      <c r="C51" s="1644"/>
      <c r="D51" s="1644"/>
      <c r="E51" s="1644"/>
      <c r="F51" s="1644"/>
      <c r="G51" s="1644"/>
      <c r="H51" s="1644"/>
    </row>
    <row r="52" spans="1:8" s="1046" customFormat="1">
      <c r="A52" s="1644"/>
      <c r="B52" s="1644"/>
      <c r="C52" s="1644"/>
      <c r="D52" s="1644"/>
      <c r="E52" s="1644"/>
      <c r="F52" s="1644"/>
      <c r="G52" s="1644"/>
      <c r="H52" s="1644"/>
    </row>
    <row r="53" spans="1:8" s="1046" customFormat="1">
      <c r="A53" s="1644"/>
      <c r="B53" s="1644"/>
      <c r="C53" s="1644"/>
      <c r="D53" s="1644"/>
      <c r="E53" s="1644"/>
      <c r="F53" s="1644"/>
      <c r="G53" s="1644"/>
      <c r="H53" s="1644"/>
    </row>
    <row r="54" spans="1:8" s="1046" customFormat="1">
      <c r="A54" s="1644"/>
      <c r="B54" s="1644"/>
      <c r="C54" s="1644"/>
      <c r="D54" s="1644"/>
      <c r="E54" s="1644"/>
      <c r="F54" s="1644"/>
      <c r="G54" s="1644"/>
      <c r="H54" s="1644"/>
    </row>
    <row r="55" spans="1:8" s="1046" customFormat="1">
      <c r="A55" s="1644"/>
      <c r="B55" s="1644"/>
      <c r="C55" s="1644"/>
      <c r="D55" s="1644"/>
      <c r="E55" s="1644"/>
      <c r="F55" s="1644"/>
      <c r="G55" s="1644"/>
      <c r="H55" s="1644"/>
    </row>
    <row r="56" spans="1:8" s="1046" customFormat="1">
      <c r="A56" s="1644"/>
      <c r="B56" s="1644"/>
      <c r="C56" s="1644"/>
      <c r="D56" s="1644"/>
      <c r="E56" s="1644"/>
      <c r="F56" s="1644"/>
      <c r="G56" s="1644"/>
      <c r="H56" s="1644"/>
    </row>
    <row r="57" spans="1:8" s="1046" customFormat="1">
      <c r="A57" s="1644"/>
      <c r="B57" s="1644"/>
      <c r="C57" s="1644"/>
      <c r="D57" s="1644"/>
      <c r="E57" s="1644"/>
      <c r="F57" s="1644"/>
      <c r="G57" s="1644"/>
      <c r="H57" s="1644"/>
    </row>
    <row r="58" spans="1:8" s="1046" customFormat="1">
      <c r="A58" s="1644"/>
      <c r="B58" s="1644"/>
      <c r="C58" s="1644"/>
      <c r="D58" s="1644"/>
      <c r="E58" s="1644"/>
      <c r="F58" s="1644"/>
      <c r="G58" s="1644"/>
      <c r="H58" s="1644"/>
    </row>
    <row r="59" spans="1:8" s="1046" customFormat="1">
      <c r="A59" s="1644"/>
      <c r="B59" s="1644"/>
      <c r="C59" s="1644"/>
      <c r="D59" s="1644"/>
      <c r="E59" s="1644"/>
      <c r="F59" s="1644"/>
      <c r="G59" s="1644"/>
      <c r="H59" s="1644"/>
    </row>
    <row r="60" spans="1:8" s="1046" customFormat="1">
      <c r="A60" s="1644"/>
      <c r="B60" s="1644"/>
      <c r="C60" s="1644"/>
      <c r="D60" s="1644"/>
      <c r="E60" s="1644"/>
      <c r="F60" s="1644"/>
      <c r="G60" s="1644"/>
      <c r="H60" s="1644"/>
    </row>
    <row r="61" spans="1:8" s="1046" customFormat="1">
      <c r="A61" s="1644"/>
      <c r="B61" s="1644"/>
      <c r="C61" s="1644"/>
      <c r="D61" s="1644"/>
      <c r="E61" s="1644"/>
      <c r="F61" s="1644"/>
      <c r="G61" s="1644"/>
      <c r="H61" s="1644"/>
    </row>
    <row r="62" spans="1:8" s="1046" customFormat="1">
      <c r="A62" s="1644"/>
      <c r="B62" s="1644"/>
      <c r="C62" s="1644"/>
      <c r="D62" s="1644"/>
      <c r="E62" s="1644"/>
      <c r="F62" s="1644"/>
      <c r="G62" s="1644"/>
      <c r="H62" s="1644"/>
    </row>
    <row r="63" spans="1:8" s="1046" customFormat="1">
      <c r="A63" s="1644"/>
      <c r="B63" s="1644"/>
      <c r="C63" s="1644"/>
      <c r="D63" s="1644"/>
      <c r="E63" s="1644"/>
      <c r="F63" s="1644"/>
      <c r="G63" s="1644"/>
      <c r="H63" s="1644"/>
    </row>
    <row r="64" spans="1:8" s="1046" customFormat="1">
      <c r="A64" s="1644"/>
      <c r="B64" s="1644"/>
      <c r="C64" s="1644"/>
      <c r="D64" s="1644"/>
      <c r="E64" s="1644"/>
      <c r="F64" s="1644"/>
      <c r="G64" s="1644"/>
      <c r="H64" s="1644"/>
    </row>
  </sheetData>
  <sheetProtection selectLockedCells="1" selectUnlockedCells="1"/>
  <mergeCells count="8">
    <mergeCell ref="F1:H1"/>
    <mergeCell ref="F2:H2"/>
    <mergeCell ref="A1:E2"/>
    <mergeCell ref="I14:K15"/>
    <mergeCell ref="B3:E3"/>
    <mergeCell ref="F3:H3"/>
    <mergeCell ref="A4:A5"/>
    <mergeCell ref="B4:B5"/>
  </mergeCells>
  <phoneticPr fontId="135" type="noConversion"/>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drawing r:id="rId2"/>
  <legacyDrawing r:id="rId3"/>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4">
    <tabColor rgb="FFFFFF00"/>
    <pageSetUpPr fitToPage="1"/>
  </sheetPr>
  <dimension ref="A1:EE62"/>
  <sheetViews>
    <sheetView workbookViewId="0">
      <selection activeCell="D3" sqref="D3"/>
    </sheetView>
  </sheetViews>
  <sheetFormatPr defaultRowHeight="14.25"/>
  <cols>
    <col min="1" max="1" width="9.25" style="1565" customWidth="1"/>
    <col min="2" max="2" width="40" style="575" customWidth="1"/>
    <col min="3" max="4" width="15.875" style="1565" customWidth="1"/>
    <col min="5" max="5" width="19.125" style="575" customWidth="1"/>
    <col min="6" max="256" width="9" style="575"/>
    <col min="257" max="257" width="5.25" style="575" customWidth="1"/>
    <col min="258" max="258" width="54.25" style="575" customWidth="1"/>
    <col min="259" max="260" width="10.5" style="575" customWidth="1"/>
    <col min="261" max="261" width="26.875" style="575" customWidth="1"/>
    <col min="262" max="512" width="9" style="575"/>
    <col min="513" max="513" width="5.25" style="575" customWidth="1"/>
    <col min="514" max="514" width="54.25" style="575" customWidth="1"/>
    <col min="515" max="516" width="10.5" style="575" customWidth="1"/>
    <col min="517" max="517" width="26.875" style="575" customWidth="1"/>
    <col min="518" max="768" width="9" style="575"/>
    <col min="769" max="769" width="5.25" style="575" customWidth="1"/>
    <col min="770" max="770" width="54.25" style="575" customWidth="1"/>
    <col min="771" max="772" width="10.5" style="575" customWidth="1"/>
    <col min="773" max="773" width="26.875" style="575" customWidth="1"/>
    <col min="774" max="1024" width="9" style="575"/>
    <col min="1025" max="1025" width="5.25" style="575" customWidth="1"/>
    <col min="1026" max="1026" width="54.25" style="575" customWidth="1"/>
    <col min="1027" max="1028" width="10.5" style="575" customWidth="1"/>
    <col min="1029" max="1029" width="26.875" style="575" customWidth="1"/>
    <col min="1030" max="1280" width="9" style="575"/>
    <col min="1281" max="1281" width="5.25" style="575" customWidth="1"/>
    <col min="1282" max="1282" width="54.25" style="575" customWidth="1"/>
    <col min="1283" max="1284" width="10.5" style="575" customWidth="1"/>
    <col min="1285" max="1285" width="26.875" style="575" customWidth="1"/>
    <col min="1286" max="1536" width="9" style="575"/>
    <col min="1537" max="1537" width="5.25" style="575" customWidth="1"/>
    <col min="1538" max="1538" width="54.25" style="575" customWidth="1"/>
    <col min="1539" max="1540" width="10.5" style="575" customWidth="1"/>
    <col min="1541" max="1541" width="26.875" style="575" customWidth="1"/>
    <col min="1542" max="1792" width="9" style="575"/>
    <col min="1793" max="1793" width="5.25" style="575" customWidth="1"/>
    <col min="1794" max="1794" width="54.25" style="575" customWidth="1"/>
    <col min="1795" max="1796" width="10.5" style="575" customWidth="1"/>
    <col min="1797" max="1797" width="26.875" style="575" customWidth="1"/>
    <col min="1798" max="2048" width="9" style="575"/>
    <col min="2049" max="2049" width="5.25" style="575" customWidth="1"/>
    <col min="2050" max="2050" width="54.25" style="575" customWidth="1"/>
    <col min="2051" max="2052" width="10.5" style="575" customWidth="1"/>
    <col min="2053" max="2053" width="26.875" style="575" customWidth="1"/>
    <col min="2054" max="2304" width="9" style="575"/>
    <col min="2305" max="2305" width="5.25" style="575" customWidth="1"/>
    <col min="2306" max="2306" width="54.25" style="575" customWidth="1"/>
    <col min="2307" max="2308" width="10.5" style="575" customWidth="1"/>
    <col min="2309" max="2309" width="26.875" style="575" customWidth="1"/>
    <col min="2310" max="2560" width="9" style="575"/>
    <col min="2561" max="2561" width="5.25" style="575" customWidth="1"/>
    <col min="2562" max="2562" width="54.25" style="575" customWidth="1"/>
    <col min="2563" max="2564" width="10.5" style="575" customWidth="1"/>
    <col min="2565" max="2565" width="26.875" style="575" customWidth="1"/>
    <col min="2566" max="2816" width="9" style="575"/>
    <col min="2817" max="2817" width="5.25" style="575" customWidth="1"/>
    <col min="2818" max="2818" width="54.25" style="575" customWidth="1"/>
    <col min="2819" max="2820" width="10.5" style="575" customWidth="1"/>
    <col min="2821" max="2821" width="26.875" style="575" customWidth="1"/>
    <col min="2822" max="3072" width="9" style="575"/>
    <col min="3073" max="3073" width="5.25" style="575" customWidth="1"/>
    <col min="3074" max="3074" width="54.25" style="575" customWidth="1"/>
    <col min="3075" max="3076" width="10.5" style="575" customWidth="1"/>
    <col min="3077" max="3077" width="26.875" style="575" customWidth="1"/>
    <col min="3078" max="3328" width="9" style="575"/>
    <col min="3329" max="3329" width="5.25" style="575" customWidth="1"/>
    <col min="3330" max="3330" width="54.25" style="575" customWidth="1"/>
    <col min="3331" max="3332" width="10.5" style="575" customWidth="1"/>
    <col min="3333" max="3333" width="26.875" style="575" customWidth="1"/>
    <col min="3334" max="3584" width="9" style="575"/>
    <col min="3585" max="3585" width="5.25" style="575" customWidth="1"/>
    <col min="3586" max="3586" width="54.25" style="575" customWidth="1"/>
    <col min="3587" max="3588" width="10.5" style="575" customWidth="1"/>
    <col min="3589" max="3589" width="26.875" style="575" customWidth="1"/>
    <col min="3590" max="3840" width="9" style="575"/>
    <col min="3841" max="3841" width="5.25" style="575" customWidth="1"/>
    <col min="3842" max="3842" width="54.25" style="575" customWidth="1"/>
    <col min="3843" max="3844" width="10.5" style="575" customWidth="1"/>
    <col min="3845" max="3845" width="26.875" style="575" customWidth="1"/>
    <col min="3846" max="4096" width="9" style="575"/>
    <col min="4097" max="4097" width="5.25" style="575" customWidth="1"/>
    <col min="4098" max="4098" width="54.25" style="575" customWidth="1"/>
    <col min="4099" max="4100" width="10.5" style="575" customWidth="1"/>
    <col min="4101" max="4101" width="26.875" style="575" customWidth="1"/>
    <col min="4102" max="4352" width="9" style="575"/>
    <col min="4353" max="4353" width="5.25" style="575" customWidth="1"/>
    <col min="4354" max="4354" width="54.25" style="575" customWidth="1"/>
    <col min="4355" max="4356" width="10.5" style="575" customWidth="1"/>
    <col min="4357" max="4357" width="26.875" style="575" customWidth="1"/>
    <col min="4358" max="4608" width="9" style="575"/>
    <col min="4609" max="4609" width="5.25" style="575" customWidth="1"/>
    <col min="4610" max="4610" width="54.25" style="575" customWidth="1"/>
    <col min="4611" max="4612" width="10.5" style="575" customWidth="1"/>
    <col min="4613" max="4613" width="26.875" style="575" customWidth="1"/>
    <col min="4614" max="4864" width="9" style="575"/>
    <col min="4865" max="4865" width="5.25" style="575" customWidth="1"/>
    <col min="4866" max="4866" width="54.25" style="575" customWidth="1"/>
    <col min="4867" max="4868" width="10.5" style="575" customWidth="1"/>
    <col min="4869" max="4869" width="26.875" style="575" customWidth="1"/>
    <col min="4870" max="5120" width="9" style="575"/>
    <col min="5121" max="5121" width="5.25" style="575" customWidth="1"/>
    <col min="5122" max="5122" width="54.25" style="575" customWidth="1"/>
    <col min="5123" max="5124" width="10.5" style="575" customWidth="1"/>
    <col min="5125" max="5125" width="26.875" style="575" customWidth="1"/>
    <col min="5126" max="5376" width="9" style="575"/>
    <col min="5377" max="5377" width="5.25" style="575" customWidth="1"/>
    <col min="5378" max="5378" width="54.25" style="575" customWidth="1"/>
    <col min="5379" max="5380" width="10.5" style="575" customWidth="1"/>
    <col min="5381" max="5381" width="26.875" style="575" customWidth="1"/>
    <col min="5382" max="5632" width="9" style="575"/>
    <col min="5633" max="5633" width="5.25" style="575" customWidth="1"/>
    <col min="5634" max="5634" width="54.25" style="575" customWidth="1"/>
    <col min="5635" max="5636" width="10.5" style="575" customWidth="1"/>
    <col min="5637" max="5637" width="26.875" style="575" customWidth="1"/>
    <col min="5638" max="5888" width="9" style="575"/>
    <col min="5889" max="5889" width="5.25" style="575" customWidth="1"/>
    <col min="5890" max="5890" width="54.25" style="575" customWidth="1"/>
    <col min="5891" max="5892" width="10.5" style="575" customWidth="1"/>
    <col min="5893" max="5893" width="26.875" style="575" customWidth="1"/>
    <col min="5894" max="6144" width="9" style="575"/>
    <col min="6145" max="6145" width="5.25" style="575" customWidth="1"/>
    <col min="6146" max="6146" width="54.25" style="575" customWidth="1"/>
    <col min="6147" max="6148" width="10.5" style="575" customWidth="1"/>
    <col min="6149" max="6149" width="26.875" style="575" customWidth="1"/>
    <col min="6150" max="6400" width="9" style="575"/>
    <col min="6401" max="6401" width="5.25" style="575" customWidth="1"/>
    <col min="6402" max="6402" width="54.25" style="575" customWidth="1"/>
    <col min="6403" max="6404" width="10.5" style="575" customWidth="1"/>
    <col min="6405" max="6405" width="26.875" style="575" customWidth="1"/>
    <col min="6406" max="6656" width="9" style="575"/>
    <col min="6657" max="6657" width="5.25" style="575" customWidth="1"/>
    <col min="6658" max="6658" width="54.25" style="575" customWidth="1"/>
    <col min="6659" max="6660" width="10.5" style="575" customWidth="1"/>
    <col min="6661" max="6661" width="26.875" style="575" customWidth="1"/>
    <col min="6662" max="6912" width="9" style="575"/>
    <col min="6913" max="6913" width="5.25" style="575" customWidth="1"/>
    <col min="6914" max="6914" width="54.25" style="575" customWidth="1"/>
    <col min="6915" max="6916" width="10.5" style="575" customWidth="1"/>
    <col min="6917" max="6917" width="26.875" style="575" customWidth="1"/>
    <col min="6918" max="7168" width="9" style="575"/>
    <col min="7169" max="7169" width="5.25" style="575" customWidth="1"/>
    <col min="7170" max="7170" width="54.25" style="575" customWidth="1"/>
    <col min="7171" max="7172" width="10.5" style="575" customWidth="1"/>
    <col min="7173" max="7173" width="26.875" style="575" customWidth="1"/>
    <col min="7174" max="7424" width="9" style="575"/>
    <col min="7425" max="7425" width="5.25" style="575" customWidth="1"/>
    <col min="7426" max="7426" width="54.25" style="575" customWidth="1"/>
    <col min="7427" max="7428" width="10.5" style="575" customWidth="1"/>
    <col min="7429" max="7429" width="26.875" style="575" customWidth="1"/>
    <col min="7430" max="7680" width="9" style="575"/>
    <col min="7681" max="7681" width="5.25" style="575" customWidth="1"/>
    <col min="7682" max="7682" width="54.25" style="575" customWidth="1"/>
    <col min="7683" max="7684" width="10.5" style="575" customWidth="1"/>
    <col min="7685" max="7685" width="26.875" style="575" customWidth="1"/>
    <col min="7686" max="7936" width="9" style="575"/>
    <col min="7937" max="7937" width="5.25" style="575" customWidth="1"/>
    <col min="7938" max="7938" width="54.25" style="575" customWidth="1"/>
    <col min="7939" max="7940" width="10.5" style="575" customWidth="1"/>
    <col min="7941" max="7941" width="26.875" style="575" customWidth="1"/>
    <col min="7942" max="8192" width="9" style="575"/>
    <col min="8193" max="8193" width="5.25" style="575" customWidth="1"/>
    <col min="8194" max="8194" width="54.25" style="575" customWidth="1"/>
    <col min="8195" max="8196" width="10.5" style="575" customWidth="1"/>
    <col min="8197" max="8197" width="26.875" style="575" customWidth="1"/>
    <col min="8198" max="8448" width="9" style="575"/>
    <col min="8449" max="8449" width="5.25" style="575" customWidth="1"/>
    <col min="8450" max="8450" width="54.25" style="575" customWidth="1"/>
    <col min="8451" max="8452" width="10.5" style="575" customWidth="1"/>
    <col min="8453" max="8453" width="26.875" style="575" customWidth="1"/>
    <col min="8454" max="8704" width="9" style="575"/>
    <col min="8705" max="8705" width="5.25" style="575" customWidth="1"/>
    <col min="8706" max="8706" width="54.25" style="575" customWidth="1"/>
    <col min="8707" max="8708" width="10.5" style="575" customWidth="1"/>
    <col min="8709" max="8709" width="26.875" style="575" customWidth="1"/>
    <col min="8710" max="8960" width="9" style="575"/>
    <col min="8961" max="8961" width="5.25" style="575" customWidth="1"/>
    <col min="8962" max="8962" width="54.25" style="575" customWidth="1"/>
    <col min="8963" max="8964" width="10.5" style="575" customWidth="1"/>
    <col min="8965" max="8965" width="26.875" style="575" customWidth="1"/>
    <col min="8966" max="9216" width="9" style="575"/>
    <col min="9217" max="9217" width="5.25" style="575" customWidth="1"/>
    <col min="9218" max="9218" width="54.25" style="575" customWidth="1"/>
    <col min="9219" max="9220" width="10.5" style="575" customWidth="1"/>
    <col min="9221" max="9221" width="26.875" style="575" customWidth="1"/>
    <col min="9222" max="9472" width="9" style="575"/>
    <col min="9473" max="9473" width="5.25" style="575" customWidth="1"/>
    <col min="9474" max="9474" width="54.25" style="575" customWidth="1"/>
    <col min="9475" max="9476" width="10.5" style="575" customWidth="1"/>
    <col min="9477" max="9477" width="26.875" style="575" customWidth="1"/>
    <col min="9478" max="9728" width="9" style="575"/>
    <col min="9729" max="9729" width="5.25" style="575" customWidth="1"/>
    <col min="9730" max="9730" width="54.25" style="575" customWidth="1"/>
    <col min="9731" max="9732" width="10.5" style="575" customWidth="1"/>
    <col min="9733" max="9733" width="26.875" style="575" customWidth="1"/>
    <col min="9734" max="9984" width="9" style="575"/>
    <col min="9985" max="9985" width="5.25" style="575" customWidth="1"/>
    <col min="9986" max="9986" width="54.25" style="575" customWidth="1"/>
    <col min="9987" max="9988" width="10.5" style="575" customWidth="1"/>
    <col min="9989" max="9989" width="26.875" style="575" customWidth="1"/>
    <col min="9990" max="10240" width="9" style="575"/>
    <col min="10241" max="10241" width="5.25" style="575" customWidth="1"/>
    <col min="10242" max="10242" width="54.25" style="575" customWidth="1"/>
    <col min="10243" max="10244" width="10.5" style="575" customWidth="1"/>
    <col min="10245" max="10245" width="26.875" style="575" customWidth="1"/>
    <col min="10246" max="10496" width="9" style="575"/>
    <col min="10497" max="10497" width="5.25" style="575" customWidth="1"/>
    <col min="10498" max="10498" width="54.25" style="575" customWidth="1"/>
    <col min="10499" max="10500" width="10.5" style="575" customWidth="1"/>
    <col min="10501" max="10501" width="26.875" style="575" customWidth="1"/>
    <col min="10502" max="10752" width="9" style="575"/>
    <col min="10753" max="10753" width="5.25" style="575" customWidth="1"/>
    <col min="10754" max="10754" width="54.25" style="575" customWidth="1"/>
    <col min="10755" max="10756" width="10.5" style="575" customWidth="1"/>
    <col min="10757" max="10757" width="26.875" style="575" customWidth="1"/>
    <col min="10758" max="11008" width="9" style="575"/>
    <col min="11009" max="11009" width="5.25" style="575" customWidth="1"/>
    <col min="11010" max="11010" width="54.25" style="575" customWidth="1"/>
    <col min="11011" max="11012" width="10.5" style="575" customWidth="1"/>
    <col min="11013" max="11013" width="26.875" style="575" customWidth="1"/>
    <col min="11014" max="11264" width="9" style="575"/>
    <col min="11265" max="11265" width="5.25" style="575" customWidth="1"/>
    <col min="11266" max="11266" width="54.25" style="575" customWidth="1"/>
    <col min="11267" max="11268" width="10.5" style="575" customWidth="1"/>
    <col min="11269" max="11269" width="26.875" style="575" customWidth="1"/>
    <col min="11270" max="11520" width="9" style="575"/>
    <col min="11521" max="11521" width="5.25" style="575" customWidth="1"/>
    <col min="11522" max="11522" width="54.25" style="575" customWidth="1"/>
    <col min="11523" max="11524" width="10.5" style="575" customWidth="1"/>
    <col min="11525" max="11525" width="26.875" style="575" customWidth="1"/>
    <col min="11526" max="11776" width="9" style="575"/>
    <col min="11777" max="11777" width="5.25" style="575" customWidth="1"/>
    <col min="11778" max="11778" width="54.25" style="575" customWidth="1"/>
    <col min="11779" max="11780" width="10.5" style="575" customWidth="1"/>
    <col min="11781" max="11781" width="26.875" style="575" customWidth="1"/>
    <col min="11782" max="12032" width="9" style="575"/>
    <col min="12033" max="12033" width="5.25" style="575" customWidth="1"/>
    <col min="12034" max="12034" width="54.25" style="575" customWidth="1"/>
    <col min="12035" max="12036" width="10.5" style="575" customWidth="1"/>
    <col min="12037" max="12037" width="26.875" style="575" customWidth="1"/>
    <col min="12038" max="12288" width="9" style="575"/>
    <col min="12289" max="12289" width="5.25" style="575" customWidth="1"/>
    <col min="12290" max="12290" width="54.25" style="575" customWidth="1"/>
    <col min="12291" max="12292" width="10.5" style="575" customWidth="1"/>
    <col min="12293" max="12293" width="26.875" style="575" customWidth="1"/>
    <col min="12294" max="12544" width="9" style="575"/>
    <col min="12545" max="12545" width="5.25" style="575" customWidth="1"/>
    <col min="12546" max="12546" width="54.25" style="575" customWidth="1"/>
    <col min="12547" max="12548" width="10.5" style="575" customWidth="1"/>
    <col min="12549" max="12549" width="26.875" style="575" customWidth="1"/>
    <col min="12550" max="12800" width="9" style="575"/>
    <col min="12801" max="12801" width="5.25" style="575" customWidth="1"/>
    <col min="12802" max="12802" width="54.25" style="575" customWidth="1"/>
    <col min="12803" max="12804" width="10.5" style="575" customWidth="1"/>
    <col min="12805" max="12805" width="26.875" style="575" customWidth="1"/>
    <col min="12806" max="13056" width="9" style="575"/>
    <col min="13057" max="13057" width="5.25" style="575" customWidth="1"/>
    <col min="13058" max="13058" width="54.25" style="575" customWidth="1"/>
    <col min="13059" max="13060" width="10.5" style="575" customWidth="1"/>
    <col min="13061" max="13061" width="26.875" style="575" customWidth="1"/>
    <col min="13062" max="13312" width="9" style="575"/>
    <col min="13313" max="13313" width="5.25" style="575" customWidth="1"/>
    <col min="13314" max="13314" width="54.25" style="575" customWidth="1"/>
    <col min="13315" max="13316" width="10.5" style="575" customWidth="1"/>
    <col min="13317" max="13317" width="26.875" style="575" customWidth="1"/>
    <col min="13318" max="13568" width="9" style="575"/>
    <col min="13569" max="13569" width="5.25" style="575" customWidth="1"/>
    <col min="13570" max="13570" width="54.25" style="575" customWidth="1"/>
    <col min="13571" max="13572" width="10.5" style="575" customWidth="1"/>
    <col min="13573" max="13573" width="26.875" style="575" customWidth="1"/>
    <col min="13574" max="13824" width="9" style="575"/>
    <col min="13825" max="13825" width="5.25" style="575" customWidth="1"/>
    <col min="13826" max="13826" width="54.25" style="575" customWidth="1"/>
    <col min="13827" max="13828" width="10.5" style="575" customWidth="1"/>
    <col min="13829" max="13829" width="26.875" style="575" customWidth="1"/>
    <col min="13830" max="14080" width="9" style="575"/>
    <col min="14081" max="14081" width="5.25" style="575" customWidth="1"/>
    <col min="14082" max="14082" width="54.25" style="575" customWidth="1"/>
    <col min="14083" max="14084" width="10.5" style="575" customWidth="1"/>
    <col min="14085" max="14085" width="26.875" style="575" customWidth="1"/>
    <col min="14086" max="14336" width="9" style="575"/>
    <col min="14337" max="14337" width="5.25" style="575" customWidth="1"/>
    <col min="14338" max="14338" width="54.25" style="575" customWidth="1"/>
    <col min="14339" max="14340" width="10.5" style="575" customWidth="1"/>
    <col min="14341" max="14341" width="26.875" style="575" customWidth="1"/>
    <col min="14342" max="14592" width="9" style="575"/>
    <col min="14593" max="14593" width="5.25" style="575" customWidth="1"/>
    <col min="14594" max="14594" width="54.25" style="575" customWidth="1"/>
    <col min="14595" max="14596" width="10.5" style="575" customWidth="1"/>
    <col min="14597" max="14597" width="26.875" style="575" customWidth="1"/>
    <col min="14598" max="14848" width="9" style="575"/>
    <col min="14849" max="14849" width="5.25" style="575" customWidth="1"/>
    <col min="14850" max="14850" width="54.25" style="575" customWidth="1"/>
    <col min="14851" max="14852" width="10.5" style="575" customWidth="1"/>
    <col min="14853" max="14853" width="26.875" style="575" customWidth="1"/>
    <col min="14854" max="15104" width="9" style="575"/>
    <col min="15105" max="15105" width="5.25" style="575" customWidth="1"/>
    <col min="15106" max="15106" width="54.25" style="575" customWidth="1"/>
    <col min="15107" max="15108" width="10.5" style="575" customWidth="1"/>
    <col min="15109" max="15109" width="26.875" style="575" customWidth="1"/>
    <col min="15110" max="15360" width="9" style="575"/>
    <col min="15361" max="15361" width="5.25" style="575" customWidth="1"/>
    <col min="15362" max="15362" width="54.25" style="575" customWidth="1"/>
    <col min="15363" max="15364" width="10.5" style="575" customWidth="1"/>
    <col min="15365" max="15365" width="26.875" style="575" customWidth="1"/>
    <col min="15366" max="15616" width="9" style="575"/>
    <col min="15617" max="15617" width="5.25" style="575" customWidth="1"/>
    <col min="15618" max="15618" width="54.25" style="575" customWidth="1"/>
    <col min="15619" max="15620" width="10.5" style="575" customWidth="1"/>
    <col min="15621" max="15621" width="26.875" style="575" customWidth="1"/>
    <col min="15622" max="15872" width="9" style="575"/>
    <col min="15873" max="15873" width="5.25" style="575" customWidth="1"/>
    <col min="15874" max="15874" width="54.25" style="575" customWidth="1"/>
    <col min="15875" max="15876" width="10.5" style="575" customWidth="1"/>
    <col min="15877" max="15877" width="26.875" style="575" customWidth="1"/>
    <col min="15878" max="16128" width="9" style="575"/>
    <col min="16129" max="16129" width="5.25" style="575" customWidth="1"/>
    <col min="16130" max="16130" width="54.25" style="575" customWidth="1"/>
    <col min="16131" max="16132" width="10.5" style="575" customWidth="1"/>
    <col min="16133" max="16133" width="26.875" style="575" customWidth="1"/>
    <col min="16134" max="16384" width="9" style="575"/>
  </cols>
  <sheetData>
    <row r="1" spans="1:135" ht="25.9" customHeight="1">
      <c r="A1" s="3572" t="s">
        <v>8923</v>
      </c>
      <c r="B1" s="3573"/>
      <c r="C1" s="3573"/>
      <c r="D1" s="2754" t="str">
        <f>基本情况!$F$10</f>
        <v>厦中汇税审（2018）第DS0001号</v>
      </c>
      <c r="E1" s="2754"/>
    </row>
    <row r="2" spans="1:135" ht="37.15" customHeight="1">
      <c r="A2" s="3574"/>
      <c r="B2" s="3574"/>
      <c r="C2" s="3574"/>
      <c r="D2" s="3575" t="str">
        <f>"底稿编号："&amp;开始!L8</f>
        <v>底稿编号：AD-06</v>
      </c>
      <c r="E2" s="3575"/>
    </row>
    <row r="3" spans="1:135" ht="20.100000000000001" customHeight="1">
      <c r="A3" s="1541" t="s">
        <v>5343</v>
      </c>
      <c r="B3" s="1542" t="str">
        <f>基本情况!$C$3</f>
        <v/>
      </c>
      <c r="C3" s="1543" t="s">
        <v>5344</v>
      </c>
      <c r="D3" s="1544" t="str">
        <f>基本情况!$F$19&amp;""</f>
        <v/>
      </c>
      <c r="E3" s="1545" t="str">
        <f>TEXT(基本情况!$F$27,"yyyy-mm-dd")</f>
        <v>2018-03-16</v>
      </c>
    </row>
    <row r="4" spans="1:135" ht="20.100000000000001" customHeight="1">
      <c r="A4" s="1546" t="s">
        <v>5345</v>
      </c>
      <c r="B4" s="1547" t="str">
        <f>基本情况!$F$9</f>
        <v>2017年01月01日至2017年12月31日</v>
      </c>
      <c r="C4" s="1548" t="s">
        <v>5346</v>
      </c>
      <c r="D4" s="1549" t="str">
        <f>基本情况!$F$18&amp;""</f>
        <v/>
      </c>
      <c r="E4" s="1550" t="str">
        <f>TEXT(基本情况!$F$28,"yyyy-mm-dd")</f>
        <v>2018-05-04</v>
      </c>
    </row>
    <row r="5" spans="1:135" s="565" customFormat="1" ht="6.75" customHeight="1">
      <c r="A5" s="3534"/>
      <c r="B5" s="3535"/>
      <c r="C5" s="3535"/>
      <c r="D5" s="3535"/>
      <c r="E5" s="3536"/>
      <c r="F5" s="1521"/>
      <c r="G5" s="1521"/>
      <c r="H5" s="1521"/>
      <c r="I5" s="1406"/>
      <c r="J5" s="1406"/>
      <c r="K5" s="1406"/>
      <c r="L5" s="1406"/>
      <c r="M5" s="1406"/>
      <c r="N5" s="1406"/>
      <c r="O5" s="1406"/>
      <c r="P5" s="1406"/>
      <c r="Q5" s="1406"/>
      <c r="R5" s="1406"/>
      <c r="S5" s="1406"/>
      <c r="T5" s="1406"/>
      <c r="U5" s="1406"/>
      <c r="V5" s="1406"/>
      <c r="W5" s="1406"/>
      <c r="X5" s="1406"/>
      <c r="Y5" s="1406"/>
      <c r="Z5" s="1406"/>
      <c r="AA5" s="1406"/>
      <c r="AB5" s="1406"/>
      <c r="AC5" s="1406"/>
      <c r="AD5" s="1406"/>
      <c r="AE5" s="1406"/>
      <c r="AF5" s="1406"/>
      <c r="AG5" s="1406"/>
      <c r="AH5" s="1406"/>
      <c r="AI5" s="1406"/>
      <c r="AJ5" s="1406"/>
      <c r="AK5" s="1406"/>
      <c r="AL5" s="1406"/>
      <c r="AM5" s="1406"/>
      <c r="AN5" s="1406"/>
      <c r="AO5" s="1406"/>
      <c r="AP5" s="1406"/>
      <c r="AQ5" s="1406"/>
      <c r="AR5" s="1406"/>
      <c r="AS5" s="1406"/>
      <c r="AT5" s="1406"/>
      <c r="AU5" s="1406"/>
      <c r="AV5" s="1406"/>
      <c r="AW5" s="1406"/>
      <c r="AX5" s="1406"/>
      <c r="AY5" s="1406"/>
      <c r="AZ5" s="1406"/>
      <c r="BA5" s="1406"/>
      <c r="BB5" s="1406"/>
      <c r="BC5" s="1406"/>
      <c r="BD5" s="1406"/>
      <c r="BE5" s="1406"/>
      <c r="BF5" s="1406"/>
      <c r="BG5" s="1406"/>
      <c r="BH5" s="1406"/>
      <c r="BI5" s="1406"/>
      <c r="BJ5" s="1406"/>
      <c r="BK5" s="1406"/>
      <c r="BL5" s="1406"/>
      <c r="BM5" s="1406"/>
      <c r="BN5" s="1406"/>
      <c r="BO5" s="1406"/>
      <c r="BP5" s="1406"/>
      <c r="BQ5" s="1406"/>
      <c r="BR5" s="1406"/>
      <c r="BS5" s="1406"/>
      <c r="BT5" s="1406"/>
      <c r="BU5" s="1406"/>
      <c r="BV5" s="1406"/>
      <c r="BW5" s="1406"/>
      <c r="BX5" s="1406"/>
      <c r="BY5" s="1406"/>
      <c r="BZ5" s="1406"/>
      <c r="CA5" s="1406"/>
      <c r="CB5" s="1406"/>
      <c r="CC5" s="1406"/>
      <c r="CD5" s="1406"/>
      <c r="CE5" s="1406"/>
      <c r="CF5" s="1406"/>
      <c r="CG5" s="1406"/>
      <c r="CH5" s="1406"/>
      <c r="CI5" s="1406"/>
      <c r="CJ5" s="1406"/>
      <c r="CK5" s="1406"/>
      <c r="CL5" s="1406"/>
      <c r="CM5" s="1406"/>
      <c r="CN5" s="1406"/>
      <c r="CO5" s="1406"/>
      <c r="CP5" s="1406"/>
      <c r="CQ5" s="1406"/>
      <c r="CR5" s="1406"/>
      <c r="CS5" s="1406"/>
      <c r="CT5" s="1406"/>
      <c r="CU5" s="1406"/>
      <c r="CV5" s="1406"/>
      <c r="CW5" s="1406"/>
      <c r="CX5" s="1406"/>
      <c r="CY5" s="1406"/>
      <c r="CZ5" s="1406"/>
      <c r="DA5" s="1406"/>
      <c r="DB5" s="1406"/>
      <c r="DC5" s="1406"/>
      <c r="DD5" s="1406"/>
      <c r="DE5" s="1406"/>
      <c r="DF5" s="1406"/>
      <c r="DG5" s="1406"/>
      <c r="DH5" s="1406"/>
      <c r="DI5" s="1406"/>
      <c r="DJ5" s="1406"/>
      <c r="DK5" s="1406"/>
      <c r="DL5" s="1406"/>
      <c r="DM5" s="1406"/>
      <c r="DN5" s="1406"/>
      <c r="DO5" s="1406"/>
      <c r="DP5" s="1406"/>
      <c r="DQ5" s="1406"/>
      <c r="DR5" s="1406"/>
      <c r="DS5" s="1406"/>
      <c r="DT5" s="1406"/>
      <c r="DU5" s="1406"/>
      <c r="DV5" s="1406"/>
      <c r="DW5" s="1406"/>
      <c r="DX5" s="1406"/>
      <c r="DY5" s="1406"/>
      <c r="DZ5" s="1406"/>
      <c r="EA5" s="1406"/>
      <c r="EB5" s="1406"/>
      <c r="EC5" s="1406"/>
      <c r="ED5" s="1406"/>
      <c r="EE5" s="1406"/>
    </row>
    <row r="6" spans="1:135" s="621" customFormat="1" ht="14.25" customHeight="1">
      <c r="A6" s="3571" t="s">
        <v>5347</v>
      </c>
      <c r="B6" s="3571" t="s">
        <v>5348</v>
      </c>
      <c r="C6" s="1551" t="s">
        <v>5349</v>
      </c>
      <c r="D6" s="1551" t="s">
        <v>5350</v>
      </c>
      <c r="E6" s="3571" t="s">
        <v>5351</v>
      </c>
    </row>
    <row r="7" spans="1:135" s="621" customFormat="1" ht="14.25" customHeight="1">
      <c r="A7" s="3571"/>
      <c r="B7" s="3571"/>
      <c r="C7" s="1551">
        <v>1</v>
      </c>
      <c r="D7" s="1551">
        <v>2</v>
      </c>
      <c r="E7" s="3571"/>
    </row>
    <row r="8" spans="1:135" s="621" customFormat="1" ht="14.25" customHeight="1">
      <c r="A8" s="1551">
        <v>1</v>
      </c>
      <c r="B8" s="1552" t="s">
        <v>5352</v>
      </c>
      <c r="C8" s="1553">
        <f>SUM(C9:C17)</f>
        <v>0</v>
      </c>
      <c r="D8" s="1553">
        <f>SUM(D9:D17)</f>
        <v>0</v>
      </c>
      <c r="E8" s="1552" t="s">
        <v>5353</v>
      </c>
    </row>
    <row r="9" spans="1:135" s="621" customFormat="1" ht="14.25" customHeight="1">
      <c r="A9" s="1551">
        <v>2</v>
      </c>
      <c r="B9" s="1552" t="s">
        <v>5354</v>
      </c>
      <c r="C9" s="1554"/>
      <c r="D9" s="1553">
        <f>C9</f>
        <v>0</v>
      </c>
      <c r="E9" s="1552" t="s">
        <v>5355</v>
      </c>
    </row>
    <row r="10" spans="1:135" s="621" customFormat="1" ht="14.25" customHeight="1">
      <c r="A10" s="1551">
        <v>3</v>
      </c>
      <c r="B10" s="1552" t="s">
        <v>5356</v>
      </c>
      <c r="C10" s="1554"/>
      <c r="D10" s="1553">
        <f t="shared" ref="D10:D17" si="0">C10</f>
        <v>0</v>
      </c>
      <c r="E10" s="1552"/>
    </row>
    <row r="11" spans="1:135" s="621" customFormat="1" ht="14.25" customHeight="1">
      <c r="A11" s="1551">
        <v>4</v>
      </c>
      <c r="B11" s="1552" t="s">
        <v>5357</v>
      </c>
      <c r="C11" s="1554"/>
      <c r="D11" s="1553">
        <f t="shared" si="0"/>
        <v>0</v>
      </c>
      <c r="E11" s="1552"/>
    </row>
    <row r="12" spans="1:135" s="621" customFormat="1" ht="14.25" customHeight="1">
      <c r="A12" s="1551">
        <v>5</v>
      </c>
      <c r="B12" s="1552" t="s">
        <v>5358</v>
      </c>
      <c r="C12" s="1554"/>
      <c r="D12" s="1553">
        <f t="shared" si="0"/>
        <v>0</v>
      </c>
      <c r="E12" s="1552"/>
    </row>
    <row r="13" spans="1:135" s="621" customFormat="1" ht="14.25" customHeight="1">
      <c r="A13" s="1551">
        <v>6</v>
      </c>
      <c r="B13" s="1552" t="s">
        <v>5359</v>
      </c>
      <c r="C13" s="1554"/>
      <c r="D13" s="1553">
        <f t="shared" si="0"/>
        <v>0</v>
      </c>
      <c r="E13" s="1552"/>
    </row>
    <row r="14" spans="1:135" s="621" customFormat="1" ht="14.25" customHeight="1">
      <c r="A14" s="1551">
        <v>7</v>
      </c>
      <c r="B14" s="1552" t="s">
        <v>5360</v>
      </c>
      <c r="C14" s="1554"/>
      <c r="D14" s="1553">
        <f t="shared" si="0"/>
        <v>0</v>
      </c>
      <c r="E14" s="1552"/>
    </row>
    <row r="15" spans="1:135" s="621" customFormat="1" ht="14.25" customHeight="1">
      <c r="A15" s="1551">
        <v>8</v>
      </c>
      <c r="B15" s="1552" t="s">
        <v>5361</v>
      </c>
      <c r="C15" s="1554"/>
      <c r="D15" s="1553">
        <f t="shared" si="0"/>
        <v>0</v>
      </c>
      <c r="E15" s="1552"/>
    </row>
    <row r="16" spans="1:135" s="621" customFormat="1" ht="14.25" customHeight="1">
      <c r="A16" s="1551">
        <v>9</v>
      </c>
      <c r="B16" s="1552" t="s">
        <v>5362</v>
      </c>
      <c r="C16" s="1554"/>
      <c r="D16" s="1553">
        <f t="shared" si="0"/>
        <v>0</v>
      </c>
      <c r="E16" s="1552"/>
      <c r="F16" s="1555" t="s">
        <v>5363</v>
      </c>
    </row>
    <row r="17" spans="1:5" s="621" customFormat="1" ht="14.25" customHeight="1">
      <c r="A17" s="1551">
        <v>10</v>
      </c>
      <c r="B17" s="1552" t="s">
        <v>5364</v>
      </c>
      <c r="C17" s="1554"/>
      <c r="D17" s="1553">
        <f t="shared" si="0"/>
        <v>0</v>
      </c>
      <c r="E17" s="1552"/>
    </row>
    <row r="18" spans="1:5" s="621" customFormat="1" ht="46.5" customHeight="1">
      <c r="A18" s="1551">
        <v>11</v>
      </c>
      <c r="B18" s="1556" t="s">
        <v>5365</v>
      </c>
      <c r="C18" s="1553">
        <f>SUM(C19:C27)</f>
        <v>0</v>
      </c>
      <c r="D18" s="1553">
        <f>SUM(D19:D27)</f>
        <v>0</v>
      </c>
      <c r="E18" s="1556" t="s">
        <v>5366</v>
      </c>
    </row>
    <row r="19" spans="1:5" s="621" customFormat="1" ht="14.25" customHeight="1">
      <c r="A19" s="1551">
        <v>12</v>
      </c>
      <c r="B19" s="1552" t="s">
        <v>5367</v>
      </c>
      <c r="C19" s="1554"/>
      <c r="D19" s="1553">
        <f>-C19</f>
        <v>0</v>
      </c>
      <c r="E19" s="1552"/>
    </row>
    <row r="20" spans="1:5" s="621" customFormat="1" ht="14.25" customHeight="1">
      <c r="A20" s="1551">
        <v>13</v>
      </c>
      <c r="B20" s="1552" t="s">
        <v>5368</v>
      </c>
      <c r="C20" s="1554"/>
      <c r="D20" s="1553">
        <f t="shared" ref="D20:D27" si="1">-C20</f>
        <v>0</v>
      </c>
      <c r="E20" s="1552"/>
    </row>
    <row r="21" spans="1:5" s="621" customFormat="1" ht="14.25" customHeight="1">
      <c r="A21" s="1551">
        <v>14</v>
      </c>
      <c r="B21" s="1552" t="s">
        <v>5369</v>
      </c>
      <c r="C21" s="1554"/>
      <c r="D21" s="1553">
        <f t="shared" si="1"/>
        <v>0</v>
      </c>
      <c r="E21" s="1552"/>
    </row>
    <row r="22" spans="1:5" s="621" customFormat="1" ht="14.25" customHeight="1">
      <c r="A22" s="1551">
        <v>15</v>
      </c>
      <c r="B22" s="1552" t="s">
        <v>5370</v>
      </c>
      <c r="C22" s="1554"/>
      <c r="D22" s="1553">
        <f t="shared" si="1"/>
        <v>0</v>
      </c>
      <c r="E22" s="1552"/>
    </row>
    <row r="23" spans="1:5" s="621" customFormat="1" ht="14.25" customHeight="1">
      <c r="A23" s="1551">
        <v>16</v>
      </c>
      <c r="B23" s="1552" t="s">
        <v>5371</v>
      </c>
      <c r="C23" s="1554"/>
      <c r="D23" s="1553">
        <f t="shared" si="1"/>
        <v>0</v>
      </c>
      <c r="E23" s="1552"/>
    </row>
    <row r="24" spans="1:5" s="621" customFormat="1" ht="14.25" customHeight="1">
      <c r="A24" s="1551">
        <v>17</v>
      </c>
      <c r="B24" s="1557" t="s">
        <v>5372</v>
      </c>
      <c r="C24" s="1558"/>
      <c r="D24" s="1553">
        <f t="shared" si="1"/>
        <v>0</v>
      </c>
      <c r="E24" s="1552"/>
    </row>
    <row r="25" spans="1:5" s="621" customFormat="1" ht="14.25" customHeight="1">
      <c r="A25" s="1551">
        <v>18</v>
      </c>
      <c r="B25" s="1552" t="s">
        <v>5373</v>
      </c>
      <c r="C25" s="1554"/>
      <c r="D25" s="1553">
        <f t="shared" si="1"/>
        <v>0</v>
      </c>
      <c r="E25" s="1552"/>
    </row>
    <row r="26" spans="1:5" s="621" customFormat="1" ht="14.25" customHeight="1">
      <c r="A26" s="1551">
        <v>19</v>
      </c>
      <c r="B26" s="1552" t="s">
        <v>5374</v>
      </c>
      <c r="C26" s="1554"/>
      <c r="D26" s="1553">
        <f t="shared" si="1"/>
        <v>0</v>
      </c>
      <c r="E26" s="1552"/>
    </row>
    <row r="27" spans="1:5" s="621" customFormat="1" ht="14.25" customHeight="1">
      <c r="A27" s="1551">
        <v>20</v>
      </c>
      <c r="B27" s="1552" t="s">
        <v>5364</v>
      </c>
      <c r="C27" s="1554"/>
      <c r="D27" s="1553">
        <f t="shared" si="1"/>
        <v>0</v>
      </c>
      <c r="E27" s="1552"/>
    </row>
    <row r="28" spans="1:5" s="621" customFormat="1" ht="48.75" customHeight="1">
      <c r="A28" s="1551">
        <v>21</v>
      </c>
      <c r="B28" s="1556" t="s">
        <v>5375</v>
      </c>
      <c r="C28" s="1553">
        <f>C29-C33</f>
        <v>0</v>
      </c>
      <c r="D28" s="1553">
        <f>D29-D33</f>
        <v>0</v>
      </c>
      <c r="E28" s="1556" t="s">
        <v>5376</v>
      </c>
    </row>
    <row r="29" spans="1:5" s="621" customFormat="1" ht="26.25" customHeight="1">
      <c r="A29" s="1559">
        <v>22</v>
      </c>
      <c r="B29" s="1560" t="s">
        <v>5377</v>
      </c>
      <c r="C29" s="1561">
        <f>C31-C32</f>
        <v>0</v>
      </c>
      <c r="D29" s="1561">
        <f>D31-D32</f>
        <v>0</v>
      </c>
      <c r="E29" s="1557"/>
    </row>
    <row r="30" spans="1:5" s="621" customFormat="1" ht="14.25" customHeight="1">
      <c r="A30" s="1551">
        <v>23</v>
      </c>
      <c r="B30" s="1556" t="s">
        <v>5378</v>
      </c>
      <c r="C30" s="1554"/>
      <c r="D30" s="1562" t="s">
        <v>133</v>
      </c>
      <c r="E30" s="1552"/>
    </row>
    <row r="31" spans="1:5" s="1563" customFormat="1" ht="14.25" customHeight="1">
      <c r="A31" s="1551">
        <v>24</v>
      </c>
      <c r="B31" s="1552" t="s">
        <v>5379</v>
      </c>
      <c r="C31" s="1554"/>
      <c r="D31" s="1553">
        <f>C31</f>
        <v>0</v>
      </c>
      <c r="E31" s="1552"/>
    </row>
    <row r="32" spans="1:5" s="1563" customFormat="1" ht="14.25" customHeight="1">
      <c r="A32" s="1551">
        <v>25</v>
      </c>
      <c r="B32" s="1552" t="s">
        <v>5380</v>
      </c>
      <c r="C32" s="1554"/>
      <c r="D32" s="1553">
        <f>C32</f>
        <v>0</v>
      </c>
      <c r="E32" s="1552"/>
    </row>
    <row r="33" spans="1:5" s="1563" customFormat="1" ht="26.25" customHeight="1">
      <c r="A33" s="1559">
        <v>26</v>
      </c>
      <c r="B33" s="1560" t="s">
        <v>5381</v>
      </c>
      <c r="C33" s="1561">
        <f>C35-C36</f>
        <v>0</v>
      </c>
      <c r="D33" s="1561">
        <f>D35-D36</f>
        <v>0</v>
      </c>
      <c r="E33" s="1557"/>
    </row>
    <row r="34" spans="1:5" s="1563" customFormat="1" ht="26.25" customHeight="1">
      <c r="A34" s="1551">
        <v>27</v>
      </c>
      <c r="B34" s="1556" t="s">
        <v>5382</v>
      </c>
      <c r="C34" s="1554"/>
      <c r="D34" s="1562" t="s">
        <v>133</v>
      </c>
      <c r="E34" s="1552"/>
    </row>
    <row r="35" spans="1:5" s="1563" customFormat="1" ht="14.25" customHeight="1">
      <c r="A35" s="1551">
        <v>28</v>
      </c>
      <c r="B35" s="1552" t="s">
        <v>5383</v>
      </c>
      <c r="C35" s="1554"/>
      <c r="D35" s="1553">
        <f>C35</f>
        <v>0</v>
      </c>
      <c r="E35" s="1552"/>
    </row>
    <row r="36" spans="1:5" s="621" customFormat="1" ht="26.25" customHeight="1">
      <c r="A36" s="1551">
        <v>29</v>
      </c>
      <c r="B36" s="1556" t="s">
        <v>5384</v>
      </c>
      <c r="C36" s="1554"/>
      <c r="D36" s="1553">
        <f>C36</f>
        <v>0</v>
      </c>
      <c r="E36" s="1552"/>
    </row>
    <row r="37" spans="1:5">
      <c r="A37" s="1564"/>
      <c r="B37" s="1540"/>
      <c r="C37" s="1564"/>
      <c r="D37" s="1564"/>
      <c r="E37" s="1540"/>
    </row>
    <row r="38" spans="1:5">
      <c r="A38" s="575"/>
      <c r="C38" s="575"/>
      <c r="D38" s="575"/>
    </row>
    <row r="39" spans="1:5">
      <c r="A39" s="575"/>
      <c r="C39" s="575"/>
      <c r="D39" s="575"/>
    </row>
    <row r="40" spans="1:5">
      <c r="A40" s="575"/>
      <c r="C40" s="575"/>
      <c r="D40" s="575"/>
    </row>
    <row r="41" spans="1:5">
      <c r="A41" s="575"/>
      <c r="C41" s="575"/>
      <c r="D41" s="575"/>
    </row>
    <row r="42" spans="1:5">
      <c r="A42" s="575"/>
      <c r="C42" s="575"/>
      <c r="D42" s="575"/>
    </row>
    <row r="43" spans="1:5">
      <c r="A43" s="575"/>
      <c r="C43" s="575"/>
      <c r="D43" s="575"/>
    </row>
    <row r="44" spans="1:5">
      <c r="A44" s="575"/>
      <c r="C44" s="575"/>
      <c r="D44" s="575"/>
    </row>
    <row r="45" spans="1:5">
      <c r="A45" s="575"/>
      <c r="C45" s="575"/>
      <c r="D45" s="575"/>
    </row>
    <row r="46" spans="1:5">
      <c r="A46" s="575"/>
      <c r="C46" s="575"/>
      <c r="D46" s="575"/>
    </row>
    <row r="47" spans="1:5">
      <c r="A47" s="575"/>
      <c r="C47" s="575"/>
      <c r="D47" s="575"/>
    </row>
    <row r="48" spans="1:5">
      <c r="A48" s="575"/>
      <c r="C48" s="575"/>
      <c r="D48" s="575"/>
    </row>
    <row r="49" spans="1:4">
      <c r="A49" s="575"/>
      <c r="C49" s="575"/>
      <c r="D49" s="575"/>
    </row>
    <row r="50" spans="1:4">
      <c r="A50" s="575"/>
      <c r="C50" s="575"/>
      <c r="D50" s="575"/>
    </row>
    <row r="51" spans="1:4">
      <c r="A51" s="575"/>
      <c r="C51" s="575"/>
      <c r="D51" s="575"/>
    </row>
    <row r="52" spans="1:4">
      <c r="A52" s="575"/>
      <c r="C52" s="575"/>
      <c r="D52" s="575"/>
    </row>
    <row r="53" spans="1:4">
      <c r="A53" s="575"/>
      <c r="C53" s="575"/>
      <c r="D53" s="575"/>
    </row>
    <row r="54" spans="1:4">
      <c r="A54" s="575"/>
      <c r="C54" s="575"/>
      <c r="D54" s="575"/>
    </row>
    <row r="55" spans="1:4">
      <c r="A55" s="575"/>
      <c r="C55" s="575"/>
      <c r="D55" s="575"/>
    </row>
    <row r="56" spans="1:4">
      <c r="A56" s="575"/>
      <c r="C56" s="575"/>
      <c r="D56" s="575"/>
    </row>
    <row r="57" spans="1:4">
      <c r="A57" s="575"/>
      <c r="C57" s="575"/>
      <c r="D57" s="575"/>
    </row>
    <row r="58" spans="1:4">
      <c r="A58" s="575"/>
      <c r="C58" s="575"/>
      <c r="D58" s="575"/>
    </row>
    <row r="59" spans="1:4">
      <c r="A59" s="575"/>
      <c r="C59" s="575"/>
      <c r="D59" s="575"/>
    </row>
    <row r="60" spans="1:4">
      <c r="A60" s="575"/>
      <c r="C60" s="575"/>
      <c r="D60" s="575"/>
    </row>
    <row r="61" spans="1:4">
      <c r="A61" s="575"/>
      <c r="C61" s="575"/>
      <c r="D61" s="575"/>
    </row>
    <row r="62" spans="1:4">
      <c r="A62" s="575"/>
      <c r="C62" s="575"/>
      <c r="D62" s="575"/>
    </row>
  </sheetData>
  <mergeCells count="7">
    <mergeCell ref="A5:E5"/>
    <mergeCell ref="A6:A7"/>
    <mergeCell ref="B6:B7"/>
    <mergeCell ref="E6:E7"/>
    <mergeCell ref="A1:C2"/>
    <mergeCell ref="D1:E1"/>
    <mergeCell ref="D2:E2"/>
  </mergeCells>
  <phoneticPr fontId="135" type="noConversion"/>
  <hyperlinks>
    <hyperlink ref="F16" location="A105010视同销售和房地产开发企业特定业务纳税调整明细表!A1" display="A105010视同销售和房地产开发企业特定业务纳税调整明细表!A1"/>
  </hyperlinks>
  <printOptions horizontalCentered="1"/>
  <pageMargins left="0.39370078740157477" right="0.39370078740157477" top="0.59055118110236215" bottom="0.59055118110236215" header="0.511811023622047" footer="0.511811023622047"/>
  <pageSetup paperSize="9" scale="91" fitToHeight="0" orientation="portrait" blackAndWhite="1" r:id="rId1"/>
  <headerFooter alignWithMargins="0"/>
  <drawing r:id="rId2"/>
  <legacyDrawing r:id="rId3"/>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5">
    <tabColor rgb="FFFFFF00"/>
  </sheetPr>
  <dimension ref="A1:J20"/>
  <sheetViews>
    <sheetView workbookViewId="0">
      <selection activeCell="F3" sqref="F3:G3"/>
    </sheetView>
  </sheetViews>
  <sheetFormatPr defaultRowHeight="12"/>
  <cols>
    <col min="1" max="1" width="5.25" style="1570" customWidth="1"/>
    <col min="2" max="2" width="42.625" style="621" customWidth="1"/>
    <col min="3" max="8" width="12" style="621" customWidth="1"/>
    <col min="9" max="9" width="19.5" style="621" customWidth="1"/>
    <col min="10" max="256" width="9" style="621"/>
    <col min="257" max="257" width="5.25" style="621" customWidth="1"/>
    <col min="258" max="258" width="42.625" style="621" customWidth="1"/>
    <col min="259" max="259" width="8.375" style="621" customWidth="1"/>
    <col min="260" max="260" width="8" style="621" customWidth="1"/>
    <col min="261" max="261" width="7.5" style="621" customWidth="1"/>
    <col min="262" max="262" width="8.5" style="621" customWidth="1"/>
    <col min="263" max="263" width="8" style="621" customWidth="1"/>
    <col min="264" max="264" width="9.875" style="621" customWidth="1"/>
    <col min="265" max="265" width="19.5" style="621" customWidth="1"/>
    <col min="266" max="512" width="9" style="621"/>
    <col min="513" max="513" width="5.25" style="621" customWidth="1"/>
    <col min="514" max="514" width="42.625" style="621" customWidth="1"/>
    <col min="515" max="515" width="8.375" style="621" customWidth="1"/>
    <col min="516" max="516" width="8" style="621" customWidth="1"/>
    <col min="517" max="517" width="7.5" style="621" customWidth="1"/>
    <col min="518" max="518" width="8.5" style="621" customWidth="1"/>
    <col min="519" max="519" width="8" style="621" customWidth="1"/>
    <col min="520" max="520" width="9.875" style="621" customWidth="1"/>
    <col min="521" max="521" width="19.5" style="621" customWidth="1"/>
    <col min="522" max="768" width="9" style="621"/>
    <col min="769" max="769" width="5.25" style="621" customWidth="1"/>
    <col min="770" max="770" width="42.625" style="621" customWidth="1"/>
    <col min="771" max="771" width="8.375" style="621" customWidth="1"/>
    <col min="772" max="772" width="8" style="621" customWidth="1"/>
    <col min="773" max="773" width="7.5" style="621" customWidth="1"/>
    <col min="774" max="774" width="8.5" style="621" customWidth="1"/>
    <col min="775" max="775" width="8" style="621" customWidth="1"/>
    <col min="776" max="776" width="9.875" style="621" customWidth="1"/>
    <col min="777" max="777" width="19.5" style="621" customWidth="1"/>
    <col min="778" max="1024" width="9" style="621"/>
    <col min="1025" max="1025" width="5.25" style="621" customWidth="1"/>
    <col min="1026" max="1026" width="42.625" style="621" customWidth="1"/>
    <col min="1027" max="1027" width="8.375" style="621" customWidth="1"/>
    <col min="1028" max="1028" width="8" style="621" customWidth="1"/>
    <col min="1029" max="1029" width="7.5" style="621" customWidth="1"/>
    <col min="1030" max="1030" width="8.5" style="621" customWidth="1"/>
    <col min="1031" max="1031" width="8" style="621" customWidth="1"/>
    <col min="1032" max="1032" width="9.875" style="621" customWidth="1"/>
    <col min="1033" max="1033" width="19.5" style="621" customWidth="1"/>
    <col min="1034" max="1280" width="9" style="621"/>
    <col min="1281" max="1281" width="5.25" style="621" customWidth="1"/>
    <col min="1282" max="1282" width="42.625" style="621" customWidth="1"/>
    <col min="1283" max="1283" width="8.375" style="621" customWidth="1"/>
    <col min="1284" max="1284" width="8" style="621" customWidth="1"/>
    <col min="1285" max="1285" width="7.5" style="621" customWidth="1"/>
    <col min="1286" max="1286" width="8.5" style="621" customWidth="1"/>
    <col min="1287" max="1287" width="8" style="621" customWidth="1"/>
    <col min="1288" max="1288" width="9.875" style="621" customWidth="1"/>
    <col min="1289" max="1289" width="19.5" style="621" customWidth="1"/>
    <col min="1290" max="1536" width="9" style="621"/>
    <col min="1537" max="1537" width="5.25" style="621" customWidth="1"/>
    <col min="1538" max="1538" width="42.625" style="621" customWidth="1"/>
    <col min="1539" max="1539" width="8.375" style="621" customWidth="1"/>
    <col min="1540" max="1540" width="8" style="621" customWidth="1"/>
    <col min="1541" max="1541" width="7.5" style="621" customWidth="1"/>
    <col min="1542" max="1542" width="8.5" style="621" customWidth="1"/>
    <col min="1543" max="1543" width="8" style="621" customWidth="1"/>
    <col min="1544" max="1544" width="9.875" style="621" customWidth="1"/>
    <col min="1545" max="1545" width="19.5" style="621" customWidth="1"/>
    <col min="1546" max="1792" width="9" style="621"/>
    <col min="1793" max="1793" width="5.25" style="621" customWidth="1"/>
    <col min="1794" max="1794" width="42.625" style="621" customWidth="1"/>
    <col min="1795" max="1795" width="8.375" style="621" customWidth="1"/>
    <col min="1796" max="1796" width="8" style="621" customWidth="1"/>
    <col min="1797" max="1797" width="7.5" style="621" customWidth="1"/>
    <col min="1798" max="1798" width="8.5" style="621" customWidth="1"/>
    <col min="1799" max="1799" width="8" style="621" customWidth="1"/>
    <col min="1800" max="1800" width="9.875" style="621" customWidth="1"/>
    <col min="1801" max="1801" width="19.5" style="621" customWidth="1"/>
    <col min="1802" max="2048" width="9" style="621"/>
    <col min="2049" max="2049" width="5.25" style="621" customWidth="1"/>
    <col min="2050" max="2050" width="42.625" style="621" customWidth="1"/>
    <col min="2051" max="2051" width="8.375" style="621" customWidth="1"/>
    <col min="2052" max="2052" width="8" style="621" customWidth="1"/>
    <col min="2053" max="2053" width="7.5" style="621" customWidth="1"/>
    <col min="2054" max="2054" width="8.5" style="621" customWidth="1"/>
    <col min="2055" max="2055" width="8" style="621" customWidth="1"/>
    <col min="2056" max="2056" width="9.875" style="621" customWidth="1"/>
    <col min="2057" max="2057" width="19.5" style="621" customWidth="1"/>
    <col min="2058" max="2304" width="9" style="621"/>
    <col min="2305" max="2305" width="5.25" style="621" customWidth="1"/>
    <col min="2306" max="2306" width="42.625" style="621" customWidth="1"/>
    <col min="2307" max="2307" width="8.375" style="621" customWidth="1"/>
    <col min="2308" max="2308" width="8" style="621" customWidth="1"/>
    <col min="2309" max="2309" width="7.5" style="621" customWidth="1"/>
    <col min="2310" max="2310" width="8.5" style="621" customWidth="1"/>
    <col min="2311" max="2311" width="8" style="621" customWidth="1"/>
    <col min="2312" max="2312" width="9.875" style="621" customWidth="1"/>
    <col min="2313" max="2313" width="19.5" style="621" customWidth="1"/>
    <col min="2314" max="2560" width="9" style="621"/>
    <col min="2561" max="2561" width="5.25" style="621" customWidth="1"/>
    <col min="2562" max="2562" width="42.625" style="621" customWidth="1"/>
    <col min="2563" max="2563" width="8.375" style="621" customWidth="1"/>
    <col min="2564" max="2564" width="8" style="621" customWidth="1"/>
    <col min="2565" max="2565" width="7.5" style="621" customWidth="1"/>
    <col min="2566" max="2566" width="8.5" style="621" customWidth="1"/>
    <col min="2567" max="2567" width="8" style="621" customWidth="1"/>
    <col min="2568" max="2568" width="9.875" style="621" customWidth="1"/>
    <col min="2569" max="2569" width="19.5" style="621" customWidth="1"/>
    <col min="2570" max="2816" width="9" style="621"/>
    <col min="2817" max="2817" width="5.25" style="621" customWidth="1"/>
    <col min="2818" max="2818" width="42.625" style="621" customWidth="1"/>
    <col min="2819" max="2819" width="8.375" style="621" customWidth="1"/>
    <col min="2820" max="2820" width="8" style="621" customWidth="1"/>
    <col min="2821" max="2821" width="7.5" style="621" customWidth="1"/>
    <col min="2822" max="2822" width="8.5" style="621" customWidth="1"/>
    <col min="2823" max="2823" width="8" style="621" customWidth="1"/>
    <col min="2824" max="2824" width="9.875" style="621" customWidth="1"/>
    <col min="2825" max="2825" width="19.5" style="621" customWidth="1"/>
    <col min="2826" max="3072" width="9" style="621"/>
    <col min="3073" max="3073" width="5.25" style="621" customWidth="1"/>
    <col min="3074" max="3074" width="42.625" style="621" customWidth="1"/>
    <col min="3075" max="3075" width="8.375" style="621" customWidth="1"/>
    <col min="3076" max="3076" width="8" style="621" customWidth="1"/>
    <col min="3077" max="3077" width="7.5" style="621" customWidth="1"/>
    <col min="3078" max="3078" width="8.5" style="621" customWidth="1"/>
    <col min="3079" max="3079" width="8" style="621" customWidth="1"/>
    <col min="3080" max="3080" width="9.875" style="621" customWidth="1"/>
    <col min="3081" max="3081" width="19.5" style="621" customWidth="1"/>
    <col min="3082" max="3328" width="9" style="621"/>
    <col min="3329" max="3329" width="5.25" style="621" customWidth="1"/>
    <col min="3330" max="3330" width="42.625" style="621" customWidth="1"/>
    <col min="3331" max="3331" width="8.375" style="621" customWidth="1"/>
    <col min="3332" max="3332" width="8" style="621" customWidth="1"/>
    <col min="3333" max="3333" width="7.5" style="621" customWidth="1"/>
    <col min="3334" max="3334" width="8.5" style="621" customWidth="1"/>
    <col min="3335" max="3335" width="8" style="621" customWidth="1"/>
    <col min="3336" max="3336" width="9.875" style="621" customWidth="1"/>
    <col min="3337" max="3337" width="19.5" style="621" customWidth="1"/>
    <col min="3338" max="3584" width="9" style="621"/>
    <col min="3585" max="3585" width="5.25" style="621" customWidth="1"/>
    <col min="3586" max="3586" width="42.625" style="621" customWidth="1"/>
    <col min="3587" max="3587" width="8.375" style="621" customWidth="1"/>
    <col min="3588" max="3588" width="8" style="621" customWidth="1"/>
    <col min="3589" max="3589" width="7.5" style="621" customWidth="1"/>
    <col min="3590" max="3590" width="8.5" style="621" customWidth="1"/>
    <col min="3591" max="3591" width="8" style="621" customWidth="1"/>
    <col min="3592" max="3592" width="9.875" style="621" customWidth="1"/>
    <col min="3593" max="3593" width="19.5" style="621" customWidth="1"/>
    <col min="3594" max="3840" width="9" style="621"/>
    <col min="3841" max="3841" width="5.25" style="621" customWidth="1"/>
    <col min="3842" max="3842" width="42.625" style="621" customWidth="1"/>
    <col min="3843" max="3843" width="8.375" style="621" customWidth="1"/>
    <col min="3844" max="3844" width="8" style="621" customWidth="1"/>
    <col min="3845" max="3845" width="7.5" style="621" customWidth="1"/>
    <col min="3846" max="3846" width="8.5" style="621" customWidth="1"/>
    <col min="3847" max="3847" width="8" style="621" customWidth="1"/>
    <col min="3848" max="3848" width="9.875" style="621" customWidth="1"/>
    <col min="3849" max="3849" width="19.5" style="621" customWidth="1"/>
    <col min="3850" max="4096" width="9" style="621"/>
    <col min="4097" max="4097" width="5.25" style="621" customWidth="1"/>
    <col min="4098" max="4098" width="42.625" style="621" customWidth="1"/>
    <col min="4099" max="4099" width="8.375" style="621" customWidth="1"/>
    <col min="4100" max="4100" width="8" style="621" customWidth="1"/>
    <col min="4101" max="4101" width="7.5" style="621" customWidth="1"/>
    <col min="4102" max="4102" width="8.5" style="621" customWidth="1"/>
    <col min="4103" max="4103" width="8" style="621" customWidth="1"/>
    <col min="4104" max="4104" width="9.875" style="621" customWidth="1"/>
    <col min="4105" max="4105" width="19.5" style="621" customWidth="1"/>
    <col min="4106" max="4352" width="9" style="621"/>
    <col min="4353" max="4353" width="5.25" style="621" customWidth="1"/>
    <col min="4354" max="4354" width="42.625" style="621" customWidth="1"/>
    <col min="4355" max="4355" width="8.375" style="621" customWidth="1"/>
    <col min="4356" max="4356" width="8" style="621" customWidth="1"/>
    <col min="4357" max="4357" width="7.5" style="621" customWidth="1"/>
    <col min="4358" max="4358" width="8.5" style="621" customWidth="1"/>
    <col min="4359" max="4359" width="8" style="621" customWidth="1"/>
    <col min="4360" max="4360" width="9.875" style="621" customWidth="1"/>
    <col min="4361" max="4361" width="19.5" style="621" customWidth="1"/>
    <col min="4362" max="4608" width="9" style="621"/>
    <col min="4609" max="4609" width="5.25" style="621" customWidth="1"/>
    <col min="4610" max="4610" width="42.625" style="621" customWidth="1"/>
    <col min="4611" max="4611" width="8.375" style="621" customWidth="1"/>
    <col min="4612" max="4612" width="8" style="621" customWidth="1"/>
    <col min="4613" max="4613" width="7.5" style="621" customWidth="1"/>
    <col min="4614" max="4614" width="8.5" style="621" customWidth="1"/>
    <col min="4615" max="4615" width="8" style="621" customWidth="1"/>
    <col min="4616" max="4616" width="9.875" style="621" customWidth="1"/>
    <col min="4617" max="4617" width="19.5" style="621" customWidth="1"/>
    <col min="4618" max="4864" width="9" style="621"/>
    <col min="4865" max="4865" width="5.25" style="621" customWidth="1"/>
    <col min="4866" max="4866" width="42.625" style="621" customWidth="1"/>
    <col min="4867" max="4867" width="8.375" style="621" customWidth="1"/>
    <col min="4868" max="4868" width="8" style="621" customWidth="1"/>
    <col min="4869" max="4869" width="7.5" style="621" customWidth="1"/>
    <col min="4870" max="4870" width="8.5" style="621" customWidth="1"/>
    <col min="4871" max="4871" width="8" style="621" customWidth="1"/>
    <col min="4872" max="4872" width="9.875" style="621" customWidth="1"/>
    <col min="4873" max="4873" width="19.5" style="621" customWidth="1"/>
    <col min="4874" max="5120" width="9" style="621"/>
    <col min="5121" max="5121" width="5.25" style="621" customWidth="1"/>
    <col min="5122" max="5122" width="42.625" style="621" customWidth="1"/>
    <col min="5123" max="5123" width="8.375" style="621" customWidth="1"/>
    <col min="5124" max="5124" width="8" style="621" customWidth="1"/>
    <col min="5125" max="5125" width="7.5" style="621" customWidth="1"/>
    <col min="5126" max="5126" width="8.5" style="621" customWidth="1"/>
    <col min="5127" max="5127" width="8" style="621" customWidth="1"/>
    <col min="5128" max="5128" width="9.875" style="621" customWidth="1"/>
    <col min="5129" max="5129" width="19.5" style="621" customWidth="1"/>
    <col min="5130" max="5376" width="9" style="621"/>
    <col min="5377" max="5377" width="5.25" style="621" customWidth="1"/>
    <col min="5378" max="5378" width="42.625" style="621" customWidth="1"/>
    <col min="5379" max="5379" width="8.375" style="621" customWidth="1"/>
    <col min="5380" max="5380" width="8" style="621" customWidth="1"/>
    <col min="5381" max="5381" width="7.5" style="621" customWidth="1"/>
    <col min="5382" max="5382" width="8.5" style="621" customWidth="1"/>
    <col min="5383" max="5383" width="8" style="621" customWidth="1"/>
    <col min="5384" max="5384" width="9.875" style="621" customWidth="1"/>
    <col min="5385" max="5385" width="19.5" style="621" customWidth="1"/>
    <col min="5386" max="5632" width="9" style="621"/>
    <col min="5633" max="5633" width="5.25" style="621" customWidth="1"/>
    <col min="5634" max="5634" width="42.625" style="621" customWidth="1"/>
    <col min="5635" max="5635" width="8.375" style="621" customWidth="1"/>
    <col min="5636" max="5636" width="8" style="621" customWidth="1"/>
    <col min="5637" max="5637" width="7.5" style="621" customWidth="1"/>
    <col min="5638" max="5638" width="8.5" style="621" customWidth="1"/>
    <col min="5639" max="5639" width="8" style="621" customWidth="1"/>
    <col min="5640" max="5640" width="9.875" style="621" customWidth="1"/>
    <col min="5641" max="5641" width="19.5" style="621" customWidth="1"/>
    <col min="5642" max="5888" width="9" style="621"/>
    <col min="5889" max="5889" width="5.25" style="621" customWidth="1"/>
    <col min="5890" max="5890" width="42.625" style="621" customWidth="1"/>
    <col min="5891" max="5891" width="8.375" style="621" customWidth="1"/>
    <col min="5892" max="5892" width="8" style="621" customWidth="1"/>
    <col min="5893" max="5893" width="7.5" style="621" customWidth="1"/>
    <col min="5894" max="5894" width="8.5" style="621" customWidth="1"/>
    <col min="5895" max="5895" width="8" style="621" customWidth="1"/>
    <col min="5896" max="5896" width="9.875" style="621" customWidth="1"/>
    <col min="5897" max="5897" width="19.5" style="621" customWidth="1"/>
    <col min="5898" max="6144" width="9" style="621"/>
    <col min="6145" max="6145" width="5.25" style="621" customWidth="1"/>
    <col min="6146" max="6146" width="42.625" style="621" customWidth="1"/>
    <col min="6147" max="6147" width="8.375" style="621" customWidth="1"/>
    <col min="6148" max="6148" width="8" style="621" customWidth="1"/>
    <col min="6149" max="6149" width="7.5" style="621" customWidth="1"/>
    <col min="6150" max="6150" width="8.5" style="621" customWidth="1"/>
    <col min="6151" max="6151" width="8" style="621" customWidth="1"/>
    <col min="6152" max="6152" width="9.875" style="621" customWidth="1"/>
    <col min="6153" max="6153" width="19.5" style="621" customWidth="1"/>
    <col min="6154" max="6400" width="9" style="621"/>
    <col min="6401" max="6401" width="5.25" style="621" customWidth="1"/>
    <col min="6402" max="6402" width="42.625" style="621" customWidth="1"/>
    <col min="6403" max="6403" width="8.375" style="621" customWidth="1"/>
    <col min="6404" max="6404" width="8" style="621" customWidth="1"/>
    <col min="6405" max="6405" width="7.5" style="621" customWidth="1"/>
    <col min="6406" max="6406" width="8.5" style="621" customWidth="1"/>
    <col min="6407" max="6407" width="8" style="621" customWidth="1"/>
    <col min="6408" max="6408" width="9.875" style="621" customWidth="1"/>
    <col min="6409" max="6409" width="19.5" style="621" customWidth="1"/>
    <col min="6410" max="6656" width="9" style="621"/>
    <col min="6657" max="6657" width="5.25" style="621" customWidth="1"/>
    <col min="6658" max="6658" width="42.625" style="621" customWidth="1"/>
    <col min="6659" max="6659" width="8.375" style="621" customWidth="1"/>
    <col min="6660" max="6660" width="8" style="621" customWidth="1"/>
    <col min="6661" max="6661" width="7.5" style="621" customWidth="1"/>
    <col min="6662" max="6662" width="8.5" style="621" customWidth="1"/>
    <col min="6663" max="6663" width="8" style="621" customWidth="1"/>
    <col min="6664" max="6664" width="9.875" style="621" customWidth="1"/>
    <col min="6665" max="6665" width="19.5" style="621" customWidth="1"/>
    <col min="6666" max="6912" width="9" style="621"/>
    <col min="6913" max="6913" width="5.25" style="621" customWidth="1"/>
    <col min="6914" max="6914" width="42.625" style="621" customWidth="1"/>
    <col min="6915" max="6915" width="8.375" style="621" customWidth="1"/>
    <col min="6916" max="6916" width="8" style="621" customWidth="1"/>
    <col min="6917" max="6917" width="7.5" style="621" customWidth="1"/>
    <col min="6918" max="6918" width="8.5" style="621" customWidth="1"/>
    <col min="6919" max="6919" width="8" style="621" customWidth="1"/>
    <col min="6920" max="6920" width="9.875" style="621" customWidth="1"/>
    <col min="6921" max="6921" width="19.5" style="621" customWidth="1"/>
    <col min="6922" max="7168" width="9" style="621"/>
    <col min="7169" max="7169" width="5.25" style="621" customWidth="1"/>
    <col min="7170" max="7170" width="42.625" style="621" customWidth="1"/>
    <col min="7171" max="7171" width="8.375" style="621" customWidth="1"/>
    <col min="7172" max="7172" width="8" style="621" customWidth="1"/>
    <col min="7173" max="7173" width="7.5" style="621" customWidth="1"/>
    <col min="7174" max="7174" width="8.5" style="621" customWidth="1"/>
    <col min="7175" max="7175" width="8" style="621" customWidth="1"/>
    <col min="7176" max="7176" width="9.875" style="621" customWidth="1"/>
    <col min="7177" max="7177" width="19.5" style="621" customWidth="1"/>
    <col min="7178" max="7424" width="9" style="621"/>
    <col min="7425" max="7425" width="5.25" style="621" customWidth="1"/>
    <col min="7426" max="7426" width="42.625" style="621" customWidth="1"/>
    <col min="7427" max="7427" width="8.375" style="621" customWidth="1"/>
    <col min="7428" max="7428" width="8" style="621" customWidth="1"/>
    <col min="7429" max="7429" width="7.5" style="621" customWidth="1"/>
    <col min="7430" max="7430" width="8.5" style="621" customWidth="1"/>
    <col min="7431" max="7431" width="8" style="621" customWidth="1"/>
    <col min="7432" max="7432" width="9.875" style="621" customWidth="1"/>
    <col min="7433" max="7433" width="19.5" style="621" customWidth="1"/>
    <col min="7434" max="7680" width="9" style="621"/>
    <col min="7681" max="7681" width="5.25" style="621" customWidth="1"/>
    <col min="7682" max="7682" width="42.625" style="621" customWidth="1"/>
    <col min="7683" max="7683" width="8.375" style="621" customWidth="1"/>
    <col min="7684" max="7684" width="8" style="621" customWidth="1"/>
    <col min="7685" max="7685" width="7.5" style="621" customWidth="1"/>
    <col min="7686" max="7686" width="8.5" style="621" customWidth="1"/>
    <col min="7687" max="7687" width="8" style="621" customWidth="1"/>
    <col min="7688" max="7688" width="9.875" style="621" customWidth="1"/>
    <col min="7689" max="7689" width="19.5" style="621" customWidth="1"/>
    <col min="7690" max="7936" width="9" style="621"/>
    <col min="7937" max="7937" width="5.25" style="621" customWidth="1"/>
    <col min="7938" max="7938" width="42.625" style="621" customWidth="1"/>
    <col min="7939" max="7939" width="8.375" style="621" customWidth="1"/>
    <col min="7940" max="7940" width="8" style="621" customWidth="1"/>
    <col min="7941" max="7941" width="7.5" style="621" customWidth="1"/>
    <col min="7942" max="7942" width="8.5" style="621" customWidth="1"/>
    <col min="7943" max="7943" width="8" style="621" customWidth="1"/>
    <col min="7944" max="7944" width="9.875" style="621" customWidth="1"/>
    <col min="7945" max="7945" width="19.5" style="621" customWidth="1"/>
    <col min="7946" max="8192" width="9" style="621"/>
    <col min="8193" max="8193" width="5.25" style="621" customWidth="1"/>
    <col min="8194" max="8194" width="42.625" style="621" customWidth="1"/>
    <col min="8195" max="8195" width="8.375" style="621" customWidth="1"/>
    <col min="8196" max="8196" width="8" style="621" customWidth="1"/>
    <col min="8197" max="8197" width="7.5" style="621" customWidth="1"/>
    <col min="8198" max="8198" width="8.5" style="621" customWidth="1"/>
    <col min="8199" max="8199" width="8" style="621" customWidth="1"/>
    <col min="8200" max="8200" width="9.875" style="621" customWidth="1"/>
    <col min="8201" max="8201" width="19.5" style="621" customWidth="1"/>
    <col min="8202" max="8448" width="9" style="621"/>
    <col min="8449" max="8449" width="5.25" style="621" customWidth="1"/>
    <col min="8450" max="8450" width="42.625" style="621" customWidth="1"/>
    <col min="8451" max="8451" width="8.375" style="621" customWidth="1"/>
    <col min="8452" max="8452" width="8" style="621" customWidth="1"/>
    <col min="8453" max="8453" width="7.5" style="621" customWidth="1"/>
    <col min="8454" max="8454" width="8.5" style="621" customWidth="1"/>
    <col min="8455" max="8455" width="8" style="621" customWidth="1"/>
    <col min="8456" max="8456" width="9.875" style="621" customWidth="1"/>
    <col min="8457" max="8457" width="19.5" style="621" customWidth="1"/>
    <col min="8458" max="8704" width="9" style="621"/>
    <col min="8705" max="8705" width="5.25" style="621" customWidth="1"/>
    <col min="8706" max="8706" width="42.625" style="621" customWidth="1"/>
    <col min="8707" max="8707" width="8.375" style="621" customWidth="1"/>
    <col min="8708" max="8708" width="8" style="621" customWidth="1"/>
    <col min="8709" max="8709" width="7.5" style="621" customWidth="1"/>
    <col min="8710" max="8710" width="8.5" style="621" customWidth="1"/>
    <col min="8711" max="8711" width="8" style="621" customWidth="1"/>
    <col min="8712" max="8712" width="9.875" style="621" customWidth="1"/>
    <col min="8713" max="8713" width="19.5" style="621" customWidth="1"/>
    <col min="8714" max="8960" width="9" style="621"/>
    <col min="8961" max="8961" width="5.25" style="621" customWidth="1"/>
    <col min="8962" max="8962" width="42.625" style="621" customWidth="1"/>
    <col min="8963" max="8963" width="8.375" style="621" customWidth="1"/>
    <col min="8964" max="8964" width="8" style="621" customWidth="1"/>
    <col min="8965" max="8965" width="7.5" style="621" customWidth="1"/>
    <col min="8966" max="8966" width="8.5" style="621" customWidth="1"/>
    <col min="8967" max="8967" width="8" style="621" customWidth="1"/>
    <col min="8968" max="8968" width="9.875" style="621" customWidth="1"/>
    <col min="8969" max="8969" width="19.5" style="621" customWidth="1"/>
    <col min="8970" max="9216" width="9" style="621"/>
    <col min="9217" max="9217" width="5.25" style="621" customWidth="1"/>
    <col min="9218" max="9218" width="42.625" style="621" customWidth="1"/>
    <col min="9219" max="9219" width="8.375" style="621" customWidth="1"/>
    <col min="9220" max="9220" width="8" style="621" customWidth="1"/>
    <col min="9221" max="9221" width="7.5" style="621" customWidth="1"/>
    <col min="9222" max="9222" width="8.5" style="621" customWidth="1"/>
    <col min="9223" max="9223" width="8" style="621" customWidth="1"/>
    <col min="9224" max="9224" width="9.875" style="621" customWidth="1"/>
    <col min="9225" max="9225" width="19.5" style="621" customWidth="1"/>
    <col min="9226" max="9472" width="9" style="621"/>
    <col min="9473" max="9473" width="5.25" style="621" customWidth="1"/>
    <col min="9474" max="9474" width="42.625" style="621" customWidth="1"/>
    <col min="9475" max="9475" width="8.375" style="621" customWidth="1"/>
    <col min="9476" max="9476" width="8" style="621" customWidth="1"/>
    <col min="9477" max="9477" width="7.5" style="621" customWidth="1"/>
    <col min="9478" max="9478" width="8.5" style="621" customWidth="1"/>
    <col min="9479" max="9479" width="8" style="621" customWidth="1"/>
    <col min="9480" max="9480" width="9.875" style="621" customWidth="1"/>
    <col min="9481" max="9481" width="19.5" style="621" customWidth="1"/>
    <col min="9482" max="9728" width="9" style="621"/>
    <col min="9729" max="9729" width="5.25" style="621" customWidth="1"/>
    <col min="9730" max="9730" width="42.625" style="621" customWidth="1"/>
    <col min="9731" max="9731" width="8.375" style="621" customWidth="1"/>
    <col min="9732" max="9732" width="8" style="621" customWidth="1"/>
    <col min="9733" max="9733" width="7.5" style="621" customWidth="1"/>
    <col min="9734" max="9734" width="8.5" style="621" customWidth="1"/>
    <col min="9735" max="9735" width="8" style="621" customWidth="1"/>
    <col min="9736" max="9736" width="9.875" style="621" customWidth="1"/>
    <col min="9737" max="9737" width="19.5" style="621" customWidth="1"/>
    <col min="9738" max="9984" width="9" style="621"/>
    <col min="9985" max="9985" width="5.25" style="621" customWidth="1"/>
    <col min="9986" max="9986" width="42.625" style="621" customWidth="1"/>
    <col min="9987" max="9987" width="8.375" style="621" customWidth="1"/>
    <col min="9988" max="9988" width="8" style="621" customWidth="1"/>
    <col min="9989" max="9989" width="7.5" style="621" customWidth="1"/>
    <col min="9990" max="9990" width="8.5" style="621" customWidth="1"/>
    <col min="9991" max="9991" width="8" style="621" customWidth="1"/>
    <col min="9992" max="9992" width="9.875" style="621" customWidth="1"/>
    <col min="9993" max="9993" width="19.5" style="621" customWidth="1"/>
    <col min="9994" max="10240" width="9" style="621"/>
    <col min="10241" max="10241" width="5.25" style="621" customWidth="1"/>
    <col min="10242" max="10242" width="42.625" style="621" customWidth="1"/>
    <col min="10243" max="10243" width="8.375" style="621" customWidth="1"/>
    <col min="10244" max="10244" width="8" style="621" customWidth="1"/>
    <col min="10245" max="10245" width="7.5" style="621" customWidth="1"/>
    <col min="10246" max="10246" width="8.5" style="621" customWidth="1"/>
    <col min="10247" max="10247" width="8" style="621" customWidth="1"/>
    <col min="10248" max="10248" width="9.875" style="621" customWidth="1"/>
    <col min="10249" max="10249" width="19.5" style="621" customWidth="1"/>
    <col min="10250" max="10496" width="9" style="621"/>
    <col min="10497" max="10497" width="5.25" style="621" customWidth="1"/>
    <col min="10498" max="10498" width="42.625" style="621" customWidth="1"/>
    <col min="10499" max="10499" width="8.375" style="621" customWidth="1"/>
    <col min="10500" max="10500" width="8" style="621" customWidth="1"/>
    <col min="10501" max="10501" width="7.5" style="621" customWidth="1"/>
    <col min="10502" max="10502" width="8.5" style="621" customWidth="1"/>
    <col min="10503" max="10503" width="8" style="621" customWidth="1"/>
    <col min="10504" max="10504" width="9.875" style="621" customWidth="1"/>
    <col min="10505" max="10505" width="19.5" style="621" customWidth="1"/>
    <col min="10506" max="10752" width="9" style="621"/>
    <col min="10753" max="10753" width="5.25" style="621" customWidth="1"/>
    <col min="10754" max="10754" width="42.625" style="621" customWidth="1"/>
    <col min="10755" max="10755" width="8.375" style="621" customWidth="1"/>
    <col min="10756" max="10756" width="8" style="621" customWidth="1"/>
    <col min="10757" max="10757" width="7.5" style="621" customWidth="1"/>
    <col min="10758" max="10758" width="8.5" style="621" customWidth="1"/>
    <col min="10759" max="10759" width="8" style="621" customWidth="1"/>
    <col min="10760" max="10760" width="9.875" style="621" customWidth="1"/>
    <col min="10761" max="10761" width="19.5" style="621" customWidth="1"/>
    <col min="10762" max="11008" width="9" style="621"/>
    <col min="11009" max="11009" width="5.25" style="621" customWidth="1"/>
    <col min="11010" max="11010" width="42.625" style="621" customWidth="1"/>
    <col min="11011" max="11011" width="8.375" style="621" customWidth="1"/>
    <col min="11012" max="11012" width="8" style="621" customWidth="1"/>
    <col min="11013" max="11013" width="7.5" style="621" customWidth="1"/>
    <col min="11014" max="11014" width="8.5" style="621" customWidth="1"/>
    <col min="11015" max="11015" width="8" style="621" customWidth="1"/>
    <col min="11016" max="11016" width="9.875" style="621" customWidth="1"/>
    <col min="11017" max="11017" width="19.5" style="621" customWidth="1"/>
    <col min="11018" max="11264" width="9" style="621"/>
    <col min="11265" max="11265" width="5.25" style="621" customWidth="1"/>
    <col min="11266" max="11266" width="42.625" style="621" customWidth="1"/>
    <col min="11267" max="11267" width="8.375" style="621" customWidth="1"/>
    <col min="11268" max="11268" width="8" style="621" customWidth="1"/>
    <col min="11269" max="11269" width="7.5" style="621" customWidth="1"/>
    <col min="11270" max="11270" width="8.5" style="621" customWidth="1"/>
    <col min="11271" max="11271" width="8" style="621" customWidth="1"/>
    <col min="11272" max="11272" width="9.875" style="621" customWidth="1"/>
    <col min="11273" max="11273" width="19.5" style="621" customWidth="1"/>
    <col min="11274" max="11520" width="9" style="621"/>
    <col min="11521" max="11521" width="5.25" style="621" customWidth="1"/>
    <col min="11522" max="11522" width="42.625" style="621" customWidth="1"/>
    <col min="11523" max="11523" width="8.375" style="621" customWidth="1"/>
    <col min="11524" max="11524" width="8" style="621" customWidth="1"/>
    <col min="11525" max="11525" width="7.5" style="621" customWidth="1"/>
    <col min="11526" max="11526" width="8.5" style="621" customWidth="1"/>
    <col min="11527" max="11527" width="8" style="621" customWidth="1"/>
    <col min="11528" max="11528" width="9.875" style="621" customWidth="1"/>
    <col min="11529" max="11529" width="19.5" style="621" customWidth="1"/>
    <col min="11530" max="11776" width="9" style="621"/>
    <col min="11777" max="11777" width="5.25" style="621" customWidth="1"/>
    <col min="11778" max="11778" width="42.625" style="621" customWidth="1"/>
    <col min="11779" max="11779" width="8.375" style="621" customWidth="1"/>
    <col min="11780" max="11780" width="8" style="621" customWidth="1"/>
    <col min="11781" max="11781" width="7.5" style="621" customWidth="1"/>
    <col min="11782" max="11782" width="8.5" style="621" customWidth="1"/>
    <col min="11783" max="11783" width="8" style="621" customWidth="1"/>
    <col min="11784" max="11784" width="9.875" style="621" customWidth="1"/>
    <col min="11785" max="11785" width="19.5" style="621" customWidth="1"/>
    <col min="11786" max="12032" width="9" style="621"/>
    <col min="12033" max="12033" width="5.25" style="621" customWidth="1"/>
    <col min="12034" max="12034" width="42.625" style="621" customWidth="1"/>
    <col min="12035" max="12035" width="8.375" style="621" customWidth="1"/>
    <col min="12036" max="12036" width="8" style="621" customWidth="1"/>
    <col min="12037" max="12037" width="7.5" style="621" customWidth="1"/>
    <col min="12038" max="12038" width="8.5" style="621" customWidth="1"/>
    <col min="12039" max="12039" width="8" style="621" customWidth="1"/>
    <col min="12040" max="12040" width="9.875" style="621" customWidth="1"/>
    <col min="12041" max="12041" width="19.5" style="621" customWidth="1"/>
    <col min="12042" max="12288" width="9" style="621"/>
    <col min="12289" max="12289" width="5.25" style="621" customWidth="1"/>
    <col min="12290" max="12290" width="42.625" style="621" customWidth="1"/>
    <col min="12291" max="12291" width="8.375" style="621" customWidth="1"/>
    <col min="12292" max="12292" width="8" style="621" customWidth="1"/>
    <col min="12293" max="12293" width="7.5" style="621" customWidth="1"/>
    <col min="12294" max="12294" width="8.5" style="621" customWidth="1"/>
    <col min="12295" max="12295" width="8" style="621" customWidth="1"/>
    <col min="12296" max="12296" width="9.875" style="621" customWidth="1"/>
    <col min="12297" max="12297" width="19.5" style="621" customWidth="1"/>
    <col min="12298" max="12544" width="9" style="621"/>
    <col min="12545" max="12545" width="5.25" style="621" customWidth="1"/>
    <col min="12546" max="12546" width="42.625" style="621" customWidth="1"/>
    <col min="12547" max="12547" width="8.375" style="621" customWidth="1"/>
    <col min="12548" max="12548" width="8" style="621" customWidth="1"/>
    <col min="12549" max="12549" width="7.5" style="621" customWidth="1"/>
    <col min="12550" max="12550" width="8.5" style="621" customWidth="1"/>
    <col min="12551" max="12551" width="8" style="621" customWidth="1"/>
    <col min="12552" max="12552" width="9.875" style="621" customWidth="1"/>
    <col min="12553" max="12553" width="19.5" style="621" customWidth="1"/>
    <col min="12554" max="12800" width="9" style="621"/>
    <col min="12801" max="12801" width="5.25" style="621" customWidth="1"/>
    <col min="12802" max="12802" width="42.625" style="621" customWidth="1"/>
    <col min="12803" max="12803" width="8.375" style="621" customWidth="1"/>
    <col min="12804" max="12804" width="8" style="621" customWidth="1"/>
    <col min="12805" max="12805" width="7.5" style="621" customWidth="1"/>
    <col min="12806" max="12806" width="8.5" style="621" customWidth="1"/>
    <col min="12807" max="12807" width="8" style="621" customWidth="1"/>
    <col min="12808" max="12808" width="9.875" style="621" customWidth="1"/>
    <col min="12809" max="12809" width="19.5" style="621" customWidth="1"/>
    <col min="12810" max="13056" width="9" style="621"/>
    <col min="13057" max="13057" width="5.25" style="621" customWidth="1"/>
    <col min="13058" max="13058" width="42.625" style="621" customWidth="1"/>
    <col min="13059" max="13059" width="8.375" style="621" customWidth="1"/>
    <col min="13060" max="13060" width="8" style="621" customWidth="1"/>
    <col min="13061" max="13061" width="7.5" style="621" customWidth="1"/>
    <col min="13062" max="13062" width="8.5" style="621" customWidth="1"/>
    <col min="13063" max="13063" width="8" style="621" customWidth="1"/>
    <col min="13064" max="13064" width="9.875" style="621" customWidth="1"/>
    <col min="13065" max="13065" width="19.5" style="621" customWidth="1"/>
    <col min="13066" max="13312" width="9" style="621"/>
    <col min="13313" max="13313" width="5.25" style="621" customWidth="1"/>
    <col min="13314" max="13314" width="42.625" style="621" customWidth="1"/>
    <col min="13315" max="13315" width="8.375" style="621" customWidth="1"/>
    <col min="13316" max="13316" width="8" style="621" customWidth="1"/>
    <col min="13317" max="13317" width="7.5" style="621" customWidth="1"/>
    <col min="13318" max="13318" width="8.5" style="621" customWidth="1"/>
    <col min="13319" max="13319" width="8" style="621" customWidth="1"/>
    <col min="13320" max="13320" width="9.875" style="621" customWidth="1"/>
    <col min="13321" max="13321" width="19.5" style="621" customWidth="1"/>
    <col min="13322" max="13568" width="9" style="621"/>
    <col min="13569" max="13569" width="5.25" style="621" customWidth="1"/>
    <col min="13570" max="13570" width="42.625" style="621" customWidth="1"/>
    <col min="13571" max="13571" width="8.375" style="621" customWidth="1"/>
    <col min="13572" max="13572" width="8" style="621" customWidth="1"/>
    <col min="13573" max="13573" width="7.5" style="621" customWidth="1"/>
    <col min="13574" max="13574" width="8.5" style="621" customWidth="1"/>
    <col min="13575" max="13575" width="8" style="621" customWidth="1"/>
    <col min="13576" max="13576" width="9.875" style="621" customWidth="1"/>
    <col min="13577" max="13577" width="19.5" style="621" customWidth="1"/>
    <col min="13578" max="13824" width="9" style="621"/>
    <col min="13825" max="13825" width="5.25" style="621" customWidth="1"/>
    <col min="13826" max="13826" width="42.625" style="621" customWidth="1"/>
    <col min="13827" max="13827" width="8.375" style="621" customWidth="1"/>
    <col min="13828" max="13828" width="8" style="621" customWidth="1"/>
    <col min="13829" max="13829" width="7.5" style="621" customWidth="1"/>
    <col min="13830" max="13830" width="8.5" style="621" customWidth="1"/>
    <col min="13831" max="13831" width="8" style="621" customWidth="1"/>
    <col min="13832" max="13832" width="9.875" style="621" customWidth="1"/>
    <col min="13833" max="13833" width="19.5" style="621" customWidth="1"/>
    <col min="13834" max="14080" width="9" style="621"/>
    <col min="14081" max="14081" width="5.25" style="621" customWidth="1"/>
    <col min="14082" max="14082" width="42.625" style="621" customWidth="1"/>
    <col min="14083" max="14083" width="8.375" style="621" customWidth="1"/>
    <col min="14084" max="14084" width="8" style="621" customWidth="1"/>
    <col min="14085" max="14085" width="7.5" style="621" customWidth="1"/>
    <col min="14086" max="14086" width="8.5" style="621" customWidth="1"/>
    <col min="14087" max="14087" width="8" style="621" customWidth="1"/>
    <col min="14088" max="14088" width="9.875" style="621" customWidth="1"/>
    <col min="14089" max="14089" width="19.5" style="621" customWidth="1"/>
    <col min="14090" max="14336" width="9" style="621"/>
    <col min="14337" max="14337" width="5.25" style="621" customWidth="1"/>
    <col min="14338" max="14338" width="42.625" style="621" customWidth="1"/>
    <col min="14339" max="14339" width="8.375" style="621" customWidth="1"/>
    <col min="14340" max="14340" width="8" style="621" customWidth="1"/>
    <col min="14341" max="14341" width="7.5" style="621" customWidth="1"/>
    <col min="14342" max="14342" width="8.5" style="621" customWidth="1"/>
    <col min="14343" max="14343" width="8" style="621" customWidth="1"/>
    <col min="14344" max="14344" width="9.875" style="621" customWidth="1"/>
    <col min="14345" max="14345" width="19.5" style="621" customWidth="1"/>
    <col min="14346" max="14592" width="9" style="621"/>
    <col min="14593" max="14593" width="5.25" style="621" customWidth="1"/>
    <col min="14594" max="14594" width="42.625" style="621" customWidth="1"/>
    <col min="14595" max="14595" width="8.375" style="621" customWidth="1"/>
    <col min="14596" max="14596" width="8" style="621" customWidth="1"/>
    <col min="14597" max="14597" width="7.5" style="621" customWidth="1"/>
    <col min="14598" max="14598" width="8.5" style="621" customWidth="1"/>
    <col min="14599" max="14599" width="8" style="621" customWidth="1"/>
    <col min="14600" max="14600" width="9.875" style="621" customWidth="1"/>
    <col min="14601" max="14601" width="19.5" style="621" customWidth="1"/>
    <col min="14602" max="14848" width="9" style="621"/>
    <col min="14849" max="14849" width="5.25" style="621" customWidth="1"/>
    <col min="14850" max="14850" width="42.625" style="621" customWidth="1"/>
    <col min="14851" max="14851" width="8.375" style="621" customWidth="1"/>
    <col min="14852" max="14852" width="8" style="621" customWidth="1"/>
    <col min="14853" max="14853" width="7.5" style="621" customWidth="1"/>
    <col min="14854" max="14854" width="8.5" style="621" customWidth="1"/>
    <col min="14855" max="14855" width="8" style="621" customWidth="1"/>
    <col min="14856" max="14856" width="9.875" style="621" customWidth="1"/>
    <col min="14857" max="14857" width="19.5" style="621" customWidth="1"/>
    <col min="14858" max="15104" width="9" style="621"/>
    <col min="15105" max="15105" width="5.25" style="621" customWidth="1"/>
    <col min="15106" max="15106" width="42.625" style="621" customWidth="1"/>
    <col min="15107" max="15107" width="8.375" style="621" customWidth="1"/>
    <col min="15108" max="15108" width="8" style="621" customWidth="1"/>
    <col min="15109" max="15109" width="7.5" style="621" customWidth="1"/>
    <col min="15110" max="15110" width="8.5" style="621" customWidth="1"/>
    <col min="15111" max="15111" width="8" style="621" customWidth="1"/>
    <col min="15112" max="15112" width="9.875" style="621" customWidth="1"/>
    <col min="15113" max="15113" width="19.5" style="621" customWidth="1"/>
    <col min="15114" max="15360" width="9" style="621"/>
    <col min="15361" max="15361" width="5.25" style="621" customWidth="1"/>
    <col min="15362" max="15362" width="42.625" style="621" customWidth="1"/>
    <col min="15363" max="15363" width="8.375" style="621" customWidth="1"/>
    <col min="15364" max="15364" width="8" style="621" customWidth="1"/>
    <col min="15365" max="15365" width="7.5" style="621" customWidth="1"/>
    <col min="15366" max="15366" width="8.5" style="621" customWidth="1"/>
    <col min="15367" max="15367" width="8" style="621" customWidth="1"/>
    <col min="15368" max="15368" width="9.875" style="621" customWidth="1"/>
    <col min="15369" max="15369" width="19.5" style="621" customWidth="1"/>
    <col min="15370" max="15616" width="9" style="621"/>
    <col min="15617" max="15617" width="5.25" style="621" customWidth="1"/>
    <col min="15618" max="15618" width="42.625" style="621" customWidth="1"/>
    <col min="15619" max="15619" width="8.375" style="621" customWidth="1"/>
    <col min="15620" max="15620" width="8" style="621" customWidth="1"/>
    <col min="15621" max="15621" width="7.5" style="621" customWidth="1"/>
    <col min="15622" max="15622" width="8.5" style="621" customWidth="1"/>
    <col min="15623" max="15623" width="8" style="621" customWidth="1"/>
    <col min="15624" max="15624" width="9.875" style="621" customWidth="1"/>
    <col min="15625" max="15625" width="19.5" style="621" customWidth="1"/>
    <col min="15626" max="15872" width="9" style="621"/>
    <col min="15873" max="15873" width="5.25" style="621" customWidth="1"/>
    <col min="15874" max="15874" width="42.625" style="621" customWidth="1"/>
    <col min="15875" max="15875" width="8.375" style="621" customWidth="1"/>
    <col min="15876" max="15876" width="8" style="621" customWidth="1"/>
    <col min="15877" max="15877" width="7.5" style="621" customWidth="1"/>
    <col min="15878" max="15878" width="8.5" style="621" customWidth="1"/>
    <col min="15879" max="15879" width="8" style="621" customWidth="1"/>
    <col min="15880" max="15880" width="9.875" style="621" customWidth="1"/>
    <col min="15881" max="15881" width="19.5" style="621" customWidth="1"/>
    <col min="15882" max="16128" width="9" style="621"/>
    <col min="16129" max="16129" width="5.25" style="621" customWidth="1"/>
    <col min="16130" max="16130" width="42.625" style="621" customWidth="1"/>
    <col min="16131" max="16131" width="8.375" style="621" customWidth="1"/>
    <col min="16132" max="16132" width="8" style="621" customWidth="1"/>
    <col min="16133" max="16133" width="7.5" style="621" customWidth="1"/>
    <col min="16134" max="16134" width="8.5" style="621" customWidth="1"/>
    <col min="16135" max="16135" width="8" style="621" customWidth="1"/>
    <col min="16136" max="16136" width="9.875" style="621" customWidth="1"/>
    <col min="16137" max="16137" width="19.5" style="621" customWidth="1"/>
    <col min="16138" max="16384" width="9" style="621"/>
  </cols>
  <sheetData>
    <row r="1" spans="1:10" s="575" customFormat="1" ht="25.9" customHeight="1">
      <c r="A1" s="3578" t="s">
        <v>5385</v>
      </c>
      <c r="B1" s="3578"/>
      <c r="C1" s="3578"/>
      <c r="D1" s="3578"/>
      <c r="E1" s="3578"/>
      <c r="F1" s="3578"/>
      <c r="G1" s="2754" t="str">
        <f>基本情况!$F$10</f>
        <v>厦中汇税审（2018）第DS0001号</v>
      </c>
      <c r="H1" s="2754"/>
      <c r="I1" s="2754"/>
    </row>
    <row r="2" spans="1:10" ht="37.15" customHeight="1">
      <c r="A2" s="3579"/>
      <c r="B2" s="3579"/>
      <c r="C2" s="3579"/>
      <c r="D2" s="3579"/>
      <c r="E2" s="3579"/>
      <c r="F2" s="3579"/>
      <c r="G2" s="2949" t="str">
        <f>"底稿编号："&amp;开始!L9</f>
        <v>底稿编号：AD-07</v>
      </c>
      <c r="H2" s="2949"/>
      <c r="I2" s="2949"/>
    </row>
    <row r="3" spans="1:10" s="680" customFormat="1" ht="29.25" customHeight="1">
      <c r="A3" s="3580" t="s">
        <v>5347</v>
      </c>
      <c r="B3" s="3580" t="s">
        <v>5348</v>
      </c>
      <c r="C3" s="3576" t="s">
        <v>5386</v>
      </c>
      <c r="D3" s="3571" t="s">
        <v>5387</v>
      </c>
      <c r="E3" s="3571"/>
      <c r="F3" s="3571" t="s">
        <v>5349</v>
      </c>
      <c r="G3" s="3571"/>
      <c r="H3" s="3576" t="s">
        <v>427</v>
      </c>
      <c r="I3" s="1566" t="s">
        <v>5388</v>
      </c>
    </row>
    <row r="4" spans="1:10" s="680" customFormat="1" ht="18" customHeight="1">
      <c r="A4" s="3581"/>
      <c r="B4" s="3581"/>
      <c r="C4" s="3577"/>
      <c r="D4" s="1551" t="s">
        <v>5389</v>
      </c>
      <c r="E4" s="1551" t="s">
        <v>429</v>
      </c>
      <c r="F4" s="1551" t="s">
        <v>5389</v>
      </c>
      <c r="G4" s="1551" t="s">
        <v>429</v>
      </c>
      <c r="H4" s="3577"/>
      <c r="I4" s="1566"/>
    </row>
    <row r="5" spans="1:10" ht="14.25" customHeight="1">
      <c r="A5" s="3582"/>
      <c r="B5" s="3582"/>
      <c r="C5" s="1567">
        <v>1</v>
      </c>
      <c r="D5" s="1567">
        <v>2</v>
      </c>
      <c r="E5" s="1567">
        <v>3</v>
      </c>
      <c r="F5" s="1567">
        <v>4</v>
      </c>
      <c r="G5" s="1567">
        <v>5</v>
      </c>
      <c r="H5" s="1567" t="s">
        <v>430</v>
      </c>
      <c r="I5" s="1552"/>
    </row>
    <row r="6" spans="1:10" ht="14.25" customHeight="1">
      <c r="A6" s="1551">
        <v>1</v>
      </c>
      <c r="B6" s="1552" t="s">
        <v>5390</v>
      </c>
      <c r="C6" s="1553">
        <f>SUM(C7:C9)</f>
        <v>0</v>
      </c>
      <c r="D6" s="1553">
        <f>SUM(D7:D9)</f>
        <v>0</v>
      </c>
      <c r="E6" s="1553">
        <f>SUM(E7:E9)</f>
        <v>0</v>
      </c>
      <c r="F6" s="1553">
        <f>SUM(F7:F9)</f>
        <v>0</v>
      </c>
      <c r="G6" s="1553">
        <f>SUM(G7:G9)</f>
        <v>0</v>
      </c>
      <c r="H6" s="1553">
        <f>F6-D6</f>
        <v>0</v>
      </c>
      <c r="I6" s="1552"/>
    </row>
    <row r="7" spans="1:10" ht="14.25" customHeight="1">
      <c r="A7" s="1551">
        <v>2</v>
      </c>
      <c r="B7" s="1552" t="s">
        <v>5391</v>
      </c>
      <c r="C7" s="1554"/>
      <c r="D7" s="1554"/>
      <c r="E7" s="1554"/>
      <c r="F7" s="1554"/>
      <c r="G7" s="1554"/>
      <c r="H7" s="1553">
        <f t="shared" ref="H7:H18" si="0">F7-D7</f>
        <v>0</v>
      </c>
      <c r="I7" s="1552"/>
    </row>
    <row r="8" spans="1:10" ht="14.25" customHeight="1">
      <c r="A8" s="1551">
        <v>3</v>
      </c>
      <c r="B8" s="1552" t="s">
        <v>5392</v>
      </c>
      <c r="C8" s="1554"/>
      <c r="D8" s="1554"/>
      <c r="E8" s="1554"/>
      <c r="F8" s="1554"/>
      <c r="G8" s="1554"/>
      <c r="H8" s="1553">
        <f t="shared" si="0"/>
        <v>0</v>
      </c>
      <c r="I8" s="1552"/>
    </row>
    <row r="9" spans="1:10" ht="14.25" customHeight="1">
      <c r="A9" s="1551">
        <v>4</v>
      </c>
      <c r="B9" s="1552" t="s">
        <v>5393</v>
      </c>
      <c r="C9" s="1554"/>
      <c r="D9" s="1554"/>
      <c r="E9" s="1554"/>
      <c r="F9" s="1554"/>
      <c r="G9" s="1554"/>
      <c r="H9" s="1553">
        <f t="shared" si="0"/>
        <v>0</v>
      </c>
      <c r="I9" s="1552"/>
    </row>
    <row r="10" spans="1:10" ht="14.25" customHeight="1">
      <c r="A10" s="1551">
        <v>5</v>
      </c>
      <c r="B10" s="1552" t="s">
        <v>5394</v>
      </c>
      <c r="C10" s="1553">
        <f>SUM(C11:C13)</f>
        <v>0</v>
      </c>
      <c r="D10" s="1553">
        <f>SUM(D11:D13)</f>
        <v>0</v>
      </c>
      <c r="E10" s="1553">
        <f>SUM(E11:E13)</f>
        <v>0</v>
      </c>
      <c r="F10" s="1553">
        <f>SUM(F11:F13)</f>
        <v>0</v>
      </c>
      <c r="G10" s="1553">
        <f>SUM(G11:G13)</f>
        <v>0</v>
      </c>
      <c r="H10" s="1553">
        <f t="shared" si="0"/>
        <v>0</v>
      </c>
      <c r="I10" s="1552"/>
    </row>
    <row r="11" spans="1:10" ht="14.25" customHeight="1">
      <c r="A11" s="1551">
        <v>6</v>
      </c>
      <c r="B11" s="1552" t="s">
        <v>5395</v>
      </c>
      <c r="C11" s="1554"/>
      <c r="D11" s="1554"/>
      <c r="E11" s="1554"/>
      <c r="F11" s="1554"/>
      <c r="G11" s="1554"/>
      <c r="H11" s="1553">
        <f t="shared" si="0"/>
        <v>0</v>
      </c>
      <c r="I11" s="1552"/>
      <c r="J11" s="1555" t="s">
        <v>5396</v>
      </c>
    </row>
    <row r="12" spans="1:10" ht="14.25" customHeight="1">
      <c r="A12" s="1551">
        <v>7</v>
      </c>
      <c r="B12" s="1552" t="s">
        <v>5397</v>
      </c>
      <c r="C12" s="1554"/>
      <c r="D12" s="1554"/>
      <c r="E12" s="1554"/>
      <c r="F12" s="1554"/>
      <c r="G12" s="1554"/>
      <c r="H12" s="1553">
        <f t="shared" si="0"/>
        <v>0</v>
      </c>
      <c r="I12" s="1552"/>
    </row>
    <row r="13" spans="1:10" ht="14.25" customHeight="1">
      <c r="A13" s="1551">
        <v>8</v>
      </c>
      <c r="B13" s="1552" t="s">
        <v>5398</v>
      </c>
      <c r="C13" s="1554"/>
      <c r="D13" s="1554"/>
      <c r="E13" s="1554"/>
      <c r="F13" s="1554"/>
      <c r="G13" s="1554"/>
      <c r="H13" s="1553">
        <f t="shared" si="0"/>
        <v>0</v>
      </c>
      <c r="I13" s="1552"/>
    </row>
    <row r="14" spans="1:10" ht="14.25" customHeight="1">
      <c r="A14" s="1551">
        <v>9</v>
      </c>
      <c r="B14" s="1552" t="s">
        <v>5399</v>
      </c>
      <c r="C14" s="1553">
        <f>SUM(C15:C17)</f>
        <v>0</v>
      </c>
      <c r="D14" s="1553">
        <f>SUM(D15:D17)</f>
        <v>0</v>
      </c>
      <c r="E14" s="1553">
        <f>SUM(E15:E17)</f>
        <v>0</v>
      </c>
      <c r="F14" s="1553">
        <f>SUM(F15:F17)</f>
        <v>0</v>
      </c>
      <c r="G14" s="1553">
        <f>SUM(G15:G17)</f>
        <v>0</v>
      </c>
      <c r="H14" s="1553">
        <f t="shared" si="0"/>
        <v>0</v>
      </c>
      <c r="I14" s="1552"/>
    </row>
    <row r="15" spans="1:10" ht="14.25" customHeight="1">
      <c r="A15" s="1551">
        <v>10</v>
      </c>
      <c r="B15" s="1552" t="s">
        <v>5400</v>
      </c>
      <c r="C15" s="1554"/>
      <c r="D15" s="1554"/>
      <c r="E15" s="1554"/>
      <c r="F15" s="1554"/>
      <c r="G15" s="1554"/>
      <c r="H15" s="1553">
        <f t="shared" si="0"/>
        <v>0</v>
      </c>
      <c r="I15" s="1552"/>
    </row>
    <row r="16" spans="1:10" ht="14.25" customHeight="1">
      <c r="A16" s="1551">
        <v>11</v>
      </c>
      <c r="B16" s="1552" t="s">
        <v>5401</v>
      </c>
      <c r="C16" s="1554"/>
      <c r="D16" s="1554"/>
      <c r="E16" s="1554"/>
      <c r="F16" s="1554"/>
      <c r="G16" s="1554"/>
      <c r="H16" s="1553">
        <f t="shared" si="0"/>
        <v>0</v>
      </c>
      <c r="I16" s="1552"/>
    </row>
    <row r="17" spans="1:9" ht="14.25" customHeight="1">
      <c r="A17" s="1551">
        <v>12</v>
      </c>
      <c r="B17" s="1552" t="s">
        <v>5402</v>
      </c>
      <c r="C17" s="1554"/>
      <c r="D17" s="1554"/>
      <c r="E17" s="1554"/>
      <c r="F17" s="1554"/>
      <c r="G17" s="1554"/>
      <c r="H17" s="1553">
        <f t="shared" si="0"/>
        <v>0</v>
      </c>
      <c r="I17" s="1552"/>
    </row>
    <row r="18" spans="1:9" ht="14.25" customHeight="1">
      <c r="A18" s="1551">
        <v>13</v>
      </c>
      <c r="B18" s="1552" t="s">
        <v>5403</v>
      </c>
      <c r="C18" s="1554"/>
      <c r="D18" s="1554"/>
      <c r="E18" s="1554"/>
      <c r="F18" s="1554"/>
      <c r="G18" s="1554"/>
      <c r="H18" s="1553">
        <f t="shared" si="0"/>
        <v>0</v>
      </c>
      <c r="I18" s="1552"/>
    </row>
    <row r="19" spans="1:9" ht="114" customHeight="1">
      <c r="A19" s="1551">
        <v>14</v>
      </c>
      <c r="B19" s="1552" t="s">
        <v>444</v>
      </c>
      <c r="C19" s="1553">
        <f t="shared" ref="C19:H19" si="1">C6+C10+C14+C18</f>
        <v>0</v>
      </c>
      <c r="D19" s="1553">
        <f t="shared" si="1"/>
        <v>0</v>
      </c>
      <c r="E19" s="1553">
        <f t="shared" si="1"/>
        <v>0</v>
      </c>
      <c r="F19" s="1553">
        <f t="shared" si="1"/>
        <v>0</v>
      </c>
      <c r="G19" s="1553">
        <f t="shared" si="1"/>
        <v>0</v>
      </c>
      <c r="H19" s="1553">
        <f t="shared" si="1"/>
        <v>0</v>
      </c>
      <c r="I19" s="1556" t="s">
        <v>5404</v>
      </c>
    </row>
    <row r="20" spans="1:9">
      <c r="A20" s="1568"/>
      <c r="B20" s="1569"/>
      <c r="C20" s="1569"/>
      <c r="D20" s="1569"/>
      <c r="E20" s="1569"/>
      <c r="F20" s="1569"/>
      <c r="G20" s="1569"/>
      <c r="H20" s="1569"/>
      <c r="I20" s="1569"/>
    </row>
  </sheetData>
  <mergeCells count="9">
    <mergeCell ref="H3:H4"/>
    <mergeCell ref="G1:I1"/>
    <mergeCell ref="G2:I2"/>
    <mergeCell ref="A1:F2"/>
    <mergeCell ref="A3:A5"/>
    <mergeCell ref="B3:B5"/>
    <mergeCell ref="C3:C4"/>
    <mergeCell ref="D3:E3"/>
    <mergeCell ref="F3:G3"/>
  </mergeCells>
  <phoneticPr fontId="135" type="noConversion"/>
  <hyperlinks>
    <hyperlink ref="J11" location="A105020未按权责发生制确认收入纳税调整明细表!A1" display="A105020未按权责发生制确认收入纳税调整明细表!A1"/>
  </hyperlinks>
  <printOptions horizontalCentered="1"/>
  <pageMargins left="0.59055118110236215" right="0.59055118110236215" top="0.39370078740157477" bottom="0.39370078740157477" header="0.511811023622047" footer="0.511811023622047"/>
  <pageSetup paperSize="9" orientation="landscape" r:id="rId1"/>
  <headerFooter alignWithMargins="0"/>
  <drawing r:id="rId2"/>
  <legacyDrawing r:id="rId3"/>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6">
    <tabColor rgb="FFFFFF00"/>
  </sheetPr>
  <dimension ref="A1:O16"/>
  <sheetViews>
    <sheetView workbookViewId="0">
      <selection activeCell="F3" sqref="F3:L3"/>
    </sheetView>
  </sheetViews>
  <sheetFormatPr defaultRowHeight="14.25"/>
  <cols>
    <col min="1" max="1" width="4.375" style="575" customWidth="1"/>
    <col min="2" max="2" width="20.625" style="575" customWidth="1"/>
    <col min="3" max="13" width="11.125" style="575" customWidth="1"/>
    <col min="14" max="14" width="15.125" style="575" customWidth="1"/>
    <col min="15" max="256" width="9" style="575"/>
    <col min="257" max="257" width="4.375" style="575" customWidth="1"/>
    <col min="258" max="258" width="20.625" style="575" customWidth="1"/>
    <col min="259" max="259" width="4.5" style="575" customWidth="1"/>
    <col min="260" max="260" width="4.875" style="575" customWidth="1"/>
    <col min="261" max="268" width="7.875" style="575" customWidth="1"/>
    <col min="269" max="269" width="8.625" style="575" customWidth="1"/>
    <col min="270" max="270" width="15.125" style="575" customWidth="1"/>
    <col min="271" max="512" width="9" style="575"/>
    <col min="513" max="513" width="4.375" style="575" customWidth="1"/>
    <col min="514" max="514" width="20.625" style="575" customWidth="1"/>
    <col min="515" max="515" width="4.5" style="575" customWidth="1"/>
    <col min="516" max="516" width="4.875" style="575" customWidth="1"/>
    <col min="517" max="524" width="7.875" style="575" customWidth="1"/>
    <col min="525" max="525" width="8.625" style="575" customWidth="1"/>
    <col min="526" max="526" width="15.125" style="575" customWidth="1"/>
    <col min="527" max="768" width="9" style="575"/>
    <col min="769" max="769" width="4.375" style="575" customWidth="1"/>
    <col min="770" max="770" width="20.625" style="575" customWidth="1"/>
    <col min="771" max="771" width="4.5" style="575" customWidth="1"/>
    <col min="772" max="772" width="4.875" style="575" customWidth="1"/>
    <col min="773" max="780" width="7.875" style="575" customWidth="1"/>
    <col min="781" max="781" width="8.625" style="575" customWidth="1"/>
    <col min="782" max="782" width="15.125" style="575" customWidth="1"/>
    <col min="783" max="1024" width="9" style="575"/>
    <col min="1025" max="1025" width="4.375" style="575" customWidth="1"/>
    <col min="1026" max="1026" width="20.625" style="575" customWidth="1"/>
    <col min="1027" max="1027" width="4.5" style="575" customWidth="1"/>
    <col min="1028" max="1028" width="4.875" style="575" customWidth="1"/>
    <col min="1029" max="1036" width="7.875" style="575" customWidth="1"/>
    <col min="1037" max="1037" width="8.625" style="575" customWidth="1"/>
    <col min="1038" max="1038" width="15.125" style="575" customWidth="1"/>
    <col min="1039" max="1280" width="9" style="575"/>
    <col min="1281" max="1281" width="4.375" style="575" customWidth="1"/>
    <col min="1282" max="1282" width="20.625" style="575" customWidth="1"/>
    <col min="1283" max="1283" width="4.5" style="575" customWidth="1"/>
    <col min="1284" max="1284" width="4.875" style="575" customWidth="1"/>
    <col min="1285" max="1292" width="7.875" style="575" customWidth="1"/>
    <col min="1293" max="1293" width="8.625" style="575" customWidth="1"/>
    <col min="1294" max="1294" width="15.125" style="575" customWidth="1"/>
    <col min="1295" max="1536" width="9" style="575"/>
    <col min="1537" max="1537" width="4.375" style="575" customWidth="1"/>
    <col min="1538" max="1538" width="20.625" style="575" customWidth="1"/>
    <col min="1539" max="1539" width="4.5" style="575" customWidth="1"/>
    <col min="1540" max="1540" width="4.875" style="575" customWidth="1"/>
    <col min="1541" max="1548" width="7.875" style="575" customWidth="1"/>
    <col min="1549" max="1549" width="8.625" style="575" customWidth="1"/>
    <col min="1550" max="1550" width="15.125" style="575" customWidth="1"/>
    <col min="1551" max="1792" width="9" style="575"/>
    <col min="1793" max="1793" width="4.375" style="575" customWidth="1"/>
    <col min="1794" max="1794" width="20.625" style="575" customWidth="1"/>
    <col min="1795" max="1795" width="4.5" style="575" customWidth="1"/>
    <col min="1796" max="1796" width="4.875" style="575" customWidth="1"/>
    <col min="1797" max="1804" width="7.875" style="575" customWidth="1"/>
    <col min="1805" max="1805" width="8.625" style="575" customWidth="1"/>
    <col min="1806" max="1806" width="15.125" style="575" customWidth="1"/>
    <col min="1807" max="2048" width="9" style="575"/>
    <col min="2049" max="2049" width="4.375" style="575" customWidth="1"/>
    <col min="2050" max="2050" width="20.625" style="575" customWidth="1"/>
    <col min="2051" max="2051" width="4.5" style="575" customWidth="1"/>
    <col min="2052" max="2052" width="4.875" style="575" customWidth="1"/>
    <col min="2053" max="2060" width="7.875" style="575" customWidth="1"/>
    <col min="2061" max="2061" width="8.625" style="575" customWidth="1"/>
    <col min="2062" max="2062" width="15.125" style="575" customWidth="1"/>
    <col min="2063" max="2304" width="9" style="575"/>
    <col min="2305" max="2305" width="4.375" style="575" customWidth="1"/>
    <col min="2306" max="2306" width="20.625" style="575" customWidth="1"/>
    <col min="2307" max="2307" width="4.5" style="575" customWidth="1"/>
    <col min="2308" max="2308" width="4.875" style="575" customWidth="1"/>
    <col min="2309" max="2316" width="7.875" style="575" customWidth="1"/>
    <col min="2317" max="2317" width="8.625" style="575" customWidth="1"/>
    <col min="2318" max="2318" width="15.125" style="575" customWidth="1"/>
    <col min="2319" max="2560" width="9" style="575"/>
    <col min="2561" max="2561" width="4.375" style="575" customWidth="1"/>
    <col min="2562" max="2562" width="20.625" style="575" customWidth="1"/>
    <col min="2563" max="2563" width="4.5" style="575" customWidth="1"/>
    <col min="2564" max="2564" width="4.875" style="575" customWidth="1"/>
    <col min="2565" max="2572" width="7.875" style="575" customWidth="1"/>
    <col min="2573" max="2573" width="8.625" style="575" customWidth="1"/>
    <col min="2574" max="2574" width="15.125" style="575" customWidth="1"/>
    <col min="2575" max="2816" width="9" style="575"/>
    <col min="2817" max="2817" width="4.375" style="575" customWidth="1"/>
    <col min="2818" max="2818" width="20.625" style="575" customWidth="1"/>
    <col min="2819" max="2819" width="4.5" style="575" customWidth="1"/>
    <col min="2820" max="2820" width="4.875" style="575" customWidth="1"/>
    <col min="2821" max="2828" width="7.875" style="575" customWidth="1"/>
    <col min="2829" max="2829" width="8.625" style="575" customWidth="1"/>
    <col min="2830" max="2830" width="15.125" style="575" customWidth="1"/>
    <col min="2831" max="3072" width="9" style="575"/>
    <col min="3073" max="3073" width="4.375" style="575" customWidth="1"/>
    <col min="3074" max="3074" width="20.625" style="575" customWidth="1"/>
    <col min="3075" max="3075" width="4.5" style="575" customWidth="1"/>
    <col min="3076" max="3076" width="4.875" style="575" customWidth="1"/>
    <col min="3077" max="3084" width="7.875" style="575" customWidth="1"/>
    <col min="3085" max="3085" width="8.625" style="575" customWidth="1"/>
    <col min="3086" max="3086" width="15.125" style="575" customWidth="1"/>
    <col min="3087" max="3328" width="9" style="575"/>
    <col min="3329" max="3329" width="4.375" style="575" customWidth="1"/>
    <col min="3330" max="3330" width="20.625" style="575" customWidth="1"/>
    <col min="3331" max="3331" width="4.5" style="575" customWidth="1"/>
    <col min="3332" max="3332" width="4.875" style="575" customWidth="1"/>
    <col min="3333" max="3340" width="7.875" style="575" customWidth="1"/>
    <col min="3341" max="3341" width="8.625" style="575" customWidth="1"/>
    <col min="3342" max="3342" width="15.125" style="575" customWidth="1"/>
    <col min="3343" max="3584" width="9" style="575"/>
    <col min="3585" max="3585" width="4.375" style="575" customWidth="1"/>
    <col min="3586" max="3586" width="20.625" style="575" customWidth="1"/>
    <col min="3587" max="3587" width="4.5" style="575" customWidth="1"/>
    <col min="3588" max="3588" width="4.875" style="575" customWidth="1"/>
    <col min="3589" max="3596" width="7.875" style="575" customWidth="1"/>
    <col min="3597" max="3597" width="8.625" style="575" customWidth="1"/>
    <col min="3598" max="3598" width="15.125" style="575" customWidth="1"/>
    <col min="3599" max="3840" width="9" style="575"/>
    <col min="3841" max="3841" width="4.375" style="575" customWidth="1"/>
    <col min="3842" max="3842" width="20.625" style="575" customWidth="1"/>
    <col min="3843" max="3843" width="4.5" style="575" customWidth="1"/>
    <col min="3844" max="3844" width="4.875" style="575" customWidth="1"/>
    <col min="3845" max="3852" width="7.875" style="575" customWidth="1"/>
    <col min="3853" max="3853" width="8.625" style="575" customWidth="1"/>
    <col min="3854" max="3854" width="15.125" style="575" customWidth="1"/>
    <col min="3855" max="4096" width="9" style="575"/>
    <col min="4097" max="4097" width="4.375" style="575" customWidth="1"/>
    <col min="4098" max="4098" width="20.625" style="575" customWidth="1"/>
    <col min="4099" max="4099" width="4.5" style="575" customWidth="1"/>
    <col min="4100" max="4100" width="4.875" style="575" customWidth="1"/>
    <col min="4101" max="4108" width="7.875" style="575" customWidth="1"/>
    <col min="4109" max="4109" width="8.625" style="575" customWidth="1"/>
    <col min="4110" max="4110" width="15.125" style="575" customWidth="1"/>
    <col min="4111" max="4352" width="9" style="575"/>
    <col min="4353" max="4353" width="4.375" style="575" customWidth="1"/>
    <col min="4354" max="4354" width="20.625" style="575" customWidth="1"/>
    <col min="4355" max="4355" width="4.5" style="575" customWidth="1"/>
    <col min="4356" max="4356" width="4.875" style="575" customWidth="1"/>
    <col min="4357" max="4364" width="7.875" style="575" customWidth="1"/>
    <col min="4365" max="4365" width="8.625" style="575" customWidth="1"/>
    <col min="4366" max="4366" width="15.125" style="575" customWidth="1"/>
    <col min="4367" max="4608" width="9" style="575"/>
    <col min="4609" max="4609" width="4.375" style="575" customWidth="1"/>
    <col min="4610" max="4610" width="20.625" style="575" customWidth="1"/>
    <col min="4611" max="4611" width="4.5" style="575" customWidth="1"/>
    <col min="4612" max="4612" width="4.875" style="575" customWidth="1"/>
    <col min="4613" max="4620" width="7.875" style="575" customWidth="1"/>
    <col min="4621" max="4621" width="8.625" style="575" customWidth="1"/>
    <col min="4622" max="4622" width="15.125" style="575" customWidth="1"/>
    <col min="4623" max="4864" width="9" style="575"/>
    <col min="4865" max="4865" width="4.375" style="575" customWidth="1"/>
    <col min="4866" max="4866" width="20.625" style="575" customWidth="1"/>
    <col min="4867" max="4867" width="4.5" style="575" customWidth="1"/>
    <col min="4868" max="4868" width="4.875" style="575" customWidth="1"/>
    <col min="4869" max="4876" width="7.875" style="575" customWidth="1"/>
    <col min="4877" max="4877" width="8.625" style="575" customWidth="1"/>
    <col min="4878" max="4878" width="15.125" style="575" customWidth="1"/>
    <col min="4879" max="5120" width="9" style="575"/>
    <col min="5121" max="5121" width="4.375" style="575" customWidth="1"/>
    <col min="5122" max="5122" width="20.625" style="575" customWidth="1"/>
    <col min="5123" max="5123" width="4.5" style="575" customWidth="1"/>
    <col min="5124" max="5124" width="4.875" style="575" customWidth="1"/>
    <col min="5125" max="5132" width="7.875" style="575" customWidth="1"/>
    <col min="5133" max="5133" width="8.625" style="575" customWidth="1"/>
    <col min="5134" max="5134" width="15.125" style="575" customWidth="1"/>
    <col min="5135" max="5376" width="9" style="575"/>
    <col min="5377" max="5377" width="4.375" style="575" customWidth="1"/>
    <col min="5378" max="5378" width="20.625" style="575" customWidth="1"/>
    <col min="5379" max="5379" width="4.5" style="575" customWidth="1"/>
    <col min="5380" max="5380" width="4.875" style="575" customWidth="1"/>
    <col min="5381" max="5388" width="7.875" style="575" customWidth="1"/>
    <col min="5389" max="5389" width="8.625" style="575" customWidth="1"/>
    <col min="5390" max="5390" width="15.125" style="575" customWidth="1"/>
    <col min="5391" max="5632" width="9" style="575"/>
    <col min="5633" max="5633" width="4.375" style="575" customWidth="1"/>
    <col min="5634" max="5634" width="20.625" style="575" customWidth="1"/>
    <col min="5635" max="5635" width="4.5" style="575" customWidth="1"/>
    <col min="5636" max="5636" width="4.875" style="575" customWidth="1"/>
    <col min="5637" max="5644" width="7.875" style="575" customWidth="1"/>
    <col min="5645" max="5645" width="8.625" style="575" customWidth="1"/>
    <col min="5646" max="5646" width="15.125" style="575" customWidth="1"/>
    <col min="5647" max="5888" width="9" style="575"/>
    <col min="5889" max="5889" width="4.375" style="575" customWidth="1"/>
    <col min="5890" max="5890" width="20.625" style="575" customWidth="1"/>
    <col min="5891" max="5891" width="4.5" style="575" customWidth="1"/>
    <col min="5892" max="5892" width="4.875" style="575" customWidth="1"/>
    <col min="5893" max="5900" width="7.875" style="575" customWidth="1"/>
    <col min="5901" max="5901" width="8.625" style="575" customWidth="1"/>
    <col min="5902" max="5902" width="15.125" style="575" customWidth="1"/>
    <col min="5903" max="6144" width="9" style="575"/>
    <col min="6145" max="6145" width="4.375" style="575" customWidth="1"/>
    <col min="6146" max="6146" width="20.625" style="575" customWidth="1"/>
    <col min="6147" max="6147" width="4.5" style="575" customWidth="1"/>
    <col min="6148" max="6148" width="4.875" style="575" customWidth="1"/>
    <col min="6149" max="6156" width="7.875" style="575" customWidth="1"/>
    <col min="6157" max="6157" width="8.625" style="575" customWidth="1"/>
    <col min="6158" max="6158" width="15.125" style="575" customWidth="1"/>
    <col min="6159" max="6400" width="9" style="575"/>
    <col min="6401" max="6401" width="4.375" style="575" customWidth="1"/>
    <col min="6402" max="6402" width="20.625" style="575" customWidth="1"/>
    <col min="6403" max="6403" width="4.5" style="575" customWidth="1"/>
    <col min="6404" max="6404" width="4.875" style="575" customWidth="1"/>
    <col min="6405" max="6412" width="7.875" style="575" customWidth="1"/>
    <col min="6413" max="6413" width="8.625" style="575" customWidth="1"/>
    <col min="6414" max="6414" width="15.125" style="575" customWidth="1"/>
    <col min="6415" max="6656" width="9" style="575"/>
    <col min="6657" max="6657" width="4.375" style="575" customWidth="1"/>
    <col min="6658" max="6658" width="20.625" style="575" customWidth="1"/>
    <col min="6659" max="6659" width="4.5" style="575" customWidth="1"/>
    <col min="6660" max="6660" width="4.875" style="575" customWidth="1"/>
    <col min="6661" max="6668" width="7.875" style="575" customWidth="1"/>
    <col min="6669" max="6669" width="8.625" style="575" customWidth="1"/>
    <col min="6670" max="6670" width="15.125" style="575" customWidth="1"/>
    <col min="6671" max="6912" width="9" style="575"/>
    <col min="6913" max="6913" width="4.375" style="575" customWidth="1"/>
    <col min="6914" max="6914" width="20.625" style="575" customWidth="1"/>
    <col min="6915" max="6915" width="4.5" style="575" customWidth="1"/>
    <col min="6916" max="6916" width="4.875" style="575" customWidth="1"/>
    <col min="6917" max="6924" width="7.875" style="575" customWidth="1"/>
    <col min="6925" max="6925" width="8.625" style="575" customWidth="1"/>
    <col min="6926" max="6926" width="15.125" style="575" customWidth="1"/>
    <col min="6927" max="7168" width="9" style="575"/>
    <col min="7169" max="7169" width="4.375" style="575" customWidth="1"/>
    <col min="7170" max="7170" width="20.625" style="575" customWidth="1"/>
    <col min="7171" max="7171" width="4.5" style="575" customWidth="1"/>
    <col min="7172" max="7172" width="4.875" style="575" customWidth="1"/>
    <col min="7173" max="7180" width="7.875" style="575" customWidth="1"/>
    <col min="7181" max="7181" width="8.625" style="575" customWidth="1"/>
    <col min="7182" max="7182" width="15.125" style="575" customWidth="1"/>
    <col min="7183" max="7424" width="9" style="575"/>
    <col min="7425" max="7425" width="4.375" style="575" customWidth="1"/>
    <col min="7426" max="7426" width="20.625" style="575" customWidth="1"/>
    <col min="7427" max="7427" width="4.5" style="575" customWidth="1"/>
    <col min="7428" max="7428" width="4.875" style="575" customWidth="1"/>
    <col min="7429" max="7436" width="7.875" style="575" customWidth="1"/>
    <col min="7437" max="7437" width="8.625" style="575" customWidth="1"/>
    <col min="7438" max="7438" width="15.125" style="575" customWidth="1"/>
    <col min="7439" max="7680" width="9" style="575"/>
    <col min="7681" max="7681" width="4.375" style="575" customWidth="1"/>
    <col min="7682" max="7682" width="20.625" style="575" customWidth="1"/>
    <col min="7683" max="7683" width="4.5" style="575" customWidth="1"/>
    <col min="7684" max="7684" width="4.875" style="575" customWidth="1"/>
    <col min="7685" max="7692" width="7.875" style="575" customWidth="1"/>
    <col min="7693" max="7693" width="8.625" style="575" customWidth="1"/>
    <col min="7694" max="7694" width="15.125" style="575" customWidth="1"/>
    <col min="7695" max="7936" width="9" style="575"/>
    <col min="7937" max="7937" width="4.375" style="575" customWidth="1"/>
    <col min="7938" max="7938" width="20.625" style="575" customWidth="1"/>
    <col min="7939" max="7939" width="4.5" style="575" customWidth="1"/>
    <col min="7940" max="7940" width="4.875" style="575" customWidth="1"/>
    <col min="7941" max="7948" width="7.875" style="575" customWidth="1"/>
    <col min="7949" max="7949" width="8.625" style="575" customWidth="1"/>
    <col min="7950" max="7950" width="15.125" style="575" customWidth="1"/>
    <col min="7951" max="8192" width="9" style="575"/>
    <col min="8193" max="8193" width="4.375" style="575" customWidth="1"/>
    <col min="8194" max="8194" width="20.625" style="575" customWidth="1"/>
    <col min="8195" max="8195" width="4.5" style="575" customWidth="1"/>
    <col min="8196" max="8196" width="4.875" style="575" customWidth="1"/>
    <col min="8197" max="8204" width="7.875" style="575" customWidth="1"/>
    <col min="8205" max="8205" width="8.625" style="575" customWidth="1"/>
    <col min="8206" max="8206" width="15.125" style="575" customWidth="1"/>
    <col min="8207" max="8448" width="9" style="575"/>
    <col min="8449" max="8449" width="4.375" style="575" customWidth="1"/>
    <col min="8450" max="8450" width="20.625" style="575" customWidth="1"/>
    <col min="8451" max="8451" width="4.5" style="575" customWidth="1"/>
    <col min="8452" max="8452" width="4.875" style="575" customWidth="1"/>
    <col min="8453" max="8460" width="7.875" style="575" customWidth="1"/>
    <col min="8461" max="8461" width="8.625" style="575" customWidth="1"/>
    <col min="8462" max="8462" width="15.125" style="575" customWidth="1"/>
    <col min="8463" max="8704" width="9" style="575"/>
    <col min="8705" max="8705" width="4.375" style="575" customWidth="1"/>
    <col min="8706" max="8706" width="20.625" style="575" customWidth="1"/>
    <col min="8707" max="8707" width="4.5" style="575" customWidth="1"/>
    <col min="8708" max="8708" width="4.875" style="575" customWidth="1"/>
    <col min="8709" max="8716" width="7.875" style="575" customWidth="1"/>
    <col min="8717" max="8717" width="8.625" style="575" customWidth="1"/>
    <col min="8718" max="8718" width="15.125" style="575" customWidth="1"/>
    <col min="8719" max="8960" width="9" style="575"/>
    <col min="8961" max="8961" width="4.375" style="575" customWidth="1"/>
    <col min="8962" max="8962" width="20.625" style="575" customWidth="1"/>
    <col min="8963" max="8963" width="4.5" style="575" customWidth="1"/>
    <col min="8964" max="8964" width="4.875" style="575" customWidth="1"/>
    <col min="8965" max="8972" width="7.875" style="575" customWidth="1"/>
    <col min="8973" max="8973" width="8.625" style="575" customWidth="1"/>
    <col min="8974" max="8974" width="15.125" style="575" customWidth="1"/>
    <col min="8975" max="9216" width="9" style="575"/>
    <col min="9217" max="9217" width="4.375" style="575" customWidth="1"/>
    <col min="9218" max="9218" width="20.625" style="575" customWidth="1"/>
    <col min="9219" max="9219" width="4.5" style="575" customWidth="1"/>
    <col min="9220" max="9220" width="4.875" style="575" customWidth="1"/>
    <col min="9221" max="9228" width="7.875" style="575" customWidth="1"/>
    <col min="9229" max="9229" width="8.625" style="575" customWidth="1"/>
    <col min="9230" max="9230" width="15.125" style="575" customWidth="1"/>
    <col min="9231" max="9472" width="9" style="575"/>
    <col min="9473" max="9473" width="4.375" style="575" customWidth="1"/>
    <col min="9474" max="9474" width="20.625" style="575" customWidth="1"/>
    <col min="9475" max="9475" width="4.5" style="575" customWidth="1"/>
    <col min="9476" max="9476" width="4.875" style="575" customWidth="1"/>
    <col min="9477" max="9484" width="7.875" style="575" customWidth="1"/>
    <col min="9485" max="9485" width="8.625" style="575" customWidth="1"/>
    <col min="9486" max="9486" width="15.125" style="575" customWidth="1"/>
    <col min="9487" max="9728" width="9" style="575"/>
    <col min="9729" max="9729" width="4.375" style="575" customWidth="1"/>
    <col min="9730" max="9730" width="20.625" style="575" customWidth="1"/>
    <col min="9731" max="9731" width="4.5" style="575" customWidth="1"/>
    <col min="9732" max="9732" width="4.875" style="575" customWidth="1"/>
    <col min="9733" max="9740" width="7.875" style="575" customWidth="1"/>
    <col min="9741" max="9741" width="8.625" style="575" customWidth="1"/>
    <col min="9742" max="9742" width="15.125" style="575" customWidth="1"/>
    <col min="9743" max="9984" width="9" style="575"/>
    <col min="9985" max="9985" width="4.375" style="575" customWidth="1"/>
    <col min="9986" max="9986" width="20.625" style="575" customWidth="1"/>
    <col min="9987" max="9987" width="4.5" style="575" customWidth="1"/>
    <col min="9988" max="9988" width="4.875" style="575" customWidth="1"/>
    <col min="9989" max="9996" width="7.875" style="575" customWidth="1"/>
    <col min="9997" max="9997" width="8.625" style="575" customWidth="1"/>
    <col min="9998" max="9998" width="15.125" style="575" customWidth="1"/>
    <col min="9999" max="10240" width="9" style="575"/>
    <col min="10241" max="10241" width="4.375" style="575" customWidth="1"/>
    <col min="10242" max="10242" width="20.625" style="575" customWidth="1"/>
    <col min="10243" max="10243" width="4.5" style="575" customWidth="1"/>
    <col min="10244" max="10244" width="4.875" style="575" customWidth="1"/>
    <col min="10245" max="10252" width="7.875" style="575" customWidth="1"/>
    <col min="10253" max="10253" width="8.625" style="575" customWidth="1"/>
    <col min="10254" max="10254" width="15.125" style="575" customWidth="1"/>
    <col min="10255" max="10496" width="9" style="575"/>
    <col min="10497" max="10497" width="4.375" style="575" customWidth="1"/>
    <col min="10498" max="10498" width="20.625" style="575" customWidth="1"/>
    <col min="10499" max="10499" width="4.5" style="575" customWidth="1"/>
    <col min="10500" max="10500" width="4.875" style="575" customWidth="1"/>
    <col min="10501" max="10508" width="7.875" style="575" customWidth="1"/>
    <col min="10509" max="10509" width="8.625" style="575" customWidth="1"/>
    <col min="10510" max="10510" width="15.125" style="575" customWidth="1"/>
    <col min="10511" max="10752" width="9" style="575"/>
    <col min="10753" max="10753" width="4.375" style="575" customWidth="1"/>
    <col min="10754" max="10754" width="20.625" style="575" customWidth="1"/>
    <col min="10755" max="10755" width="4.5" style="575" customWidth="1"/>
    <col min="10756" max="10756" width="4.875" style="575" customWidth="1"/>
    <col min="10757" max="10764" width="7.875" style="575" customWidth="1"/>
    <col min="10765" max="10765" width="8.625" style="575" customWidth="1"/>
    <col min="10766" max="10766" width="15.125" style="575" customWidth="1"/>
    <col min="10767" max="11008" width="9" style="575"/>
    <col min="11009" max="11009" width="4.375" style="575" customWidth="1"/>
    <col min="11010" max="11010" width="20.625" style="575" customWidth="1"/>
    <col min="11011" max="11011" width="4.5" style="575" customWidth="1"/>
    <col min="11012" max="11012" width="4.875" style="575" customWidth="1"/>
    <col min="11013" max="11020" width="7.875" style="575" customWidth="1"/>
    <col min="11021" max="11021" width="8.625" style="575" customWidth="1"/>
    <col min="11022" max="11022" width="15.125" style="575" customWidth="1"/>
    <col min="11023" max="11264" width="9" style="575"/>
    <col min="11265" max="11265" width="4.375" style="575" customWidth="1"/>
    <col min="11266" max="11266" width="20.625" style="575" customWidth="1"/>
    <col min="11267" max="11267" width="4.5" style="575" customWidth="1"/>
    <col min="11268" max="11268" width="4.875" style="575" customWidth="1"/>
    <col min="11269" max="11276" width="7.875" style="575" customWidth="1"/>
    <col min="11277" max="11277" width="8.625" style="575" customWidth="1"/>
    <col min="11278" max="11278" width="15.125" style="575" customWidth="1"/>
    <col min="11279" max="11520" width="9" style="575"/>
    <col min="11521" max="11521" width="4.375" style="575" customWidth="1"/>
    <col min="11522" max="11522" width="20.625" style="575" customWidth="1"/>
    <col min="11523" max="11523" width="4.5" style="575" customWidth="1"/>
    <col min="11524" max="11524" width="4.875" style="575" customWidth="1"/>
    <col min="11525" max="11532" width="7.875" style="575" customWidth="1"/>
    <col min="11533" max="11533" width="8.625" style="575" customWidth="1"/>
    <col min="11534" max="11534" width="15.125" style="575" customWidth="1"/>
    <col min="11535" max="11776" width="9" style="575"/>
    <col min="11777" max="11777" width="4.375" style="575" customWidth="1"/>
    <col min="11778" max="11778" width="20.625" style="575" customWidth="1"/>
    <col min="11779" max="11779" width="4.5" style="575" customWidth="1"/>
    <col min="11780" max="11780" width="4.875" style="575" customWidth="1"/>
    <col min="11781" max="11788" width="7.875" style="575" customWidth="1"/>
    <col min="11789" max="11789" width="8.625" style="575" customWidth="1"/>
    <col min="11790" max="11790" width="15.125" style="575" customWidth="1"/>
    <col min="11791" max="12032" width="9" style="575"/>
    <col min="12033" max="12033" width="4.375" style="575" customWidth="1"/>
    <col min="12034" max="12034" width="20.625" style="575" customWidth="1"/>
    <col min="12035" max="12035" width="4.5" style="575" customWidth="1"/>
    <col min="12036" max="12036" width="4.875" style="575" customWidth="1"/>
    <col min="12037" max="12044" width="7.875" style="575" customWidth="1"/>
    <col min="12045" max="12045" width="8.625" style="575" customWidth="1"/>
    <col min="12046" max="12046" width="15.125" style="575" customWidth="1"/>
    <col min="12047" max="12288" width="9" style="575"/>
    <col min="12289" max="12289" width="4.375" style="575" customWidth="1"/>
    <col min="12290" max="12290" width="20.625" style="575" customWidth="1"/>
    <col min="12291" max="12291" width="4.5" style="575" customWidth="1"/>
    <col min="12292" max="12292" width="4.875" style="575" customWidth="1"/>
    <col min="12293" max="12300" width="7.875" style="575" customWidth="1"/>
    <col min="12301" max="12301" width="8.625" style="575" customWidth="1"/>
    <col min="12302" max="12302" width="15.125" style="575" customWidth="1"/>
    <col min="12303" max="12544" width="9" style="575"/>
    <col min="12545" max="12545" width="4.375" style="575" customWidth="1"/>
    <col min="12546" max="12546" width="20.625" style="575" customWidth="1"/>
    <col min="12547" max="12547" width="4.5" style="575" customWidth="1"/>
    <col min="12548" max="12548" width="4.875" style="575" customWidth="1"/>
    <col min="12549" max="12556" width="7.875" style="575" customWidth="1"/>
    <col min="12557" max="12557" width="8.625" style="575" customWidth="1"/>
    <col min="12558" max="12558" width="15.125" style="575" customWidth="1"/>
    <col min="12559" max="12800" width="9" style="575"/>
    <col min="12801" max="12801" width="4.375" style="575" customWidth="1"/>
    <col min="12802" max="12802" width="20.625" style="575" customWidth="1"/>
    <col min="12803" max="12803" width="4.5" style="575" customWidth="1"/>
    <col min="12804" max="12804" width="4.875" style="575" customWidth="1"/>
    <col min="12805" max="12812" width="7.875" style="575" customWidth="1"/>
    <col min="12813" max="12813" width="8.625" style="575" customWidth="1"/>
    <col min="12814" max="12814" width="15.125" style="575" customWidth="1"/>
    <col min="12815" max="13056" width="9" style="575"/>
    <col min="13057" max="13057" width="4.375" style="575" customWidth="1"/>
    <col min="13058" max="13058" width="20.625" style="575" customWidth="1"/>
    <col min="13059" max="13059" width="4.5" style="575" customWidth="1"/>
    <col min="13060" max="13060" width="4.875" style="575" customWidth="1"/>
    <col min="13061" max="13068" width="7.875" style="575" customWidth="1"/>
    <col min="13069" max="13069" width="8.625" style="575" customWidth="1"/>
    <col min="13070" max="13070" width="15.125" style="575" customWidth="1"/>
    <col min="13071" max="13312" width="9" style="575"/>
    <col min="13313" max="13313" width="4.375" style="575" customWidth="1"/>
    <col min="13314" max="13314" width="20.625" style="575" customWidth="1"/>
    <col min="13315" max="13315" width="4.5" style="575" customWidth="1"/>
    <col min="13316" max="13316" width="4.875" style="575" customWidth="1"/>
    <col min="13317" max="13324" width="7.875" style="575" customWidth="1"/>
    <col min="13325" max="13325" width="8.625" style="575" customWidth="1"/>
    <col min="13326" max="13326" width="15.125" style="575" customWidth="1"/>
    <col min="13327" max="13568" width="9" style="575"/>
    <col min="13569" max="13569" width="4.375" style="575" customWidth="1"/>
    <col min="13570" max="13570" width="20.625" style="575" customWidth="1"/>
    <col min="13571" max="13571" width="4.5" style="575" customWidth="1"/>
    <col min="13572" max="13572" width="4.875" style="575" customWidth="1"/>
    <col min="13573" max="13580" width="7.875" style="575" customWidth="1"/>
    <col min="13581" max="13581" width="8.625" style="575" customWidth="1"/>
    <col min="13582" max="13582" width="15.125" style="575" customWidth="1"/>
    <col min="13583" max="13824" width="9" style="575"/>
    <col min="13825" max="13825" width="4.375" style="575" customWidth="1"/>
    <col min="13826" max="13826" width="20.625" style="575" customWidth="1"/>
    <col min="13827" max="13827" width="4.5" style="575" customWidth="1"/>
    <col min="13828" max="13828" width="4.875" style="575" customWidth="1"/>
    <col min="13829" max="13836" width="7.875" style="575" customWidth="1"/>
    <col min="13837" max="13837" width="8.625" style="575" customWidth="1"/>
    <col min="13838" max="13838" width="15.125" style="575" customWidth="1"/>
    <col min="13839" max="14080" width="9" style="575"/>
    <col min="14081" max="14081" width="4.375" style="575" customWidth="1"/>
    <col min="14082" max="14082" width="20.625" style="575" customWidth="1"/>
    <col min="14083" max="14083" width="4.5" style="575" customWidth="1"/>
    <col min="14084" max="14084" width="4.875" style="575" customWidth="1"/>
    <col min="14085" max="14092" width="7.875" style="575" customWidth="1"/>
    <col min="14093" max="14093" width="8.625" style="575" customWidth="1"/>
    <col min="14094" max="14094" width="15.125" style="575" customWidth="1"/>
    <col min="14095" max="14336" width="9" style="575"/>
    <col min="14337" max="14337" width="4.375" style="575" customWidth="1"/>
    <col min="14338" max="14338" width="20.625" style="575" customWidth="1"/>
    <col min="14339" max="14339" width="4.5" style="575" customWidth="1"/>
    <col min="14340" max="14340" width="4.875" style="575" customWidth="1"/>
    <col min="14341" max="14348" width="7.875" style="575" customWidth="1"/>
    <col min="14349" max="14349" width="8.625" style="575" customWidth="1"/>
    <col min="14350" max="14350" width="15.125" style="575" customWidth="1"/>
    <col min="14351" max="14592" width="9" style="575"/>
    <col min="14593" max="14593" width="4.375" style="575" customWidth="1"/>
    <col min="14594" max="14594" width="20.625" style="575" customWidth="1"/>
    <col min="14595" max="14595" width="4.5" style="575" customWidth="1"/>
    <col min="14596" max="14596" width="4.875" style="575" customWidth="1"/>
    <col min="14597" max="14604" width="7.875" style="575" customWidth="1"/>
    <col min="14605" max="14605" width="8.625" style="575" customWidth="1"/>
    <col min="14606" max="14606" width="15.125" style="575" customWidth="1"/>
    <col min="14607" max="14848" width="9" style="575"/>
    <col min="14849" max="14849" width="4.375" style="575" customWidth="1"/>
    <col min="14850" max="14850" width="20.625" style="575" customWidth="1"/>
    <col min="14851" max="14851" width="4.5" style="575" customWidth="1"/>
    <col min="14852" max="14852" width="4.875" style="575" customWidth="1"/>
    <col min="14853" max="14860" width="7.875" style="575" customWidth="1"/>
    <col min="14861" max="14861" width="8.625" style="575" customWidth="1"/>
    <col min="14862" max="14862" width="15.125" style="575" customWidth="1"/>
    <col min="14863" max="15104" width="9" style="575"/>
    <col min="15105" max="15105" width="4.375" style="575" customWidth="1"/>
    <col min="15106" max="15106" width="20.625" style="575" customWidth="1"/>
    <col min="15107" max="15107" width="4.5" style="575" customWidth="1"/>
    <col min="15108" max="15108" width="4.875" style="575" customWidth="1"/>
    <col min="15109" max="15116" width="7.875" style="575" customWidth="1"/>
    <col min="15117" max="15117" width="8.625" style="575" customWidth="1"/>
    <col min="15118" max="15118" width="15.125" style="575" customWidth="1"/>
    <col min="15119" max="15360" width="9" style="575"/>
    <col min="15361" max="15361" width="4.375" style="575" customWidth="1"/>
    <col min="15362" max="15362" width="20.625" style="575" customWidth="1"/>
    <col min="15363" max="15363" width="4.5" style="575" customWidth="1"/>
    <col min="15364" max="15364" width="4.875" style="575" customWidth="1"/>
    <col min="15365" max="15372" width="7.875" style="575" customWidth="1"/>
    <col min="15373" max="15373" width="8.625" style="575" customWidth="1"/>
    <col min="15374" max="15374" width="15.125" style="575" customWidth="1"/>
    <col min="15375" max="15616" width="9" style="575"/>
    <col min="15617" max="15617" width="4.375" style="575" customWidth="1"/>
    <col min="15618" max="15618" width="20.625" style="575" customWidth="1"/>
    <col min="15619" max="15619" width="4.5" style="575" customWidth="1"/>
    <col min="15620" max="15620" width="4.875" style="575" customWidth="1"/>
    <col min="15621" max="15628" width="7.875" style="575" customWidth="1"/>
    <col min="15629" max="15629" width="8.625" style="575" customWidth="1"/>
    <col min="15630" max="15630" width="15.125" style="575" customWidth="1"/>
    <col min="15631" max="15872" width="9" style="575"/>
    <col min="15873" max="15873" width="4.375" style="575" customWidth="1"/>
    <col min="15874" max="15874" width="20.625" style="575" customWidth="1"/>
    <col min="15875" max="15875" width="4.5" style="575" customWidth="1"/>
    <col min="15876" max="15876" width="4.875" style="575" customWidth="1"/>
    <col min="15877" max="15884" width="7.875" style="575" customWidth="1"/>
    <col min="15885" max="15885" width="8.625" style="575" customWidth="1"/>
    <col min="15886" max="15886" width="15.125" style="575" customWidth="1"/>
    <col min="15887" max="16128" width="9" style="575"/>
    <col min="16129" max="16129" width="4.375" style="575" customWidth="1"/>
    <col min="16130" max="16130" width="20.625" style="575" customWidth="1"/>
    <col min="16131" max="16131" width="4.5" style="575" customWidth="1"/>
    <col min="16132" max="16132" width="4.875" style="575" customWidth="1"/>
    <col min="16133" max="16140" width="7.875" style="575" customWidth="1"/>
    <col min="16141" max="16141" width="8.625" style="575" customWidth="1"/>
    <col min="16142" max="16142" width="15.125" style="575" customWidth="1"/>
    <col min="16143" max="16384" width="9" style="575"/>
  </cols>
  <sheetData>
    <row r="1" spans="1:15" ht="25.9" customHeight="1">
      <c r="A1" s="3583" t="s">
        <v>5405</v>
      </c>
      <c r="B1" s="3583"/>
      <c r="C1" s="3583"/>
      <c r="D1" s="3583"/>
      <c r="E1" s="3583"/>
      <c r="F1" s="3583"/>
      <c r="G1" s="3583"/>
      <c r="H1" s="3583"/>
      <c r="I1" s="3583"/>
      <c r="J1" s="3583"/>
      <c r="K1" s="3583"/>
      <c r="L1" s="2754" t="str">
        <f>基本情况!$F$10</f>
        <v>厦中汇税审（2018）第DS0001号</v>
      </c>
      <c r="M1" s="2754"/>
      <c r="N1" s="2754"/>
    </row>
    <row r="2" spans="1:15" ht="37.15" customHeight="1">
      <c r="A2" s="3584"/>
      <c r="B2" s="3584"/>
      <c r="C2" s="3584"/>
      <c r="D2" s="3584"/>
      <c r="E2" s="3584"/>
      <c r="F2" s="3584"/>
      <c r="G2" s="3584"/>
      <c r="H2" s="3584"/>
      <c r="I2" s="3584"/>
      <c r="J2" s="3584"/>
      <c r="K2" s="3584"/>
      <c r="L2" s="2949" t="str">
        <f>"底稿编号："&amp;开始!L10</f>
        <v>底稿编号：AD-08</v>
      </c>
      <c r="M2" s="2949"/>
      <c r="N2" s="2949"/>
    </row>
    <row r="3" spans="1:15" ht="14.25" customHeight="1">
      <c r="A3" s="3585" t="s">
        <v>5347</v>
      </c>
      <c r="B3" s="3576" t="s">
        <v>5348</v>
      </c>
      <c r="C3" s="3587" t="s">
        <v>447</v>
      </c>
      <c r="D3" s="3588"/>
      <c r="E3" s="3589"/>
      <c r="F3" s="3587" t="s">
        <v>448</v>
      </c>
      <c r="G3" s="3588"/>
      <c r="H3" s="3588"/>
      <c r="I3" s="3588"/>
      <c r="J3" s="3588"/>
      <c r="K3" s="3588"/>
      <c r="L3" s="3589"/>
      <c r="M3" s="3585" t="s">
        <v>5350</v>
      </c>
      <c r="N3" s="3585" t="s">
        <v>5406</v>
      </c>
    </row>
    <row r="4" spans="1:15" ht="39.75" customHeight="1">
      <c r="A4" s="3585"/>
      <c r="B4" s="3586"/>
      <c r="C4" s="1566" t="s">
        <v>5387</v>
      </c>
      <c r="D4" s="1566" t="s">
        <v>5349</v>
      </c>
      <c r="E4" s="1566" t="s">
        <v>5350</v>
      </c>
      <c r="F4" s="1566" t="s">
        <v>5407</v>
      </c>
      <c r="G4" s="1566" t="s">
        <v>450</v>
      </c>
      <c r="H4" s="1566" t="s">
        <v>451</v>
      </c>
      <c r="I4" s="1566" t="s">
        <v>452</v>
      </c>
      <c r="J4" s="1566" t="s">
        <v>453</v>
      </c>
      <c r="K4" s="1566" t="s">
        <v>5408</v>
      </c>
      <c r="L4" s="1566" t="s">
        <v>5350</v>
      </c>
      <c r="M4" s="3585"/>
      <c r="N4" s="3585"/>
    </row>
    <row r="5" spans="1:15" ht="14.25" customHeight="1">
      <c r="A5" s="3585"/>
      <c r="B5" s="3586"/>
      <c r="C5" s="1559">
        <v>1</v>
      </c>
      <c r="D5" s="1559">
        <v>2</v>
      </c>
      <c r="E5" s="1559" t="s">
        <v>455</v>
      </c>
      <c r="F5" s="1559">
        <v>4</v>
      </c>
      <c r="G5" s="1559">
        <v>5</v>
      </c>
      <c r="H5" s="1559">
        <v>6</v>
      </c>
      <c r="I5" s="1559">
        <v>7</v>
      </c>
      <c r="J5" s="1566" t="s">
        <v>456</v>
      </c>
      <c r="K5" s="1566" t="s">
        <v>457</v>
      </c>
      <c r="L5" s="1566" t="s">
        <v>458</v>
      </c>
      <c r="M5" s="1559" t="s">
        <v>5409</v>
      </c>
      <c r="N5" s="1571"/>
    </row>
    <row r="6" spans="1:15" ht="14.25" customHeight="1">
      <c r="A6" s="1551">
        <v>1</v>
      </c>
      <c r="B6" s="1572" t="s">
        <v>5410</v>
      </c>
      <c r="C6" s="1554"/>
      <c r="D6" s="1554"/>
      <c r="E6" s="1553">
        <f>D6-C6</f>
        <v>0</v>
      </c>
      <c r="F6" s="1554"/>
      <c r="G6" s="1554"/>
      <c r="H6" s="1554"/>
      <c r="I6" s="1554"/>
      <c r="J6" s="1553">
        <f>F6-H6</f>
        <v>0</v>
      </c>
      <c r="K6" s="1553">
        <f>G6-I6</f>
        <v>0</v>
      </c>
      <c r="L6" s="1553">
        <f>K6-J6</f>
        <v>0</v>
      </c>
      <c r="M6" s="1553">
        <f>E6+L6</f>
        <v>0</v>
      </c>
      <c r="N6" s="1571"/>
    </row>
    <row r="7" spans="1:15" ht="14.25" customHeight="1">
      <c r="A7" s="1551">
        <v>2</v>
      </c>
      <c r="B7" s="1573" t="s">
        <v>5411</v>
      </c>
      <c r="C7" s="1554"/>
      <c r="D7" s="1554"/>
      <c r="E7" s="1553">
        <f t="shared" ref="E7:E14" si="0">D7-C7</f>
        <v>0</v>
      </c>
      <c r="F7" s="1554"/>
      <c r="G7" s="1554"/>
      <c r="H7" s="1554"/>
      <c r="I7" s="1554"/>
      <c r="J7" s="1553">
        <f t="shared" ref="J7:K14" si="1">F7-H7</f>
        <v>0</v>
      </c>
      <c r="K7" s="1553">
        <f t="shared" si="1"/>
        <v>0</v>
      </c>
      <c r="L7" s="1553">
        <f t="shared" ref="L7:L14" si="2">K7-J7</f>
        <v>0</v>
      </c>
      <c r="M7" s="1553">
        <f t="shared" ref="M7:M14" si="3">E7+L7</f>
        <v>0</v>
      </c>
      <c r="N7" s="1571"/>
    </row>
    <row r="8" spans="1:15" ht="14.25" customHeight="1">
      <c r="A8" s="1551">
        <v>3</v>
      </c>
      <c r="B8" s="1574" t="s">
        <v>5412</v>
      </c>
      <c r="C8" s="1554"/>
      <c r="D8" s="1554"/>
      <c r="E8" s="1553">
        <f t="shared" si="0"/>
        <v>0</v>
      </c>
      <c r="F8" s="1554"/>
      <c r="G8" s="1554"/>
      <c r="H8" s="1554"/>
      <c r="I8" s="1554"/>
      <c r="J8" s="1553">
        <f t="shared" si="1"/>
        <v>0</v>
      </c>
      <c r="K8" s="1553">
        <f t="shared" si="1"/>
        <v>0</v>
      </c>
      <c r="L8" s="1553">
        <f t="shared" si="2"/>
        <v>0</v>
      </c>
      <c r="M8" s="1553">
        <f t="shared" si="3"/>
        <v>0</v>
      </c>
      <c r="N8" s="1571"/>
      <c r="O8" s="1555" t="s">
        <v>5413</v>
      </c>
    </row>
    <row r="9" spans="1:15" ht="14.25" customHeight="1">
      <c r="A9" s="1551">
        <v>4</v>
      </c>
      <c r="B9" s="1573" t="s">
        <v>5414</v>
      </c>
      <c r="C9" s="1554"/>
      <c r="D9" s="1554"/>
      <c r="E9" s="1553">
        <f t="shared" si="0"/>
        <v>0</v>
      </c>
      <c r="F9" s="1554"/>
      <c r="G9" s="1554"/>
      <c r="H9" s="1554"/>
      <c r="I9" s="1554"/>
      <c r="J9" s="1553">
        <f t="shared" si="1"/>
        <v>0</v>
      </c>
      <c r="K9" s="1553">
        <f t="shared" si="1"/>
        <v>0</v>
      </c>
      <c r="L9" s="1553">
        <f t="shared" si="2"/>
        <v>0</v>
      </c>
      <c r="M9" s="1553">
        <f t="shared" si="3"/>
        <v>0</v>
      </c>
      <c r="N9" s="1571"/>
    </row>
    <row r="10" spans="1:15" ht="14.25" customHeight="1">
      <c r="A10" s="1551">
        <v>5</v>
      </c>
      <c r="B10" s="1573" t="s">
        <v>5415</v>
      </c>
      <c r="C10" s="1554"/>
      <c r="D10" s="1554"/>
      <c r="E10" s="1553">
        <f t="shared" si="0"/>
        <v>0</v>
      </c>
      <c r="F10" s="1554"/>
      <c r="G10" s="1554"/>
      <c r="H10" s="1554"/>
      <c r="I10" s="1554"/>
      <c r="J10" s="1553">
        <f t="shared" si="1"/>
        <v>0</v>
      </c>
      <c r="K10" s="1553">
        <f t="shared" si="1"/>
        <v>0</v>
      </c>
      <c r="L10" s="1553">
        <f t="shared" si="2"/>
        <v>0</v>
      </c>
      <c r="M10" s="1553">
        <f t="shared" si="3"/>
        <v>0</v>
      </c>
      <c r="N10" s="1571"/>
      <c r="O10" s="1555" t="s">
        <v>5416</v>
      </c>
    </row>
    <row r="11" spans="1:15" ht="14.25" customHeight="1">
      <c r="A11" s="1551">
        <v>6</v>
      </c>
      <c r="B11" s="1574" t="s">
        <v>5417</v>
      </c>
      <c r="C11" s="1554"/>
      <c r="D11" s="1554"/>
      <c r="E11" s="1553">
        <f t="shared" si="0"/>
        <v>0</v>
      </c>
      <c r="F11" s="1554"/>
      <c r="G11" s="1554"/>
      <c r="H11" s="1554"/>
      <c r="I11" s="1554"/>
      <c r="J11" s="1553">
        <f t="shared" si="1"/>
        <v>0</v>
      </c>
      <c r="K11" s="1553">
        <f t="shared" si="1"/>
        <v>0</v>
      </c>
      <c r="L11" s="1553">
        <f t="shared" si="2"/>
        <v>0</v>
      </c>
      <c r="M11" s="1553">
        <f t="shared" si="3"/>
        <v>0</v>
      </c>
      <c r="N11" s="1571"/>
    </row>
    <row r="12" spans="1:15" ht="14.25" customHeight="1">
      <c r="A12" s="1551">
        <v>7</v>
      </c>
      <c r="B12" s="1574" t="s">
        <v>5418</v>
      </c>
      <c r="C12" s="1554"/>
      <c r="D12" s="1554"/>
      <c r="E12" s="1553">
        <f t="shared" si="0"/>
        <v>0</v>
      </c>
      <c r="F12" s="1554"/>
      <c r="G12" s="1554"/>
      <c r="H12" s="1554"/>
      <c r="I12" s="1554"/>
      <c r="J12" s="1553">
        <f t="shared" si="1"/>
        <v>0</v>
      </c>
      <c r="K12" s="1553">
        <f t="shared" si="1"/>
        <v>0</v>
      </c>
      <c r="L12" s="1553">
        <f t="shared" si="2"/>
        <v>0</v>
      </c>
      <c r="M12" s="1553">
        <f t="shared" si="3"/>
        <v>0</v>
      </c>
      <c r="N12" s="1571"/>
    </row>
    <row r="13" spans="1:15" ht="14.25" customHeight="1">
      <c r="A13" s="1551">
        <v>8</v>
      </c>
      <c r="B13" s="1574" t="s">
        <v>5419</v>
      </c>
      <c r="C13" s="1554"/>
      <c r="D13" s="1554"/>
      <c r="E13" s="1553">
        <f t="shared" si="0"/>
        <v>0</v>
      </c>
      <c r="F13" s="1554"/>
      <c r="G13" s="1554"/>
      <c r="H13" s="1554"/>
      <c r="I13" s="1554"/>
      <c r="J13" s="1553">
        <f t="shared" si="1"/>
        <v>0</v>
      </c>
      <c r="K13" s="1553">
        <f t="shared" si="1"/>
        <v>0</v>
      </c>
      <c r="L13" s="1553">
        <f t="shared" si="2"/>
        <v>0</v>
      </c>
      <c r="M13" s="1553">
        <f t="shared" si="3"/>
        <v>0</v>
      </c>
      <c r="N13" s="1571"/>
    </row>
    <row r="14" spans="1:15" ht="14.25" customHeight="1">
      <c r="A14" s="1551">
        <v>9</v>
      </c>
      <c r="B14" s="1573" t="s">
        <v>5420</v>
      </c>
      <c r="C14" s="1554"/>
      <c r="D14" s="1554"/>
      <c r="E14" s="1553">
        <f t="shared" si="0"/>
        <v>0</v>
      </c>
      <c r="F14" s="1554"/>
      <c r="G14" s="1554"/>
      <c r="H14" s="1554"/>
      <c r="I14" s="1554"/>
      <c r="J14" s="1553">
        <f t="shared" si="1"/>
        <v>0</v>
      </c>
      <c r="K14" s="1553">
        <f t="shared" si="1"/>
        <v>0</v>
      </c>
      <c r="L14" s="1553">
        <f t="shared" si="2"/>
        <v>0</v>
      </c>
      <c r="M14" s="1553">
        <f t="shared" si="3"/>
        <v>0</v>
      </c>
      <c r="N14" s="1571"/>
    </row>
    <row r="15" spans="1:15" ht="129" customHeight="1">
      <c r="A15" s="1551">
        <v>10</v>
      </c>
      <c r="B15" s="1575" t="s">
        <v>5421</v>
      </c>
      <c r="C15" s="1553">
        <f>SUM(C6:C14)</f>
        <v>0</v>
      </c>
      <c r="D15" s="1553">
        <f t="shared" ref="D15:M15" si="4">SUM(D6:D14)</f>
        <v>0</v>
      </c>
      <c r="E15" s="1553">
        <f t="shared" si="4"/>
        <v>0</v>
      </c>
      <c r="F15" s="1553">
        <f t="shared" si="4"/>
        <v>0</v>
      </c>
      <c r="G15" s="1553">
        <f t="shared" si="4"/>
        <v>0</v>
      </c>
      <c r="H15" s="1553">
        <f t="shared" si="4"/>
        <v>0</v>
      </c>
      <c r="I15" s="1553">
        <f t="shared" si="4"/>
        <v>0</v>
      </c>
      <c r="J15" s="1553">
        <f t="shared" si="4"/>
        <v>0</v>
      </c>
      <c r="K15" s="1553">
        <f t="shared" si="4"/>
        <v>0</v>
      </c>
      <c r="L15" s="1553">
        <f t="shared" si="4"/>
        <v>0</v>
      </c>
      <c r="M15" s="1553">
        <f t="shared" si="4"/>
        <v>0</v>
      </c>
      <c r="N15" s="1574" t="s">
        <v>5422</v>
      </c>
    </row>
    <row r="16" spans="1:15">
      <c r="A16" s="1540"/>
      <c r="B16" s="1540"/>
      <c r="C16" s="1540"/>
      <c r="D16" s="1540"/>
      <c r="E16" s="1540"/>
      <c r="F16" s="1540"/>
      <c r="G16" s="1540"/>
      <c r="H16" s="1540"/>
      <c r="I16" s="1540"/>
      <c r="J16" s="1540"/>
      <c r="K16" s="1540"/>
      <c r="L16" s="1540"/>
      <c r="M16" s="1540"/>
      <c r="N16" s="1540"/>
    </row>
  </sheetData>
  <mergeCells count="9">
    <mergeCell ref="L1:N1"/>
    <mergeCell ref="L2:N2"/>
    <mergeCell ref="A1:K2"/>
    <mergeCell ref="N3:N4"/>
    <mergeCell ref="A3:A5"/>
    <mergeCell ref="B3:B5"/>
    <mergeCell ref="C3:E3"/>
    <mergeCell ref="F3:L3"/>
    <mergeCell ref="M3:M4"/>
  </mergeCells>
  <phoneticPr fontId="135" type="noConversion"/>
  <hyperlinks>
    <hyperlink ref="O10" location="A105030投资收益纳税调整明细表!A1" display="A105030投资收益纳税调整明细表!A1"/>
    <hyperlink ref="O8" location="利润!A26" display="利润"/>
  </hyperlinks>
  <printOptions horizontalCentered="1"/>
  <pageMargins left="0.59055118110236215" right="0.59055118110236215" top="0.39370078740157477" bottom="0.39370078740157477" header="0.511811023622047" footer="0.511811023622047"/>
  <pageSetup paperSize="9" orientation="landscape" r:id="rId1"/>
  <headerFooter alignWithMargins="0"/>
  <drawing r:id="rId2"/>
  <legacyDrawing r:id="rId3"/>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7">
    <tabColor rgb="FFFFFF00"/>
  </sheetPr>
  <dimension ref="A1:S17"/>
  <sheetViews>
    <sheetView workbookViewId="0">
      <selection activeCell="D23" sqref="D23"/>
    </sheetView>
  </sheetViews>
  <sheetFormatPr defaultRowHeight="14.25"/>
  <cols>
    <col min="1" max="1" width="4.375" style="1586" customWidth="1"/>
    <col min="2" max="2" width="7.125" style="1586" customWidth="1"/>
    <col min="3" max="3" width="5.375" style="1586" customWidth="1"/>
    <col min="4" max="16" width="10.25" style="1586" customWidth="1"/>
    <col min="17" max="17" width="7.125" style="1577" customWidth="1"/>
    <col min="18" max="18" width="35.25" style="1577" customWidth="1"/>
    <col min="19" max="256" width="9" style="1577"/>
    <col min="257" max="257" width="4.375" style="1577" customWidth="1"/>
    <col min="258" max="258" width="19" style="1577" customWidth="1"/>
    <col min="259" max="259" width="6.5" style="1577" customWidth="1"/>
    <col min="260" max="260" width="6" style="1577" customWidth="1"/>
    <col min="261" max="261" width="6.875" style="1577" customWidth="1"/>
    <col min="262" max="266" width="7.75" style="1577" customWidth="1"/>
    <col min="267" max="267" width="6.75" style="1577" customWidth="1"/>
    <col min="268" max="268" width="5.125" style="1577" customWidth="1"/>
    <col min="269" max="269" width="7.75" style="1577" customWidth="1"/>
    <col min="270" max="270" width="4.375" style="1577" customWidth="1"/>
    <col min="271" max="272" width="6.625" style="1577" customWidth="1"/>
    <col min="273" max="273" width="14" style="1577" customWidth="1"/>
    <col min="274" max="274" width="35.25" style="1577" customWidth="1"/>
    <col min="275" max="512" width="9" style="1577"/>
    <col min="513" max="513" width="4.375" style="1577" customWidth="1"/>
    <col min="514" max="514" width="19" style="1577" customWidth="1"/>
    <col min="515" max="515" width="6.5" style="1577" customWidth="1"/>
    <col min="516" max="516" width="6" style="1577" customWidth="1"/>
    <col min="517" max="517" width="6.875" style="1577" customWidth="1"/>
    <col min="518" max="522" width="7.75" style="1577" customWidth="1"/>
    <col min="523" max="523" width="6.75" style="1577" customWidth="1"/>
    <col min="524" max="524" width="5.125" style="1577" customWidth="1"/>
    <col min="525" max="525" width="7.75" style="1577" customWidth="1"/>
    <col min="526" max="526" width="4.375" style="1577" customWidth="1"/>
    <col min="527" max="528" width="6.625" style="1577" customWidth="1"/>
    <col min="529" max="529" width="14" style="1577" customWidth="1"/>
    <col min="530" max="530" width="35.25" style="1577" customWidth="1"/>
    <col min="531" max="768" width="9" style="1577"/>
    <col min="769" max="769" width="4.375" style="1577" customWidth="1"/>
    <col min="770" max="770" width="19" style="1577" customWidth="1"/>
    <col min="771" max="771" width="6.5" style="1577" customWidth="1"/>
    <col min="772" max="772" width="6" style="1577" customWidth="1"/>
    <col min="773" max="773" width="6.875" style="1577" customWidth="1"/>
    <col min="774" max="778" width="7.75" style="1577" customWidth="1"/>
    <col min="779" max="779" width="6.75" style="1577" customWidth="1"/>
    <col min="780" max="780" width="5.125" style="1577" customWidth="1"/>
    <col min="781" max="781" width="7.75" style="1577" customWidth="1"/>
    <col min="782" max="782" width="4.375" style="1577" customWidth="1"/>
    <col min="783" max="784" width="6.625" style="1577" customWidth="1"/>
    <col min="785" max="785" width="14" style="1577" customWidth="1"/>
    <col min="786" max="786" width="35.25" style="1577" customWidth="1"/>
    <col min="787" max="1024" width="9" style="1577"/>
    <col min="1025" max="1025" width="4.375" style="1577" customWidth="1"/>
    <col min="1026" max="1026" width="19" style="1577" customWidth="1"/>
    <col min="1027" max="1027" width="6.5" style="1577" customWidth="1"/>
    <col min="1028" max="1028" width="6" style="1577" customWidth="1"/>
    <col min="1029" max="1029" width="6.875" style="1577" customWidth="1"/>
    <col min="1030" max="1034" width="7.75" style="1577" customWidth="1"/>
    <col min="1035" max="1035" width="6.75" style="1577" customWidth="1"/>
    <col min="1036" max="1036" width="5.125" style="1577" customWidth="1"/>
    <col min="1037" max="1037" width="7.75" style="1577" customWidth="1"/>
    <col min="1038" max="1038" width="4.375" style="1577" customWidth="1"/>
    <col min="1039" max="1040" width="6.625" style="1577" customWidth="1"/>
    <col min="1041" max="1041" width="14" style="1577" customWidth="1"/>
    <col min="1042" max="1042" width="35.25" style="1577" customWidth="1"/>
    <col min="1043" max="1280" width="9" style="1577"/>
    <col min="1281" max="1281" width="4.375" style="1577" customWidth="1"/>
    <col min="1282" max="1282" width="19" style="1577" customWidth="1"/>
    <col min="1283" max="1283" width="6.5" style="1577" customWidth="1"/>
    <col min="1284" max="1284" width="6" style="1577" customWidth="1"/>
    <col min="1285" max="1285" width="6.875" style="1577" customWidth="1"/>
    <col min="1286" max="1290" width="7.75" style="1577" customWidth="1"/>
    <col min="1291" max="1291" width="6.75" style="1577" customWidth="1"/>
    <col min="1292" max="1292" width="5.125" style="1577" customWidth="1"/>
    <col min="1293" max="1293" width="7.75" style="1577" customWidth="1"/>
    <col min="1294" max="1294" width="4.375" style="1577" customWidth="1"/>
    <col min="1295" max="1296" width="6.625" style="1577" customWidth="1"/>
    <col min="1297" max="1297" width="14" style="1577" customWidth="1"/>
    <col min="1298" max="1298" width="35.25" style="1577" customWidth="1"/>
    <col min="1299" max="1536" width="9" style="1577"/>
    <col min="1537" max="1537" width="4.375" style="1577" customWidth="1"/>
    <col min="1538" max="1538" width="19" style="1577" customWidth="1"/>
    <col min="1539" max="1539" width="6.5" style="1577" customWidth="1"/>
    <col min="1540" max="1540" width="6" style="1577" customWidth="1"/>
    <col min="1541" max="1541" width="6.875" style="1577" customWidth="1"/>
    <col min="1542" max="1546" width="7.75" style="1577" customWidth="1"/>
    <col min="1547" max="1547" width="6.75" style="1577" customWidth="1"/>
    <col min="1548" max="1548" width="5.125" style="1577" customWidth="1"/>
    <col min="1549" max="1549" width="7.75" style="1577" customWidth="1"/>
    <col min="1550" max="1550" width="4.375" style="1577" customWidth="1"/>
    <col min="1551" max="1552" width="6.625" style="1577" customWidth="1"/>
    <col min="1553" max="1553" width="14" style="1577" customWidth="1"/>
    <col min="1554" max="1554" width="35.25" style="1577" customWidth="1"/>
    <col min="1555" max="1792" width="9" style="1577"/>
    <col min="1793" max="1793" width="4.375" style="1577" customWidth="1"/>
    <col min="1794" max="1794" width="19" style="1577" customWidth="1"/>
    <col min="1795" max="1795" width="6.5" style="1577" customWidth="1"/>
    <col min="1796" max="1796" width="6" style="1577" customWidth="1"/>
    <col min="1797" max="1797" width="6.875" style="1577" customWidth="1"/>
    <col min="1798" max="1802" width="7.75" style="1577" customWidth="1"/>
    <col min="1803" max="1803" width="6.75" style="1577" customWidth="1"/>
    <col min="1804" max="1804" width="5.125" style="1577" customWidth="1"/>
    <col min="1805" max="1805" width="7.75" style="1577" customWidth="1"/>
    <col min="1806" max="1806" width="4.375" style="1577" customWidth="1"/>
    <col min="1807" max="1808" width="6.625" style="1577" customWidth="1"/>
    <col min="1809" max="1809" width="14" style="1577" customWidth="1"/>
    <col min="1810" max="1810" width="35.25" style="1577" customWidth="1"/>
    <col min="1811" max="2048" width="9" style="1577"/>
    <col min="2049" max="2049" width="4.375" style="1577" customWidth="1"/>
    <col min="2050" max="2050" width="19" style="1577" customWidth="1"/>
    <col min="2051" max="2051" width="6.5" style="1577" customWidth="1"/>
    <col min="2052" max="2052" width="6" style="1577" customWidth="1"/>
    <col min="2053" max="2053" width="6.875" style="1577" customWidth="1"/>
    <col min="2054" max="2058" width="7.75" style="1577" customWidth="1"/>
    <col min="2059" max="2059" width="6.75" style="1577" customWidth="1"/>
    <col min="2060" max="2060" width="5.125" style="1577" customWidth="1"/>
    <col min="2061" max="2061" width="7.75" style="1577" customWidth="1"/>
    <col min="2062" max="2062" width="4.375" style="1577" customWidth="1"/>
    <col min="2063" max="2064" width="6.625" style="1577" customWidth="1"/>
    <col min="2065" max="2065" width="14" style="1577" customWidth="1"/>
    <col min="2066" max="2066" width="35.25" style="1577" customWidth="1"/>
    <col min="2067" max="2304" width="9" style="1577"/>
    <col min="2305" max="2305" width="4.375" style="1577" customWidth="1"/>
    <col min="2306" max="2306" width="19" style="1577" customWidth="1"/>
    <col min="2307" max="2307" width="6.5" style="1577" customWidth="1"/>
    <col min="2308" max="2308" width="6" style="1577" customWidth="1"/>
    <col min="2309" max="2309" width="6.875" style="1577" customWidth="1"/>
    <col min="2310" max="2314" width="7.75" style="1577" customWidth="1"/>
    <col min="2315" max="2315" width="6.75" style="1577" customWidth="1"/>
    <col min="2316" max="2316" width="5.125" style="1577" customWidth="1"/>
    <col min="2317" max="2317" width="7.75" style="1577" customWidth="1"/>
    <col min="2318" max="2318" width="4.375" style="1577" customWidth="1"/>
    <col min="2319" max="2320" width="6.625" style="1577" customWidth="1"/>
    <col min="2321" max="2321" width="14" style="1577" customWidth="1"/>
    <col min="2322" max="2322" width="35.25" style="1577" customWidth="1"/>
    <col min="2323" max="2560" width="9" style="1577"/>
    <col min="2561" max="2561" width="4.375" style="1577" customWidth="1"/>
    <col min="2562" max="2562" width="19" style="1577" customWidth="1"/>
    <col min="2563" max="2563" width="6.5" style="1577" customWidth="1"/>
    <col min="2564" max="2564" width="6" style="1577" customWidth="1"/>
    <col min="2565" max="2565" width="6.875" style="1577" customWidth="1"/>
    <col min="2566" max="2570" width="7.75" style="1577" customWidth="1"/>
    <col min="2571" max="2571" width="6.75" style="1577" customWidth="1"/>
    <col min="2572" max="2572" width="5.125" style="1577" customWidth="1"/>
    <col min="2573" max="2573" width="7.75" style="1577" customWidth="1"/>
    <col min="2574" max="2574" width="4.375" style="1577" customWidth="1"/>
    <col min="2575" max="2576" width="6.625" style="1577" customWidth="1"/>
    <col min="2577" max="2577" width="14" style="1577" customWidth="1"/>
    <col min="2578" max="2578" width="35.25" style="1577" customWidth="1"/>
    <col min="2579" max="2816" width="9" style="1577"/>
    <col min="2817" max="2817" width="4.375" style="1577" customWidth="1"/>
    <col min="2818" max="2818" width="19" style="1577" customWidth="1"/>
    <col min="2819" max="2819" width="6.5" style="1577" customWidth="1"/>
    <col min="2820" max="2820" width="6" style="1577" customWidth="1"/>
    <col min="2821" max="2821" width="6.875" style="1577" customWidth="1"/>
    <col min="2822" max="2826" width="7.75" style="1577" customWidth="1"/>
    <col min="2827" max="2827" width="6.75" style="1577" customWidth="1"/>
    <col min="2828" max="2828" width="5.125" style="1577" customWidth="1"/>
    <col min="2829" max="2829" width="7.75" style="1577" customWidth="1"/>
    <col min="2830" max="2830" width="4.375" style="1577" customWidth="1"/>
    <col min="2831" max="2832" width="6.625" style="1577" customWidth="1"/>
    <col min="2833" max="2833" width="14" style="1577" customWidth="1"/>
    <col min="2834" max="2834" width="35.25" style="1577" customWidth="1"/>
    <col min="2835" max="3072" width="9" style="1577"/>
    <col min="3073" max="3073" width="4.375" style="1577" customWidth="1"/>
    <col min="3074" max="3074" width="19" style="1577" customWidth="1"/>
    <col min="3075" max="3075" width="6.5" style="1577" customWidth="1"/>
    <col min="3076" max="3076" width="6" style="1577" customWidth="1"/>
    <col min="3077" max="3077" width="6.875" style="1577" customWidth="1"/>
    <col min="3078" max="3082" width="7.75" style="1577" customWidth="1"/>
    <col min="3083" max="3083" width="6.75" style="1577" customWidth="1"/>
    <col min="3084" max="3084" width="5.125" style="1577" customWidth="1"/>
    <col min="3085" max="3085" width="7.75" style="1577" customWidth="1"/>
    <col min="3086" max="3086" width="4.375" style="1577" customWidth="1"/>
    <col min="3087" max="3088" width="6.625" style="1577" customWidth="1"/>
    <col min="3089" max="3089" width="14" style="1577" customWidth="1"/>
    <col min="3090" max="3090" width="35.25" style="1577" customWidth="1"/>
    <col min="3091" max="3328" width="9" style="1577"/>
    <col min="3329" max="3329" width="4.375" style="1577" customWidth="1"/>
    <col min="3330" max="3330" width="19" style="1577" customWidth="1"/>
    <col min="3331" max="3331" width="6.5" style="1577" customWidth="1"/>
    <col min="3332" max="3332" width="6" style="1577" customWidth="1"/>
    <col min="3333" max="3333" width="6.875" style="1577" customWidth="1"/>
    <col min="3334" max="3338" width="7.75" style="1577" customWidth="1"/>
    <col min="3339" max="3339" width="6.75" style="1577" customWidth="1"/>
    <col min="3340" max="3340" width="5.125" style="1577" customWidth="1"/>
    <col min="3341" max="3341" width="7.75" style="1577" customWidth="1"/>
    <col min="3342" max="3342" width="4.375" style="1577" customWidth="1"/>
    <col min="3343" max="3344" width="6.625" style="1577" customWidth="1"/>
    <col min="3345" max="3345" width="14" style="1577" customWidth="1"/>
    <col min="3346" max="3346" width="35.25" style="1577" customWidth="1"/>
    <col min="3347" max="3584" width="9" style="1577"/>
    <col min="3585" max="3585" width="4.375" style="1577" customWidth="1"/>
    <col min="3586" max="3586" width="19" style="1577" customWidth="1"/>
    <col min="3587" max="3587" width="6.5" style="1577" customWidth="1"/>
    <col min="3588" max="3588" width="6" style="1577" customWidth="1"/>
    <col min="3589" max="3589" width="6.875" style="1577" customWidth="1"/>
    <col min="3590" max="3594" width="7.75" style="1577" customWidth="1"/>
    <col min="3595" max="3595" width="6.75" style="1577" customWidth="1"/>
    <col min="3596" max="3596" width="5.125" style="1577" customWidth="1"/>
    <col min="3597" max="3597" width="7.75" style="1577" customWidth="1"/>
    <col min="3598" max="3598" width="4.375" style="1577" customWidth="1"/>
    <col min="3599" max="3600" width="6.625" style="1577" customWidth="1"/>
    <col min="3601" max="3601" width="14" style="1577" customWidth="1"/>
    <col min="3602" max="3602" width="35.25" style="1577" customWidth="1"/>
    <col min="3603" max="3840" width="9" style="1577"/>
    <col min="3841" max="3841" width="4.375" style="1577" customWidth="1"/>
    <col min="3842" max="3842" width="19" style="1577" customWidth="1"/>
    <col min="3843" max="3843" width="6.5" style="1577" customWidth="1"/>
    <col min="3844" max="3844" width="6" style="1577" customWidth="1"/>
    <col min="3845" max="3845" width="6.875" style="1577" customWidth="1"/>
    <col min="3846" max="3850" width="7.75" style="1577" customWidth="1"/>
    <col min="3851" max="3851" width="6.75" style="1577" customWidth="1"/>
    <col min="3852" max="3852" width="5.125" style="1577" customWidth="1"/>
    <col min="3853" max="3853" width="7.75" style="1577" customWidth="1"/>
    <col min="3854" max="3854" width="4.375" style="1577" customWidth="1"/>
    <col min="3855" max="3856" width="6.625" style="1577" customWidth="1"/>
    <col min="3857" max="3857" width="14" style="1577" customWidth="1"/>
    <col min="3858" max="3858" width="35.25" style="1577" customWidth="1"/>
    <col min="3859" max="4096" width="9" style="1577"/>
    <col min="4097" max="4097" width="4.375" style="1577" customWidth="1"/>
    <col min="4098" max="4098" width="19" style="1577" customWidth="1"/>
    <col min="4099" max="4099" width="6.5" style="1577" customWidth="1"/>
    <col min="4100" max="4100" width="6" style="1577" customWidth="1"/>
    <col min="4101" max="4101" width="6.875" style="1577" customWidth="1"/>
    <col min="4102" max="4106" width="7.75" style="1577" customWidth="1"/>
    <col min="4107" max="4107" width="6.75" style="1577" customWidth="1"/>
    <col min="4108" max="4108" width="5.125" style="1577" customWidth="1"/>
    <col min="4109" max="4109" width="7.75" style="1577" customWidth="1"/>
    <col min="4110" max="4110" width="4.375" style="1577" customWidth="1"/>
    <col min="4111" max="4112" width="6.625" style="1577" customWidth="1"/>
    <col min="4113" max="4113" width="14" style="1577" customWidth="1"/>
    <col min="4114" max="4114" width="35.25" style="1577" customWidth="1"/>
    <col min="4115" max="4352" width="9" style="1577"/>
    <col min="4353" max="4353" width="4.375" style="1577" customWidth="1"/>
    <col min="4354" max="4354" width="19" style="1577" customWidth="1"/>
    <col min="4355" max="4355" width="6.5" style="1577" customWidth="1"/>
    <col min="4356" max="4356" width="6" style="1577" customWidth="1"/>
    <col min="4357" max="4357" width="6.875" style="1577" customWidth="1"/>
    <col min="4358" max="4362" width="7.75" style="1577" customWidth="1"/>
    <col min="4363" max="4363" width="6.75" style="1577" customWidth="1"/>
    <col min="4364" max="4364" width="5.125" style="1577" customWidth="1"/>
    <col min="4365" max="4365" width="7.75" style="1577" customWidth="1"/>
    <col min="4366" max="4366" width="4.375" style="1577" customWidth="1"/>
    <col min="4367" max="4368" width="6.625" style="1577" customWidth="1"/>
    <col min="4369" max="4369" width="14" style="1577" customWidth="1"/>
    <col min="4370" max="4370" width="35.25" style="1577" customWidth="1"/>
    <col min="4371" max="4608" width="9" style="1577"/>
    <col min="4609" max="4609" width="4.375" style="1577" customWidth="1"/>
    <col min="4610" max="4610" width="19" style="1577" customWidth="1"/>
    <col min="4611" max="4611" width="6.5" style="1577" customWidth="1"/>
    <col min="4612" max="4612" width="6" style="1577" customWidth="1"/>
    <col min="4613" max="4613" width="6.875" style="1577" customWidth="1"/>
    <col min="4614" max="4618" width="7.75" style="1577" customWidth="1"/>
    <col min="4619" max="4619" width="6.75" style="1577" customWidth="1"/>
    <col min="4620" max="4620" width="5.125" style="1577" customWidth="1"/>
    <col min="4621" max="4621" width="7.75" style="1577" customWidth="1"/>
    <col min="4622" max="4622" width="4.375" style="1577" customWidth="1"/>
    <col min="4623" max="4624" width="6.625" style="1577" customWidth="1"/>
    <col min="4625" max="4625" width="14" style="1577" customWidth="1"/>
    <col min="4626" max="4626" width="35.25" style="1577" customWidth="1"/>
    <col min="4627" max="4864" width="9" style="1577"/>
    <col min="4865" max="4865" width="4.375" style="1577" customWidth="1"/>
    <col min="4866" max="4866" width="19" style="1577" customWidth="1"/>
    <col min="4867" max="4867" width="6.5" style="1577" customWidth="1"/>
    <col min="4868" max="4868" width="6" style="1577" customWidth="1"/>
    <col min="4869" max="4869" width="6.875" style="1577" customWidth="1"/>
    <col min="4870" max="4874" width="7.75" style="1577" customWidth="1"/>
    <col min="4875" max="4875" width="6.75" style="1577" customWidth="1"/>
    <col min="4876" max="4876" width="5.125" style="1577" customWidth="1"/>
    <col min="4877" max="4877" width="7.75" style="1577" customWidth="1"/>
    <col min="4878" max="4878" width="4.375" style="1577" customWidth="1"/>
    <col min="4879" max="4880" width="6.625" style="1577" customWidth="1"/>
    <col min="4881" max="4881" width="14" style="1577" customWidth="1"/>
    <col min="4882" max="4882" width="35.25" style="1577" customWidth="1"/>
    <col min="4883" max="5120" width="9" style="1577"/>
    <col min="5121" max="5121" width="4.375" style="1577" customWidth="1"/>
    <col min="5122" max="5122" width="19" style="1577" customWidth="1"/>
    <col min="5123" max="5123" width="6.5" style="1577" customWidth="1"/>
    <col min="5124" max="5124" width="6" style="1577" customWidth="1"/>
    <col min="5125" max="5125" width="6.875" style="1577" customWidth="1"/>
    <col min="5126" max="5130" width="7.75" style="1577" customWidth="1"/>
    <col min="5131" max="5131" width="6.75" style="1577" customWidth="1"/>
    <col min="5132" max="5132" width="5.125" style="1577" customWidth="1"/>
    <col min="5133" max="5133" width="7.75" style="1577" customWidth="1"/>
    <col min="5134" max="5134" width="4.375" style="1577" customWidth="1"/>
    <col min="5135" max="5136" width="6.625" style="1577" customWidth="1"/>
    <col min="5137" max="5137" width="14" style="1577" customWidth="1"/>
    <col min="5138" max="5138" width="35.25" style="1577" customWidth="1"/>
    <col min="5139" max="5376" width="9" style="1577"/>
    <col min="5377" max="5377" width="4.375" style="1577" customWidth="1"/>
    <col min="5378" max="5378" width="19" style="1577" customWidth="1"/>
    <col min="5379" max="5379" width="6.5" style="1577" customWidth="1"/>
    <col min="5380" max="5380" width="6" style="1577" customWidth="1"/>
    <col min="5381" max="5381" width="6.875" style="1577" customWidth="1"/>
    <col min="5382" max="5386" width="7.75" style="1577" customWidth="1"/>
    <col min="5387" max="5387" width="6.75" style="1577" customWidth="1"/>
    <col min="5388" max="5388" width="5.125" style="1577" customWidth="1"/>
    <col min="5389" max="5389" width="7.75" style="1577" customWidth="1"/>
    <col min="5390" max="5390" width="4.375" style="1577" customWidth="1"/>
    <col min="5391" max="5392" width="6.625" style="1577" customWidth="1"/>
    <col min="5393" max="5393" width="14" style="1577" customWidth="1"/>
    <col min="5394" max="5394" width="35.25" style="1577" customWidth="1"/>
    <col min="5395" max="5632" width="9" style="1577"/>
    <col min="5633" max="5633" width="4.375" style="1577" customWidth="1"/>
    <col min="5634" max="5634" width="19" style="1577" customWidth="1"/>
    <col min="5635" max="5635" width="6.5" style="1577" customWidth="1"/>
    <col min="5636" max="5636" width="6" style="1577" customWidth="1"/>
    <col min="5637" max="5637" width="6.875" style="1577" customWidth="1"/>
    <col min="5638" max="5642" width="7.75" style="1577" customWidth="1"/>
    <col min="5643" max="5643" width="6.75" style="1577" customWidth="1"/>
    <col min="5644" max="5644" width="5.125" style="1577" customWidth="1"/>
    <col min="5645" max="5645" width="7.75" style="1577" customWidth="1"/>
    <col min="5646" max="5646" width="4.375" style="1577" customWidth="1"/>
    <col min="5647" max="5648" width="6.625" style="1577" customWidth="1"/>
    <col min="5649" max="5649" width="14" style="1577" customWidth="1"/>
    <col min="5650" max="5650" width="35.25" style="1577" customWidth="1"/>
    <col min="5651" max="5888" width="9" style="1577"/>
    <col min="5889" max="5889" width="4.375" style="1577" customWidth="1"/>
    <col min="5890" max="5890" width="19" style="1577" customWidth="1"/>
    <col min="5891" max="5891" width="6.5" style="1577" customWidth="1"/>
    <col min="5892" max="5892" width="6" style="1577" customWidth="1"/>
    <col min="5893" max="5893" width="6.875" style="1577" customWidth="1"/>
    <col min="5894" max="5898" width="7.75" style="1577" customWidth="1"/>
    <col min="5899" max="5899" width="6.75" style="1577" customWidth="1"/>
    <col min="5900" max="5900" width="5.125" style="1577" customWidth="1"/>
    <col min="5901" max="5901" width="7.75" style="1577" customWidth="1"/>
    <col min="5902" max="5902" width="4.375" style="1577" customWidth="1"/>
    <col min="5903" max="5904" width="6.625" style="1577" customWidth="1"/>
    <col min="5905" max="5905" width="14" style="1577" customWidth="1"/>
    <col min="5906" max="5906" width="35.25" style="1577" customWidth="1"/>
    <col min="5907" max="6144" width="9" style="1577"/>
    <col min="6145" max="6145" width="4.375" style="1577" customWidth="1"/>
    <col min="6146" max="6146" width="19" style="1577" customWidth="1"/>
    <col min="6147" max="6147" width="6.5" style="1577" customWidth="1"/>
    <col min="6148" max="6148" width="6" style="1577" customWidth="1"/>
    <col min="6149" max="6149" width="6.875" style="1577" customWidth="1"/>
    <col min="6150" max="6154" width="7.75" style="1577" customWidth="1"/>
    <col min="6155" max="6155" width="6.75" style="1577" customWidth="1"/>
    <col min="6156" max="6156" width="5.125" style="1577" customWidth="1"/>
    <col min="6157" max="6157" width="7.75" style="1577" customWidth="1"/>
    <col min="6158" max="6158" width="4.375" style="1577" customWidth="1"/>
    <col min="6159" max="6160" width="6.625" style="1577" customWidth="1"/>
    <col min="6161" max="6161" width="14" style="1577" customWidth="1"/>
    <col min="6162" max="6162" width="35.25" style="1577" customWidth="1"/>
    <col min="6163" max="6400" width="9" style="1577"/>
    <col min="6401" max="6401" width="4.375" style="1577" customWidth="1"/>
    <col min="6402" max="6402" width="19" style="1577" customWidth="1"/>
    <col min="6403" max="6403" width="6.5" style="1577" customWidth="1"/>
    <col min="6404" max="6404" width="6" style="1577" customWidth="1"/>
    <col min="6405" max="6405" width="6.875" style="1577" customWidth="1"/>
    <col min="6406" max="6410" width="7.75" style="1577" customWidth="1"/>
    <col min="6411" max="6411" width="6.75" style="1577" customWidth="1"/>
    <col min="6412" max="6412" width="5.125" style="1577" customWidth="1"/>
    <col min="6413" max="6413" width="7.75" style="1577" customWidth="1"/>
    <col min="6414" max="6414" width="4.375" style="1577" customWidth="1"/>
    <col min="6415" max="6416" width="6.625" style="1577" customWidth="1"/>
    <col min="6417" max="6417" width="14" style="1577" customWidth="1"/>
    <col min="6418" max="6418" width="35.25" style="1577" customWidth="1"/>
    <col min="6419" max="6656" width="9" style="1577"/>
    <col min="6657" max="6657" width="4.375" style="1577" customWidth="1"/>
    <col min="6658" max="6658" width="19" style="1577" customWidth="1"/>
    <col min="6659" max="6659" width="6.5" style="1577" customWidth="1"/>
    <col min="6660" max="6660" width="6" style="1577" customWidth="1"/>
    <col min="6661" max="6661" width="6.875" style="1577" customWidth="1"/>
    <col min="6662" max="6666" width="7.75" style="1577" customWidth="1"/>
    <col min="6667" max="6667" width="6.75" style="1577" customWidth="1"/>
    <col min="6668" max="6668" width="5.125" style="1577" customWidth="1"/>
    <col min="6669" max="6669" width="7.75" style="1577" customWidth="1"/>
    <col min="6670" max="6670" width="4.375" style="1577" customWidth="1"/>
    <col min="6671" max="6672" width="6.625" style="1577" customWidth="1"/>
    <col min="6673" max="6673" width="14" style="1577" customWidth="1"/>
    <col min="6674" max="6674" width="35.25" style="1577" customWidth="1"/>
    <col min="6675" max="6912" width="9" style="1577"/>
    <col min="6913" max="6913" width="4.375" style="1577" customWidth="1"/>
    <col min="6914" max="6914" width="19" style="1577" customWidth="1"/>
    <col min="6915" max="6915" width="6.5" style="1577" customWidth="1"/>
    <col min="6916" max="6916" width="6" style="1577" customWidth="1"/>
    <col min="6917" max="6917" width="6.875" style="1577" customWidth="1"/>
    <col min="6918" max="6922" width="7.75" style="1577" customWidth="1"/>
    <col min="6923" max="6923" width="6.75" style="1577" customWidth="1"/>
    <col min="6924" max="6924" width="5.125" style="1577" customWidth="1"/>
    <col min="6925" max="6925" width="7.75" style="1577" customWidth="1"/>
    <col min="6926" max="6926" width="4.375" style="1577" customWidth="1"/>
    <col min="6927" max="6928" width="6.625" style="1577" customWidth="1"/>
    <col min="6929" max="6929" width="14" style="1577" customWidth="1"/>
    <col min="6930" max="6930" width="35.25" style="1577" customWidth="1"/>
    <col min="6931" max="7168" width="9" style="1577"/>
    <col min="7169" max="7169" width="4.375" style="1577" customWidth="1"/>
    <col min="7170" max="7170" width="19" style="1577" customWidth="1"/>
    <col min="7171" max="7171" width="6.5" style="1577" customWidth="1"/>
    <col min="7172" max="7172" width="6" style="1577" customWidth="1"/>
    <col min="7173" max="7173" width="6.875" style="1577" customWidth="1"/>
    <col min="7174" max="7178" width="7.75" style="1577" customWidth="1"/>
    <col min="7179" max="7179" width="6.75" style="1577" customWidth="1"/>
    <col min="7180" max="7180" width="5.125" style="1577" customWidth="1"/>
    <col min="7181" max="7181" width="7.75" style="1577" customWidth="1"/>
    <col min="7182" max="7182" width="4.375" style="1577" customWidth="1"/>
    <col min="7183" max="7184" width="6.625" style="1577" customWidth="1"/>
    <col min="7185" max="7185" width="14" style="1577" customWidth="1"/>
    <col min="7186" max="7186" width="35.25" style="1577" customWidth="1"/>
    <col min="7187" max="7424" width="9" style="1577"/>
    <col min="7425" max="7425" width="4.375" style="1577" customWidth="1"/>
    <col min="7426" max="7426" width="19" style="1577" customWidth="1"/>
    <col min="7427" max="7427" width="6.5" style="1577" customWidth="1"/>
    <col min="7428" max="7428" width="6" style="1577" customWidth="1"/>
    <col min="7429" max="7429" width="6.875" style="1577" customWidth="1"/>
    <col min="7430" max="7434" width="7.75" style="1577" customWidth="1"/>
    <col min="7435" max="7435" width="6.75" style="1577" customWidth="1"/>
    <col min="7436" max="7436" width="5.125" style="1577" customWidth="1"/>
    <col min="7437" max="7437" width="7.75" style="1577" customWidth="1"/>
    <col min="7438" max="7438" width="4.375" style="1577" customWidth="1"/>
    <col min="7439" max="7440" width="6.625" style="1577" customWidth="1"/>
    <col min="7441" max="7441" width="14" style="1577" customWidth="1"/>
    <col min="7442" max="7442" width="35.25" style="1577" customWidth="1"/>
    <col min="7443" max="7680" width="9" style="1577"/>
    <col min="7681" max="7681" width="4.375" style="1577" customWidth="1"/>
    <col min="7682" max="7682" width="19" style="1577" customWidth="1"/>
    <col min="7683" max="7683" width="6.5" style="1577" customWidth="1"/>
    <col min="7684" max="7684" width="6" style="1577" customWidth="1"/>
    <col min="7685" max="7685" width="6.875" style="1577" customWidth="1"/>
    <col min="7686" max="7690" width="7.75" style="1577" customWidth="1"/>
    <col min="7691" max="7691" width="6.75" style="1577" customWidth="1"/>
    <col min="7692" max="7692" width="5.125" style="1577" customWidth="1"/>
    <col min="7693" max="7693" width="7.75" style="1577" customWidth="1"/>
    <col min="7694" max="7694" width="4.375" style="1577" customWidth="1"/>
    <col min="7695" max="7696" width="6.625" style="1577" customWidth="1"/>
    <col min="7697" max="7697" width="14" style="1577" customWidth="1"/>
    <col min="7698" max="7698" width="35.25" style="1577" customWidth="1"/>
    <col min="7699" max="7936" width="9" style="1577"/>
    <col min="7937" max="7937" width="4.375" style="1577" customWidth="1"/>
    <col min="7938" max="7938" width="19" style="1577" customWidth="1"/>
    <col min="7939" max="7939" width="6.5" style="1577" customWidth="1"/>
    <col min="7940" max="7940" width="6" style="1577" customWidth="1"/>
    <col min="7941" max="7941" width="6.875" style="1577" customWidth="1"/>
    <col min="7942" max="7946" width="7.75" style="1577" customWidth="1"/>
    <col min="7947" max="7947" width="6.75" style="1577" customWidth="1"/>
    <col min="7948" max="7948" width="5.125" style="1577" customWidth="1"/>
    <col min="7949" max="7949" width="7.75" style="1577" customWidth="1"/>
    <col min="7950" max="7950" width="4.375" style="1577" customWidth="1"/>
    <col min="7951" max="7952" width="6.625" style="1577" customWidth="1"/>
    <col min="7953" max="7953" width="14" style="1577" customWidth="1"/>
    <col min="7954" max="7954" width="35.25" style="1577" customWidth="1"/>
    <col min="7955" max="8192" width="9" style="1577"/>
    <col min="8193" max="8193" width="4.375" style="1577" customWidth="1"/>
    <col min="8194" max="8194" width="19" style="1577" customWidth="1"/>
    <col min="8195" max="8195" width="6.5" style="1577" customWidth="1"/>
    <col min="8196" max="8196" width="6" style="1577" customWidth="1"/>
    <col min="8197" max="8197" width="6.875" style="1577" customWidth="1"/>
    <col min="8198" max="8202" width="7.75" style="1577" customWidth="1"/>
    <col min="8203" max="8203" width="6.75" style="1577" customWidth="1"/>
    <col min="8204" max="8204" width="5.125" style="1577" customWidth="1"/>
    <col min="8205" max="8205" width="7.75" style="1577" customWidth="1"/>
    <col min="8206" max="8206" width="4.375" style="1577" customWidth="1"/>
    <col min="8207" max="8208" width="6.625" style="1577" customWidth="1"/>
    <col min="8209" max="8209" width="14" style="1577" customWidth="1"/>
    <col min="8210" max="8210" width="35.25" style="1577" customWidth="1"/>
    <col min="8211" max="8448" width="9" style="1577"/>
    <col min="8449" max="8449" width="4.375" style="1577" customWidth="1"/>
    <col min="8450" max="8450" width="19" style="1577" customWidth="1"/>
    <col min="8451" max="8451" width="6.5" style="1577" customWidth="1"/>
    <col min="8452" max="8452" width="6" style="1577" customWidth="1"/>
    <col min="8453" max="8453" width="6.875" style="1577" customWidth="1"/>
    <col min="8454" max="8458" width="7.75" style="1577" customWidth="1"/>
    <col min="8459" max="8459" width="6.75" style="1577" customWidth="1"/>
    <col min="8460" max="8460" width="5.125" style="1577" customWidth="1"/>
    <col min="8461" max="8461" width="7.75" style="1577" customWidth="1"/>
    <col min="8462" max="8462" width="4.375" style="1577" customWidth="1"/>
    <col min="8463" max="8464" width="6.625" style="1577" customWidth="1"/>
    <col min="8465" max="8465" width="14" style="1577" customWidth="1"/>
    <col min="8466" max="8466" width="35.25" style="1577" customWidth="1"/>
    <col min="8467" max="8704" width="9" style="1577"/>
    <col min="8705" max="8705" width="4.375" style="1577" customWidth="1"/>
    <col min="8706" max="8706" width="19" style="1577" customWidth="1"/>
    <col min="8707" max="8707" width="6.5" style="1577" customWidth="1"/>
    <col min="8708" max="8708" width="6" style="1577" customWidth="1"/>
    <col min="8709" max="8709" width="6.875" style="1577" customWidth="1"/>
    <col min="8710" max="8714" width="7.75" style="1577" customWidth="1"/>
    <col min="8715" max="8715" width="6.75" style="1577" customWidth="1"/>
    <col min="8716" max="8716" width="5.125" style="1577" customWidth="1"/>
    <col min="8717" max="8717" width="7.75" style="1577" customWidth="1"/>
    <col min="8718" max="8718" width="4.375" style="1577" customWidth="1"/>
    <col min="8719" max="8720" width="6.625" style="1577" customWidth="1"/>
    <col min="8721" max="8721" width="14" style="1577" customWidth="1"/>
    <col min="8722" max="8722" width="35.25" style="1577" customWidth="1"/>
    <col min="8723" max="8960" width="9" style="1577"/>
    <col min="8961" max="8961" width="4.375" style="1577" customWidth="1"/>
    <col min="8962" max="8962" width="19" style="1577" customWidth="1"/>
    <col min="8963" max="8963" width="6.5" style="1577" customWidth="1"/>
    <col min="8964" max="8964" width="6" style="1577" customWidth="1"/>
    <col min="8965" max="8965" width="6.875" style="1577" customWidth="1"/>
    <col min="8966" max="8970" width="7.75" style="1577" customWidth="1"/>
    <col min="8971" max="8971" width="6.75" style="1577" customWidth="1"/>
    <col min="8972" max="8972" width="5.125" style="1577" customWidth="1"/>
    <col min="8973" max="8973" width="7.75" style="1577" customWidth="1"/>
    <col min="8974" max="8974" width="4.375" style="1577" customWidth="1"/>
    <col min="8975" max="8976" width="6.625" style="1577" customWidth="1"/>
    <col min="8977" max="8977" width="14" style="1577" customWidth="1"/>
    <col min="8978" max="8978" width="35.25" style="1577" customWidth="1"/>
    <col min="8979" max="9216" width="9" style="1577"/>
    <col min="9217" max="9217" width="4.375" style="1577" customWidth="1"/>
    <col min="9218" max="9218" width="19" style="1577" customWidth="1"/>
    <col min="9219" max="9219" width="6.5" style="1577" customWidth="1"/>
    <col min="9220" max="9220" width="6" style="1577" customWidth="1"/>
    <col min="9221" max="9221" width="6.875" style="1577" customWidth="1"/>
    <col min="9222" max="9226" width="7.75" style="1577" customWidth="1"/>
    <col min="9227" max="9227" width="6.75" style="1577" customWidth="1"/>
    <col min="9228" max="9228" width="5.125" style="1577" customWidth="1"/>
    <col min="9229" max="9229" width="7.75" style="1577" customWidth="1"/>
    <col min="9230" max="9230" width="4.375" style="1577" customWidth="1"/>
    <col min="9231" max="9232" width="6.625" style="1577" customWidth="1"/>
    <col min="9233" max="9233" width="14" style="1577" customWidth="1"/>
    <col min="9234" max="9234" width="35.25" style="1577" customWidth="1"/>
    <col min="9235" max="9472" width="9" style="1577"/>
    <col min="9473" max="9473" width="4.375" style="1577" customWidth="1"/>
    <col min="9474" max="9474" width="19" style="1577" customWidth="1"/>
    <col min="9475" max="9475" width="6.5" style="1577" customWidth="1"/>
    <col min="9476" max="9476" width="6" style="1577" customWidth="1"/>
    <col min="9477" max="9477" width="6.875" style="1577" customWidth="1"/>
    <col min="9478" max="9482" width="7.75" style="1577" customWidth="1"/>
    <col min="9483" max="9483" width="6.75" style="1577" customWidth="1"/>
    <col min="9484" max="9484" width="5.125" style="1577" customWidth="1"/>
    <col min="9485" max="9485" width="7.75" style="1577" customWidth="1"/>
    <col min="9486" max="9486" width="4.375" style="1577" customWidth="1"/>
    <col min="9487" max="9488" width="6.625" style="1577" customWidth="1"/>
    <col min="9489" max="9489" width="14" style="1577" customWidth="1"/>
    <col min="9490" max="9490" width="35.25" style="1577" customWidth="1"/>
    <col min="9491" max="9728" width="9" style="1577"/>
    <col min="9729" max="9729" width="4.375" style="1577" customWidth="1"/>
    <col min="9730" max="9730" width="19" style="1577" customWidth="1"/>
    <col min="9731" max="9731" width="6.5" style="1577" customWidth="1"/>
    <col min="9732" max="9732" width="6" style="1577" customWidth="1"/>
    <col min="9733" max="9733" width="6.875" style="1577" customWidth="1"/>
    <col min="9734" max="9738" width="7.75" style="1577" customWidth="1"/>
    <col min="9739" max="9739" width="6.75" style="1577" customWidth="1"/>
    <col min="9740" max="9740" width="5.125" style="1577" customWidth="1"/>
    <col min="9741" max="9741" width="7.75" style="1577" customWidth="1"/>
    <col min="9742" max="9742" width="4.375" style="1577" customWidth="1"/>
    <col min="9743" max="9744" width="6.625" style="1577" customWidth="1"/>
    <col min="9745" max="9745" width="14" style="1577" customWidth="1"/>
    <col min="9746" max="9746" width="35.25" style="1577" customWidth="1"/>
    <col min="9747" max="9984" width="9" style="1577"/>
    <col min="9985" max="9985" width="4.375" style="1577" customWidth="1"/>
    <col min="9986" max="9986" width="19" style="1577" customWidth="1"/>
    <col min="9987" max="9987" width="6.5" style="1577" customWidth="1"/>
    <col min="9988" max="9988" width="6" style="1577" customWidth="1"/>
    <col min="9989" max="9989" width="6.875" style="1577" customWidth="1"/>
    <col min="9990" max="9994" width="7.75" style="1577" customWidth="1"/>
    <col min="9995" max="9995" width="6.75" style="1577" customWidth="1"/>
    <col min="9996" max="9996" width="5.125" style="1577" customWidth="1"/>
    <col min="9997" max="9997" width="7.75" style="1577" customWidth="1"/>
    <col min="9998" max="9998" width="4.375" style="1577" customWidth="1"/>
    <col min="9999" max="10000" width="6.625" style="1577" customWidth="1"/>
    <col min="10001" max="10001" width="14" style="1577" customWidth="1"/>
    <col min="10002" max="10002" width="35.25" style="1577" customWidth="1"/>
    <col min="10003" max="10240" width="9" style="1577"/>
    <col min="10241" max="10241" width="4.375" style="1577" customWidth="1"/>
    <col min="10242" max="10242" width="19" style="1577" customWidth="1"/>
    <col min="10243" max="10243" width="6.5" style="1577" customWidth="1"/>
    <col min="10244" max="10244" width="6" style="1577" customWidth="1"/>
    <col min="10245" max="10245" width="6.875" style="1577" customWidth="1"/>
    <col min="10246" max="10250" width="7.75" style="1577" customWidth="1"/>
    <col min="10251" max="10251" width="6.75" style="1577" customWidth="1"/>
    <col min="10252" max="10252" width="5.125" style="1577" customWidth="1"/>
    <col min="10253" max="10253" width="7.75" style="1577" customWidth="1"/>
    <col min="10254" max="10254" width="4.375" style="1577" customWidth="1"/>
    <col min="10255" max="10256" width="6.625" style="1577" customWidth="1"/>
    <col min="10257" max="10257" width="14" style="1577" customWidth="1"/>
    <col min="10258" max="10258" width="35.25" style="1577" customWidth="1"/>
    <col min="10259" max="10496" width="9" style="1577"/>
    <col min="10497" max="10497" width="4.375" style="1577" customWidth="1"/>
    <col min="10498" max="10498" width="19" style="1577" customWidth="1"/>
    <col min="10499" max="10499" width="6.5" style="1577" customWidth="1"/>
    <col min="10500" max="10500" width="6" style="1577" customWidth="1"/>
    <col min="10501" max="10501" width="6.875" style="1577" customWidth="1"/>
    <col min="10502" max="10506" width="7.75" style="1577" customWidth="1"/>
    <col min="10507" max="10507" width="6.75" style="1577" customWidth="1"/>
    <col min="10508" max="10508" width="5.125" style="1577" customWidth="1"/>
    <col min="10509" max="10509" width="7.75" style="1577" customWidth="1"/>
    <col min="10510" max="10510" width="4.375" style="1577" customWidth="1"/>
    <col min="10511" max="10512" width="6.625" style="1577" customWidth="1"/>
    <col min="10513" max="10513" width="14" style="1577" customWidth="1"/>
    <col min="10514" max="10514" width="35.25" style="1577" customWidth="1"/>
    <col min="10515" max="10752" width="9" style="1577"/>
    <col min="10753" max="10753" width="4.375" style="1577" customWidth="1"/>
    <col min="10754" max="10754" width="19" style="1577" customWidth="1"/>
    <col min="10755" max="10755" width="6.5" style="1577" customWidth="1"/>
    <col min="10756" max="10756" width="6" style="1577" customWidth="1"/>
    <col min="10757" max="10757" width="6.875" style="1577" customWidth="1"/>
    <col min="10758" max="10762" width="7.75" style="1577" customWidth="1"/>
    <col min="10763" max="10763" width="6.75" style="1577" customWidth="1"/>
    <col min="10764" max="10764" width="5.125" style="1577" customWidth="1"/>
    <col min="10765" max="10765" width="7.75" style="1577" customWidth="1"/>
    <col min="10766" max="10766" width="4.375" style="1577" customWidth="1"/>
    <col min="10767" max="10768" width="6.625" style="1577" customWidth="1"/>
    <col min="10769" max="10769" width="14" style="1577" customWidth="1"/>
    <col min="10770" max="10770" width="35.25" style="1577" customWidth="1"/>
    <col min="10771" max="11008" width="9" style="1577"/>
    <col min="11009" max="11009" width="4.375" style="1577" customWidth="1"/>
    <col min="11010" max="11010" width="19" style="1577" customWidth="1"/>
    <col min="11011" max="11011" width="6.5" style="1577" customWidth="1"/>
    <col min="11012" max="11012" width="6" style="1577" customWidth="1"/>
    <col min="11013" max="11013" width="6.875" style="1577" customWidth="1"/>
    <col min="11014" max="11018" width="7.75" style="1577" customWidth="1"/>
    <col min="11019" max="11019" width="6.75" style="1577" customWidth="1"/>
    <col min="11020" max="11020" width="5.125" style="1577" customWidth="1"/>
    <col min="11021" max="11021" width="7.75" style="1577" customWidth="1"/>
    <col min="11022" max="11022" width="4.375" style="1577" customWidth="1"/>
    <col min="11023" max="11024" width="6.625" style="1577" customWidth="1"/>
    <col min="11025" max="11025" width="14" style="1577" customWidth="1"/>
    <col min="11026" max="11026" width="35.25" style="1577" customWidth="1"/>
    <col min="11027" max="11264" width="9" style="1577"/>
    <col min="11265" max="11265" width="4.375" style="1577" customWidth="1"/>
    <col min="11266" max="11266" width="19" style="1577" customWidth="1"/>
    <col min="11267" max="11267" width="6.5" style="1577" customWidth="1"/>
    <col min="11268" max="11268" width="6" style="1577" customWidth="1"/>
    <col min="11269" max="11269" width="6.875" style="1577" customWidth="1"/>
    <col min="11270" max="11274" width="7.75" style="1577" customWidth="1"/>
    <col min="11275" max="11275" width="6.75" style="1577" customWidth="1"/>
    <col min="11276" max="11276" width="5.125" style="1577" customWidth="1"/>
    <col min="11277" max="11277" width="7.75" style="1577" customWidth="1"/>
    <col min="11278" max="11278" width="4.375" style="1577" customWidth="1"/>
    <col min="11279" max="11280" width="6.625" style="1577" customWidth="1"/>
    <col min="11281" max="11281" width="14" style="1577" customWidth="1"/>
    <col min="11282" max="11282" width="35.25" style="1577" customWidth="1"/>
    <col min="11283" max="11520" width="9" style="1577"/>
    <col min="11521" max="11521" width="4.375" style="1577" customWidth="1"/>
    <col min="11522" max="11522" width="19" style="1577" customWidth="1"/>
    <col min="11523" max="11523" width="6.5" style="1577" customWidth="1"/>
    <col min="11524" max="11524" width="6" style="1577" customWidth="1"/>
    <col min="11525" max="11525" width="6.875" style="1577" customWidth="1"/>
    <col min="11526" max="11530" width="7.75" style="1577" customWidth="1"/>
    <col min="11531" max="11531" width="6.75" style="1577" customWidth="1"/>
    <col min="11532" max="11532" width="5.125" style="1577" customWidth="1"/>
    <col min="11533" max="11533" width="7.75" style="1577" customWidth="1"/>
    <col min="11534" max="11534" width="4.375" style="1577" customWidth="1"/>
    <col min="11535" max="11536" width="6.625" style="1577" customWidth="1"/>
    <col min="11537" max="11537" width="14" style="1577" customWidth="1"/>
    <col min="11538" max="11538" width="35.25" style="1577" customWidth="1"/>
    <col min="11539" max="11776" width="9" style="1577"/>
    <col min="11777" max="11777" width="4.375" style="1577" customWidth="1"/>
    <col min="11778" max="11778" width="19" style="1577" customWidth="1"/>
    <col min="11779" max="11779" width="6.5" style="1577" customWidth="1"/>
    <col min="11780" max="11780" width="6" style="1577" customWidth="1"/>
    <col min="11781" max="11781" width="6.875" style="1577" customWidth="1"/>
    <col min="11782" max="11786" width="7.75" style="1577" customWidth="1"/>
    <col min="11787" max="11787" width="6.75" style="1577" customWidth="1"/>
    <col min="11788" max="11788" width="5.125" style="1577" customWidth="1"/>
    <col min="11789" max="11789" width="7.75" style="1577" customWidth="1"/>
    <col min="11790" max="11790" width="4.375" style="1577" customWidth="1"/>
    <col min="11791" max="11792" width="6.625" style="1577" customWidth="1"/>
    <col min="11793" max="11793" width="14" style="1577" customWidth="1"/>
    <col min="11794" max="11794" width="35.25" style="1577" customWidth="1"/>
    <col min="11795" max="12032" width="9" style="1577"/>
    <col min="12033" max="12033" width="4.375" style="1577" customWidth="1"/>
    <col min="12034" max="12034" width="19" style="1577" customWidth="1"/>
    <col min="12035" max="12035" width="6.5" style="1577" customWidth="1"/>
    <col min="12036" max="12036" width="6" style="1577" customWidth="1"/>
    <col min="12037" max="12037" width="6.875" style="1577" customWidth="1"/>
    <col min="12038" max="12042" width="7.75" style="1577" customWidth="1"/>
    <col min="12043" max="12043" width="6.75" style="1577" customWidth="1"/>
    <col min="12044" max="12044" width="5.125" style="1577" customWidth="1"/>
    <col min="12045" max="12045" width="7.75" style="1577" customWidth="1"/>
    <col min="12046" max="12046" width="4.375" style="1577" customWidth="1"/>
    <col min="12047" max="12048" width="6.625" style="1577" customWidth="1"/>
    <col min="12049" max="12049" width="14" style="1577" customWidth="1"/>
    <col min="12050" max="12050" width="35.25" style="1577" customWidth="1"/>
    <col min="12051" max="12288" width="9" style="1577"/>
    <col min="12289" max="12289" width="4.375" style="1577" customWidth="1"/>
    <col min="12290" max="12290" width="19" style="1577" customWidth="1"/>
    <col min="12291" max="12291" width="6.5" style="1577" customWidth="1"/>
    <col min="12292" max="12292" width="6" style="1577" customWidth="1"/>
    <col min="12293" max="12293" width="6.875" style="1577" customWidth="1"/>
    <col min="12294" max="12298" width="7.75" style="1577" customWidth="1"/>
    <col min="12299" max="12299" width="6.75" style="1577" customWidth="1"/>
    <col min="12300" max="12300" width="5.125" style="1577" customWidth="1"/>
    <col min="12301" max="12301" width="7.75" style="1577" customWidth="1"/>
    <col min="12302" max="12302" width="4.375" style="1577" customWidth="1"/>
    <col min="12303" max="12304" width="6.625" style="1577" customWidth="1"/>
    <col min="12305" max="12305" width="14" style="1577" customWidth="1"/>
    <col min="12306" max="12306" width="35.25" style="1577" customWidth="1"/>
    <col min="12307" max="12544" width="9" style="1577"/>
    <col min="12545" max="12545" width="4.375" style="1577" customWidth="1"/>
    <col min="12546" max="12546" width="19" style="1577" customWidth="1"/>
    <col min="12547" max="12547" width="6.5" style="1577" customWidth="1"/>
    <col min="12548" max="12548" width="6" style="1577" customWidth="1"/>
    <col min="12549" max="12549" width="6.875" style="1577" customWidth="1"/>
    <col min="12550" max="12554" width="7.75" style="1577" customWidth="1"/>
    <col min="12555" max="12555" width="6.75" style="1577" customWidth="1"/>
    <col min="12556" max="12556" width="5.125" style="1577" customWidth="1"/>
    <col min="12557" max="12557" width="7.75" style="1577" customWidth="1"/>
    <col min="12558" max="12558" width="4.375" style="1577" customWidth="1"/>
    <col min="12559" max="12560" width="6.625" style="1577" customWidth="1"/>
    <col min="12561" max="12561" width="14" style="1577" customWidth="1"/>
    <col min="12562" max="12562" width="35.25" style="1577" customWidth="1"/>
    <col min="12563" max="12800" width="9" style="1577"/>
    <col min="12801" max="12801" width="4.375" style="1577" customWidth="1"/>
    <col min="12802" max="12802" width="19" style="1577" customWidth="1"/>
    <col min="12803" max="12803" width="6.5" style="1577" customWidth="1"/>
    <col min="12804" max="12804" width="6" style="1577" customWidth="1"/>
    <col min="12805" max="12805" width="6.875" style="1577" customWidth="1"/>
    <col min="12806" max="12810" width="7.75" style="1577" customWidth="1"/>
    <col min="12811" max="12811" width="6.75" style="1577" customWidth="1"/>
    <col min="12812" max="12812" width="5.125" style="1577" customWidth="1"/>
    <col min="12813" max="12813" width="7.75" style="1577" customWidth="1"/>
    <col min="12814" max="12814" width="4.375" style="1577" customWidth="1"/>
    <col min="12815" max="12816" width="6.625" style="1577" customWidth="1"/>
    <col min="12817" max="12817" width="14" style="1577" customWidth="1"/>
    <col min="12818" max="12818" width="35.25" style="1577" customWidth="1"/>
    <col min="12819" max="13056" width="9" style="1577"/>
    <col min="13057" max="13057" width="4.375" style="1577" customWidth="1"/>
    <col min="13058" max="13058" width="19" style="1577" customWidth="1"/>
    <col min="13059" max="13059" width="6.5" style="1577" customWidth="1"/>
    <col min="13060" max="13060" width="6" style="1577" customWidth="1"/>
    <col min="13061" max="13061" width="6.875" style="1577" customWidth="1"/>
    <col min="13062" max="13066" width="7.75" style="1577" customWidth="1"/>
    <col min="13067" max="13067" width="6.75" style="1577" customWidth="1"/>
    <col min="13068" max="13068" width="5.125" style="1577" customWidth="1"/>
    <col min="13069" max="13069" width="7.75" style="1577" customWidth="1"/>
    <col min="13070" max="13070" width="4.375" style="1577" customWidth="1"/>
    <col min="13071" max="13072" width="6.625" style="1577" customWidth="1"/>
    <col min="13073" max="13073" width="14" style="1577" customWidth="1"/>
    <col min="13074" max="13074" width="35.25" style="1577" customWidth="1"/>
    <col min="13075" max="13312" width="9" style="1577"/>
    <col min="13313" max="13313" width="4.375" style="1577" customWidth="1"/>
    <col min="13314" max="13314" width="19" style="1577" customWidth="1"/>
    <col min="13315" max="13315" width="6.5" style="1577" customWidth="1"/>
    <col min="13316" max="13316" width="6" style="1577" customWidth="1"/>
    <col min="13317" max="13317" width="6.875" style="1577" customWidth="1"/>
    <col min="13318" max="13322" width="7.75" style="1577" customWidth="1"/>
    <col min="13323" max="13323" width="6.75" style="1577" customWidth="1"/>
    <col min="13324" max="13324" width="5.125" style="1577" customWidth="1"/>
    <col min="13325" max="13325" width="7.75" style="1577" customWidth="1"/>
    <col min="13326" max="13326" width="4.375" style="1577" customWidth="1"/>
    <col min="13327" max="13328" width="6.625" style="1577" customWidth="1"/>
    <col min="13329" max="13329" width="14" style="1577" customWidth="1"/>
    <col min="13330" max="13330" width="35.25" style="1577" customWidth="1"/>
    <col min="13331" max="13568" width="9" style="1577"/>
    <col min="13569" max="13569" width="4.375" style="1577" customWidth="1"/>
    <col min="13570" max="13570" width="19" style="1577" customWidth="1"/>
    <col min="13571" max="13571" width="6.5" style="1577" customWidth="1"/>
    <col min="13572" max="13572" width="6" style="1577" customWidth="1"/>
    <col min="13573" max="13573" width="6.875" style="1577" customWidth="1"/>
    <col min="13574" max="13578" width="7.75" style="1577" customWidth="1"/>
    <col min="13579" max="13579" width="6.75" style="1577" customWidth="1"/>
    <col min="13580" max="13580" width="5.125" style="1577" customWidth="1"/>
    <col min="13581" max="13581" width="7.75" style="1577" customWidth="1"/>
    <col min="13582" max="13582" width="4.375" style="1577" customWidth="1"/>
    <col min="13583" max="13584" width="6.625" style="1577" customWidth="1"/>
    <col min="13585" max="13585" width="14" style="1577" customWidth="1"/>
    <col min="13586" max="13586" width="35.25" style="1577" customWidth="1"/>
    <col min="13587" max="13824" width="9" style="1577"/>
    <col min="13825" max="13825" width="4.375" style="1577" customWidth="1"/>
    <col min="13826" max="13826" width="19" style="1577" customWidth="1"/>
    <col min="13827" max="13827" width="6.5" style="1577" customWidth="1"/>
    <col min="13828" max="13828" width="6" style="1577" customWidth="1"/>
    <col min="13829" max="13829" width="6.875" style="1577" customWidth="1"/>
    <col min="13830" max="13834" width="7.75" style="1577" customWidth="1"/>
    <col min="13835" max="13835" width="6.75" style="1577" customWidth="1"/>
    <col min="13836" max="13836" width="5.125" style="1577" customWidth="1"/>
    <col min="13837" max="13837" width="7.75" style="1577" customWidth="1"/>
    <col min="13838" max="13838" width="4.375" style="1577" customWidth="1"/>
    <col min="13839" max="13840" width="6.625" style="1577" customWidth="1"/>
    <col min="13841" max="13841" width="14" style="1577" customWidth="1"/>
    <col min="13842" max="13842" width="35.25" style="1577" customWidth="1"/>
    <col min="13843" max="14080" width="9" style="1577"/>
    <col min="14081" max="14081" width="4.375" style="1577" customWidth="1"/>
    <col min="14082" max="14082" width="19" style="1577" customWidth="1"/>
    <col min="14083" max="14083" width="6.5" style="1577" customWidth="1"/>
    <col min="14084" max="14084" width="6" style="1577" customWidth="1"/>
    <col min="14085" max="14085" width="6.875" style="1577" customWidth="1"/>
    <col min="14086" max="14090" width="7.75" style="1577" customWidth="1"/>
    <col min="14091" max="14091" width="6.75" style="1577" customWidth="1"/>
    <col min="14092" max="14092" width="5.125" style="1577" customWidth="1"/>
    <col min="14093" max="14093" width="7.75" style="1577" customWidth="1"/>
    <col min="14094" max="14094" width="4.375" style="1577" customWidth="1"/>
    <col min="14095" max="14096" width="6.625" style="1577" customWidth="1"/>
    <col min="14097" max="14097" width="14" style="1577" customWidth="1"/>
    <col min="14098" max="14098" width="35.25" style="1577" customWidth="1"/>
    <col min="14099" max="14336" width="9" style="1577"/>
    <col min="14337" max="14337" width="4.375" style="1577" customWidth="1"/>
    <col min="14338" max="14338" width="19" style="1577" customWidth="1"/>
    <col min="14339" max="14339" width="6.5" style="1577" customWidth="1"/>
    <col min="14340" max="14340" width="6" style="1577" customWidth="1"/>
    <col min="14341" max="14341" width="6.875" style="1577" customWidth="1"/>
    <col min="14342" max="14346" width="7.75" style="1577" customWidth="1"/>
    <col min="14347" max="14347" width="6.75" style="1577" customWidth="1"/>
    <col min="14348" max="14348" width="5.125" style="1577" customWidth="1"/>
    <col min="14349" max="14349" width="7.75" style="1577" customWidth="1"/>
    <col min="14350" max="14350" width="4.375" style="1577" customWidth="1"/>
    <col min="14351" max="14352" width="6.625" style="1577" customWidth="1"/>
    <col min="14353" max="14353" width="14" style="1577" customWidth="1"/>
    <col min="14354" max="14354" width="35.25" style="1577" customWidth="1"/>
    <col min="14355" max="14592" width="9" style="1577"/>
    <col min="14593" max="14593" width="4.375" style="1577" customWidth="1"/>
    <col min="14594" max="14594" width="19" style="1577" customWidth="1"/>
    <col min="14595" max="14595" width="6.5" style="1577" customWidth="1"/>
    <col min="14596" max="14596" width="6" style="1577" customWidth="1"/>
    <col min="14597" max="14597" width="6.875" style="1577" customWidth="1"/>
    <col min="14598" max="14602" width="7.75" style="1577" customWidth="1"/>
    <col min="14603" max="14603" width="6.75" style="1577" customWidth="1"/>
    <col min="14604" max="14604" width="5.125" style="1577" customWidth="1"/>
    <col min="14605" max="14605" width="7.75" style="1577" customWidth="1"/>
    <col min="14606" max="14606" width="4.375" style="1577" customWidth="1"/>
    <col min="14607" max="14608" width="6.625" style="1577" customWidth="1"/>
    <col min="14609" max="14609" width="14" style="1577" customWidth="1"/>
    <col min="14610" max="14610" width="35.25" style="1577" customWidth="1"/>
    <col min="14611" max="14848" width="9" style="1577"/>
    <col min="14849" max="14849" width="4.375" style="1577" customWidth="1"/>
    <col min="14850" max="14850" width="19" style="1577" customWidth="1"/>
    <col min="14851" max="14851" width="6.5" style="1577" customWidth="1"/>
    <col min="14852" max="14852" width="6" style="1577" customWidth="1"/>
    <col min="14853" max="14853" width="6.875" style="1577" customWidth="1"/>
    <col min="14854" max="14858" width="7.75" style="1577" customWidth="1"/>
    <col min="14859" max="14859" width="6.75" style="1577" customWidth="1"/>
    <col min="14860" max="14860" width="5.125" style="1577" customWidth="1"/>
    <col min="14861" max="14861" width="7.75" style="1577" customWidth="1"/>
    <col min="14862" max="14862" width="4.375" style="1577" customWidth="1"/>
    <col min="14863" max="14864" width="6.625" style="1577" customWidth="1"/>
    <col min="14865" max="14865" width="14" style="1577" customWidth="1"/>
    <col min="14866" max="14866" width="35.25" style="1577" customWidth="1"/>
    <col min="14867" max="15104" width="9" style="1577"/>
    <col min="15105" max="15105" width="4.375" style="1577" customWidth="1"/>
    <col min="15106" max="15106" width="19" style="1577" customWidth="1"/>
    <col min="15107" max="15107" width="6.5" style="1577" customWidth="1"/>
    <col min="15108" max="15108" width="6" style="1577" customWidth="1"/>
    <col min="15109" max="15109" width="6.875" style="1577" customWidth="1"/>
    <col min="15110" max="15114" width="7.75" style="1577" customWidth="1"/>
    <col min="15115" max="15115" width="6.75" style="1577" customWidth="1"/>
    <col min="15116" max="15116" width="5.125" style="1577" customWidth="1"/>
    <col min="15117" max="15117" width="7.75" style="1577" customWidth="1"/>
    <col min="15118" max="15118" width="4.375" style="1577" customWidth="1"/>
    <col min="15119" max="15120" width="6.625" style="1577" customWidth="1"/>
    <col min="15121" max="15121" width="14" style="1577" customWidth="1"/>
    <col min="15122" max="15122" width="35.25" style="1577" customWidth="1"/>
    <col min="15123" max="15360" width="9" style="1577"/>
    <col min="15361" max="15361" width="4.375" style="1577" customWidth="1"/>
    <col min="15362" max="15362" width="19" style="1577" customWidth="1"/>
    <col min="15363" max="15363" width="6.5" style="1577" customWidth="1"/>
    <col min="15364" max="15364" width="6" style="1577" customWidth="1"/>
    <col min="15365" max="15365" width="6.875" style="1577" customWidth="1"/>
    <col min="15366" max="15370" width="7.75" style="1577" customWidth="1"/>
    <col min="15371" max="15371" width="6.75" style="1577" customWidth="1"/>
    <col min="15372" max="15372" width="5.125" style="1577" customWidth="1"/>
    <col min="15373" max="15373" width="7.75" style="1577" customWidth="1"/>
    <col min="15374" max="15374" width="4.375" style="1577" customWidth="1"/>
    <col min="15375" max="15376" width="6.625" style="1577" customWidth="1"/>
    <col min="15377" max="15377" width="14" style="1577" customWidth="1"/>
    <col min="15378" max="15378" width="35.25" style="1577" customWidth="1"/>
    <col min="15379" max="15616" width="9" style="1577"/>
    <col min="15617" max="15617" width="4.375" style="1577" customWidth="1"/>
    <col min="15618" max="15618" width="19" style="1577" customWidth="1"/>
    <col min="15619" max="15619" width="6.5" style="1577" customWidth="1"/>
    <col min="15620" max="15620" width="6" style="1577" customWidth="1"/>
    <col min="15621" max="15621" width="6.875" style="1577" customWidth="1"/>
    <col min="15622" max="15626" width="7.75" style="1577" customWidth="1"/>
    <col min="15627" max="15627" width="6.75" style="1577" customWidth="1"/>
    <col min="15628" max="15628" width="5.125" style="1577" customWidth="1"/>
    <col min="15629" max="15629" width="7.75" style="1577" customWidth="1"/>
    <col min="15630" max="15630" width="4.375" style="1577" customWidth="1"/>
    <col min="15631" max="15632" width="6.625" style="1577" customWidth="1"/>
    <col min="15633" max="15633" width="14" style="1577" customWidth="1"/>
    <col min="15634" max="15634" width="35.25" style="1577" customWidth="1"/>
    <col min="15635" max="15872" width="9" style="1577"/>
    <col min="15873" max="15873" width="4.375" style="1577" customWidth="1"/>
    <col min="15874" max="15874" width="19" style="1577" customWidth="1"/>
    <col min="15875" max="15875" width="6.5" style="1577" customWidth="1"/>
    <col min="15876" max="15876" width="6" style="1577" customWidth="1"/>
    <col min="15877" max="15877" width="6.875" style="1577" customWidth="1"/>
    <col min="15878" max="15882" width="7.75" style="1577" customWidth="1"/>
    <col min="15883" max="15883" width="6.75" style="1577" customWidth="1"/>
    <col min="15884" max="15884" width="5.125" style="1577" customWidth="1"/>
    <col min="15885" max="15885" width="7.75" style="1577" customWidth="1"/>
    <col min="15886" max="15886" width="4.375" style="1577" customWidth="1"/>
    <col min="15887" max="15888" width="6.625" style="1577" customWidth="1"/>
    <col min="15889" max="15889" width="14" style="1577" customWidth="1"/>
    <col min="15890" max="15890" width="35.25" style="1577" customWidth="1"/>
    <col min="15891" max="16128" width="9" style="1577"/>
    <col min="16129" max="16129" width="4.375" style="1577" customWidth="1"/>
    <col min="16130" max="16130" width="19" style="1577" customWidth="1"/>
    <col min="16131" max="16131" width="6.5" style="1577" customWidth="1"/>
    <col min="16132" max="16132" width="6" style="1577" customWidth="1"/>
    <col min="16133" max="16133" width="6.875" style="1577" customWidth="1"/>
    <col min="16134" max="16138" width="7.75" style="1577" customWidth="1"/>
    <col min="16139" max="16139" width="6.75" style="1577" customWidth="1"/>
    <col min="16140" max="16140" width="5.125" style="1577" customWidth="1"/>
    <col min="16141" max="16141" width="7.75" style="1577" customWidth="1"/>
    <col min="16142" max="16142" width="4.375" style="1577" customWidth="1"/>
    <col min="16143" max="16144" width="6.625" style="1577" customWidth="1"/>
    <col min="16145" max="16145" width="14" style="1577" customWidth="1"/>
    <col min="16146" max="16146" width="35.25" style="1577" customWidth="1"/>
    <col min="16147" max="16384" width="9" style="1577"/>
  </cols>
  <sheetData>
    <row r="1" spans="1:19" ht="25.9" customHeight="1">
      <c r="A1" s="3578" t="s">
        <v>5423</v>
      </c>
      <c r="B1" s="3578"/>
      <c r="C1" s="3578"/>
      <c r="D1" s="3578"/>
      <c r="E1" s="3578"/>
      <c r="F1" s="3578"/>
      <c r="G1" s="3578"/>
      <c r="H1" s="3578"/>
      <c r="I1" s="3578"/>
      <c r="J1" s="3578"/>
      <c r="K1" s="3578"/>
      <c r="L1" s="3578"/>
      <c r="M1" s="3578"/>
      <c r="N1" s="2754" t="str">
        <f>基本情况!$F$10</f>
        <v>厦中汇税审（2018）第DS0001号</v>
      </c>
      <c r="O1" s="2754"/>
      <c r="P1" s="2754"/>
      <c r="Q1" s="2754"/>
    </row>
    <row r="2" spans="1:19" ht="37.15" customHeight="1">
      <c r="A2" s="3579"/>
      <c r="B2" s="3579"/>
      <c r="C2" s="3579"/>
      <c r="D2" s="3579"/>
      <c r="E2" s="3579"/>
      <c r="F2" s="3579"/>
      <c r="G2" s="3579"/>
      <c r="H2" s="3579"/>
      <c r="I2" s="3579"/>
      <c r="J2" s="3579"/>
      <c r="K2" s="3579"/>
      <c r="L2" s="3579"/>
      <c r="M2" s="3579"/>
      <c r="N2" s="3023" t="str">
        <f>"底稿编号："&amp;开始!L11</f>
        <v>底稿编号：AD-09</v>
      </c>
      <c r="O2" s="3023"/>
      <c r="P2" s="3023"/>
      <c r="Q2" s="3595"/>
    </row>
    <row r="3" spans="1:19" s="1565" customFormat="1" ht="14.25" customHeight="1">
      <c r="A3" s="3596" t="s">
        <v>5347</v>
      </c>
      <c r="B3" s="3596" t="s">
        <v>5424</v>
      </c>
      <c r="C3" s="3591" t="s">
        <v>5425</v>
      </c>
      <c r="D3" s="3591" t="s">
        <v>5426</v>
      </c>
      <c r="E3" s="3597" t="s">
        <v>5427</v>
      </c>
      <c r="F3" s="3597"/>
      <c r="G3" s="3598" t="s">
        <v>474</v>
      </c>
      <c r="H3" s="3599"/>
      <c r="I3" s="3599"/>
      <c r="J3" s="3599"/>
      <c r="K3" s="3600"/>
      <c r="L3" s="3597" t="s">
        <v>475</v>
      </c>
      <c r="M3" s="3597"/>
      <c r="N3" s="3597" t="s">
        <v>476</v>
      </c>
      <c r="O3" s="3597"/>
      <c r="P3" s="3597"/>
      <c r="Q3" s="3591" t="s">
        <v>5406</v>
      </c>
    </row>
    <row r="4" spans="1:19" s="1565" customFormat="1" ht="32.25" customHeight="1">
      <c r="A4" s="3596"/>
      <c r="B4" s="3596"/>
      <c r="C4" s="3592"/>
      <c r="D4" s="3592"/>
      <c r="E4" s="3597"/>
      <c r="F4" s="3597"/>
      <c r="G4" s="3593" t="s">
        <v>5428</v>
      </c>
      <c r="H4" s="3593" t="s">
        <v>5429</v>
      </c>
      <c r="I4" s="3593" t="s">
        <v>5430</v>
      </c>
      <c r="J4" s="3593" t="s">
        <v>5431</v>
      </c>
      <c r="K4" s="3593" t="s">
        <v>5432</v>
      </c>
      <c r="L4" s="3591" t="s">
        <v>5433</v>
      </c>
      <c r="M4" s="3591" t="s">
        <v>5434</v>
      </c>
      <c r="N4" s="3591" t="s">
        <v>5435</v>
      </c>
      <c r="O4" s="3591" t="s">
        <v>5436</v>
      </c>
      <c r="P4" s="3591" t="s">
        <v>5437</v>
      </c>
      <c r="Q4" s="3592"/>
    </row>
    <row r="5" spans="1:19" s="1565" customFormat="1" ht="30.75" customHeight="1">
      <c r="A5" s="3596"/>
      <c r="B5" s="3596"/>
      <c r="C5" s="3592"/>
      <c r="D5" s="3592"/>
      <c r="E5" s="1578" t="s">
        <v>5438</v>
      </c>
      <c r="F5" s="1578" t="s">
        <v>5439</v>
      </c>
      <c r="G5" s="3594"/>
      <c r="H5" s="3594"/>
      <c r="I5" s="3594"/>
      <c r="J5" s="3594"/>
      <c r="K5" s="3594"/>
      <c r="L5" s="3592"/>
      <c r="M5" s="3592"/>
      <c r="N5" s="3592"/>
      <c r="O5" s="3592"/>
      <c r="P5" s="3592"/>
      <c r="Q5" s="3592"/>
    </row>
    <row r="6" spans="1:19" s="1565" customFormat="1" ht="14.25" customHeight="1">
      <c r="A6" s="3596"/>
      <c r="B6" s="3596"/>
      <c r="C6" s="1579">
        <v>1</v>
      </c>
      <c r="D6" s="1579">
        <v>2</v>
      </c>
      <c r="E6" s="1579">
        <v>3</v>
      </c>
      <c r="F6" s="1579">
        <v>4</v>
      </c>
      <c r="G6" s="1579">
        <v>5</v>
      </c>
      <c r="H6" s="1579">
        <v>6</v>
      </c>
      <c r="I6" s="1579">
        <v>7</v>
      </c>
      <c r="J6" s="1579">
        <v>8</v>
      </c>
      <c r="K6" s="1579">
        <v>9</v>
      </c>
      <c r="L6" s="1579">
        <v>10</v>
      </c>
      <c r="M6" s="1579">
        <v>11</v>
      </c>
      <c r="N6" s="1579">
        <v>12</v>
      </c>
      <c r="O6" s="1579">
        <v>13</v>
      </c>
      <c r="P6" s="1579">
        <v>14</v>
      </c>
      <c r="Q6" s="1580"/>
    </row>
    <row r="7" spans="1:19" s="1586" customFormat="1" ht="14.25" customHeight="1">
      <c r="A7" s="1579">
        <v>1</v>
      </c>
      <c r="B7" s="1581" t="s">
        <v>5440</v>
      </c>
      <c r="C7" s="1582">
        <f>C8-1</f>
        <v>2012</v>
      </c>
      <c r="D7" s="1583"/>
      <c r="E7" s="1583"/>
      <c r="F7" s="1554"/>
      <c r="G7" s="1583"/>
      <c r="H7" s="1583"/>
      <c r="I7" s="1583"/>
      <c r="J7" s="1583"/>
      <c r="K7" s="1583"/>
      <c r="L7" s="1554"/>
      <c r="M7" s="1554"/>
      <c r="N7" s="1584">
        <f t="shared" ref="N7:N12" si="0">E7-SUM(G7:L7)</f>
        <v>0</v>
      </c>
      <c r="O7" s="1583"/>
      <c r="P7" s="1583"/>
      <c r="Q7" s="1585"/>
    </row>
    <row r="8" spans="1:19" s="1586" customFormat="1" ht="14.25" customHeight="1">
      <c r="A8" s="1579">
        <v>2</v>
      </c>
      <c r="B8" s="1581" t="s">
        <v>490</v>
      </c>
      <c r="C8" s="1582">
        <f>C9-1</f>
        <v>2013</v>
      </c>
      <c r="D8" s="1583"/>
      <c r="E8" s="1583"/>
      <c r="F8" s="1583"/>
      <c r="G8" s="1587" t="s">
        <v>133</v>
      </c>
      <c r="H8" s="1583"/>
      <c r="I8" s="1583"/>
      <c r="J8" s="1583"/>
      <c r="K8" s="1583"/>
      <c r="L8" s="1583"/>
      <c r="M8" s="1583"/>
      <c r="N8" s="1584">
        <f t="shared" si="0"/>
        <v>0</v>
      </c>
      <c r="O8" s="1583"/>
      <c r="P8" s="1583"/>
      <c r="Q8" s="1585"/>
    </row>
    <row r="9" spans="1:19" ht="14.25" customHeight="1">
      <c r="A9" s="1579">
        <v>3</v>
      </c>
      <c r="B9" s="1581" t="s">
        <v>491</v>
      </c>
      <c r="C9" s="1582">
        <f>C10-1</f>
        <v>2014</v>
      </c>
      <c r="D9" s="1583"/>
      <c r="E9" s="1583"/>
      <c r="F9" s="1583"/>
      <c r="G9" s="1587" t="s">
        <v>133</v>
      </c>
      <c r="H9" s="1587" t="s">
        <v>133</v>
      </c>
      <c r="I9" s="1583"/>
      <c r="J9" s="1583"/>
      <c r="K9" s="1583"/>
      <c r="L9" s="1583"/>
      <c r="M9" s="1583"/>
      <c r="N9" s="1584">
        <f t="shared" si="0"/>
        <v>0</v>
      </c>
      <c r="O9" s="1583"/>
      <c r="P9" s="1583"/>
      <c r="Q9" s="1585"/>
    </row>
    <row r="10" spans="1:19" ht="14.25" customHeight="1">
      <c r="A10" s="1579">
        <v>4</v>
      </c>
      <c r="B10" s="1581" t="s">
        <v>492</v>
      </c>
      <c r="C10" s="1582">
        <f>C11-1</f>
        <v>2015</v>
      </c>
      <c r="D10" s="1583"/>
      <c r="E10" s="1583"/>
      <c r="F10" s="1583"/>
      <c r="G10" s="1587" t="s">
        <v>133</v>
      </c>
      <c r="H10" s="1587" t="s">
        <v>133</v>
      </c>
      <c r="I10" s="1587" t="s">
        <v>133</v>
      </c>
      <c r="J10" s="1583"/>
      <c r="K10" s="1583"/>
      <c r="L10" s="1583"/>
      <c r="M10" s="1583"/>
      <c r="N10" s="1584">
        <f t="shared" si="0"/>
        <v>0</v>
      </c>
      <c r="O10" s="1583"/>
      <c r="P10" s="1583"/>
      <c r="Q10" s="1585"/>
    </row>
    <row r="11" spans="1:19" ht="14.25" customHeight="1">
      <c r="A11" s="1579">
        <v>5</v>
      </c>
      <c r="B11" s="1581" t="s">
        <v>493</v>
      </c>
      <c r="C11" s="1582">
        <f>C12-1</f>
        <v>2016</v>
      </c>
      <c r="D11" s="1583"/>
      <c r="E11" s="1554"/>
      <c r="F11" s="1554"/>
      <c r="G11" s="1587" t="s">
        <v>133</v>
      </c>
      <c r="H11" s="1587" t="s">
        <v>133</v>
      </c>
      <c r="I11" s="1587" t="s">
        <v>133</v>
      </c>
      <c r="J11" s="1587" t="s">
        <v>133</v>
      </c>
      <c r="K11" s="1554"/>
      <c r="L11" s="1554"/>
      <c r="M11" s="1554"/>
      <c r="N11" s="1584">
        <f t="shared" si="0"/>
        <v>0</v>
      </c>
      <c r="O11" s="1554"/>
      <c r="P11" s="1583"/>
      <c r="Q11" s="1585"/>
      <c r="R11" s="1555" t="s">
        <v>5441</v>
      </c>
    </row>
    <row r="12" spans="1:19" ht="14.25" customHeight="1">
      <c r="A12" s="1579">
        <v>6</v>
      </c>
      <c r="B12" s="1581" t="s">
        <v>5442</v>
      </c>
      <c r="C12" s="1582">
        <f>基本情况!$F$6</f>
        <v>2017</v>
      </c>
      <c r="D12" s="1583"/>
      <c r="E12" s="1554"/>
      <c r="F12" s="1554"/>
      <c r="G12" s="1587" t="s">
        <v>133</v>
      </c>
      <c r="H12" s="1587" t="s">
        <v>133</v>
      </c>
      <c r="I12" s="1587" t="s">
        <v>133</v>
      </c>
      <c r="J12" s="1587" t="s">
        <v>133</v>
      </c>
      <c r="K12" s="1587" t="s">
        <v>133</v>
      </c>
      <c r="L12" s="1554"/>
      <c r="M12" s="1554"/>
      <c r="N12" s="1584">
        <f t="shared" si="0"/>
        <v>0</v>
      </c>
      <c r="O12" s="1554"/>
      <c r="P12" s="1583"/>
      <c r="Q12" s="1585"/>
    </row>
    <row r="13" spans="1:19" s="1586" customFormat="1" ht="19.5" customHeight="1">
      <c r="A13" s="1588">
        <v>7</v>
      </c>
      <c r="B13" s="1589" t="s">
        <v>5443</v>
      </c>
      <c r="C13" s="1590" t="s">
        <v>5444</v>
      </c>
      <c r="D13" s="1561">
        <f>SUM(D7:D12)</f>
        <v>0</v>
      </c>
      <c r="E13" s="1591">
        <f>SUM(E7:E12)</f>
        <v>0</v>
      </c>
      <c r="F13" s="1591">
        <f>SUM(F7:F12)</f>
        <v>0</v>
      </c>
      <c r="G13" s="1592" t="s">
        <v>133</v>
      </c>
      <c r="H13" s="1592" t="s">
        <v>133</v>
      </c>
      <c r="I13" s="1592" t="s">
        <v>133</v>
      </c>
      <c r="J13" s="1592" t="s">
        <v>133</v>
      </c>
      <c r="K13" s="1592" t="s">
        <v>133</v>
      </c>
      <c r="L13" s="1561">
        <f>SUM(L7:L12)</f>
        <v>0</v>
      </c>
      <c r="M13" s="1561">
        <f>SUM(M7:M12)</f>
        <v>0</v>
      </c>
      <c r="N13" s="1593"/>
      <c r="O13" s="1593"/>
      <c r="P13" s="1593"/>
      <c r="Q13" s="1589" t="s">
        <v>5445</v>
      </c>
    </row>
    <row r="14" spans="1:19" s="1420" customFormat="1" ht="14.25" customHeight="1">
      <c r="A14" s="1594"/>
      <c r="B14" s="1594"/>
      <c r="C14" s="1594"/>
      <c r="D14" s="1594"/>
      <c r="E14" s="1594"/>
      <c r="F14" s="1594"/>
      <c r="G14" s="1594"/>
      <c r="H14" s="1594"/>
      <c r="I14" s="1594"/>
      <c r="J14" s="1594"/>
      <c r="K14" s="1594"/>
      <c r="L14" s="1594"/>
      <c r="M14" s="1594"/>
      <c r="N14" s="1594"/>
      <c r="O14" s="1594"/>
      <c r="P14" s="1594"/>
      <c r="Q14" s="1595"/>
      <c r="R14" s="1577"/>
      <c r="S14" s="1577"/>
    </row>
    <row r="15" spans="1:19">
      <c r="A15" s="3590"/>
      <c r="B15" s="3590"/>
      <c r="C15" s="3590"/>
      <c r="D15" s="3590"/>
      <c r="E15" s="3590"/>
      <c r="F15" s="3590"/>
      <c r="G15" s="3590"/>
      <c r="H15" s="3590"/>
      <c r="I15" s="3590"/>
      <c r="J15" s="3590"/>
      <c r="K15" s="3590"/>
      <c r="L15" s="3590"/>
      <c r="M15" s="3590"/>
      <c r="N15" s="3590"/>
      <c r="O15" s="3590"/>
      <c r="P15" s="3590"/>
      <c r="Q15" s="3590"/>
    </row>
    <row r="16" spans="1:19">
      <c r="A16" s="3590"/>
      <c r="B16" s="3590"/>
      <c r="C16" s="3590"/>
      <c r="D16" s="3590"/>
      <c r="E16" s="3590"/>
      <c r="F16" s="3590"/>
      <c r="G16" s="3590"/>
      <c r="H16" s="3590"/>
      <c r="I16" s="3590"/>
      <c r="J16" s="3590"/>
      <c r="K16" s="3590"/>
      <c r="L16" s="3590"/>
      <c r="M16" s="3590"/>
      <c r="N16" s="3590"/>
      <c r="O16" s="3590"/>
      <c r="P16" s="3590"/>
      <c r="Q16" s="3590"/>
    </row>
    <row r="17" spans="1:17">
      <c r="A17" s="3590"/>
      <c r="B17" s="3590"/>
      <c r="C17" s="3590"/>
      <c r="D17" s="3590"/>
      <c r="E17" s="3590"/>
      <c r="F17" s="3590"/>
      <c r="G17" s="3590"/>
      <c r="H17" s="3590"/>
      <c r="I17" s="3590"/>
      <c r="J17" s="3590"/>
      <c r="K17" s="3590"/>
      <c r="L17" s="3590"/>
      <c r="M17" s="3590"/>
      <c r="N17" s="3590"/>
      <c r="O17" s="3590"/>
      <c r="P17" s="3590"/>
      <c r="Q17" s="3590"/>
    </row>
  </sheetData>
  <mergeCells count="25">
    <mergeCell ref="N1:Q1"/>
    <mergeCell ref="N2:Q2"/>
    <mergeCell ref="A1:M2"/>
    <mergeCell ref="A3:A6"/>
    <mergeCell ref="B3:B6"/>
    <mergeCell ref="C3:C5"/>
    <mergeCell ref="D3:D5"/>
    <mergeCell ref="E3:F4"/>
    <mergeCell ref="G3:K3"/>
    <mergeCell ref="L3:M3"/>
    <mergeCell ref="N3:P3"/>
    <mergeCell ref="P4:P5"/>
    <mergeCell ref="A15:Q15"/>
    <mergeCell ref="A16:Q16"/>
    <mergeCell ref="A17:Q17"/>
    <mergeCell ref="Q3:Q5"/>
    <mergeCell ref="G4:G5"/>
    <mergeCell ref="H4:H5"/>
    <mergeCell ref="I4:I5"/>
    <mergeCell ref="J4:J5"/>
    <mergeCell ref="K4:K5"/>
    <mergeCell ref="L4:L5"/>
    <mergeCell ref="M4:M5"/>
    <mergeCell ref="N4:N5"/>
    <mergeCell ref="O4:O5"/>
  </mergeCells>
  <phoneticPr fontId="135" type="noConversion"/>
  <hyperlinks>
    <hyperlink ref="R11" location="A105040专项用途财政性资金纳税调整表!A1" display="A105040专项用途财政性资金纳税调整表!A1"/>
  </hyperlinks>
  <printOptions horizontalCentered="1"/>
  <pageMargins left="0.59055118110236215" right="0.59055118110236215" top="0.39370078740157477" bottom="0.39370078740157477" header="0.511811023622047" footer="0.511811023622047"/>
  <pageSetup paperSize="9" orientation="landscape" r:id="rId1"/>
  <headerFooter alignWithMargins="0"/>
  <drawing r:id="rId2"/>
  <legacyDrawing r:id="rId3"/>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9">
    <pageSetUpPr fitToPage="1"/>
  </sheetPr>
  <dimension ref="A1:I53"/>
  <sheetViews>
    <sheetView workbookViewId="0">
      <selection activeCell="F1" sqref="F1:H2"/>
    </sheetView>
  </sheetViews>
  <sheetFormatPr defaultColWidth="9" defaultRowHeight="12"/>
  <cols>
    <col min="1" max="1" width="10.625" style="1937" customWidth="1"/>
    <col min="2" max="2" width="13.25" style="1937" customWidth="1"/>
    <col min="3" max="3" width="10.75" style="1937" customWidth="1"/>
    <col min="4" max="4" width="4.5" style="1937" customWidth="1"/>
    <col min="5" max="8" width="13" style="1937" customWidth="1"/>
    <col min="9" max="9" width="55.625" style="1937" customWidth="1"/>
    <col min="10" max="16384" width="9" style="1937"/>
  </cols>
  <sheetData>
    <row r="1" spans="1:9" ht="25.9" customHeight="1">
      <c r="A1" s="3270" t="s">
        <v>6129</v>
      </c>
      <c r="B1" s="2994"/>
      <c r="C1" s="2994"/>
      <c r="D1" s="2994"/>
      <c r="E1" s="2994"/>
      <c r="F1" s="2754" t="str">
        <f>基本情况!$F$10</f>
        <v>厦中汇税审（2018）第DS0001号</v>
      </c>
      <c r="G1" s="2754"/>
      <c r="H1" s="2754"/>
    </row>
    <row r="2" spans="1:9" ht="37.15" customHeight="1">
      <c r="A2" s="3010"/>
      <c r="B2" s="3010"/>
      <c r="C2" s="3010"/>
      <c r="D2" s="3010"/>
      <c r="E2" s="3010"/>
      <c r="F2" s="2949" t="str">
        <f>"底稿编号："&amp;开始!J18</f>
        <v>底稿编号：GL-16</v>
      </c>
      <c r="G2" s="2949"/>
      <c r="H2" s="2949"/>
    </row>
    <row r="3" spans="1:9" ht="17.25" customHeight="1">
      <c r="A3" s="3140" t="str">
        <f>"委托单位："&amp;基本情况!$C$3</f>
        <v>委托单位：</v>
      </c>
      <c r="B3" s="3141"/>
      <c r="C3" s="3141"/>
      <c r="D3" s="3141"/>
      <c r="E3" s="3142"/>
      <c r="F3" s="1939"/>
      <c r="G3" s="2063" t="s">
        <v>4472</v>
      </c>
      <c r="H3" s="2064" t="s">
        <v>4473</v>
      </c>
    </row>
    <row r="4" spans="1:9" ht="17.25" customHeight="1">
      <c r="A4" s="3143"/>
      <c r="B4" s="3144"/>
      <c r="C4" s="3144"/>
      <c r="D4" s="3144"/>
      <c r="E4" s="3145"/>
      <c r="F4" s="1427" t="s">
        <v>4407</v>
      </c>
      <c r="G4" s="1914" t="str">
        <f>基本情况!$F$19&amp;""</f>
        <v/>
      </c>
      <c r="H4" s="2084" t="str">
        <f>TEXT(基本情况!$F$27,"yyyy-mm-dd")</f>
        <v>2018-03-16</v>
      </c>
    </row>
    <row r="5" spans="1:9" ht="17.25" customHeight="1">
      <c r="A5" s="3146" t="str">
        <f>"会计期间:"&amp;基本情况!$F$9</f>
        <v>会计期间:2017年01月01日至2017年12月31日</v>
      </c>
      <c r="B5" s="3147"/>
      <c r="C5" s="3147"/>
      <c r="D5" s="3147"/>
      <c r="E5" s="3148"/>
      <c r="F5" s="1915" t="s">
        <v>4410</v>
      </c>
      <c r="G5" s="1909" t="str">
        <f>基本情况!$F$18&amp;""</f>
        <v/>
      </c>
      <c r="H5" s="2085" t="str">
        <f>TEXT(基本情况!$F$28,"yyyy-mm-dd")</f>
        <v>2018-05-04</v>
      </c>
    </row>
    <row r="6" spans="1:9" ht="7.5" customHeight="1">
      <c r="A6" s="3291"/>
      <c r="B6" s="3291"/>
      <c r="C6" s="3291"/>
      <c r="D6" s="3291"/>
      <c r="E6" s="3291"/>
      <c r="F6" s="3291"/>
      <c r="G6" s="3291"/>
      <c r="H6" s="3291"/>
    </row>
    <row r="7" spans="1:9" ht="22.5" customHeight="1">
      <c r="A7" s="3070" t="s">
        <v>750</v>
      </c>
      <c r="B7" s="3070"/>
      <c r="C7" s="3632" t="s">
        <v>5033</v>
      </c>
      <c r="D7" s="3632"/>
      <c r="E7" s="2086" t="s">
        <v>5034</v>
      </c>
      <c r="F7" s="2086" t="s">
        <v>5035</v>
      </c>
      <c r="G7" s="2086" t="s">
        <v>5036</v>
      </c>
      <c r="H7" s="1919" t="s">
        <v>5037</v>
      </c>
      <c r="I7" s="1894" t="s">
        <v>5038</v>
      </c>
    </row>
    <row r="8" spans="1:9" ht="18" customHeight="1">
      <c r="A8" s="3375" t="s">
        <v>4346</v>
      </c>
      <c r="B8" s="3375"/>
      <c r="C8" s="3631">
        <f>制造费用、生产成本!C11+制造费用、生产成本!C15</f>
        <v>0</v>
      </c>
      <c r="D8" s="3631"/>
      <c r="E8" s="2069"/>
      <c r="F8" s="1201"/>
      <c r="G8" s="2065"/>
      <c r="H8" s="2070"/>
      <c r="I8" s="672" t="s">
        <v>1711</v>
      </c>
    </row>
    <row r="9" spans="1:9" ht="18" customHeight="1">
      <c r="A9" s="3375" t="s">
        <v>4347</v>
      </c>
      <c r="B9" s="3375"/>
      <c r="C9" s="3631">
        <f>制造费用、生产成本!C22</f>
        <v>0</v>
      </c>
      <c r="D9" s="3631"/>
      <c r="E9" s="2071">
        <f>制造费用、生产成本!C23</f>
        <v>0</v>
      </c>
      <c r="F9" s="2071">
        <f>制造费用、生产成本!C24</f>
        <v>0</v>
      </c>
      <c r="G9" s="1203"/>
      <c r="H9" s="1204"/>
      <c r="I9" s="672" t="s">
        <v>4534</v>
      </c>
    </row>
    <row r="10" spans="1:9" ht="18" customHeight="1">
      <c r="A10" s="3627" t="s">
        <v>5039</v>
      </c>
      <c r="B10" s="3627"/>
      <c r="C10" s="3631">
        <f>销售费用!D6</f>
        <v>0</v>
      </c>
      <c r="D10" s="3631"/>
      <c r="E10" s="2071">
        <f>销售费用!D7</f>
        <v>0</v>
      </c>
      <c r="F10" s="2071">
        <f>销售费用!D8</f>
        <v>0</v>
      </c>
      <c r="G10" s="1205">
        <f>销售费用!D9</f>
        <v>0</v>
      </c>
      <c r="H10" s="1204"/>
      <c r="I10" s="672" t="s">
        <v>5040</v>
      </c>
    </row>
    <row r="11" spans="1:9" ht="18" customHeight="1">
      <c r="A11" s="3627" t="s">
        <v>345</v>
      </c>
      <c r="B11" s="3627"/>
      <c r="C11" s="3631">
        <f>管理费用!D6</f>
        <v>0</v>
      </c>
      <c r="D11" s="3631"/>
      <c r="E11" s="2071">
        <f>管理费用!D7</f>
        <v>0</v>
      </c>
      <c r="F11" s="2071">
        <f>管理费用!D8</f>
        <v>0</v>
      </c>
      <c r="G11" s="1205">
        <f>管理费用!D9</f>
        <v>0</v>
      </c>
      <c r="H11" s="1204"/>
      <c r="I11" s="672" t="s">
        <v>4636</v>
      </c>
    </row>
    <row r="12" spans="1:9" ht="18" customHeight="1">
      <c r="A12" s="3627" t="s">
        <v>4257</v>
      </c>
      <c r="B12" s="3627"/>
      <c r="C12" s="3629"/>
      <c r="D12" s="3629"/>
      <c r="E12" s="2065"/>
      <c r="F12" s="2065"/>
      <c r="G12" s="1206"/>
      <c r="H12" s="1204"/>
      <c r="I12" s="672" t="s">
        <v>4552</v>
      </c>
    </row>
    <row r="13" spans="1:9" ht="18" customHeight="1">
      <c r="A13" s="3375" t="s">
        <v>5034</v>
      </c>
      <c r="B13" s="3375"/>
      <c r="C13" s="3629"/>
      <c r="D13" s="3629"/>
      <c r="E13" s="2073"/>
      <c r="F13" s="2073"/>
      <c r="G13" s="1206"/>
      <c r="H13" s="1204"/>
      <c r="I13" s="1965" t="s">
        <v>5041</v>
      </c>
    </row>
    <row r="14" spans="1:9" ht="18" customHeight="1">
      <c r="A14" s="3375" t="s">
        <v>5042</v>
      </c>
      <c r="B14" s="3375"/>
      <c r="C14" s="3629"/>
      <c r="D14" s="3629"/>
      <c r="E14" s="2073"/>
      <c r="F14" s="2073"/>
      <c r="G14" s="1206"/>
      <c r="H14" s="1204"/>
      <c r="I14" s="1965" t="s">
        <v>5043</v>
      </c>
    </row>
    <row r="15" spans="1:9" ht="18" customHeight="1">
      <c r="A15" s="3375" t="s">
        <v>5044</v>
      </c>
      <c r="B15" s="3375"/>
      <c r="C15" s="3630">
        <f>SUM(C8:D14)</f>
        <v>0</v>
      </c>
      <c r="D15" s="3630"/>
      <c r="E15" s="1208">
        <f>SUM(E8:E14)</f>
        <v>0</v>
      </c>
      <c r="F15" s="1208">
        <f>SUM(F8:F14)</f>
        <v>0</v>
      </c>
      <c r="G15" s="1208">
        <f>SUM(G8:G14)</f>
        <v>0</v>
      </c>
      <c r="H15" s="1204"/>
      <c r="I15" s="1965" t="s">
        <v>5045</v>
      </c>
    </row>
    <row r="16" spans="1:9" ht="18" customHeight="1">
      <c r="A16" s="3375" t="s">
        <v>5046</v>
      </c>
      <c r="B16" s="3375"/>
      <c r="C16" s="3629"/>
      <c r="D16" s="3629"/>
      <c r="E16" s="2348">
        <f>销售费用!F7+管理费用!F7</f>
        <v>0</v>
      </c>
      <c r="F16" s="2069"/>
      <c r="G16" s="1209"/>
      <c r="H16" s="1204"/>
      <c r="I16" s="3101" t="s">
        <v>5047</v>
      </c>
    </row>
    <row r="17" spans="1:9" ht="18" customHeight="1">
      <c r="A17" s="3375" t="s">
        <v>5048</v>
      </c>
      <c r="B17" s="3375"/>
      <c r="C17" s="3628">
        <f>C15+C16</f>
        <v>0</v>
      </c>
      <c r="D17" s="3628"/>
      <c r="E17" s="2066">
        <f>E15+E16</f>
        <v>0</v>
      </c>
      <c r="F17" s="2066">
        <f>F15+F16</f>
        <v>0</v>
      </c>
      <c r="G17" s="2066">
        <f>G15+G16</f>
        <v>0</v>
      </c>
      <c r="H17" s="1204"/>
      <c r="I17" s="3101"/>
    </row>
    <row r="18" spans="1:9" ht="18" customHeight="1">
      <c r="A18" s="3375" t="s">
        <v>371</v>
      </c>
      <c r="B18" s="3375"/>
      <c r="C18" s="3628">
        <f>IF(C19&gt;0,C17-C19,C17)</f>
        <v>0</v>
      </c>
      <c r="D18" s="3628"/>
      <c r="E18" s="2066">
        <f>IF(E19&gt;0,E17-E19,E17)</f>
        <v>0</v>
      </c>
      <c r="F18" s="2066">
        <f>MIN(C18*G35,F17+F21)</f>
        <v>0</v>
      </c>
      <c r="G18" s="2066">
        <f>IF(G19&gt;0,G17-G19,G17)</f>
        <v>0</v>
      </c>
      <c r="H18" s="1204"/>
      <c r="I18" s="3101"/>
    </row>
    <row r="19" spans="1:9" ht="18" customHeight="1">
      <c r="A19" s="3627" t="s">
        <v>5049</v>
      </c>
      <c r="B19" s="3627"/>
      <c r="C19" s="3628">
        <f>G28+G29</f>
        <v>0</v>
      </c>
      <c r="D19" s="3628"/>
      <c r="E19" s="2066">
        <f>G30+G31+G32+G33</f>
        <v>0</v>
      </c>
      <c r="F19" s="2066">
        <f>F17-F18</f>
        <v>0</v>
      </c>
      <c r="G19" s="2066">
        <f>G36+G37+G38</f>
        <v>0</v>
      </c>
      <c r="H19" s="1204"/>
      <c r="I19" s="3101"/>
    </row>
    <row r="20" spans="1:9" ht="18" customHeight="1">
      <c r="A20" s="3627" t="s">
        <v>5050</v>
      </c>
      <c r="B20" s="3627"/>
      <c r="C20" s="3376" t="s">
        <v>133</v>
      </c>
      <c r="D20" s="3376"/>
      <c r="E20" s="2067" t="s">
        <v>133</v>
      </c>
      <c r="F20" s="2068">
        <f>F19</f>
        <v>0</v>
      </c>
      <c r="G20" s="2067" t="s">
        <v>133</v>
      </c>
      <c r="H20" s="1204"/>
      <c r="I20" s="3101"/>
    </row>
    <row r="21" spans="1:9" ht="18" customHeight="1">
      <c r="A21" s="3627" t="s">
        <v>5051</v>
      </c>
      <c r="B21" s="3627"/>
      <c r="C21" s="3376" t="s">
        <v>133</v>
      </c>
      <c r="D21" s="3376"/>
      <c r="E21" s="2067" t="s">
        <v>133</v>
      </c>
      <c r="F21" s="1211"/>
      <c r="G21" s="2067" t="s">
        <v>133</v>
      </c>
      <c r="H21" s="1204"/>
      <c r="I21" s="3101"/>
    </row>
    <row r="22" spans="1:9" ht="18" customHeight="1">
      <c r="A22" s="3627" t="s">
        <v>5052</v>
      </c>
      <c r="B22" s="3627"/>
      <c r="C22" s="3376" t="s">
        <v>133</v>
      </c>
      <c r="D22" s="3376"/>
      <c r="E22" s="2067" t="s">
        <v>133</v>
      </c>
      <c r="F22" s="2068">
        <f>IF(F21&gt;0,IF(F17&lt;ROUND(C17*0.025,2),MIN(F21,ROUND(C17*0.025,2)-F17),0),0)</f>
        <v>0</v>
      </c>
      <c r="G22" s="2067" t="s">
        <v>133</v>
      </c>
      <c r="H22" s="1204"/>
      <c r="I22" s="3101"/>
    </row>
    <row r="23" spans="1:9" ht="18" customHeight="1">
      <c r="A23" s="3627" t="s">
        <v>5053</v>
      </c>
      <c r="B23" s="3627"/>
      <c r="C23" s="3376" t="s">
        <v>133</v>
      </c>
      <c r="D23" s="3376"/>
      <c r="E23" s="2067" t="s">
        <v>133</v>
      </c>
      <c r="F23" s="2066">
        <f>F22</f>
        <v>0</v>
      </c>
      <c r="G23" s="2067" t="s">
        <v>133</v>
      </c>
      <c r="H23" s="1204"/>
      <c r="I23" s="3101"/>
    </row>
    <row r="24" spans="1:9" ht="18" customHeight="1">
      <c r="A24" s="3627" t="s">
        <v>5054</v>
      </c>
      <c r="B24" s="3627"/>
      <c r="C24" s="3376" t="s">
        <v>133</v>
      </c>
      <c r="D24" s="3376"/>
      <c r="E24" s="2067" t="s">
        <v>133</v>
      </c>
      <c r="F24" s="2066">
        <f>F17+F21-F18</f>
        <v>0</v>
      </c>
      <c r="G24" s="2067" t="s">
        <v>133</v>
      </c>
      <c r="H24" s="1204"/>
      <c r="I24" s="3101"/>
    </row>
    <row r="25" spans="1:9" ht="18" customHeight="1">
      <c r="A25" s="3627" t="s">
        <v>5055</v>
      </c>
      <c r="B25" s="3627"/>
      <c r="C25" s="3622"/>
      <c r="D25" s="3623"/>
      <c r="E25" s="1212" t="s">
        <v>133</v>
      </c>
      <c r="F25" s="1212" t="s">
        <v>133</v>
      </c>
      <c r="G25" s="1213" t="s">
        <v>133</v>
      </c>
      <c r="H25" s="1204"/>
      <c r="I25" s="3101"/>
    </row>
    <row r="26" spans="1:9" ht="18" customHeight="1">
      <c r="A26" s="3624" t="s">
        <v>5056</v>
      </c>
      <c r="B26" s="3624"/>
      <c r="C26" s="3625" t="s">
        <v>134</v>
      </c>
      <c r="D26" s="3626"/>
      <c r="E26" s="1212" t="s">
        <v>133</v>
      </c>
      <c r="F26" s="2089"/>
      <c r="G26" s="1213" t="s">
        <v>133</v>
      </c>
      <c r="H26" s="2087">
        <f>F26</f>
        <v>0</v>
      </c>
      <c r="I26" s="3101"/>
    </row>
    <row r="27" spans="1:9" ht="24.75" customHeight="1">
      <c r="A27" s="3070" t="s">
        <v>5057</v>
      </c>
      <c r="B27" s="3070"/>
      <c r="C27" s="3294" t="s">
        <v>5058</v>
      </c>
      <c r="D27" s="3294"/>
      <c r="E27" s="3294"/>
      <c r="F27" s="3294"/>
      <c r="G27" s="3620" t="s">
        <v>5059</v>
      </c>
      <c r="H27" s="3620"/>
      <c r="I27" s="3101"/>
    </row>
    <row r="28" spans="1:9" ht="18" customHeight="1">
      <c r="A28" s="3610" t="s">
        <v>5060</v>
      </c>
      <c r="B28" s="3610"/>
      <c r="C28" s="3611" t="s">
        <v>5061</v>
      </c>
      <c r="D28" s="3611"/>
      <c r="E28" s="3611"/>
      <c r="F28" s="3611"/>
      <c r="G28" s="3621"/>
      <c r="H28" s="3621"/>
      <c r="I28" s="3101"/>
    </row>
    <row r="29" spans="1:9" ht="18" customHeight="1">
      <c r="A29" s="3610" t="s">
        <v>5060</v>
      </c>
      <c r="B29" s="3610"/>
      <c r="C29" s="3611" t="s">
        <v>5062</v>
      </c>
      <c r="D29" s="3611"/>
      <c r="E29" s="3611"/>
      <c r="F29" s="3611"/>
      <c r="G29" s="3612"/>
      <c r="H29" s="3612"/>
      <c r="I29" s="3101"/>
    </row>
    <row r="30" spans="1:9" ht="18" customHeight="1">
      <c r="A30" s="3610" t="s">
        <v>5063</v>
      </c>
      <c r="B30" s="3610"/>
      <c r="C30" s="3611" t="s">
        <v>5064</v>
      </c>
      <c r="D30" s="3611"/>
      <c r="E30" s="3611"/>
      <c r="F30" s="3611"/>
      <c r="G30" s="3619"/>
      <c r="H30" s="3619"/>
      <c r="I30" s="3101"/>
    </row>
    <row r="31" spans="1:9" ht="18" customHeight="1">
      <c r="A31" s="3610" t="s">
        <v>5063</v>
      </c>
      <c r="B31" s="3610"/>
      <c r="C31" s="3611" t="s">
        <v>5065</v>
      </c>
      <c r="D31" s="3611"/>
      <c r="E31" s="3611"/>
      <c r="F31" s="3611"/>
      <c r="G31" s="3612"/>
      <c r="H31" s="3612"/>
      <c r="I31" s="3101"/>
    </row>
    <row r="32" spans="1:9" ht="18" customHeight="1">
      <c r="A32" s="3610" t="s">
        <v>5063</v>
      </c>
      <c r="B32" s="3610"/>
      <c r="C32" s="3611" t="s">
        <v>5066</v>
      </c>
      <c r="D32" s="3611"/>
      <c r="E32" s="3611"/>
      <c r="F32" s="3611"/>
      <c r="G32" s="3617">
        <f>IF(E17&gt;ROUND(C18*0.14,2),E17-ROUND(C18*0.14,2),0)</f>
        <v>0</v>
      </c>
      <c r="H32" s="3617"/>
      <c r="I32" s="3101"/>
    </row>
    <row r="33" spans="1:9" ht="18" customHeight="1">
      <c r="A33" s="3610" t="s">
        <v>5063</v>
      </c>
      <c r="B33" s="3610"/>
      <c r="C33" s="3611" t="s">
        <v>5000</v>
      </c>
      <c r="D33" s="3611"/>
      <c r="E33" s="3611"/>
      <c r="F33" s="3611"/>
      <c r="G33" s="3618">
        <f>SUMIF(凭证检查!M7:M206,凭证检查!R25,凭证检查!G7:G206)</f>
        <v>0</v>
      </c>
      <c r="H33" s="3618"/>
      <c r="I33" s="3101"/>
    </row>
    <row r="34" spans="1:9" ht="18" customHeight="1">
      <c r="A34" s="3610" t="s">
        <v>5035</v>
      </c>
      <c r="B34" s="3610"/>
      <c r="C34" s="3611" t="s">
        <v>5067</v>
      </c>
      <c r="D34" s="3611"/>
      <c r="E34" s="3611"/>
      <c r="F34" s="3611"/>
      <c r="G34" s="3612"/>
      <c r="H34" s="3612"/>
      <c r="I34" s="3101"/>
    </row>
    <row r="35" spans="1:9" ht="18" customHeight="1">
      <c r="A35" s="3610" t="s">
        <v>5035</v>
      </c>
      <c r="B35" s="3610"/>
      <c r="C35" s="3611" t="s">
        <v>5068</v>
      </c>
      <c r="D35" s="3611"/>
      <c r="E35" s="3611"/>
      <c r="F35" s="3611"/>
      <c r="G35" s="3616">
        <v>2.5000000000000001E-2</v>
      </c>
      <c r="H35" s="3616"/>
      <c r="I35" s="3101"/>
    </row>
    <row r="36" spans="1:9" ht="18" customHeight="1">
      <c r="A36" s="3610" t="s">
        <v>5069</v>
      </c>
      <c r="B36" s="3610"/>
      <c r="C36" s="3611" t="s">
        <v>5070</v>
      </c>
      <c r="D36" s="3611"/>
      <c r="E36" s="3611"/>
      <c r="F36" s="3611"/>
      <c r="G36" s="3617">
        <f>IF(G17&gt;ROUND(C18*0.02,2),G17-ROUND(C18*0.02,2),0)</f>
        <v>0</v>
      </c>
      <c r="H36" s="3617"/>
      <c r="I36" s="2062"/>
    </row>
    <row r="37" spans="1:9" ht="18" customHeight="1">
      <c r="A37" s="3610" t="s">
        <v>5069</v>
      </c>
      <c r="B37" s="3610"/>
      <c r="C37" s="3611" t="s">
        <v>5071</v>
      </c>
      <c r="D37" s="3611"/>
      <c r="E37" s="3611"/>
      <c r="F37" s="3611"/>
      <c r="G37" s="3612"/>
      <c r="H37" s="3612"/>
      <c r="I37" s="3101" t="s">
        <v>5072</v>
      </c>
    </row>
    <row r="38" spans="1:9" ht="18" customHeight="1">
      <c r="A38" s="3613" t="s">
        <v>5069</v>
      </c>
      <c r="B38" s="3613"/>
      <c r="C38" s="3614" t="s">
        <v>5073</v>
      </c>
      <c r="D38" s="3614"/>
      <c r="E38" s="3614"/>
      <c r="F38" s="3614"/>
      <c r="G38" s="3612"/>
      <c r="H38" s="3612"/>
      <c r="I38" s="3101"/>
    </row>
    <row r="39" spans="1:9" ht="18" customHeight="1">
      <c r="A39" s="3068" t="s">
        <v>757</v>
      </c>
      <c r="B39" s="3068"/>
      <c r="C39" s="3068"/>
      <c r="D39" s="3068"/>
      <c r="E39" s="3068"/>
      <c r="F39" s="3068"/>
      <c r="G39" s="3615">
        <f>SUM(G28:G38)-G35</f>
        <v>0</v>
      </c>
      <c r="H39" s="3615"/>
      <c r="I39" s="3101"/>
    </row>
    <row r="40" spans="1:9" ht="15" customHeight="1">
      <c r="A40" s="3603" t="s">
        <v>4431</v>
      </c>
      <c r="B40" s="3603"/>
      <c r="C40" s="3604" t="s">
        <v>5074</v>
      </c>
      <c r="D40" s="3605"/>
      <c r="E40" s="3605"/>
      <c r="F40" s="3605"/>
      <c r="G40" s="3606" t="str">
        <f>IF(G39&lt;&gt;0,"、E","")</f>
        <v/>
      </c>
      <c r="H40" s="3072"/>
      <c r="I40" s="3101" t="s">
        <v>5075</v>
      </c>
    </row>
    <row r="41" spans="1:9" ht="48.75" customHeight="1">
      <c r="A41" s="3603"/>
      <c r="B41" s="3603"/>
      <c r="C41" s="3607"/>
      <c r="D41" s="3607"/>
      <c r="E41" s="3607"/>
      <c r="F41" s="3607"/>
      <c r="G41" s="3607"/>
      <c r="H41" s="3607"/>
      <c r="I41" s="3101"/>
    </row>
    <row r="42" spans="1:9" ht="22.5" customHeight="1">
      <c r="A42" s="3608" t="s">
        <v>4433</v>
      </c>
      <c r="B42" s="3608"/>
      <c r="C42" s="3609" t="str">
        <f>IF(G39&lt;&gt;0,"纳税调整后认可！","不存在调整事项，认可！")</f>
        <v>不存在调整事项，认可！</v>
      </c>
      <c r="D42" s="3609"/>
      <c r="E42" s="3609"/>
      <c r="F42" s="3609"/>
      <c r="G42" s="3609"/>
      <c r="H42" s="3609"/>
      <c r="I42" s="3101"/>
    </row>
    <row r="43" spans="1:9" ht="14.25" customHeight="1">
      <c r="I43" s="3601" t="s">
        <v>5076</v>
      </c>
    </row>
    <row r="44" spans="1:9" ht="12" customHeight="1">
      <c r="A44" s="2088"/>
      <c r="I44" s="3601"/>
    </row>
    <row r="45" spans="1:9" ht="15.2" customHeight="1">
      <c r="A45" s="757"/>
      <c r="I45" s="3601" t="s">
        <v>5077</v>
      </c>
    </row>
    <row r="46" spans="1:9">
      <c r="A46" s="2088"/>
      <c r="I46" s="3601"/>
    </row>
    <row r="47" spans="1:9" ht="169.35" customHeight="1">
      <c r="A47" s="757"/>
      <c r="I47" s="3601"/>
    </row>
    <row r="48" spans="1:9" ht="15.2" customHeight="1">
      <c r="A48" s="2088"/>
      <c r="I48" s="3602" t="s">
        <v>5078</v>
      </c>
    </row>
    <row r="49" spans="1:9" ht="16.5">
      <c r="A49" s="757"/>
      <c r="I49" s="3602"/>
    </row>
    <row r="50" spans="1:9">
      <c r="A50" s="2088"/>
      <c r="I50" s="3602"/>
    </row>
    <row r="51" spans="1:9">
      <c r="I51" s="3602"/>
    </row>
    <row r="52" spans="1:9">
      <c r="I52" s="3602"/>
    </row>
    <row r="53" spans="1:9">
      <c r="I53" s="3602"/>
    </row>
  </sheetData>
  <sheetProtection formatCells="0" selectLockedCells="1"/>
  <mergeCells count="96">
    <mergeCell ref="F1:H1"/>
    <mergeCell ref="F2:H2"/>
    <mergeCell ref="A1:E2"/>
    <mergeCell ref="A7:B7"/>
    <mergeCell ref="C7:D7"/>
    <mergeCell ref="A6:H6"/>
    <mergeCell ref="A3:E4"/>
    <mergeCell ref="A5:E5"/>
    <mergeCell ref="A8:B8"/>
    <mergeCell ref="C8:D8"/>
    <mergeCell ref="A9:B9"/>
    <mergeCell ref="C9:D9"/>
    <mergeCell ref="A10:B10"/>
    <mergeCell ref="C10:D10"/>
    <mergeCell ref="A11:B11"/>
    <mergeCell ref="C11:D11"/>
    <mergeCell ref="A12:B12"/>
    <mergeCell ref="C12:D12"/>
    <mergeCell ref="A13:B13"/>
    <mergeCell ref="C13:D13"/>
    <mergeCell ref="A14:B14"/>
    <mergeCell ref="C14:D14"/>
    <mergeCell ref="A15:B15"/>
    <mergeCell ref="C15:D15"/>
    <mergeCell ref="A16:B16"/>
    <mergeCell ref="C16:D16"/>
    <mergeCell ref="I16:I35"/>
    <mergeCell ref="A17:B17"/>
    <mergeCell ref="C17:D17"/>
    <mergeCell ref="A18:B18"/>
    <mergeCell ref="C18:D18"/>
    <mergeCell ref="A19:B19"/>
    <mergeCell ref="C19:D19"/>
    <mergeCell ref="A20:B20"/>
    <mergeCell ref="C20:D20"/>
    <mergeCell ref="A21:B21"/>
    <mergeCell ref="C21:D21"/>
    <mergeCell ref="A22:B22"/>
    <mergeCell ref="C22:D22"/>
    <mergeCell ref="A23:B23"/>
    <mergeCell ref="C23:D23"/>
    <mergeCell ref="A25:B25"/>
    <mergeCell ref="C25:D25"/>
    <mergeCell ref="A26:B26"/>
    <mergeCell ref="C26:D26"/>
    <mergeCell ref="A24:B24"/>
    <mergeCell ref="C24:D24"/>
    <mergeCell ref="A27:B27"/>
    <mergeCell ref="C27:F27"/>
    <mergeCell ref="G27:H27"/>
    <mergeCell ref="A28:B28"/>
    <mergeCell ref="C28:F28"/>
    <mergeCell ref="G28:H28"/>
    <mergeCell ref="A29:B29"/>
    <mergeCell ref="C29:F29"/>
    <mergeCell ref="G29:H29"/>
    <mergeCell ref="A30:B30"/>
    <mergeCell ref="C30:F30"/>
    <mergeCell ref="G30:H30"/>
    <mergeCell ref="A31:B31"/>
    <mergeCell ref="C31:F31"/>
    <mergeCell ref="G31:H31"/>
    <mergeCell ref="A32:B32"/>
    <mergeCell ref="C32:F32"/>
    <mergeCell ref="G32:H32"/>
    <mergeCell ref="A33:B33"/>
    <mergeCell ref="C33:F33"/>
    <mergeCell ref="G33:H33"/>
    <mergeCell ref="A34:B34"/>
    <mergeCell ref="C34:F34"/>
    <mergeCell ref="G34:H34"/>
    <mergeCell ref="A35:B35"/>
    <mergeCell ref="C35:F35"/>
    <mergeCell ref="G35:H35"/>
    <mergeCell ref="A36:B36"/>
    <mergeCell ref="C36:F36"/>
    <mergeCell ref="G36:H36"/>
    <mergeCell ref="A37:B37"/>
    <mergeCell ref="C37:F37"/>
    <mergeCell ref="G37:H37"/>
    <mergeCell ref="I37:I39"/>
    <mergeCell ref="A38:B38"/>
    <mergeCell ref="C38:F38"/>
    <mergeCell ref="G38:H38"/>
    <mergeCell ref="A39:F39"/>
    <mergeCell ref="G39:H39"/>
    <mergeCell ref="I43:I44"/>
    <mergeCell ref="I45:I47"/>
    <mergeCell ref="I48:I53"/>
    <mergeCell ref="A40:B41"/>
    <mergeCell ref="C40:F40"/>
    <mergeCell ref="G40:H40"/>
    <mergeCell ref="I40:I42"/>
    <mergeCell ref="C41:H41"/>
    <mergeCell ref="A42:B42"/>
    <mergeCell ref="C42:H42"/>
  </mergeCells>
  <phoneticPr fontId="135" type="noConversion"/>
  <dataValidations count="1">
    <dataValidation allowBlank="1" showErrorMessage="1" sqref="G4">
      <formula1>0</formula1>
      <formula2>0</formula2>
    </dataValidation>
  </dataValidations>
  <hyperlinks>
    <hyperlink ref="I8" location="资产负债!A1" display="资产负债表"/>
    <hyperlink ref="I9" location="利润!A1" display="利润及利润分配表"/>
    <hyperlink ref="I10" location="纳税调整明细表!D27" display="纳税调整明细表"/>
    <hyperlink ref="I11" location="营业费用!A1" display="营业费用审核表"/>
    <hyperlink ref="I12" location="管理费用!A1" display="管理费用审核表"/>
    <hyperlink ref="I13" location="其他事项!D32" display="其他事项!D32"/>
    <hyperlink ref="I14" location="制造费用、生产成本!A1" display="制造费用、生产成本审核表"/>
    <hyperlink ref="I15" location="凭证检查!A1" display="凭证检查!A1"/>
  </hyperlinks>
  <printOptions horizontalCentered="1"/>
  <pageMargins left="0.39370078740157477" right="0.39370078740157477" top="0.59055118110236215" bottom="0.59055118110236215" header="0.511811023622047" footer="0.511811023622047"/>
  <pageSetup paperSize="9" scale="96" firstPageNumber="0" orientation="portrait" blackAndWhite="1" r:id="rId1"/>
  <headerFooter alignWithMargins="0"/>
  <drawing r:id="rId2"/>
  <legacyDrawing r:id="rId3"/>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6"/>
  <dimension ref="A1:T43"/>
  <sheetViews>
    <sheetView workbookViewId="0">
      <selection activeCell="G3" sqref="G3:I3"/>
    </sheetView>
  </sheetViews>
  <sheetFormatPr defaultColWidth="9" defaultRowHeight="16.5"/>
  <cols>
    <col min="1" max="1" width="5.625" style="565" customWidth="1"/>
    <col min="2" max="2" width="3.125" style="565" customWidth="1"/>
    <col min="3" max="3" width="11" style="565" customWidth="1"/>
    <col min="4" max="4" width="14.625" style="565" customWidth="1"/>
    <col min="5" max="6" width="8.125" style="565" customWidth="1"/>
    <col min="7" max="7" width="3.5" style="565" customWidth="1"/>
    <col min="8" max="8" width="2.875" style="565" customWidth="1"/>
    <col min="9" max="9" width="8" style="565" customWidth="1"/>
    <col min="10" max="10" width="13.875" style="565" customWidth="1"/>
    <col min="11" max="11" width="9.75" style="565" customWidth="1"/>
    <col min="12" max="16384" width="9" style="565"/>
  </cols>
  <sheetData>
    <row r="1" spans="1:20" ht="25.9" customHeight="1">
      <c r="A1" s="3253" t="s">
        <v>8924</v>
      </c>
      <c r="B1" s="3254"/>
      <c r="C1" s="3254"/>
      <c r="D1" s="3254"/>
      <c r="E1" s="3254"/>
      <c r="F1" s="3254"/>
      <c r="G1" s="3254"/>
      <c r="H1" s="3254"/>
      <c r="I1" s="2754" t="str">
        <f>基本情况!$F$10</f>
        <v>厦中汇税审（2018）第DS0001号</v>
      </c>
      <c r="J1" s="2754"/>
      <c r="K1" s="2754"/>
      <c r="L1" s="564"/>
      <c r="M1" s="564"/>
      <c r="N1" s="564"/>
      <c r="O1" s="564"/>
      <c r="P1" s="564"/>
      <c r="Q1" s="564"/>
      <c r="R1" s="564"/>
      <c r="S1" s="564"/>
    </row>
    <row r="2" spans="1:20" ht="37.15" customHeight="1">
      <c r="A2" s="3254"/>
      <c r="B2" s="3254"/>
      <c r="C2" s="3254"/>
      <c r="D2" s="3254"/>
      <c r="E2" s="3254"/>
      <c r="F2" s="3254"/>
      <c r="G2" s="3254"/>
      <c r="H2" s="3254"/>
      <c r="I2" s="2949" t="str">
        <f>"底稿编号："&amp;开始!J19</f>
        <v>底稿编号：GL-17</v>
      </c>
      <c r="J2" s="2949"/>
      <c r="K2" s="2949"/>
      <c r="L2" s="564"/>
      <c r="M2" s="564"/>
      <c r="N2" s="564"/>
      <c r="O2" s="564"/>
      <c r="P2" s="564"/>
      <c r="Q2" s="564"/>
      <c r="R2" s="564"/>
      <c r="S2" s="564"/>
    </row>
    <row r="3" spans="1:20" ht="18" customHeight="1">
      <c r="A3" s="2929" t="s">
        <v>4510</v>
      </c>
      <c r="B3" s="2929"/>
      <c r="C3" s="3206" t="str">
        <f>基本情况!$C$3</f>
        <v/>
      </c>
      <c r="D3" s="3064"/>
      <c r="E3" s="3065"/>
      <c r="F3" s="571" t="s">
        <v>4407</v>
      </c>
      <c r="G3" s="2931" t="str">
        <f>基本情况!$F$19&amp;""</f>
        <v/>
      </c>
      <c r="H3" s="2931"/>
      <c r="I3" s="2931"/>
      <c r="J3" s="1415" t="s">
        <v>4575</v>
      </c>
      <c r="K3" s="1416" t="str">
        <f>TEXT(基本情况!$F$27,"yyyy-mm-dd")</f>
        <v>2018-03-16</v>
      </c>
      <c r="L3" s="564"/>
      <c r="M3" s="564"/>
      <c r="N3" s="564"/>
    </row>
    <row r="4" spans="1:20" ht="18" customHeight="1">
      <c r="A4" s="2658" t="s">
        <v>4512</v>
      </c>
      <c r="B4" s="2658"/>
      <c r="C4" s="3662" t="str">
        <f>基本情况!$F$9</f>
        <v>2017年01月01日至2017年12月31日</v>
      </c>
      <c r="D4" s="3663"/>
      <c r="E4" s="3664"/>
      <c r="F4" s="566" t="s">
        <v>4410</v>
      </c>
      <c r="G4" s="2926" t="str">
        <f>基本情况!$F$18&amp;""</f>
        <v/>
      </c>
      <c r="H4" s="2926"/>
      <c r="I4" s="2926"/>
      <c r="J4" s="1417" t="s">
        <v>4575</v>
      </c>
      <c r="K4" s="567" t="str">
        <f>TEXT(基本情况!$F$28,"yyyy-mm-dd")</f>
        <v>2018-05-04</v>
      </c>
      <c r="L4" s="564"/>
      <c r="M4" s="564"/>
      <c r="N4" s="564"/>
    </row>
    <row r="5" spans="1:20" ht="7.5" customHeight="1">
      <c r="A5" s="2661"/>
      <c r="B5" s="2661"/>
      <c r="C5" s="2661"/>
      <c r="D5" s="2661"/>
      <c r="E5" s="2661"/>
      <c r="F5" s="2661"/>
      <c r="G5" s="2661"/>
      <c r="H5" s="2661"/>
      <c r="I5" s="2661"/>
      <c r="J5" s="2661"/>
      <c r="K5" s="2661"/>
      <c r="L5" s="564"/>
      <c r="M5" s="564"/>
      <c r="N5" s="564"/>
      <c r="O5" s="564"/>
      <c r="P5" s="564"/>
      <c r="Q5" s="564"/>
      <c r="R5" s="564"/>
      <c r="S5" s="564"/>
    </row>
    <row r="6" spans="1:20" ht="19.5" customHeight="1">
      <c r="A6" s="3239" t="s">
        <v>750</v>
      </c>
      <c r="B6" s="3239"/>
      <c r="C6" s="2928" t="s">
        <v>5228</v>
      </c>
      <c r="D6" s="2928"/>
      <c r="E6" s="2928" t="s">
        <v>5229</v>
      </c>
      <c r="F6" s="2928"/>
      <c r="G6" s="2928" t="s">
        <v>5082</v>
      </c>
      <c r="H6" s="2928"/>
      <c r="I6" s="2928"/>
      <c r="J6" s="1251" t="s">
        <v>5083</v>
      </c>
      <c r="K6" s="1418" t="s">
        <v>4388</v>
      </c>
      <c r="L6" s="564" t="s">
        <v>1724</v>
      </c>
      <c r="M6" s="564"/>
      <c r="N6" s="564"/>
      <c r="O6" s="564"/>
      <c r="P6" s="564"/>
      <c r="Q6" s="564"/>
      <c r="R6" s="564"/>
      <c r="S6" s="564"/>
    </row>
    <row r="7" spans="1:20" ht="18" customHeight="1">
      <c r="A7" s="2929" t="s">
        <v>5230</v>
      </c>
      <c r="B7" s="2929"/>
      <c r="C7" s="3653"/>
      <c r="D7" s="3653"/>
      <c r="E7" s="3356">
        <f>SUM(E8:F14)</f>
        <v>0</v>
      </c>
      <c r="F7" s="3356"/>
      <c r="G7" s="3356">
        <f>E7-J7</f>
        <v>0</v>
      </c>
      <c r="H7" s="3356"/>
      <c r="I7" s="3356"/>
      <c r="J7" s="1419">
        <f>SUM(J8:J14)</f>
        <v>0</v>
      </c>
      <c r="K7" s="1177"/>
      <c r="L7" s="564"/>
      <c r="M7" s="564"/>
      <c r="N7" s="564"/>
      <c r="O7" s="564"/>
      <c r="P7" s="564"/>
      <c r="Q7" s="564"/>
      <c r="R7" s="564"/>
      <c r="S7" s="564"/>
    </row>
    <row r="8" spans="1:20" ht="18" customHeight="1">
      <c r="A8" s="3658"/>
      <c r="B8" s="3658"/>
      <c r="C8" s="3659"/>
      <c r="D8" s="3659"/>
      <c r="E8" s="3339"/>
      <c r="F8" s="3339"/>
      <c r="G8" s="3352">
        <f t="shared" ref="G8:G14" si="0">E8-J8</f>
        <v>0</v>
      </c>
      <c r="H8" s="3352"/>
      <c r="I8" s="3352"/>
      <c r="J8" s="638">
        <f t="shared" ref="J8:J14" si="1">E8</f>
        <v>0</v>
      </c>
      <c r="K8" s="1024"/>
      <c r="L8" s="3378" t="s">
        <v>5231</v>
      </c>
      <c r="M8" s="3378"/>
      <c r="N8" s="3378"/>
      <c r="O8" s="564"/>
      <c r="P8" s="564"/>
      <c r="Q8" s="564"/>
      <c r="R8" s="564"/>
      <c r="S8" s="564"/>
    </row>
    <row r="9" spans="1:20" ht="18" customHeight="1">
      <c r="A9" s="3658"/>
      <c r="B9" s="3658"/>
      <c r="C9" s="3659"/>
      <c r="D9" s="3659"/>
      <c r="E9" s="3339"/>
      <c r="F9" s="3339"/>
      <c r="G9" s="3352">
        <f t="shared" si="0"/>
        <v>0</v>
      </c>
      <c r="H9" s="3352"/>
      <c r="I9" s="3352"/>
      <c r="J9" s="638">
        <f t="shared" si="1"/>
        <v>0</v>
      </c>
      <c r="K9" s="1024"/>
      <c r="L9" s="564"/>
      <c r="M9" s="564"/>
      <c r="N9" s="564"/>
      <c r="O9" s="564"/>
      <c r="P9" s="564"/>
      <c r="Q9" s="564"/>
      <c r="R9" s="564"/>
      <c r="S9" s="564"/>
    </row>
    <row r="10" spans="1:20" ht="18" customHeight="1">
      <c r="A10" s="3658"/>
      <c r="B10" s="3658"/>
      <c r="C10" s="3659"/>
      <c r="D10" s="3659"/>
      <c r="E10" s="3661"/>
      <c r="F10" s="3661"/>
      <c r="G10" s="3352">
        <f t="shared" si="0"/>
        <v>0</v>
      </c>
      <c r="H10" s="3352"/>
      <c r="I10" s="3352"/>
      <c r="J10" s="638">
        <f t="shared" si="1"/>
        <v>0</v>
      </c>
      <c r="K10" s="1024"/>
      <c r="L10" s="3378" t="s">
        <v>5224</v>
      </c>
      <c r="M10" s="3378"/>
      <c r="N10" s="3378"/>
      <c r="O10" s="564"/>
      <c r="P10" s="564"/>
      <c r="Q10" s="564"/>
      <c r="R10" s="564"/>
      <c r="S10" s="564"/>
    </row>
    <row r="11" spans="1:20" ht="18" customHeight="1">
      <c r="A11" s="3658"/>
      <c r="B11" s="3658"/>
      <c r="C11" s="3659"/>
      <c r="D11" s="3659"/>
      <c r="E11" s="3339"/>
      <c r="F11" s="3339"/>
      <c r="G11" s="3352">
        <f t="shared" si="0"/>
        <v>0</v>
      </c>
      <c r="H11" s="3352"/>
      <c r="I11" s="3352"/>
      <c r="J11" s="638">
        <f t="shared" si="1"/>
        <v>0</v>
      </c>
      <c r="K11" s="1024"/>
      <c r="L11" s="564"/>
      <c r="M11" s="564"/>
      <c r="N11" s="564"/>
      <c r="O11" s="564"/>
      <c r="P11" s="564"/>
      <c r="Q11" s="564"/>
      <c r="R11" s="564"/>
      <c r="S11" s="564"/>
    </row>
    <row r="12" spans="1:20" ht="18" customHeight="1">
      <c r="A12" s="3658"/>
      <c r="B12" s="3658"/>
      <c r="C12" s="3659"/>
      <c r="D12" s="3659"/>
      <c r="E12" s="3339"/>
      <c r="F12" s="3339"/>
      <c r="G12" s="3352">
        <f t="shared" si="0"/>
        <v>0</v>
      </c>
      <c r="H12" s="3352"/>
      <c r="I12" s="3352"/>
      <c r="J12" s="638">
        <f t="shared" si="1"/>
        <v>0</v>
      </c>
      <c r="K12" s="1024"/>
      <c r="L12" s="3378" t="s">
        <v>4552</v>
      </c>
      <c r="M12" s="3378"/>
      <c r="N12" s="3378"/>
      <c r="O12" s="564"/>
      <c r="P12" s="564"/>
      <c r="Q12" s="564"/>
      <c r="R12" s="564"/>
      <c r="S12" s="564"/>
    </row>
    <row r="13" spans="1:20" ht="18" customHeight="1">
      <c r="A13" s="3658"/>
      <c r="B13" s="3658"/>
      <c r="C13" s="3659"/>
      <c r="D13" s="3659"/>
      <c r="E13" s="3339"/>
      <c r="F13" s="3339"/>
      <c r="G13" s="3352">
        <f t="shared" si="0"/>
        <v>0</v>
      </c>
      <c r="H13" s="3352"/>
      <c r="I13" s="3352"/>
      <c r="J13" s="638">
        <f t="shared" si="1"/>
        <v>0</v>
      </c>
      <c r="K13" s="1024"/>
      <c r="L13" s="564"/>
      <c r="M13" s="564"/>
      <c r="N13" s="564"/>
      <c r="O13" s="564"/>
      <c r="P13" s="564"/>
      <c r="Q13" s="564"/>
      <c r="R13" s="564"/>
      <c r="S13" s="564"/>
    </row>
    <row r="14" spans="1:20" ht="18" customHeight="1">
      <c r="A14" s="3660"/>
      <c r="B14" s="3660"/>
      <c r="C14" s="3655"/>
      <c r="D14" s="3655"/>
      <c r="E14" s="3650"/>
      <c r="F14" s="3650"/>
      <c r="G14" s="3340">
        <f t="shared" si="0"/>
        <v>0</v>
      </c>
      <c r="H14" s="3340"/>
      <c r="I14" s="3340"/>
      <c r="J14" s="642">
        <f t="shared" si="1"/>
        <v>0</v>
      </c>
      <c r="K14" s="1021"/>
      <c r="L14" s="3378" t="s">
        <v>4636</v>
      </c>
      <c r="M14" s="3378"/>
      <c r="N14" s="3378"/>
      <c r="O14" s="564"/>
      <c r="P14" s="564"/>
      <c r="Q14" s="564"/>
      <c r="R14" s="564"/>
      <c r="S14" s="564"/>
      <c r="T14" s="1420"/>
    </row>
    <row r="15" spans="1:20" ht="18" customHeight="1">
      <c r="A15" s="2929" t="s">
        <v>5232</v>
      </c>
      <c r="B15" s="2929"/>
      <c r="C15" s="3653"/>
      <c r="D15" s="3653"/>
      <c r="E15" s="3356">
        <f>SUM(E16:F19)</f>
        <v>0</v>
      </c>
      <c r="F15" s="3356"/>
      <c r="G15" s="3356">
        <f>SUM(G16:I19)</f>
        <v>0</v>
      </c>
      <c r="H15" s="3356"/>
      <c r="I15" s="3356"/>
      <c r="J15" s="1419">
        <f>SUM(J16:J19)</f>
        <v>0</v>
      </c>
      <c r="K15" s="1177"/>
      <c r="L15" s="564"/>
      <c r="M15" s="564"/>
      <c r="N15" s="564"/>
      <c r="O15" s="564"/>
      <c r="P15" s="564"/>
      <c r="Q15" s="564"/>
      <c r="R15" s="564"/>
      <c r="S15" s="564"/>
      <c r="T15" s="1420"/>
    </row>
    <row r="16" spans="1:20" ht="18" customHeight="1">
      <c r="A16" s="3658"/>
      <c r="B16" s="3658"/>
      <c r="C16" s="3659"/>
      <c r="D16" s="3659"/>
      <c r="E16" s="3339"/>
      <c r="F16" s="3339"/>
      <c r="G16" s="3352">
        <f>E16-J16</f>
        <v>0</v>
      </c>
      <c r="H16" s="3352"/>
      <c r="I16" s="3352"/>
      <c r="J16" s="1202">
        <f>E16</f>
        <v>0</v>
      </c>
      <c r="K16" s="1024"/>
      <c r="L16" s="704" t="s">
        <v>5045</v>
      </c>
      <c r="M16" s="564"/>
      <c r="N16" s="564"/>
      <c r="O16" s="564"/>
      <c r="P16" s="564"/>
      <c r="Q16" s="564"/>
      <c r="R16" s="564"/>
      <c r="S16" s="564"/>
      <c r="T16" s="1420"/>
    </row>
    <row r="17" spans="1:20" ht="18" customHeight="1">
      <c r="A17" s="3658"/>
      <c r="B17" s="3658"/>
      <c r="C17" s="3659"/>
      <c r="D17" s="3659"/>
      <c r="E17" s="3651"/>
      <c r="F17" s="3651"/>
      <c r="G17" s="3352">
        <f>E17-J17</f>
        <v>0</v>
      </c>
      <c r="H17" s="3352"/>
      <c r="I17" s="3352"/>
      <c r="J17" s="638">
        <f>E17</f>
        <v>0</v>
      </c>
      <c r="K17" s="1024"/>
      <c r="L17" s="564"/>
      <c r="M17" s="564"/>
      <c r="N17" s="564"/>
      <c r="O17" s="564"/>
      <c r="P17" s="564"/>
      <c r="Q17" s="564"/>
      <c r="R17" s="564"/>
      <c r="S17" s="564"/>
      <c r="T17" s="1420"/>
    </row>
    <row r="18" spans="1:20" ht="18" customHeight="1">
      <c r="A18" s="3658"/>
      <c r="B18" s="3658"/>
      <c r="C18" s="3659"/>
      <c r="D18" s="3659"/>
      <c r="E18" s="3651"/>
      <c r="F18" s="3651"/>
      <c r="G18" s="3352">
        <f>E18-J18</f>
        <v>0</v>
      </c>
      <c r="H18" s="3352"/>
      <c r="I18" s="3352"/>
      <c r="J18" s="638">
        <f>E18</f>
        <v>0</v>
      </c>
      <c r="K18" s="1024"/>
      <c r="L18" s="704" t="s">
        <v>5233</v>
      </c>
      <c r="M18" s="564"/>
      <c r="N18" s="564"/>
      <c r="O18" s="564"/>
      <c r="P18" s="564"/>
      <c r="Q18" s="564"/>
      <c r="R18" s="564"/>
      <c r="S18" s="564"/>
      <c r="T18" s="1420"/>
    </row>
    <row r="19" spans="1:20" ht="18" customHeight="1">
      <c r="A19" s="3660"/>
      <c r="B19" s="3660"/>
      <c r="C19" s="3655"/>
      <c r="D19" s="3655"/>
      <c r="E19" s="3656"/>
      <c r="F19" s="3656"/>
      <c r="G19" s="3340">
        <f>E19-J19</f>
        <v>0</v>
      </c>
      <c r="H19" s="3340"/>
      <c r="I19" s="3340"/>
      <c r="J19" s="642">
        <f>E19</f>
        <v>0</v>
      </c>
      <c r="K19" s="1021"/>
      <c r="L19" s="3640" t="s">
        <v>5234</v>
      </c>
      <c r="M19" s="3640"/>
      <c r="N19" s="3640"/>
      <c r="O19" s="3640"/>
      <c r="P19" s="3640"/>
      <c r="Q19" s="3640"/>
      <c r="R19" s="3640"/>
      <c r="S19" s="3640"/>
      <c r="T19" s="1420"/>
    </row>
    <row r="20" spans="1:20" ht="18" customHeight="1">
      <c r="A20" s="2929" t="s">
        <v>5042</v>
      </c>
      <c r="B20" s="2929"/>
      <c r="C20" s="3653"/>
      <c r="D20" s="3653"/>
      <c r="E20" s="3356">
        <f>E21</f>
        <v>0</v>
      </c>
      <c r="F20" s="3356"/>
      <c r="G20" s="3356">
        <f>E20-J20</f>
        <v>0</v>
      </c>
      <c r="H20" s="3356"/>
      <c r="I20" s="3356"/>
      <c r="J20" s="1419">
        <f>J21</f>
        <v>0</v>
      </c>
      <c r="K20" s="1177"/>
      <c r="L20" s="3640"/>
      <c r="M20" s="3640"/>
      <c r="N20" s="3640"/>
      <c r="O20" s="3640"/>
      <c r="P20" s="3640"/>
      <c r="Q20" s="3640"/>
      <c r="R20" s="3640"/>
      <c r="S20" s="3640"/>
      <c r="T20" s="1420"/>
    </row>
    <row r="21" spans="1:20" ht="18" customHeight="1">
      <c r="A21" s="3654"/>
      <c r="B21" s="3654"/>
      <c r="C21" s="3655"/>
      <c r="D21" s="3655"/>
      <c r="E21" s="3656"/>
      <c r="F21" s="3656"/>
      <c r="G21" s="3650"/>
      <c r="H21" s="3650"/>
      <c r="I21" s="3650"/>
      <c r="J21" s="642"/>
      <c r="K21" s="1021"/>
      <c r="L21" s="3640"/>
      <c r="M21" s="3640"/>
      <c r="N21" s="3640"/>
      <c r="O21" s="3640"/>
      <c r="P21" s="3640"/>
      <c r="Q21" s="3640"/>
      <c r="R21" s="3640"/>
      <c r="S21" s="3640"/>
      <c r="T21" s="1420"/>
    </row>
    <row r="22" spans="1:20" ht="18" customHeight="1">
      <c r="A22" s="3264" t="s">
        <v>5235</v>
      </c>
      <c r="B22" s="3264"/>
      <c r="C22" s="3264"/>
      <c r="D22" s="3264"/>
      <c r="E22" s="3356">
        <f>E7+E15+E20</f>
        <v>0</v>
      </c>
      <c r="F22" s="3356"/>
      <c r="G22" s="3356">
        <f>G7+G15+G20</f>
        <v>0</v>
      </c>
      <c r="H22" s="3356"/>
      <c r="I22" s="3356"/>
      <c r="J22" s="1419">
        <f>J7+J15+J20</f>
        <v>0</v>
      </c>
      <c r="K22" s="1177"/>
      <c r="L22" s="3640"/>
      <c r="M22" s="3640"/>
      <c r="N22" s="3640"/>
      <c r="O22" s="3640"/>
      <c r="P22" s="3640"/>
      <c r="Q22" s="3640"/>
      <c r="R22" s="3640"/>
      <c r="S22" s="3640"/>
      <c r="T22" s="1420"/>
    </row>
    <row r="23" spans="1:20" ht="18" customHeight="1">
      <c r="A23" s="3152" t="s">
        <v>5236</v>
      </c>
      <c r="B23" s="3152"/>
      <c r="C23" s="3152"/>
      <c r="D23" s="3152"/>
      <c r="E23" s="3651"/>
      <c r="F23" s="3651"/>
      <c r="G23" s="3352">
        <f>E23-J23</f>
        <v>0</v>
      </c>
      <c r="H23" s="3352"/>
      <c r="I23" s="3352"/>
      <c r="J23" s="1202"/>
      <c r="K23" s="1024"/>
      <c r="L23" s="3640"/>
      <c r="M23" s="3640"/>
      <c r="N23" s="3640"/>
      <c r="O23" s="3640"/>
      <c r="P23" s="3640"/>
      <c r="Q23" s="3640"/>
      <c r="R23" s="3640"/>
      <c r="S23" s="3640"/>
      <c r="T23" s="1420"/>
    </row>
    <row r="24" spans="1:20" ht="18" customHeight="1">
      <c r="A24" s="3652" t="s">
        <v>5237</v>
      </c>
      <c r="B24" s="3652"/>
      <c r="C24" s="3652"/>
      <c r="D24" s="3652"/>
      <c r="E24" s="3340">
        <f>E22-E23</f>
        <v>0</v>
      </c>
      <c r="F24" s="3340"/>
      <c r="G24" s="3340">
        <f>G22+G23</f>
        <v>0</v>
      </c>
      <c r="H24" s="3340"/>
      <c r="I24" s="3340"/>
      <c r="J24" s="648">
        <f>J22-J23</f>
        <v>0</v>
      </c>
      <c r="K24" s="1021"/>
      <c r="L24" s="3640"/>
      <c r="M24" s="3640"/>
      <c r="N24" s="3640"/>
      <c r="O24" s="3640"/>
      <c r="P24" s="3640"/>
      <c r="Q24" s="3640"/>
      <c r="R24" s="3640"/>
      <c r="S24" s="3640"/>
    </row>
    <row r="25" spans="1:20" s="615" customFormat="1" ht="19.5" customHeight="1">
      <c r="A25" s="3657" t="s">
        <v>5238</v>
      </c>
      <c r="B25" s="3657"/>
      <c r="C25" s="3657"/>
      <c r="D25" s="3657"/>
      <c r="E25" s="3657"/>
      <c r="F25" s="3657"/>
      <c r="G25" s="3657"/>
      <c r="H25" s="3657"/>
      <c r="I25" s="3657"/>
      <c r="J25" s="3657"/>
      <c r="K25" s="1421"/>
      <c r="L25" s="3640"/>
      <c r="M25" s="3640"/>
      <c r="N25" s="3640"/>
      <c r="O25" s="3640"/>
      <c r="P25" s="3640"/>
      <c r="Q25" s="3640"/>
      <c r="R25" s="3640"/>
      <c r="S25" s="3640"/>
    </row>
    <row r="26" spans="1:20" s="615" customFormat="1" ht="18" customHeight="1">
      <c r="A26" s="3375" t="s">
        <v>5131</v>
      </c>
      <c r="B26" s="3375"/>
      <c r="C26" s="616" t="s">
        <v>5132</v>
      </c>
      <c r="D26" s="616" t="s">
        <v>5133</v>
      </c>
      <c r="E26" s="2660" t="s">
        <v>345</v>
      </c>
      <c r="F26" s="2660"/>
      <c r="G26" s="2660" t="s">
        <v>5134</v>
      </c>
      <c r="H26" s="2660"/>
      <c r="I26" s="2660"/>
      <c r="J26" s="616" t="s">
        <v>757</v>
      </c>
      <c r="K26" s="1422"/>
      <c r="L26" s="3640"/>
      <c r="M26" s="3640"/>
      <c r="N26" s="3640"/>
      <c r="O26" s="3640"/>
      <c r="P26" s="3640"/>
      <c r="Q26" s="3640"/>
      <c r="R26" s="3640"/>
      <c r="S26" s="3640"/>
    </row>
    <row r="27" spans="1:20" s="615" customFormat="1" ht="18" customHeight="1">
      <c r="A27" s="3367" t="s">
        <v>4378</v>
      </c>
      <c r="B27" s="3367"/>
      <c r="C27" s="1207"/>
      <c r="D27" s="1403">
        <f>销售费用!$H$11</f>
        <v>0</v>
      </c>
      <c r="E27" s="3649">
        <f>管理费用!$H$11</f>
        <v>0</v>
      </c>
      <c r="F27" s="3649"/>
      <c r="G27" s="3650"/>
      <c r="H27" s="3650"/>
      <c r="I27" s="3650"/>
      <c r="J27" s="1423">
        <f>SUM(C27:I27)</f>
        <v>0</v>
      </c>
      <c r="K27" s="1424"/>
      <c r="L27" s="3638" t="s">
        <v>5239</v>
      </c>
      <c r="M27" s="3638"/>
      <c r="N27" s="3638"/>
      <c r="O27" s="3638"/>
      <c r="P27" s="3638"/>
      <c r="Q27" s="3638"/>
      <c r="R27" s="3638"/>
      <c r="S27" s="3638"/>
    </row>
    <row r="28" spans="1:20" s="615" customFormat="1" ht="20.25" customHeight="1">
      <c r="A28" s="2917" t="s">
        <v>4430</v>
      </c>
      <c r="B28" s="2917"/>
      <c r="C28" s="2917"/>
      <c r="D28" s="3353" t="str">
        <f>IF(J27&lt;&gt;E22,"原始凭证检查金额与账载数不符，请检查！","原始凭证检查金额与账载数相符！")</f>
        <v>原始凭证检查金额与账载数相符！</v>
      </c>
      <c r="E28" s="3353"/>
      <c r="F28" s="3353"/>
      <c r="G28" s="3353"/>
      <c r="H28" s="3353"/>
      <c r="I28" s="3353"/>
      <c r="J28" s="3353"/>
      <c r="K28" s="1425"/>
      <c r="L28" s="3638"/>
      <c r="M28" s="3638"/>
      <c r="N28" s="3638"/>
      <c r="O28" s="3638"/>
      <c r="P28" s="3638"/>
      <c r="Q28" s="3638"/>
      <c r="R28" s="3638"/>
      <c r="S28" s="3638"/>
    </row>
    <row r="29" spans="1:20" ht="18" customHeight="1">
      <c r="A29" s="3639" t="s">
        <v>5240</v>
      </c>
      <c r="B29" s="3639"/>
      <c r="C29" s="3639"/>
      <c r="D29" s="3639"/>
      <c r="E29" s="3639"/>
      <c r="F29" s="3639"/>
      <c r="G29" s="3639"/>
      <c r="H29" s="3639"/>
      <c r="I29" s="3639"/>
      <c r="J29" s="1426">
        <f>招待!J20</f>
        <v>0</v>
      </c>
      <c r="K29" s="1177"/>
      <c r="L29" s="3640" t="s">
        <v>5241</v>
      </c>
      <c r="M29" s="3640"/>
      <c r="N29" s="3640"/>
      <c r="O29" s="3640"/>
      <c r="P29" s="3640"/>
      <c r="Q29" s="3640"/>
      <c r="R29" s="3640"/>
      <c r="S29" s="3640"/>
    </row>
    <row r="30" spans="1:20" ht="18" customHeight="1">
      <c r="A30" s="3641" t="s">
        <v>5242</v>
      </c>
      <c r="B30" s="3642"/>
      <c r="C30" s="3643"/>
      <c r="D30" s="1427" t="s">
        <v>5243</v>
      </c>
      <c r="E30" s="1428">
        <v>0.15</v>
      </c>
      <c r="F30" s="3634" t="s">
        <v>5244</v>
      </c>
      <c r="G30" s="3634"/>
      <c r="H30" s="3634"/>
      <c r="I30" s="3634"/>
      <c r="J30" s="721">
        <f>ROUND(J29*E30,2)</f>
        <v>0</v>
      </c>
      <c r="K30" s="1024"/>
      <c r="L30" s="3640"/>
      <c r="M30" s="3640"/>
      <c r="N30" s="3640"/>
      <c r="O30" s="3640"/>
      <c r="P30" s="3640"/>
      <c r="Q30" s="3640"/>
      <c r="R30" s="3640"/>
      <c r="S30" s="3640"/>
    </row>
    <row r="31" spans="1:20" ht="18" customHeight="1">
      <c r="A31" s="3644"/>
      <c r="B31" s="3566"/>
      <c r="C31" s="3393"/>
      <c r="D31" s="3634" t="s">
        <v>546</v>
      </c>
      <c r="E31" s="3634"/>
      <c r="F31" s="3634"/>
      <c r="G31" s="3634"/>
      <c r="H31" s="3634"/>
      <c r="I31" s="3634"/>
      <c r="J31" s="721">
        <f>IF(J24&gt;J30,J22-J30,J23)</f>
        <v>0</v>
      </c>
      <c r="K31" s="722"/>
      <c r="L31" s="3336" t="s">
        <v>5245</v>
      </c>
      <c r="M31" s="3336"/>
      <c r="N31" s="3336"/>
      <c r="O31" s="3336"/>
      <c r="P31" s="3336"/>
      <c r="Q31" s="3336"/>
      <c r="R31" s="3336"/>
      <c r="S31" s="564"/>
    </row>
    <row r="32" spans="1:20" ht="18" customHeight="1">
      <c r="A32" s="3644"/>
      <c r="B32" s="3566"/>
      <c r="C32" s="3393"/>
      <c r="D32" s="3648" t="s">
        <v>5102</v>
      </c>
      <c r="E32" s="3648"/>
      <c r="F32" s="3648"/>
      <c r="G32" s="3648"/>
      <c r="H32" s="3648"/>
      <c r="I32" s="3648"/>
      <c r="J32" s="721">
        <f>IF(J24&gt;ROUND((J29+招待!J24)*E30,2),J22-ROUND((J29+招待!J24)*E30,2),J23)-J31</f>
        <v>0</v>
      </c>
      <c r="K32" s="722"/>
      <c r="L32" s="3336"/>
      <c r="M32" s="3336"/>
      <c r="N32" s="3336"/>
      <c r="O32" s="3336"/>
      <c r="P32" s="3336"/>
      <c r="Q32" s="3336"/>
      <c r="R32" s="3336"/>
      <c r="S32" s="564"/>
    </row>
    <row r="33" spans="1:19" ht="18" customHeight="1">
      <c r="A33" s="3644"/>
      <c r="B33" s="3566"/>
      <c r="C33" s="3393"/>
      <c r="D33" s="3634" t="s">
        <v>5246</v>
      </c>
      <c r="E33" s="3634"/>
      <c r="F33" s="3634"/>
      <c r="G33" s="3634"/>
      <c r="H33" s="3634"/>
      <c r="I33" s="3634"/>
      <c r="J33" s="1202"/>
      <c r="K33" s="1024"/>
      <c r="L33" s="3336"/>
      <c r="M33" s="3336"/>
      <c r="N33" s="3336"/>
      <c r="O33" s="3336"/>
      <c r="P33" s="3336"/>
      <c r="Q33" s="3336"/>
      <c r="R33" s="3336"/>
      <c r="S33" s="564"/>
    </row>
    <row r="34" spans="1:19" ht="18" customHeight="1">
      <c r="A34" s="3644"/>
      <c r="B34" s="3566"/>
      <c r="C34" s="3393"/>
      <c r="D34" s="3634" t="s">
        <v>5247</v>
      </c>
      <c r="E34" s="3634"/>
      <c r="F34" s="3634"/>
      <c r="G34" s="3634"/>
      <c r="H34" s="3634"/>
      <c r="I34" s="3634"/>
      <c r="J34" s="721">
        <f>IF(J33&gt;0,IF(J24&lt;ROUND((J29+招待!J24)*E30,2),MIN(J33,ROUND((J29+招待!J24)*E30,2)-J24),0),0)</f>
        <v>0</v>
      </c>
      <c r="K34" s="722"/>
      <c r="L34" s="3336"/>
      <c r="M34" s="3336"/>
      <c r="N34" s="3336"/>
      <c r="O34" s="3336"/>
      <c r="P34" s="3336"/>
      <c r="Q34" s="3336"/>
      <c r="R34" s="3336"/>
      <c r="S34" s="564"/>
    </row>
    <row r="35" spans="1:19" ht="18" customHeight="1">
      <c r="A35" s="3644"/>
      <c r="B35" s="3566"/>
      <c r="C35" s="3393"/>
      <c r="D35" s="3634" t="s">
        <v>5248</v>
      </c>
      <c r="E35" s="3634"/>
      <c r="F35" s="3634"/>
      <c r="G35" s="3634"/>
      <c r="H35" s="3634"/>
      <c r="I35" s="3634"/>
      <c r="J35" s="721">
        <f>J31+J32+J33-J34</f>
        <v>0</v>
      </c>
      <c r="K35" s="722"/>
      <c r="L35" s="3336"/>
      <c r="M35" s="3336"/>
      <c r="N35" s="3336"/>
      <c r="O35" s="3336"/>
      <c r="P35" s="3336"/>
      <c r="Q35" s="3336"/>
      <c r="R35" s="3336"/>
      <c r="S35" s="564"/>
    </row>
    <row r="36" spans="1:19" ht="18" customHeight="1">
      <c r="A36" s="3644"/>
      <c r="B36" s="3566"/>
      <c r="C36" s="3393"/>
      <c r="D36" s="3634" t="s">
        <v>5249</v>
      </c>
      <c r="E36" s="3634"/>
      <c r="F36" s="3634"/>
      <c r="G36" s="3634"/>
      <c r="H36" s="3634"/>
      <c r="I36" s="3634"/>
      <c r="J36" s="1429"/>
      <c r="K36" s="722"/>
      <c r="L36" s="3336"/>
      <c r="M36" s="3336"/>
      <c r="N36" s="3336"/>
      <c r="O36" s="3336"/>
      <c r="P36" s="3336"/>
      <c r="Q36" s="3336"/>
      <c r="R36" s="3336"/>
      <c r="S36" s="564"/>
    </row>
    <row r="37" spans="1:19" ht="18" customHeight="1">
      <c r="A37" s="3645"/>
      <c r="B37" s="3646"/>
      <c r="C37" s="3647"/>
      <c r="D37" s="3635" t="s">
        <v>5250</v>
      </c>
      <c r="E37" s="3636"/>
      <c r="F37" s="3636"/>
      <c r="G37" s="3636"/>
      <c r="H37" s="3636"/>
      <c r="I37" s="3637"/>
      <c r="J37" s="1429"/>
      <c r="K37" s="722"/>
      <c r="L37" s="3336"/>
      <c r="M37" s="3336"/>
      <c r="N37" s="3336"/>
      <c r="O37" s="3336"/>
      <c r="P37" s="3336"/>
      <c r="Q37" s="3336"/>
      <c r="R37" s="3336"/>
      <c r="S37" s="564"/>
    </row>
    <row r="38" spans="1:19" ht="15" customHeight="1">
      <c r="A38" s="3240" t="s">
        <v>4431</v>
      </c>
      <c r="B38" s="3240"/>
      <c r="C38" s="3240"/>
      <c r="D38" s="3365" t="s">
        <v>5251</v>
      </c>
      <c r="E38" s="3365"/>
      <c r="F38" s="3072" t="str">
        <f>IF(OR(J31+J32&gt;0,J34&gt;0),"、E","")</f>
        <v/>
      </c>
      <c r="G38" s="3072"/>
      <c r="H38" s="3072"/>
      <c r="I38" s="3072"/>
      <c r="J38" s="3072"/>
      <c r="K38" s="3072"/>
      <c r="L38" s="3336"/>
      <c r="M38" s="3336"/>
      <c r="N38" s="3336"/>
      <c r="O38" s="3336"/>
      <c r="P38" s="3336"/>
      <c r="Q38" s="3336"/>
      <c r="R38" s="3336"/>
      <c r="S38" s="564"/>
    </row>
    <row r="39" spans="1:19" ht="39.75" customHeight="1">
      <c r="A39" s="3240"/>
      <c r="B39" s="3240"/>
      <c r="C39" s="3240"/>
      <c r="D39" s="3442"/>
      <c r="E39" s="3442"/>
      <c r="F39" s="3442"/>
      <c r="G39" s="3442"/>
      <c r="H39" s="3442"/>
      <c r="I39" s="3442"/>
      <c r="J39" s="3442"/>
      <c r="K39" s="3442"/>
      <c r="L39" s="564"/>
      <c r="M39" s="576"/>
      <c r="N39" s="564"/>
      <c r="O39" s="564"/>
      <c r="P39" s="564"/>
      <c r="Q39" s="1430"/>
      <c r="R39" s="576"/>
      <c r="S39" s="564"/>
    </row>
    <row r="40" spans="1:19" ht="18.75" customHeight="1">
      <c r="A40" s="3361" t="s">
        <v>4433</v>
      </c>
      <c r="B40" s="3361"/>
      <c r="C40" s="3361"/>
      <c r="D40" s="3480" t="str">
        <f>IF(J31&lt;&gt;0,"实际列支广告费及业务宣传费大于税法允许列支的限额,应予纳税调整增加"&amp;DOLLAR(J31,2)&amp;"元！","不存在广告费及业务宣传费调增事项，认可！")</f>
        <v>不存在广告费及业务宣传费调增事项，认可！</v>
      </c>
      <c r="E40" s="3480"/>
      <c r="F40" s="3480"/>
      <c r="G40" s="3480"/>
      <c r="H40" s="3480"/>
      <c r="I40" s="3480"/>
      <c r="J40" s="3480"/>
      <c r="K40" s="3480"/>
      <c r="L40" s="564"/>
      <c r="M40" s="564"/>
      <c r="N40" s="564"/>
      <c r="O40" s="564"/>
      <c r="P40" s="564"/>
      <c r="Q40" s="564"/>
      <c r="R40" s="564"/>
      <c r="S40" s="564"/>
    </row>
    <row r="41" spans="1:19" ht="18.75" customHeight="1">
      <c r="A41" s="3361"/>
      <c r="B41" s="3361"/>
      <c r="C41" s="3361"/>
      <c r="D41" s="3633" t="str">
        <f>IF(J34&lt;&gt;0,"本年度扣除以前年度结转广告费及业务宣传费"&amp;DOLLAR(J34,2)&amp;"元！","")</f>
        <v/>
      </c>
      <c r="E41" s="3633"/>
      <c r="F41" s="3633"/>
      <c r="G41" s="3633"/>
      <c r="H41" s="3633"/>
      <c r="I41" s="3633"/>
      <c r="J41" s="3633"/>
      <c r="K41" s="3633"/>
      <c r="L41" s="564"/>
      <c r="M41" s="564"/>
      <c r="N41" s="564"/>
      <c r="O41" s="564"/>
      <c r="P41" s="564"/>
      <c r="Q41" s="564"/>
      <c r="R41" s="564"/>
      <c r="S41" s="564"/>
    </row>
    <row r="42" spans="1:19" ht="18.75" customHeight="1">
      <c r="A42" s="3361"/>
      <c r="B42" s="3361"/>
      <c r="C42" s="3361"/>
      <c r="D42" s="3481" t="str">
        <f>IF(J35&lt;&gt;0,"本年度可结转以后年度扣除的广告费及业务宣传费共计"&amp;DOLLAR(J35,2)&amp;"元！","")</f>
        <v/>
      </c>
      <c r="E42" s="3481"/>
      <c r="F42" s="3481"/>
      <c r="G42" s="3481"/>
      <c r="H42" s="3481"/>
      <c r="I42" s="3481"/>
      <c r="J42" s="3481"/>
      <c r="K42" s="3481"/>
      <c r="L42" s="564"/>
      <c r="M42" s="564"/>
      <c r="N42" s="564"/>
      <c r="O42" s="564"/>
      <c r="P42" s="564"/>
      <c r="Q42" s="564"/>
      <c r="R42" s="564"/>
      <c r="S42" s="564"/>
    </row>
    <row r="43" spans="1:19" ht="13.5" customHeight="1">
      <c r="A43" s="640"/>
      <c r="B43" s="640"/>
      <c r="C43" s="640"/>
      <c r="D43" s="640"/>
      <c r="E43" s="640"/>
      <c r="F43" s="640"/>
      <c r="G43" s="640"/>
      <c r="H43" s="640"/>
      <c r="I43" s="640"/>
      <c r="J43" s="640"/>
      <c r="K43" s="640"/>
    </row>
  </sheetData>
  <sheetProtection selectLockedCells="1" selectUnlockedCells="1"/>
  <mergeCells count="118">
    <mergeCell ref="I1:K1"/>
    <mergeCell ref="I2:K2"/>
    <mergeCell ref="C3:E3"/>
    <mergeCell ref="C4:E4"/>
    <mergeCell ref="A1:H2"/>
    <mergeCell ref="A7:B7"/>
    <mergeCell ref="C7:D7"/>
    <mergeCell ref="E7:F7"/>
    <mergeCell ref="G7:I7"/>
    <mergeCell ref="A3:B3"/>
    <mergeCell ref="G3:I3"/>
    <mergeCell ref="A4:B4"/>
    <mergeCell ref="G4:I4"/>
    <mergeCell ref="A5:K5"/>
    <mergeCell ref="A6:B6"/>
    <mergeCell ref="C6:D6"/>
    <mergeCell ref="E6:F6"/>
    <mergeCell ref="G6:I6"/>
    <mergeCell ref="A8:B8"/>
    <mergeCell ref="C8:D8"/>
    <mergeCell ref="E8:F8"/>
    <mergeCell ref="G8:I8"/>
    <mergeCell ref="L8:N8"/>
    <mergeCell ref="A9:B9"/>
    <mergeCell ref="C9:D9"/>
    <mergeCell ref="E9:F9"/>
    <mergeCell ref="G9:I9"/>
    <mergeCell ref="A10:B10"/>
    <mergeCell ref="C10:D10"/>
    <mergeCell ref="E10:F10"/>
    <mergeCell ref="G10:I10"/>
    <mergeCell ref="L10:N10"/>
    <mergeCell ref="A11:B11"/>
    <mergeCell ref="C11:D11"/>
    <mergeCell ref="E11:F11"/>
    <mergeCell ref="G11:I11"/>
    <mergeCell ref="A12:B12"/>
    <mergeCell ref="C12:D12"/>
    <mergeCell ref="E12:F12"/>
    <mergeCell ref="G12:I12"/>
    <mergeCell ref="L12:N12"/>
    <mergeCell ref="A13:B13"/>
    <mergeCell ref="C13:D13"/>
    <mergeCell ref="E13:F13"/>
    <mergeCell ref="G13:I13"/>
    <mergeCell ref="A14:B14"/>
    <mergeCell ref="C14:D14"/>
    <mergeCell ref="E14:F14"/>
    <mergeCell ref="G14:I14"/>
    <mergeCell ref="L14:N14"/>
    <mergeCell ref="A15:B15"/>
    <mergeCell ref="C15:D15"/>
    <mergeCell ref="E15:F15"/>
    <mergeCell ref="G15:I15"/>
    <mergeCell ref="A18:B18"/>
    <mergeCell ref="C18:D18"/>
    <mergeCell ref="E18:F18"/>
    <mergeCell ref="G18:I18"/>
    <mergeCell ref="A19:B19"/>
    <mergeCell ref="C19:D19"/>
    <mergeCell ref="E19:F19"/>
    <mergeCell ref="G19:I19"/>
    <mergeCell ref="A16:B16"/>
    <mergeCell ref="C16:D16"/>
    <mergeCell ref="E16:F16"/>
    <mergeCell ref="G16:I16"/>
    <mergeCell ref="A17:B17"/>
    <mergeCell ref="C17:D17"/>
    <mergeCell ref="E17:F17"/>
    <mergeCell ref="G17:I17"/>
    <mergeCell ref="E22:F22"/>
    <mergeCell ref="G22:I22"/>
    <mergeCell ref="A23:D23"/>
    <mergeCell ref="E23:F23"/>
    <mergeCell ref="G23:I23"/>
    <mergeCell ref="A24:D24"/>
    <mergeCell ref="E24:F24"/>
    <mergeCell ref="G24:I24"/>
    <mergeCell ref="L19:S26"/>
    <mergeCell ref="A20:B20"/>
    <mergeCell ref="C20:D20"/>
    <mergeCell ref="E20:F20"/>
    <mergeCell ref="G20:I20"/>
    <mergeCell ref="A21:B21"/>
    <mergeCell ref="C21:D21"/>
    <mergeCell ref="E21:F21"/>
    <mergeCell ref="G21:I21"/>
    <mergeCell ref="A22:D22"/>
    <mergeCell ref="A25:J25"/>
    <mergeCell ref="A26:B26"/>
    <mergeCell ref="E26:F26"/>
    <mergeCell ref="G26:I26"/>
    <mergeCell ref="L27:S28"/>
    <mergeCell ref="A28:C28"/>
    <mergeCell ref="D28:J28"/>
    <mergeCell ref="A29:I29"/>
    <mergeCell ref="L29:S30"/>
    <mergeCell ref="A30:C37"/>
    <mergeCell ref="F30:I30"/>
    <mergeCell ref="D31:I31"/>
    <mergeCell ref="L31:R38"/>
    <mergeCell ref="D32:I32"/>
    <mergeCell ref="A27:B27"/>
    <mergeCell ref="E27:F27"/>
    <mergeCell ref="G27:I27"/>
    <mergeCell ref="A40:C42"/>
    <mergeCell ref="D40:K40"/>
    <mergeCell ref="D41:K41"/>
    <mergeCell ref="D42:K42"/>
    <mergeCell ref="D33:I33"/>
    <mergeCell ref="D34:I34"/>
    <mergeCell ref="D35:I35"/>
    <mergeCell ref="D36:I36"/>
    <mergeCell ref="D37:I37"/>
    <mergeCell ref="A38:C39"/>
    <mergeCell ref="D38:E38"/>
    <mergeCell ref="F38:K38"/>
    <mergeCell ref="D39:K39"/>
  </mergeCells>
  <phoneticPr fontId="135" type="noConversion"/>
  <dataValidations count="3">
    <dataValidation type="list" allowBlank="1" showErrorMessage="1" sqref="E30">
      <formula1>"15%,30%"</formula1>
      <formula2>0</formula2>
    </dataValidation>
    <dataValidation allowBlank="1" showErrorMessage="1" promptTitle="存在调整事项时" prompt="_x000a_选择 “E”" sqref="F38:K38">
      <formula1>0</formula1>
      <formula2>0</formula2>
    </dataValidation>
    <dataValidation allowBlank="1" showErrorMessage="1" sqref="G3:I3 D40">
      <formula1>0</formula1>
      <formula2>0</formula2>
    </dataValidation>
  </dataValidations>
  <hyperlinks>
    <hyperlink ref="L16" location="凭证检查!A1" display="凭证检查!A1"/>
    <hyperlink ref="L18" location="招待!J20" display="招待!J20"/>
    <hyperlink ref="L14" location="营业费用!A1" display="营业费用审核表"/>
    <hyperlink ref="L12" location="管理费用!A1" display="管理费用审核表"/>
    <hyperlink ref="L10" location="纳税调整明细表!A1" display="纳税调整明细表!A1"/>
    <hyperlink ref="L8" location="广告费纳税调整表!A1" display="广告费纳税调整表!A1"/>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7"/>
  <dimension ref="A1:N147"/>
  <sheetViews>
    <sheetView workbookViewId="0">
      <selection activeCell="H3" sqref="H3"/>
    </sheetView>
  </sheetViews>
  <sheetFormatPr defaultColWidth="9" defaultRowHeight="21.95" customHeight="1"/>
  <cols>
    <col min="1" max="1" width="5.5" style="622" customWidth="1"/>
    <col min="2" max="2" width="23.5" style="622" customWidth="1"/>
    <col min="3" max="4" width="12.5" style="622" customWidth="1"/>
    <col min="5" max="5" width="8" style="622" customWidth="1"/>
    <col min="6" max="8" width="12.875" style="622" customWidth="1"/>
    <col min="9" max="10" width="12.5" style="622" customWidth="1"/>
    <col min="11" max="11" width="52.5" style="621" customWidth="1"/>
    <col min="12" max="16384" width="9" style="621"/>
  </cols>
  <sheetData>
    <row r="1" spans="1:14" ht="25.9" customHeight="1">
      <c r="A1" s="3565" t="s">
        <v>4634</v>
      </c>
      <c r="B1" s="3565"/>
      <c r="C1" s="3565"/>
      <c r="D1" s="3565"/>
      <c r="E1" s="3565"/>
      <c r="F1" s="3565"/>
      <c r="G1" s="3565"/>
      <c r="H1" s="2754" t="str">
        <f>基本情况!$F$10</f>
        <v>厦中汇税审（2018）第DS0001号</v>
      </c>
      <c r="I1" s="2754"/>
      <c r="J1" s="2754"/>
      <c r="K1" s="691"/>
      <c r="L1" s="691"/>
      <c r="M1" s="691"/>
      <c r="N1" s="691"/>
    </row>
    <row r="2" spans="1:14" ht="37.15" customHeight="1">
      <c r="A2" s="3678"/>
      <c r="B2" s="3678"/>
      <c r="C2" s="3678"/>
      <c r="D2" s="3678"/>
      <c r="E2" s="3678"/>
      <c r="F2" s="3678"/>
      <c r="G2" s="3678"/>
      <c r="H2" s="3023" t="str">
        <f>"底稿编号："&amp;开始!L12</f>
        <v>底稿编号：AD-10</v>
      </c>
      <c r="I2" s="3023"/>
      <c r="J2" s="3595"/>
      <c r="K2" s="691"/>
      <c r="L2" s="691"/>
      <c r="M2" s="691"/>
      <c r="N2" s="691"/>
    </row>
    <row r="3" spans="1:14" s="622" customFormat="1" ht="17.25" customHeight="1">
      <c r="A3" s="3408" t="str">
        <f>"委托单位："&amp;基本情况!$C$3</f>
        <v>委托单位：</v>
      </c>
      <c r="B3" s="3408"/>
      <c r="C3" s="3408"/>
      <c r="D3" s="3408"/>
      <c r="E3" s="3408"/>
      <c r="F3" s="3408"/>
      <c r="G3" s="571"/>
      <c r="H3" s="571" t="s">
        <v>4472</v>
      </c>
      <c r="I3" s="571" t="s">
        <v>4473</v>
      </c>
      <c r="J3" s="614" t="s">
        <v>4409</v>
      </c>
      <c r="K3" s="653"/>
      <c r="L3" s="653"/>
      <c r="M3" s="653"/>
      <c r="N3" s="653"/>
    </row>
    <row r="4" spans="1:14" s="622" customFormat="1" ht="17.25" customHeight="1">
      <c r="A4" s="3408"/>
      <c r="B4" s="3408"/>
      <c r="C4" s="3408"/>
      <c r="D4" s="3408"/>
      <c r="E4" s="3408"/>
      <c r="F4" s="3408"/>
      <c r="G4" s="616" t="s">
        <v>4407</v>
      </c>
      <c r="H4" s="617" t="str">
        <f>基本情况!$F$19&amp;""</f>
        <v/>
      </c>
      <c r="I4" s="618" t="str">
        <f>TEXT(基本情况!$F$27,"yyyy-mm-dd")</f>
        <v>2018-03-16</v>
      </c>
      <c r="J4" s="3683"/>
      <c r="K4" s="653"/>
      <c r="L4" s="653"/>
      <c r="M4" s="653"/>
      <c r="N4" s="653"/>
    </row>
    <row r="5" spans="1:14" s="622" customFormat="1" ht="17.25" customHeight="1">
      <c r="A5" s="3436" t="str">
        <f>"会计期间:"&amp;基本情况!$F$9</f>
        <v>会计期间:2017年01月01日至2017年12月31日</v>
      </c>
      <c r="B5" s="3436"/>
      <c r="C5" s="3436"/>
      <c r="D5" s="3436"/>
      <c r="E5" s="3436"/>
      <c r="F5" s="3436"/>
      <c r="G5" s="566" t="s">
        <v>4410</v>
      </c>
      <c r="H5" s="567" t="str">
        <f>基本情况!$F$18&amp;""</f>
        <v/>
      </c>
      <c r="I5" s="567" t="str">
        <f>TEXT(基本情况!$F$28,"yyyy-mm-dd")</f>
        <v>2018-05-04</v>
      </c>
      <c r="J5" s="3683"/>
      <c r="K5" s="653"/>
      <c r="L5" s="653"/>
      <c r="M5" s="653"/>
      <c r="N5" s="653"/>
    </row>
    <row r="6" spans="1:14" s="622" customFormat="1" ht="7.5" customHeight="1">
      <c r="A6" s="2661"/>
      <c r="B6" s="2661"/>
      <c r="C6" s="2661"/>
      <c r="D6" s="2661"/>
      <c r="E6" s="2661"/>
      <c r="F6" s="2661"/>
      <c r="G6" s="2661"/>
      <c r="H6" s="2661"/>
      <c r="I6" s="2661"/>
      <c r="J6" s="2661"/>
      <c r="K6" s="653"/>
      <c r="L6" s="653"/>
      <c r="M6" s="653"/>
      <c r="N6" s="653"/>
    </row>
    <row r="7" spans="1:14" s="622" customFormat="1" ht="57" customHeight="1">
      <c r="A7" s="713" t="s">
        <v>5252</v>
      </c>
      <c r="B7" s="1431" t="s">
        <v>5253</v>
      </c>
      <c r="C7" s="1431" t="s">
        <v>5254</v>
      </c>
      <c r="D7" s="1431" t="s">
        <v>5255</v>
      </c>
      <c r="E7" s="1431" t="s">
        <v>5256</v>
      </c>
      <c r="F7" s="1431" t="s">
        <v>5257</v>
      </c>
      <c r="G7" s="1431" t="s">
        <v>5258</v>
      </c>
      <c r="H7" s="1431" t="s">
        <v>5259</v>
      </c>
      <c r="I7" s="1431" t="s">
        <v>5260</v>
      </c>
      <c r="J7" s="1254" t="s">
        <v>5261</v>
      </c>
      <c r="K7" s="564" t="s">
        <v>1724</v>
      </c>
      <c r="L7" s="653"/>
      <c r="M7" s="653"/>
      <c r="N7" s="653"/>
    </row>
    <row r="8" spans="1:14" s="622" customFormat="1" ht="17.25" customHeight="1">
      <c r="A8" s="1259"/>
      <c r="B8" s="1432"/>
      <c r="C8" s="1433"/>
      <c r="D8" s="1433"/>
      <c r="E8" s="1434"/>
      <c r="F8" s="1434"/>
      <c r="G8" s="1435"/>
      <c r="H8" s="1434"/>
      <c r="I8" s="1433"/>
      <c r="J8" s="1436">
        <f>IF(AND(E8="是",F8="是",H8="是"),I8,0)</f>
        <v>0</v>
      </c>
      <c r="K8" s="570" t="s">
        <v>5262</v>
      </c>
      <c r="L8" s="691"/>
      <c r="M8" s="653"/>
      <c r="N8" s="653"/>
    </row>
    <row r="9" spans="1:14" s="622" customFormat="1" ht="17.25" customHeight="1">
      <c r="A9" s="1259"/>
      <c r="B9" s="1432"/>
      <c r="C9" s="1433"/>
      <c r="D9" s="1433"/>
      <c r="E9" s="1434"/>
      <c r="F9" s="1434"/>
      <c r="G9" s="1435"/>
      <c r="H9" s="1434"/>
      <c r="I9" s="1433"/>
      <c r="J9" s="1436">
        <f t="shared" ref="J9:J15" si="0">IF(AND(E9="是",F9="是",H9="是"),I9,0)</f>
        <v>0</v>
      </c>
      <c r="K9" s="704" t="s">
        <v>4552</v>
      </c>
      <c r="L9" s="691"/>
      <c r="M9" s="653"/>
      <c r="N9" s="653"/>
    </row>
    <row r="10" spans="1:14" s="622" customFormat="1" ht="17.25" customHeight="1">
      <c r="A10" s="1259"/>
      <c r="B10" s="1432"/>
      <c r="C10" s="1433"/>
      <c r="D10" s="1433"/>
      <c r="E10" s="1434"/>
      <c r="F10" s="1434"/>
      <c r="G10" s="1435"/>
      <c r="H10" s="1434"/>
      <c r="I10" s="1433"/>
      <c r="J10" s="1436">
        <f t="shared" si="0"/>
        <v>0</v>
      </c>
      <c r="K10" s="570" t="s">
        <v>5263</v>
      </c>
      <c r="L10" s="691"/>
      <c r="M10" s="653"/>
      <c r="N10" s="653"/>
    </row>
    <row r="11" spans="1:14" s="622" customFormat="1" ht="17.25" customHeight="1">
      <c r="A11" s="1259"/>
      <c r="B11" s="1432"/>
      <c r="C11" s="1433"/>
      <c r="D11" s="1433"/>
      <c r="E11" s="1434"/>
      <c r="F11" s="1434"/>
      <c r="G11" s="1435"/>
      <c r="H11" s="1434"/>
      <c r="I11" s="1433"/>
      <c r="J11" s="1436">
        <f t="shared" si="0"/>
        <v>0</v>
      </c>
      <c r="K11" s="704" t="s">
        <v>4636</v>
      </c>
      <c r="L11" s="691"/>
      <c r="M11" s="653"/>
      <c r="N11" s="653"/>
    </row>
    <row r="12" spans="1:14" s="622" customFormat="1" ht="17.25" customHeight="1">
      <c r="A12" s="1259"/>
      <c r="B12" s="1432"/>
      <c r="C12" s="1433"/>
      <c r="D12" s="1433"/>
      <c r="E12" s="1434"/>
      <c r="F12" s="1434"/>
      <c r="G12" s="1435"/>
      <c r="H12" s="1434"/>
      <c r="I12" s="1433"/>
      <c r="J12" s="1436">
        <f t="shared" si="0"/>
        <v>0</v>
      </c>
      <c r="K12" s="704" t="s">
        <v>5045</v>
      </c>
      <c r="L12" s="653"/>
      <c r="M12" s="653"/>
      <c r="N12" s="653"/>
    </row>
    <row r="13" spans="1:14" s="622" customFormat="1" ht="17.25" customHeight="1">
      <c r="A13" s="1259"/>
      <c r="B13" s="1432"/>
      <c r="C13" s="1433"/>
      <c r="D13" s="1433"/>
      <c r="E13" s="1434"/>
      <c r="F13" s="1434"/>
      <c r="G13" s="1435"/>
      <c r="H13" s="1434"/>
      <c r="I13" s="1433"/>
      <c r="J13" s="1436">
        <f t="shared" si="0"/>
        <v>0</v>
      </c>
      <c r="K13" s="653"/>
      <c r="L13" s="653"/>
      <c r="M13" s="653"/>
      <c r="N13" s="653"/>
    </row>
    <row r="14" spans="1:14" s="622" customFormat="1" ht="17.25" customHeight="1">
      <c r="A14" s="1259"/>
      <c r="B14" s="1432"/>
      <c r="C14" s="1433"/>
      <c r="D14" s="1433"/>
      <c r="E14" s="1434"/>
      <c r="F14" s="1434"/>
      <c r="G14" s="1435"/>
      <c r="H14" s="1434"/>
      <c r="I14" s="1433"/>
      <c r="J14" s="1436">
        <f t="shared" si="0"/>
        <v>0</v>
      </c>
      <c r="K14" s="653"/>
      <c r="L14" s="653"/>
      <c r="M14" s="653"/>
      <c r="N14" s="653"/>
    </row>
    <row r="15" spans="1:14" s="622" customFormat="1" ht="17.25" customHeight="1">
      <c r="A15" s="1261"/>
      <c r="B15" s="1437"/>
      <c r="C15" s="1438"/>
      <c r="D15" s="1438"/>
      <c r="E15" s="1439"/>
      <c r="F15" s="1439"/>
      <c r="G15" s="1440"/>
      <c r="H15" s="1439"/>
      <c r="I15" s="1438"/>
      <c r="J15" s="1441">
        <f t="shared" si="0"/>
        <v>0</v>
      </c>
      <c r="K15" s="3336" t="s">
        <v>5264</v>
      </c>
      <c r="L15" s="3336"/>
      <c r="M15" s="3336"/>
      <c r="N15" s="653"/>
    </row>
    <row r="16" spans="1:14" s="622" customFormat="1" ht="20.25" customHeight="1">
      <c r="A16" s="2917" t="s">
        <v>757</v>
      </c>
      <c r="B16" s="2917"/>
      <c r="C16" s="1265">
        <f>SUM(C8:C15)</f>
        <v>0</v>
      </c>
      <c r="D16" s="1265">
        <f>SUM(D8:D15)</f>
        <v>0</v>
      </c>
      <c r="E16" s="1442"/>
      <c r="F16" s="1442"/>
      <c r="G16" s="1442"/>
      <c r="H16" s="1442"/>
      <c r="I16" s="1265">
        <f>SUM(I8:I15)</f>
        <v>0</v>
      </c>
      <c r="J16" s="1266">
        <f>SUM(J8:J15)</f>
        <v>0</v>
      </c>
      <c r="K16" s="3336"/>
      <c r="L16" s="3336"/>
      <c r="M16" s="3336"/>
      <c r="N16" s="653"/>
    </row>
    <row r="17" spans="1:14" s="622" customFormat="1" ht="20.25" customHeight="1">
      <c r="A17" s="3677" t="s">
        <v>5265</v>
      </c>
      <c r="B17" s="3677"/>
      <c r="C17" s="3677"/>
      <c r="D17" s="3430" t="s">
        <v>345</v>
      </c>
      <c r="E17" s="3430"/>
      <c r="F17" s="571" t="s">
        <v>6531</v>
      </c>
      <c r="G17" s="571" t="s">
        <v>5132</v>
      </c>
      <c r="H17" s="571" t="s">
        <v>4351</v>
      </c>
      <c r="I17" s="571" t="s">
        <v>5134</v>
      </c>
      <c r="J17" s="614" t="s">
        <v>757</v>
      </c>
      <c r="K17" s="3336"/>
      <c r="L17" s="3336"/>
      <c r="M17" s="3336"/>
      <c r="N17" s="653"/>
    </row>
    <row r="18" spans="1:14" s="622" customFormat="1" ht="20.25" customHeight="1">
      <c r="A18" s="3677"/>
      <c r="B18" s="3677"/>
      <c r="C18" s="3677"/>
      <c r="D18" s="3682">
        <f>管理费用!H12</f>
        <v>0</v>
      </c>
      <c r="E18" s="3682"/>
      <c r="F18" s="1403">
        <f>销售费用!H12</f>
        <v>0</v>
      </c>
      <c r="G18" s="1207"/>
      <c r="H18" s="1403">
        <f>营外收支!E27</f>
        <v>0</v>
      </c>
      <c r="I18" s="1438"/>
      <c r="J18" s="1404">
        <f>SUM(D18:I18)</f>
        <v>0</v>
      </c>
      <c r="K18" s="3336"/>
      <c r="L18" s="3336"/>
      <c r="M18" s="3336"/>
      <c r="N18" s="653"/>
    </row>
    <row r="19" spans="1:14" s="692" customFormat="1" ht="20.25" customHeight="1">
      <c r="A19" s="2917" t="s">
        <v>4430</v>
      </c>
      <c r="B19" s="2917"/>
      <c r="C19" s="2917"/>
      <c r="D19" s="3102" t="str">
        <f>IF(J18&lt;&gt;C16+D16+J16,"原始凭证检查金额与账载数不符，请检查！","原始凭证检查金额与账载数相符！")</f>
        <v>原始凭证检查金额与账载数相符！</v>
      </c>
      <c r="E19" s="3102"/>
      <c r="F19" s="3102"/>
      <c r="G19" s="3102"/>
      <c r="H19" s="3102"/>
      <c r="I19" s="3102"/>
      <c r="J19" s="3102"/>
      <c r="K19" s="3336"/>
      <c r="L19" s="3336"/>
      <c r="M19" s="3336"/>
      <c r="N19" s="716"/>
    </row>
    <row r="20" spans="1:14" s="692" customFormat="1" ht="20.25" customHeight="1">
      <c r="A20" s="3665" t="s">
        <v>5266</v>
      </c>
      <c r="B20" s="3665"/>
      <c r="C20" s="3665"/>
      <c r="D20" s="3666">
        <f>'A100000 中华人民共和国企业所得税年度纳税申报表（A类）'!D16</f>
        <v>0</v>
      </c>
      <c r="E20" s="3666"/>
      <c r="F20" s="3666"/>
      <c r="G20" s="2130" t="s">
        <v>5244</v>
      </c>
      <c r="H20" s="2129">
        <f>MAX(0,ROUND(D20*0.12,2))</f>
        <v>0</v>
      </c>
      <c r="I20" s="2140" t="s">
        <v>5267</v>
      </c>
      <c r="J20" s="2141">
        <f>MAX(J16-MAX(0,H20-C22-E22-H22),0)</f>
        <v>0</v>
      </c>
      <c r="K20" s="3336"/>
      <c r="L20" s="3336"/>
      <c r="M20" s="3336"/>
      <c r="N20" s="716"/>
    </row>
    <row r="21" spans="1:14" s="692" customFormat="1" ht="21" customHeight="1">
      <c r="A21" s="3681" t="s">
        <v>6367</v>
      </c>
      <c r="B21" s="3681"/>
      <c r="C21" s="3679" t="str">
        <f>"前一年度（"&amp;基本情况!$F$6-1&amp;"年）"</f>
        <v>前一年度（2016年）</v>
      </c>
      <c r="D21" s="3679" t="str">
        <f>"前一年度（"&amp;基本情况!$F$6-1&amp;"年）"</f>
        <v>前一年度（2016年）</v>
      </c>
      <c r="E21" s="3679" t="str">
        <f>"前二年度（"&amp;基本情况!$F$6-2&amp;"年）"</f>
        <v>前二年度（2015年）</v>
      </c>
      <c r="F21" s="3679" t="str">
        <f>"前二年度（"&amp;基本情况!$F$6-2&amp;"年）"</f>
        <v>前二年度（2015年）</v>
      </c>
      <c r="G21" s="3679" t="str">
        <f>"前二年度（"&amp;基本情况!$F$6-2&amp;"年）"</f>
        <v>前二年度（2015年）</v>
      </c>
      <c r="H21" s="3679" t="str">
        <f>"前三年度（"&amp;基本情况!$F$6-3&amp;"年）"</f>
        <v>前三年度（2014年）</v>
      </c>
      <c r="I21" s="3679" t="str">
        <f>"前三年度（"&amp;基本情况!$F$6-3&amp;"年）"</f>
        <v>前三年度（2014年）</v>
      </c>
      <c r="J21" s="3679" t="str">
        <f>"前三年度（"&amp;基本情况!$F$6-3&amp;"年）"</f>
        <v>前三年度（2014年）</v>
      </c>
      <c r="K21" s="3350"/>
      <c r="L21" s="3336"/>
      <c r="M21" s="3336"/>
      <c r="N21" s="716"/>
    </row>
    <row r="22" spans="1:14" s="692" customFormat="1" ht="27.75" customHeight="1">
      <c r="A22" s="3681"/>
      <c r="B22" s="3681"/>
      <c r="C22" s="3680"/>
      <c r="D22" s="3680"/>
      <c r="E22" s="3680"/>
      <c r="F22" s="3680"/>
      <c r="G22" s="3680"/>
      <c r="H22" s="3680"/>
      <c r="I22" s="3680"/>
      <c r="J22" s="3680"/>
      <c r="K22" s="3350"/>
      <c r="L22" s="3336"/>
      <c r="M22" s="3336"/>
      <c r="N22" s="716"/>
    </row>
    <row r="23" spans="1:14" s="692" customFormat="1" ht="18.75" customHeight="1">
      <c r="A23" s="3644" t="s">
        <v>4431</v>
      </c>
      <c r="B23" s="3566"/>
      <c r="C23" s="3393"/>
      <c r="D23" s="3670" t="s">
        <v>5268</v>
      </c>
      <c r="E23" s="3671"/>
      <c r="F23" s="3671"/>
      <c r="G23" s="3672" t="str">
        <f>IF(OR(C16&gt;0,J20&gt;0),"、E","")</f>
        <v/>
      </c>
      <c r="H23" s="3672"/>
      <c r="I23" s="3672"/>
      <c r="J23" s="3673"/>
      <c r="K23" s="3336"/>
      <c r="L23" s="3336"/>
      <c r="M23" s="3336"/>
      <c r="N23" s="716"/>
    </row>
    <row r="24" spans="1:14" s="692" customFormat="1" ht="18.75" customHeight="1">
      <c r="A24" s="3667"/>
      <c r="B24" s="3668"/>
      <c r="C24" s="3669"/>
      <c r="D24" s="3674"/>
      <c r="E24" s="3675"/>
      <c r="F24" s="3675"/>
      <c r="G24" s="3675"/>
      <c r="H24" s="3675"/>
      <c r="I24" s="3675"/>
      <c r="J24" s="3676"/>
      <c r="K24" s="3336"/>
      <c r="L24" s="3336"/>
      <c r="M24" s="3336"/>
      <c r="N24" s="716"/>
    </row>
    <row r="25" spans="1:14" s="692" customFormat="1" ht="20.100000000000001" customHeight="1">
      <c r="A25" s="3242" t="s">
        <v>4433</v>
      </c>
      <c r="B25" s="3242"/>
      <c r="C25" s="3242"/>
      <c r="D25" s="3405" t="str">
        <f>IF(C16&lt;&gt;0,"非公益性捐赠、非广告性赞助支出应予纳税调整增加"&amp;DOLLAR(C16,2)&amp;"元！","不存在非公益性捐赠、非广告性赞助支出，认可！")</f>
        <v>不存在非公益性捐赠、非广告性赞助支出，认可！</v>
      </c>
      <c r="E25" s="3405"/>
      <c r="F25" s="3405"/>
      <c r="G25" s="3405"/>
      <c r="H25" s="3405"/>
      <c r="I25" s="3405"/>
      <c r="J25" s="3405"/>
      <c r="K25" s="691" t="s">
        <v>5269</v>
      </c>
      <c r="L25" s="716"/>
      <c r="M25" s="716"/>
      <c r="N25" s="716"/>
    </row>
    <row r="26" spans="1:14" s="738" customFormat="1" ht="20.100000000000001" customHeight="1">
      <c r="A26" s="3242"/>
      <c r="B26" s="3242"/>
      <c r="C26" s="3242"/>
      <c r="D26" s="3067" t="str">
        <f>IF(J20&gt;0,"实际列支公益性捐赠、赞助支出大于税法允许列支的限额,应予纳税调整增加"&amp;DOLLAR(J20,2)&amp;"元！","不存在公益性捐赠、赞助支出调整事项，认可！")</f>
        <v>不存在公益性捐赠、赞助支出调整事项，认可！</v>
      </c>
      <c r="E26" s="3067"/>
      <c r="F26" s="3067"/>
      <c r="G26" s="3067"/>
      <c r="H26" s="3067"/>
      <c r="I26" s="3067"/>
      <c r="J26" s="3067"/>
      <c r="K26" s="3350" t="s">
        <v>5270</v>
      </c>
      <c r="L26" s="3350"/>
      <c r="M26" s="3350"/>
      <c r="N26" s="3350"/>
    </row>
    <row r="27" spans="1:14" s="692" customFormat="1" ht="20.100000000000001" customHeight="1">
      <c r="A27" s="2138"/>
      <c r="B27" s="2138"/>
      <c r="C27" s="2138"/>
      <c r="D27" s="2138"/>
      <c r="E27" s="2138"/>
      <c r="F27" s="2138"/>
      <c r="G27" s="2138"/>
      <c r="H27" s="2138"/>
      <c r="I27" s="2138"/>
      <c r="J27" s="2138"/>
      <c r="K27" s="3350"/>
      <c r="L27" s="3350"/>
      <c r="M27" s="3350"/>
      <c r="N27" s="3350"/>
    </row>
    <row r="28" spans="1:14" s="692" customFormat="1" ht="20.100000000000001" customHeight="1">
      <c r="A28" s="2138"/>
      <c r="B28" s="2138"/>
      <c r="C28" s="2138"/>
      <c r="D28" s="2138"/>
      <c r="E28" s="2138"/>
      <c r="F28" s="2138"/>
      <c r="G28" s="2138"/>
      <c r="H28" s="2138"/>
      <c r="I28" s="2138"/>
      <c r="J28" s="2138"/>
      <c r="K28" s="691"/>
      <c r="L28" s="716"/>
      <c r="M28" s="716"/>
      <c r="N28" s="716"/>
    </row>
    <row r="29" spans="1:14" s="692" customFormat="1" ht="20.100000000000001" customHeight="1">
      <c r="A29" s="2139"/>
      <c r="B29" s="2139"/>
      <c r="C29" s="2139"/>
      <c r="D29" s="2139"/>
      <c r="E29" s="2139"/>
      <c r="F29" s="2139"/>
      <c r="G29" s="2139"/>
      <c r="H29" s="2139"/>
      <c r="I29" s="2139"/>
      <c r="J29" s="2139"/>
      <c r="K29" s="716"/>
      <c r="L29" s="716"/>
      <c r="M29" s="716"/>
      <c r="N29" s="716"/>
    </row>
    <row r="30" spans="1:14" s="692" customFormat="1" ht="42.75" customHeight="1">
      <c r="A30" s="2138"/>
      <c r="B30" s="2138"/>
      <c r="C30" s="2138"/>
      <c r="D30" s="2138"/>
      <c r="E30" s="2138"/>
      <c r="F30" s="2138"/>
      <c r="G30" s="2138"/>
      <c r="H30" s="2138"/>
      <c r="I30" s="2138"/>
      <c r="J30" s="2138"/>
      <c r="K30" s="716"/>
      <c r="L30" s="716"/>
      <c r="M30" s="716"/>
      <c r="N30" s="716"/>
    </row>
    <row r="31" spans="1:14" s="692" customFormat="1" ht="29.25" customHeight="1">
      <c r="A31" s="2138"/>
      <c r="B31" s="2138"/>
      <c r="C31" s="2138"/>
      <c r="D31" s="2138"/>
      <c r="E31" s="2138"/>
      <c r="F31" s="2138"/>
      <c r="G31" s="2138"/>
      <c r="H31" s="2138"/>
      <c r="I31" s="2138"/>
      <c r="J31" s="2138"/>
      <c r="K31" s="716"/>
      <c r="L31" s="716"/>
      <c r="M31" s="716"/>
      <c r="N31" s="716"/>
    </row>
    <row r="32" spans="1:14" s="692" customFormat="1" ht="31.5" customHeight="1">
      <c r="A32" s="2138"/>
      <c r="B32" s="2138"/>
      <c r="C32" s="2138"/>
      <c r="D32" s="2138"/>
      <c r="E32" s="2138"/>
      <c r="F32" s="2138"/>
      <c r="G32" s="2138"/>
      <c r="H32" s="2138"/>
      <c r="I32" s="2138"/>
      <c r="J32" s="2138"/>
      <c r="K32" s="716"/>
      <c r="L32" s="716"/>
      <c r="M32" s="716"/>
      <c r="N32" s="716"/>
    </row>
    <row r="33" spans="1:14" s="692" customFormat="1" ht="20.100000000000001" customHeight="1">
      <c r="A33" s="2138"/>
      <c r="B33" s="2138"/>
      <c r="C33" s="2138"/>
      <c r="D33" s="2138"/>
      <c r="E33" s="2138"/>
      <c r="F33" s="2138"/>
      <c r="G33" s="2138"/>
      <c r="H33" s="2138"/>
      <c r="I33" s="2138"/>
      <c r="J33" s="2138"/>
      <c r="K33" s="716"/>
      <c r="L33" s="716"/>
      <c r="M33" s="716"/>
      <c r="N33" s="716"/>
    </row>
    <row r="34" spans="1:14" s="692" customFormat="1" ht="20.100000000000001" customHeight="1">
      <c r="A34" s="1443"/>
      <c r="B34" s="1443"/>
      <c r="C34" s="1443"/>
      <c r="D34" s="1443"/>
      <c r="E34" s="1443"/>
      <c r="F34" s="1443"/>
      <c r="G34" s="1443"/>
      <c r="H34" s="1443"/>
      <c r="I34" s="1443"/>
      <c r="J34" s="1443"/>
      <c r="K34" s="716"/>
      <c r="L34" s="716"/>
      <c r="M34" s="716"/>
      <c r="N34" s="716"/>
    </row>
    <row r="35" spans="1:14" s="692" customFormat="1" ht="68.25" customHeight="1">
      <c r="A35" s="1443"/>
      <c r="B35" s="1443"/>
      <c r="C35" s="1443"/>
      <c r="D35" s="1443"/>
      <c r="E35" s="1443"/>
      <c r="F35" s="1443"/>
      <c r="G35" s="1443"/>
      <c r="H35" s="1443"/>
      <c r="I35" s="1443"/>
      <c r="J35" s="1443"/>
      <c r="K35" s="716"/>
      <c r="L35" s="716"/>
      <c r="M35" s="716"/>
      <c r="N35" s="716"/>
    </row>
    <row r="36" spans="1:14" s="692" customFormat="1" ht="20.100000000000001" customHeight="1">
      <c r="A36" s="1443"/>
      <c r="B36" s="1443"/>
      <c r="C36" s="1443"/>
      <c r="D36" s="1443"/>
      <c r="E36" s="1443"/>
      <c r="F36" s="1443"/>
      <c r="G36" s="1443"/>
      <c r="H36" s="1443"/>
      <c r="I36" s="1443"/>
      <c r="J36" s="1443"/>
    </row>
    <row r="37" spans="1:14" s="692" customFormat="1" ht="20.100000000000001" customHeight="1">
      <c r="A37" s="1443"/>
      <c r="B37" s="1443"/>
      <c r="C37" s="1443"/>
      <c r="D37" s="1443"/>
      <c r="E37" s="1443"/>
      <c r="F37" s="1443"/>
      <c r="G37" s="1443"/>
      <c r="H37" s="1443"/>
      <c r="I37" s="1443"/>
      <c r="J37" s="1443"/>
    </row>
    <row r="38" spans="1:14" s="692" customFormat="1" ht="20.100000000000001" customHeight="1">
      <c r="A38" s="1444"/>
      <c r="B38" s="1444"/>
      <c r="C38" s="1444"/>
      <c r="D38" s="1444"/>
      <c r="E38" s="1444"/>
      <c r="F38" s="1444"/>
      <c r="G38" s="1444"/>
      <c r="H38" s="1444"/>
      <c r="I38" s="1444"/>
      <c r="J38" s="1444"/>
    </row>
    <row r="39" spans="1:14" s="692" customFormat="1" ht="20.100000000000001" customHeight="1">
      <c r="A39" s="1444"/>
      <c r="B39" s="1444"/>
      <c r="C39" s="1444"/>
      <c r="D39" s="1444"/>
      <c r="E39" s="1444"/>
      <c r="F39" s="1444"/>
      <c r="G39" s="1444"/>
      <c r="H39" s="1444"/>
      <c r="I39" s="1444"/>
      <c r="J39" s="1444"/>
    </row>
    <row r="40" spans="1:14" s="692" customFormat="1" ht="20.100000000000001" customHeight="1">
      <c r="A40" s="1444"/>
      <c r="B40" s="1444"/>
      <c r="C40" s="1444"/>
      <c r="D40" s="1444"/>
      <c r="E40" s="1444"/>
      <c r="F40" s="1444"/>
      <c r="G40" s="1444"/>
      <c r="H40" s="1444"/>
      <c r="I40" s="1444"/>
      <c r="J40" s="1444"/>
    </row>
    <row r="41" spans="1:14" s="692" customFormat="1" ht="20.100000000000001" customHeight="1">
      <c r="A41" s="1444"/>
      <c r="B41" s="1444"/>
      <c r="C41" s="1444"/>
      <c r="D41" s="1444"/>
      <c r="E41" s="1444"/>
      <c r="F41" s="1444"/>
      <c r="G41" s="1444"/>
      <c r="H41" s="1444"/>
      <c r="I41" s="1444"/>
      <c r="J41" s="1444"/>
    </row>
    <row r="42" spans="1:14" s="692" customFormat="1" ht="20.100000000000001" customHeight="1">
      <c r="A42" s="1444"/>
      <c r="B42" s="1444"/>
      <c r="C42" s="1444"/>
      <c r="D42" s="1444"/>
      <c r="E42" s="1444"/>
      <c r="F42" s="1444"/>
      <c r="G42" s="1444"/>
      <c r="H42" s="1444"/>
      <c r="I42" s="1444"/>
      <c r="J42" s="1444"/>
    </row>
    <row r="43" spans="1:14" s="692" customFormat="1" ht="20.100000000000001" customHeight="1">
      <c r="A43" s="1444"/>
      <c r="B43" s="1444"/>
      <c r="C43" s="1444"/>
      <c r="D43" s="1444"/>
      <c r="E43" s="1444"/>
      <c r="F43" s="1444"/>
      <c r="G43" s="1444"/>
      <c r="H43" s="1444"/>
      <c r="I43" s="1444"/>
      <c r="J43" s="1444"/>
    </row>
    <row r="44" spans="1:14" s="692" customFormat="1" ht="20.100000000000001" customHeight="1">
      <c r="A44" s="1444"/>
      <c r="B44" s="1444"/>
      <c r="C44" s="1444"/>
      <c r="D44" s="1444"/>
      <c r="E44" s="1444"/>
      <c r="F44" s="1444"/>
      <c r="G44" s="1444"/>
      <c r="H44" s="1444"/>
      <c r="I44" s="1444"/>
      <c r="J44" s="1444"/>
    </row>
    <row r="45" spans="1:14" s="692" customFormat="1" ht="20.100000000000001" customHeight="1">
      <c r="A45" s="1444"/>
      <c r="B45" s="1444"/>
      <c r="C45" s="1444"/>
      <c r="D45" s="1444"/>
      <c r="E45" s="1444"/>
      <c r="F45" s="1444"/>
      <c r="G45" s="1444"/>
      <c r="H45" s="1444"/>
      <c r="I45" s="1444"/>
      <c r="J45" s="1444"/>
    </row>
    <row r="46" spans="1:14" s="692" customFormat="1" ht="20.100000000000001" customHeight="1">
      <c r="A46" s="1444"/>
      <c r="B46" s="1444"/>
      <c r="C46" s="1444"/>
      <c r="D46" s="1444"/>
      <c r="E46" s="1444"/>
      <c r="F46" s="1444"/>
      <c r="G46" s="1444"/>
      <c r="H46" s="1444"/>
      <c r="I46" s="1444"/>
      <c r="J46" s="1444"/>
    </row>
    <row r="47" spans="1:14" s="692" customFormat="1" ht="20.100000000000001" customHeight="1">
      <c r="A47" s="1444"/>
      <c r="B47" s="1444"/>
      <c r="C47" s="1444"/>
      <c r="D47" s="1444"/>
      <c r="E47" s="1444"/>
      <c r="F47" s="1444"/>
      <c r="G47" s="1444"/>
      <c r="H47" s="1444"/>
      <c r="I47" s="1444"/>
      <c r="J47" s="1444"/>
    </row>
    <row r="48" spans="1:14" s="692" customFormat="1" ht="20.100000000000001" customHeight="1">
      <c r="A48" s="1444"/>
      <c r="B48" s="1444"/>
      <c r="C48" s="1444"/>
      <c r="D48" s="1444"/>
      <c r="E48" s="1444"/>
      <c r="F48" s="1444"/>
      <c r="G48" s="1444"/>
      <c r="H48" s="1444"/>
      <c r="I48" s="1444"/>
      <c r="J48" s="1444"/>
    </row>
    <row r="49" spans="1:10" s="692" customFormat="1" ht="20.100000000000001" customHeight="1">
      <c r="A49" s="1444"/>
      <c r="B49" s="1444"/>
      <c r="C49" s="1444"/>
      <c r="D49" s="1444"/>
      <c r="E49" s="1444"/>
      <c r="F49" s="1444"/>
      <c r="G49" s="1444"/>
      <c r="H49" s="1444"/>
      <c r="I49" s="1444"/>
      <c r="J49" s="1444"/>
    </row>
    <row r="50" spans="1:10" s="692" customFormat="1" ht="20.100000000000001" customHeight="1">
      <c r="A50" s="1444"/>
      <c r="B50" s="1444"/>
      <c r="C50" s="1444"/>
      <c r="D50" s="1444"/>
      <c r="E50" s="1444"/>
      <c r="F50" s="1444"/>
      <c r="G50" s="1444"/>
      <c r="H50" s="1444"/>
      <c r="I50" s="1444"/>
      <c r="J50" s="1444"/>
    </row>
    <row r="51" spans="1:10" s="692" customFormat="1" ht="20.100000000000001" customHeight="1">
      <c r="A51" s="1444"/>
      <c r="B51" s="1444"/>
      <c r="C51" s="1444"/>
      <c r="D51" s="1444"/>
      <c r="E51" s="1444"/>
      <c r="F51" s="1444"/>
      <c r="G51" s="1444"/>
      <c r="H51" s="1444"/>
      <c r="I51" s="1444"/>
      <c r="J51" s="1444"/>
    </row>
    <row r="52" spans="1:10" s="692" customFormat="1" ht="20.100000000000001" customHeight="1">
      <c r="A52" s="1444"/>
      <c r="B52" s="1444"/>
      <c r="C52" s="1444"/>
      <c r="D52" s="1444"/>
      <c r="E52" s="1444"/>
      <c r="F52" s="1444"/>
      <c r="G52" s="1444"/>
      <c r="H52" s="1444"/>
      <c r="I52" s="1444"/>
      <c r="J52" s="1444"/>
    </row>
    <row r="53" spans="1:10" s="692" customFormat="1" ht="20.100000000000001" customHeight="1">
      <c r="A53" s="1444"/>
      <c r="B53" s="1444"/>
      <c r="C53" s="1444"/>
      <c r="D53" s="1444"/>
      <c r="E53" s="1444"/>
      <c r="F53" s="1444"/>
      <c r="G53" s="1444"/>
      <c r="H53" s="1444"/>
      <c r="I53" s="1444"/>
      <c r="J53" s="1444"/>
    </row>
    <row r="54" spans="1:10" s="692" customFormat="1" ht="20.100000000000001" customHeight="1">
      <c r="A54" s="1444"/>
      <c r="B54" s="1444"/>
      <c r="C54" s="1444"/>
      <c r="D54" s="1444"/>
      <c r="E54" s="1444"/>
      <c r="F54" s="1444"/>
      <c r="G54" s="1444"/>
      <c r="H54" s="1444"/>
      <c r="I54" s="1444"/>
      <c r="J54" s="1444"/>
    </row>
    <row r="55" spans="1:10" s="692" customFormat="1" ht="20.100000000000001" customHeight="1">
      <c r="A55" s="1444"/>
      <c r="B55" s="1444"/>
      <c r="C55" s="1444"/>
      <c r="D55" s="1444"/>
      <c r="E55" s="1444"/>
      <c r="F55" s="1444"/>
      <c r="G55" s="1444"/>
      <c r="H55" s="1444"/>
      <c r="I55" s="1444"/>
      <c r="J55" s="1444"/>
    </row>
    <row r="56" spans="1:10" s="692" customFormat="1" ht="20.100000000000001" customHeight="1">
      <c r="A56" s="1444"/>
      <c r="B56" s="1444"/>
      <c r="C56" s="1444"/>
      <c r="D56" s="1444"/>
      <c r="E56" s="1444"/>
      <c r="F56" s="1444"/>
      <c r="G56" s="1444"/>
      <c r="H56" s="1444"/>
      <c r="I56" s="1444"/>
      <c r="J56" s="1444"/>
    </row>
    <row r="57" spans="1:10" s="692" customFormat="1" ht="20.100000000000001" customHeight="1">
      <c r="A57" s="1444"/>
      <c r="B57" s="1444"/>
      <c r="C57" s="1444"/>
      <c r="D57" s="1444"/>
      <c r="E57" s="1444"/>
      <c r="F57" s="1444"/>
      <c r="G57" s="1444"/>
      <c r="H57" s="1444"/>
      <c r="I57" s="1444"/>
      <c r="J57" s="1444"/>
    </row>
    <row r="58" spans="1:10" s="692" customFormat="1" ht="20.100000000000001" customHeight="1">
      <c r="A58" s="1444"/>
      <c r="B58" s="1444"/>
      <c r="C58" s="1444"/>
      <c r="D58" s="1444"/>
      <c r="E58" s="1444"/>
      <c r="F58" s="1444"/>
      <c r="G58" s="1444"/>
      <c r="H58" s="1444"/>
      <c r="I58" s="1444"/>
      <c r="J58" s="1444"/>
    </row>
    <row r="59" spans="1:10" s="692" customFormat="1" ht="20.100000000000001" customHeight="1">
      <c r="A59" s="1444"/>
      <c r="B59" s="1444"/>
      <c r="C59" s="1444"/>
      <c r="D59" s="1444"/>
      <c r="E59" s="1444"/>
      <c r="F59" s="1444"/>
      <c r="G59" s="1444"/>
      <c r="H59" s="1444"/>
      <c r="I59" s="1444"/>
      <c r="J59" s="1444"/>
    </row>
    <row r="60" spans="1:10" s="692" customFormat="1" ht="20.100000000000001" customHeight="1">
      <c r="A60" s="1444"/>
      <c r="B60" s="1444"/>
      <c r="C60" s="1444"/>
      <c r="D60" s="1444"/>
      <c r="E60" s="1444"/>
      <c r="F60" s="1444"/>
      <c r="G60" s="1444"/>
      <c r="H60" s="1444"/>
      <c r="I60" s="1444"/>
      <c r="J60" s="1444"/>
    </row>
    <row r="61" spans="1:10" s="692" customFormat="1" ht="20.100000000000001" customHeight="1">
      <c r="A61" s="1444"/>
      <c r="B61" s="1444"/>
      <c r="C61" s="1444"/>
      <c r="D61" s="1444"/>
      <c r="E61" s="1444"/>
      <c r="F61" s="1444"/>
      <c r="G61" s="1444"/>
      <c r="H61" s="1444"/>
      <c r="I61" s="1444"/>
      <c r="J61" s="1444"/>
    </row>
    <row r="62" spans="1:10" s="692" customFormat="1" ht="20.100000000000001" customHeight="1">
      <c r="A62" s="1444"/>
      <c r="B62" s="1444"/>
      <c r="C62" s="1444"/>
      <c r="D62" s="1444"/>
      <c r="E62" s="1444"/>
      <c r="F62" s="1444"/>
      <c r="G62" s="1444"/>
      <c r="H62" s="1444"/>
      <c r="I62" s="1444"/>
      <c r="J62" s="1444"/>
    </row>
    <row r="63" spans="1:10" s="692" customFormat="1" ht="20.100000000000001" customHeight="1">
      <c r="A63" s="1444"/>
      <c r="B63" s="1444"/>
      <c r="C63" s="1444"/>
      <c r="D63" s="1444"/>
      <c r="E63" s="1444"/>
      <c r="F63" s="1444"/>
      <c r="G63" s="1444"/>
      <c r="H63" s="1445"/>
      <c r="I63" s="1445"/>
      <c r="J63" s="1445"/>
    </row>
    <row r="64" spans="1:10" s="692" customFormat="1" ht="20.100000000000001" customHeight="1">
      <c r="A64" s="1445"/>
      <c r="B64" s="1445"/>
      <c r="C64" s="1445"/>
      <c r="D64" s="1445"/>
      <c r="E64" s="1445"/>
      <c r="F64" s="1445"/>
      <c r="G64" s="1445"/>
      <c r="H64" s="1445"/>
      <c r="I64" s="1445"/>
      <c r="J64" s="1445"/>
    </row>
    <row r="65" spans="1:10" s="692" customFormat="1" ht="20.100000000000001" customHeight="1">
      <c r="A65" s="1445"/>
      <c r="B65" s="1445"/>
      <c r="C65" s="1445"/>
      <c r="D65" s="1445"/>
      <c r="E65" s="1445"/>
      <c r="F65" s="1445"/>
      <c r="G65" s="1445"/>
      <c r="H65" s="1445"/>
      <c r="I65" s="1445"/>
      <c r="J65" s="1445"/>
    </row>
    <row r="66" spans="1:10" s="692" customFormat="1" ht="20.100000000000001" customHeight="1">
      <c r="A66" s="1445"/>
      <c r="B66" s="1445"/>
      <c r="C66" s="1445"/>
      <c r="D66" s="1445"/>
      <c r="E66" s="1445"/>
      <c r="F66" s="1445"/>
      <c r="G66" s="1445"/>
      <c r="H66" s="1445"/>
      <c r="I66" s="1445"/>
      <c r="J66" s="1445"/>
    </row>
    <row r="67" spans="1:10" s="692" customFormat="1" ht="20.100000000000001" customHeight="1">
      <c r="A67" s="1445"/>
      <c r="B67" s="1445"/>
      <c r="C67" s="1445"/>
      <c r="D67" s="1445"/>
      <c r="E67" s="1445"/>
      <c r="F67" s="1445"/>
      <c r="G67" s="1445"/>
      <c r="H67" s="1445"/>
      <c r="I67" s="1445"/>
      <c r="J67" s="1445"/>
    </row>
    <row r="68" spans="1:10" s="692" customFormat="1" ht="20.100000000000001" customHeight="1">
      <c r="A68" s="1445"/>
      <c r="B68" s="1445"/>
      <c r="C68" s="1445"/>
      <c r="D68" s="1445"/>
      <c r="E68" s="1445"/>
      <c r="F68" s="1445"/>
      <c r="G68" s="1445"/>
      <c r="H68" s="1445"/>
      <c r="I68" s="1445"/>
      <c r="J68" s="1445"/>
    </row>
    <row r="69" spans="1:10" s="692" customFormat="1" ht="20.100000000000001" customHeight="1">
      <c r="A69" s="1445"/>
      <c r="B69" s="1445"/>
      <c r="C69" s="1445"/>
      <c r="D69" s="1445"/>
      <c r="E69" s="1445"/>
      <c r="F69" s="1445"/>
      <c r="G69" s="1445"/>
      <c r="H69" s="1445"/>
      <c r="I69" s="1445"/>
      <c r="J69" s="1445"/>
    </row>
    <row r="70" spans="1:10" s="692" customFormat="1" ht="20.100000000000001" customHeight="1">
      <c r="A70" s="1445"/>
      <c r="B70" s="1445"/>
      <c r="C70" s="1445"/>
      <c r="D70" s="1445"/>
      <c r="E70" s="1445"/>
      <c r="F70" s="1445"/>
      <c r="G70" s="1445"/>
      <c r="H70" s="1445"/>
      <c r="I70" s="1445"/>
      <c r="J70" s="1445"/>
    </row>
    <row r="71" spans="1:10" s="692" customFormat="1" ht="20.100000000000001" customHeight="1">
      <c r="A71" s="1445"/>
      <c r="B71" s="1445"/>
      <c r="C71" s="1445"/>
      <c r="D71" s="1445"/>
      <c r="E71" s="1445"/>
      <c r="F71" s="1445"/>
      <c r="G71" s="1445"/>
      <c r="H71" s="1445"/>
      <c r="I71" s="1445"/>
      <c r="J71" s="1445"/>
    </row>
    <row r="72" spans="1:10" s="692" customFormat="1" ht="20.100000000000001" customHeight="1">
      <c r="A72" s="1445"/>
      <c r="B72" s="1445"/>
      <c r="C72" s="1445"/>
      <c r="D72" s="1445"/>
      <c r="E72" s="1445"/>
      <c r="F72" s="1445"/>
      <c r="G72" s="1445"/>
      <c r="H72" s="1445"/>
      <c r="I72" s="1445"/>
      <c r="J72" s="1445"/>
    </row>
    <row r="73" spans="1:10" s="692" customFormat="1" ht="20.100000000000001" customHeight="1">
      <c r="A73" s="1445"/>
      <c r="B73" s="1445"/>
      <c r="C73" s="1445"/>
      <c r="D73" s="1445"/>
      <c r="E73" s="1445"/>
      <c r="F73" s="1445"/>
      <c r="G73" s="1445"/>
      <c r="H73" s="1445"/>
      <c r="I73" s="1445"/>
      <c r="J73" s="1445"/>
    </row>
    <row r="74" spans="1:10" s="692" customFormat="1" ht="20.100000000000001" customHeight="1">
      <c r="A74" s="1445"/>
      <c r="B74" s="1445"/>
      <c r="C74" s="1445"/>
      <c r="D74" s="1445"/>
      <c r="E74" s="1445"/>
      <c r="F74" s="1445"/>
      <c r="G74" s="1445"/>
      <c r="H74" s="1445"/>
      <c r="I74" s="1445"/>
      <c r="J74" s="1445"/>
    </row>
    <row r="75" spans="1:10" s="692" customFormat="1" ht="20.100000000000001" customHeight="1">
      <c r="A75" s="1445"/>
      <c r="B75" s="1445"/>
      <c r="C75" s="1445"/>
      <c r="D75" s="1445"/>
      <c r="E75" s="1445"/>
      <c r="F75" s="1445"/>
      <c r="G75" s="1445"/>
      <c r="H75" s="1445"/>
      <c r="I75" s="1445"/>
      <c r="J75" s="1445"/>
    </row>
    <row r="76" spans="1:10" s="692" customFormat="1" ht="20.100000000000001" customHeight="1">
      <c r="A76" s="1445"/>
      <c r="B76" s="1445"/>
      <c r="C76" s="1445"/>
      <c r="D76" s="1445"/>
      <c r="E76" s="1445"/>
      <c r="F76" s="1445"/>
      <c r="G76" s="1445"/>
      <c r="H76" s="1445"/>
      <c r="I76" s="1445"/>
      <c r="J76" s="1445"/>
    </row>
    <row r="77" spans="1:10" s="692" customFormat="1" ht="20.100000000000001" customHeight="1">
      <c r="A77" s="1445"/>
      <c r="B77" s="1445"/>
      <c r="C77" s="1445"/>
      <c r="D77" s="1445"/>
      <c r="E77" s="1445"/>
      <c r="F77" s="1445"/>
      <c r="G77" s="1445"/>
      <c r="H77" s="1445"/>
      <c r="I77" s="1445"/>
      <c r="J77" s="1445"/>
    </row>
    <row r="78" spans="1:10" s="692" customFormat="1" ht="20.100000000000001" customHeight="1">
      <c r="A78" s="1445"/>
      <c r="B78" s="1445"/>
      <c r="C78" s="1445"/>
      <c r="D78" s="1445"/>
      <c r="E78" s="1445"/>
      <c r="F78" s="1445"/>
      <c r="G78" s="1445"/>
      <c r="H78" s="1445"/>
      <c r="I78" s="1445"/>
      <c r="J78" s="1445"/>
    </row>
    <row r="79" spans="1:10" ht="21.95" customHeight="1">
      <c r="A79" s="1445"/>
      <c r="B79" s="1445"/>
      <c r="C79" s="1445"/>
      <c r="D79" s="1445"/>
      <c r="E79" s="1445"/>
      <c r="F79" s="1445"/>
      <c r="G79" s="1445"/>
      <c r="H79" s="1445"/>
      <c r="I79" s="1445"/>
      <c r="J79" s="1445"/>
    </row>
    <row r="80" spans="1:10" ht="21.95" customHeight="1">
      <c r="A80" s="1445"/>
      <c r="B80" s="1445"/>
      <c r="C80" s="1445"/>
      <c r="D80" s="1445"/>
      <c r="E80" s="1445"/>
      <c r="F80" s="1445"/>
      <c r="G80" s="1445"/>
      <c r="H80" s="1445"/>
      <c r="I80" s="1445"/>
      <c r="J80" s="1445"/>
    </row>
    <row r="81" spans="1:10" ht="21.95" customHeight="1">
      <c r="A81" s="1445"/>
      <c r="B81" s="1445"/>
      <c r="C81" s="1445"/>
      <c r="D81" s="1445"/>
      <c r="E81" s="1445"/>
      <c r="F81" s="1445"/>
      <c r="G81" s="1445"/>
      <c r="H81" s="1445"/>
      <c r="I81" s="1445"/>
      <c r="J81" s="1445"/>
    </row>
    <row r="82" spans="1:10" ht="21.95" customHeight="1">
      <c r="A82" s="1445"/>
      <c r="B82" s="1445"/>
      <c r="C82" s="1445"/>
      <c r="D82" s="1445"/>
      <c r="E82" s="1445"/>
      <c r="F82" s="1445"/>
      <c r="G82" s="1445"/>
      <c r="H82" s="1445"/>
      <c r="I82" s="1445"/>
      <c r="J82" s="1445"/>
    </row>
    <row r="83" spans="1:10" ht="21.95" customHeight="1">
      <c r="A83" s="1445"/>
      <c r="B83" s="1445"/>
      <c r="C83" s="1445"/>
      <c r="D83" s="1445"/>
      <c r="E83" s="1445"/>
      <c r="F83" s="1445"/>
      <c r="G83" s="1445"/>
      <c r="H83" s="1445"/>
      <c r="I83" s="1445"/>
      <c r="J83" s="1445"/>
    </row>
    <row r="84" spans="1:10" ht="21.95" customHeight="1">
      <c r="A84" s="1445"/>
      <c r="B84" s="1445"/>
      <c r="C84" s="1445"/>
      <c r="D84" s="1445"/>
      <c r="E84" s="1445"/>
      <c r="F84" s="1445"/>
      <c r="G84" s="1445"/>
      <c r="H84" s="1445"/>
      <c r="I84" s="1445"/>
      <c r="J84" s="1445"/>
    </row>
    <row r="85" spans="1:10" ht="21.95" customHeight="1">
      <c r="A85" s="1445"/>
      <c r="B85" s="1445"/>
      <c r="C85" s="1445"/>
      <c r="D85" s="1445"/>
      <c r="E85" s="1445"/>
      <c r="F85" s="1445"/>
      <c r="G85" s="1445"/>
      <c r="H85" s="1445"/>
      <c r="I85" s="1445"/>
      <c r="J85" s="1445"/>
    </row>
    <row r="86" spans="1:10" ht="21.95" customHeight="1">
      <c r="A86" s="1445"/>
      <c r="B86" s="1445"/>
      <c r="C86" s="1445"/>
      <c r="D86" s="1445"/>
      <c r="E86" s="1445"/>
      <c r="F86" s="1445"/>
      <c r="G86" s="1445"/>
      <c r="H86" s="1445"/>
      <c r="I86" s="1445"/>
      <c r="J86" s="1445"/>
    </row>
    <row r="87" spans="1:10" ht="21.95" customHeight="1">
      <c r="A87" s="1445"/>
      <c r="B87" s="1445"/>
      <c r="C87" s="1445"/>
      <c r="D87" s="1445"/>
      <c r="E87" s="1445"/>
      <c r="F87" s="1445"/>
      <c r="G87" s="1445"/>
      <c r="H87" s="1445"/>
      <c r="I87" s="1445"/>
      <c r="J87" s="1445"/>
    </row>
    <row r="88" spans="1:10" ht="21.95" customHeight="1">
      <c r="A88" s="1445"/>
      <c r="B88" s="1445"/>
      <c r="C88" s="1445"/>
      <c r="D88" s="1445"/>
      <c r="E88" s="1445"/>
      <c r="F88" s="1445"/>
      <c r="G88" s="1445"/>
      <c r="H88" s="1445"/>
      <c r="I88" s="1445"/>
      <c r="J88" s="1445"/>
    </row>
    <row r="89" spans="1:10" ht="21.95" customHeight="1">
      <c r="A89" s="1445"/>
      <c r="B89" s="1445"/>
      <c r="C89" s="1445"/>
      <c r="D89" s="1445"/>
      <c r="E89" s="1445"/>
      <c r="F89" s="1445"/>
      <c r="G89" s="1445"/>
      <c r="H89" s="1445"/>
      <c r="I89" s="1445"/>
      <c r="J89" s="1445"/>
    </row>
    <row r="90" spans="1:10" ht="21.95" customHeight="1">
      <c r="A90" s="1445"/>
      <c r="B90" s="1445"/>
      <c r="C90" s="1445"/>
      <c r="D90" s="1445"/>
      <c r="E90" s="1445"/>
      <c r="F90" s="1445"/>
      <c r="G90" s="1445"/>
      <c r="H90" s="1445"/>
      <c r="I90" s="1445"/>
      <c r="J90" s="1445"/>
    </row>
    <row r="91" spans="1:10" ht="21.95" customHeight="1">
      <c r="A91" s="1445"/>
      <c r="B91" s="1445"/>
      <c r="C91" s="1445"/>
      <c r="D91" s="1445"/>
      <c r="E91" s="1445"/>
      <c r="F91" s="1445"/>
      <c r="G91" s="1445"/>
      <c r="H91" s="1445"/>
      <c r="I91" s="1445"/>
      <c r="J91" s="1445"/>
    </row>
    <row r="92" spans="1:10" ht="21.95" customHeight="1">
      <c r="A92" s="1445"/>
      <c r="B92" s="1445"/>
      <c r="C92" s="1445"/>
      <c r="D92" s="1445"/>
      <c r="E92" s="1445"/>
      <c r="F92" s="1445"/>
      <c r="G92" s="1445"/>
      <c r="H92" s="1445"/>
      <c r="I92" s="1445"/>
      <c r="J92" s="1445"/>
    </row>
    <row r="93" spans="1:10" ht="21.95" customHeight="1">
      <c r="A93" s="1445"/>
      <c r="B93" s="1445"/>
      <c r="C93" s="1445"/>
      <c r="D93" s="1445"/>
      <c r="E93" s="1445"/>
      <c r="F93" s="1445"/>
      <c r="G93" s="1445"/>
      <c r="H93" s="1445"/>
      <c r="I93" s="1445"/>
      <c r="J93" s="1445"/>
    </row>
    <row r="94" spans="1:10" ht="21.95" customHeight="1">
      <c r="A94" s="1445"/>
      <c r="B94" s="1445"/>
      <c r="C94" s="1445"/>
      <c r="D94" s="1445"/>
      <c r="E94" s="1445"/>
      <c r="F94" s="1445"/>
      <c r="G94" s="1445"/>
      <c r="H94" s="1445"/>
      <c r="I94" s="1445"/>
      <c r="J94" s="1445"/>
    </row>
    <row r="95" spans="1:10" ht="21.95" customHeight="1">
      <c r="A95" s="1445"/>
      <c r="B95" s="1445"/>
      <c r="C95" s="1445"/>
      <c r="D95" s="1445"/>
      <c r="E95" s="1445"/>
      <c r="F95" s="1445"/>
      <c r="G95" s="1445"/>
      <c r="H95" s="1445"/>
      <c r="I95" s="1445"/>
      <c r="J95" s="1445"/>
    </row>
    <row r="96" spans="1:10" ht="21.95" customHeight="1">
      <c r="A96" s="1445"/>
      <c r="B96" s="1445"/>
      <c r="C96" s="1445"/>
      <c r="D96" s="1445"/>
      <c r="E96" s="1445"/>
      <c r="F96" s="1445"/>
      <c r="G96" s="1445"/>
      <c r="H96" s="1445"/>
      <c r="I96" s="1445"/>
      <c r="J96" s="1445"/>
    </row>
    <row r="97" spans="1:10" ht="21.95" customHeight="1">
      <c r="A97" s="1445"/>
      <c r="B97" s="1445"/>
      <c r="C97" s="1445"/>
      <c r="D97" s="1445"/>
      <c r="E97" s="1445"/>
      <c r="F97" s="1445"/>
      <c r="G97" s="1445"/>
      <c r="H97" s="1445"/>
      <c r="I97" s="1445"/>
      <c r="J97" s="1445"/>
    </row>
    <row r="98" spans="1:10" ht="21.95" customHeight="1">
      <c r="A98" s="1445"/>
      <c r="B98" s="1445"/>
      <c r="C98" s="1445"/>
      <c r="D98" s="1445"/>
      <c r="E98" s="1445"/>
      <c r="F98" s="1445"/>
      <c r="G98" s="1445"/>
      <c r="H98" s="1445"/>
      <c r="I98" s="1445"/>
      <c r="J98" s="1445"/>
    </row>
    <row r="99" spans="1:10" ht="21.95" customHeight="1">
      <c r="A99" s="1445"/>
      <c r="B99" s="1445"/>
      <c r="C99" s="1445"/>
      <c r="D99" s="1445"/>
      <c r="E99" s="1445"/>
      <c r="F99" s="1445"/>
      <c r="G99" s="1445"/>
      <c r="H99" s="1445"/>
      <c r="I99" s="1445"/>
      <c r="J99" s="1445"/>
    </row>
    <row r="100" spans="1:10" ht="21.95" customHeight="1">
      <c r="A100" s="1445"/>
      <c r="B100" s="1445"/>
      <c r="C100" s="1445"/>
      <c r="D100" s="1445"/>
      <c r="E100" s="1445"/>
      <c r="F100" s="1445"/>
      <c r="G100" s="1445"/>
      <c r="H100" s="1445"/>
      <c r="I100" s="1445"/>
      <c r="J100" s="1445"/>
    </row>
    <row r="101" spans="1:10" ht="21.95" customHeight="1">
      <c r="A101" s="1445"/>
      <c r="B101" s="1445"/>
      <c r="C101" s="1445"/>
      <c r="D101" s="1445"/>
      <c r="E101" s="1445"/>
      <c r="F101" s="1445"/>
      <c r="G101" s="1445"/>
      <c r="H101" s="1445"/>
      <c r="I101" s="1445"/>
      <c r="J101" s="1445"/>
    </row>
    <row r="102" spans="1:10" ht="21.95" customHeight="1">
      <c r="A102" s="1445"/>
      <c r="B102" s="1445"/>
      <c r="C102" s="1445"/>
      <c r="D102" s="1445"/>
      <c r="E102" s="1445"/>
      <c r="F102" s="1445"/>
      <c r="G102" s="1445"/>
      <c r="H102" s="1445"/>
      <c r="I102" s="1445"/>
      <c r="J102" s="1445"/>
    </row>
    <row r="103" spans="1:10" ht="21.95" customHeight="1">
      <c r="A103" s="1445"/>
      <c r="B103" s="1445"/>
      <c r="C103" s="1445"/>
      <c r="D103" s="1445"/>
      <c r="E103" s="1445"/>
      <c r="F103" s="1445"/>
      <c r="G103" s="1445"/>
      <c r="H103" s="1445"/>
      <c r="I103" s="1445"/>
      <c r="J103" s="1445"/>
    </row>
    <row r="104" spans="1:10" ht="21.95" customHeight="1">
      <c r="A104" s="1445"/>
      <c r="B104" s="1445"/>
      <c r="C104" s="1445"/>
      <c r="D104" s="1445"/>
      <c r="E104" s="1445"/>
      <c r="F104" s="1445"/>
      <c r="G104" s="1445"/>
      <c r="H104" s="1445"/>
      <c r="I104" s="1445"/>
      <c r="J104" s="1445"/>
    </row>
    <row r="105" spans="1:10" ht="21.95" customHeight="1">
      <c r="A105" s="1445"/>
      <c r="B105" s="1445"/>
      <c r="C105" s="1445"/>
      <c r="D105" s="1445"/>
      <c r="E105" s="1445"/>
      <c r="F105" s="1445"/>
      <c r="G105" s="1445"/>
      <c r="H105" s="1445"/>
      <c r="I105" s="1445"/>
      <c r="J105" s="1445"/>
    </row>
    <row r="106" spans="1:10" ht="21.95" customHeight="1">
      <c r="A106" s="1445"/>
      <c r="B106" s="1445"/>
      <c r="C106" s="1445"/>
      <c r="D106" s="1445"/>
      <c r="E106" s="1445"/>
      <c r="F106" s="1445"/>
      <c r="G106" s="1445"/>
      <c r="H106" s="1445"/>
      <c r="I106" s="1445"/>
      <c r="J106" s="1445"/>
    </row>
    <row r="107" spans="1:10" ht="21.95" customHeight="1">
      <c r="A107" s="1445"/>
      <c r="B107" s="1445"/>
      <c r="C107" s="1445"/>
      <c r="D107" s="1445"/>
      <c r="E107" s="1445"/>
      <c r="F107" s="1445"/>
      <c r="G107" s="1445"/>
      <c r="H107" s="1445"/>
      <c r="I107" s="1445"/>
      <c r="J107" s="1445"/>
    </row>
    <row r="108" spans="1:10" ht="21.95" customHeight="1">
      <c r="A108" s="1445"/>
      <c r="B108" s="1445"/>
      <c r="C108" s="1445"/>
      <c r="D108" s="1445"/>
      <c r="E108" s="1445"/>
      <c r="F108" s="1445"/>
      <c r="G108" s="1445"/>
      <c r="H108" s="1445"/>
      <c r="I108" s="1445"/>
      <c r="J108" s="1445"/>
    </row>
    <row r="109" spans="1:10" ht="21.95" customHeight="1">
      <c r="A109" s="1445"/>
      <c r="B109" s="1445"/>
      <c r="C109" s="1445"/>
      <c r="D109" s="1445"/>
      <c r="E109" s="1445"/>
      <c r="F109" s="1445"/>
      <c r="G109" s="1445"/>
      <c r="H109" s="1445"/>
      <c r="I109" s="1445"/>
      <c r="J109" s="1445"/>
    </row>
    <row r="110" spans="1:10" ht="21.95" customHeight="1">
      <c r="A110" s="1445"/>
      <c r="B110" s="1445"/>
      <c r="C110" s="1445"/>
      <c r="D110" s="1445"/>
      <c r="E110" s="1445"/>
      <c r="F110" s="1445"/>
      <c r="G110" s="1445"/>
      <c r="H110" s="1445"/>
      <c r="I110" s="1445"/>
      <c r="J110" s="1445"/>
    </row>
    <row r="111" spans="1:10" ht="21.95" customHeight="1">
      <c r="A111" s="1445"/>
      <c r="B111" s="1445"/>
      <c r="C111" s="1445"/>
      <c r="D111" s="1445"/>
      <c r="E111" s="1445"/>
      <c r="F111" s="1445"/>
      <c r="G111" s="1445"/>
      <c r="H111" s="1445"/>
      <c r="I111" s="1445"/>
      <c r="J111" s="1445"/>
    </row>
    <row r="112" spans="1:10" ht="21.95" customHeight="1">
      <c r="A112" s="1445"/>
      <c r="B112" s="1445"/>
      <c r="C112" s="1445"/>
      <c r="D112" s="1445"/>
      <c r="E112" s="1445"/>
      <c r="F112" s="1445"/>
      <c r="G112" s="1445"/>
      <c r="H112" s="1445"/>
      <c r="I112" s="1445"/>
      <c r="J112" s="1445"/>
    </row>
    <row r="113" spans="1:10" ht="21.95" customHeight="1">
      <c r="A113" s="1445"/>
      <c r="B113" s="1445"/>
      <c r="C113" s="1445"/>
      <c r="D113" s="1445"/>
      <c r="E113" s="1445"/>
      <c r="F113" s="1445"/>
      <c r="G113" s="1445"/>
      <c r="H113" s="1445"/>
      <c r="I113" s="1445"/>
      <c r="J113" s="1445"/>
    </row>
    <row r="114" spans="1:10" ht="21.95" customHeight="1">
      <c r="A114" s="1445"/>
      <c r="B114" s="1445"/>
      <c r="C114" s="1445"/>
      <c r="D114" s="1445"/>
      <c r="E114" s="1445"/>
      <c r="F114" s="1445"/>
      <c r="G114" s="1445"/>
      <c r="H114" s="1445"/>
      <c r="I114" s="1445"/>
      <c r="J114" s="1445"/>
    </row>
    <row r="115" spans="1:10" ht="21.95" customHeight="1">
      <c r="A115" s="1445"/>
      <c r="B115" s="1445"/>
      <c r="C115" s="1445"/>
      <c r="D115" s="1445"/>
      <c r="E115" s="1445"/>
      <c r="F115" s="1445"/>
      <c r="G115" s="1445"/>
      <c r="H115" s="1445"/>
      <c r="I115" s="1445"/>
      <c r="J115" s="1445"/>
    </row>
    <row r="116" spans="1:10" ht="21.95" customHeight="1">
      <c r="A116" s="1445"/>
      <c r="B116" s="1445"/>
      <c r="C116" s="1445"/>
      <c r="D116" s="1445"/>
      <c r="E116" s="1445"/>
      <c r="F116" s="1445"/>
      <c r="G116" s="1445"/>
      <c r="H116" s="1445"/>
      <c r="I116" s="1445"/>
      <c r="J116" s="1445"/>
    </row>
    <row r="117" spans="1:10" ht="21.95" customHeight="1">
      <c r="A117" s="1445"/>
      <c r="B117" s="1445"/>
      <c r="C117" s="1445"/>
      <c r="D117" s="1445"/>
      <c r="E117" s="1445"/>
      <c r="F117" s="1445"/>
      <c r="G117" s="1445"/>
      <c r="H117" s="1445"/>
      <c r="I117" s="1445"/>
      <c r="J117" s="1445"/>
    </row>
    <row r="118" spans="1:10" ht="21.95" customHeight="1">
      <c r="A118" s="1445"/>
      <c r="B118" s="1445"/>
      <c r="C118" s="1445"/>
      <c r="D118" s="1445"/>
      <c r="E118" s="1445"/>
      <c r="F118" s="1445"/>
      <c r="G118" s="1445"/>
      <c r="H118" s="1445"/>
      <c r="I118" s="1445"/>
      <c r="J118" s="1445"/>
    </row>
    <row r="119" spans="1:10" ht="21.95" customHeight="1">
      <c r="A119" s="1445"/>
      <c r="B119" s="1445"/>
      <c r="C119" s="1445"/>
      <c r="D119" s="1445"/>
      <c r="E119" s="1445"/>
      <c r="F119" s="1445"/>
      <c r="G119" s="1445"/>
      <c r="H119" s="1445"/>
      <c r="I119" s="1445"/>
      <c r="J119" s="1445"/>
    </row>
    <row r="120" spans="1:10" ht="21.95" customHeight="1">
      <c r="A120" s="1445"/>
      <c r="B120" s="1445"/>
      <c r="C120" s="1445"/>
      <c r="D120" s="1445"/>
      <c r="E120" s="1445"/>
      <c r="F120" s="1445"/>
      <c r="G120" s="1445"/>
      <c r="H120" s="1445"/>
      <c r="I120" s="1445"/>
      <c r="J120" s="1445"/>
    </row>
    <row r="121" spans="1:10" ht="21.95" customHeight="1">
      <c r="A121" s="1445"/>
      <c r="B121" s="1445"/>
      <c r="C121" s="1445"/>
      <c r="D121" s="1445"/>
      <c r="E121" s="1445"/>
      <c r="F121" s="1445"/>
      <c r="G121" s="1445"/>
      <c r="H121" s="1445"/>
      <c r="I121" s="1445"/>
      <c r="J121" s="1445"/>
    </row>
    <row r="122" spans="1:10" ht="21.95" customHeight="1">
      <c r="A122" s="1445"/>
      <c r="B122" s="1445"/>
      <c r="C122" s="1445"/>
      <c r="D122" s="1445"/>
      <c r="E122" s="1445"/>
      <c r="F122" s="1445"/>
      <c r="G122" s="1445"/>
      <c r="H122" s="1445"/>
      <c r="I122" s="1445"/>
      <c r="J122" s="1445"/>
    </row>
    <row r="123" spans="1:10" ht="21.95" customHeight="1">
      <c r="A123" s="1445"/>
      <c r="B123" s="1445"/>
      <c r="C123" s="1445"/>
      <c r="D123" s="1445"/>
      <c r="E123" s="1445"/>
      <c r="F123" s="1445"/>
      <c r="G123" s="1445"/>
      <c r="H123" s="1445"/>
      <c r="I123" s="1445"/>
      <c r="J123" s="1445"/>
    </row>
    <row r="124" spans="1:10" ht="21.95" customHeight="1">
      <c r="A124" s="1445"/>
      <c r="B124" s="1445"/>
      <c r="C124" s="1445"/>
      <c r="D124" s="1445"/>
      <c r="E124" s="1445"/>
      <c r="F124" s="1445"/>
      <c r="G124" s="1445"/>
      <c r="H124" s="1445"/>
      <c r="I124" s="1445"/>
      <c r="J124" s="1445"/>
    </row>
    <row r="125" spans="1:10" ht="21.95" customHeight="1">
      <c r="A125" s="1445"/>
      <c r="B125" s="1445"/>
      <c r="C125" s="1445"/>
      <c r="D125" s="1445"/>
      <c r="E125" s="1445"/>
      <c r="F125" s="1445"/>
      <c r="G125" s="1445"/>
      <c r="H125" s="1445"/>
      <c r="I125" s="1445"/>
      <c r="J125" s="1445"/>
    </row>
    <row r="126" spans="1:10" ht="21.95" customHeight="1">
      <c r="A126" s="1445"/>
      <c r="B126" s="1445"/>
      <c r="C126" s="1445"/>
      <c r="D126" s="1445"/>
      <c r="E126" s="1445"/>
      <c r="F126" s="1445"/>
      <c r="G126" s="1445"/>
      <c r="H126" s="1445"/>
      <c r="I126" s="1445"/>
      <c r="J126" s="1445"/>
    </row>
    <row r="127" spans="1:10" ht="21.95" customHeight="1">
      <c r="A127" s="1445"/>
      <c r="B127" s="1445"/>
      <c r="C127" s="1445"/>
      <c r="D127" s="1445"/>
      <c r="E127" s="1445"/>
      <c r="F127" s="1445"/>
      <c r="G127" s="1445"/>
      <c r="H127" s="1445"/>
      <c r="I127" s="1445"/>
      <c r="J127" s="1445"/>
    </row>
    <row r="128" spans="1:10" ht="21.95" customHeight="1">
      <c r="A128" s="1445"/>
      <c r="B128" s="1445"/>
      <c r="C128" s="1445"/>
      <c r="D128" s="1445"/>
      <c r="E128" s="1445"/>
      <c r="F128" s="1445"/>
      <c r="G128" s="1445"/>
      <c r="H128" s="1445"/>
      <c r="I128" s="1445"/>
      <c r="J128" s="1445"/>
    </row>
    <row r="129" spans="1:10" ht="21.95" customHeight="1">
      <c r="A129" s="1445"/>
      <c r="B129" s="1445"/>
      <c r="C129" s="1445"/>
      <c r="D129" s="1445"/>
      <c r="E129" s="1445"/>
      <c r="F129" s="1445"/>
      <c r="G129" s="1445"/>
      <c r="H129" s="1445"/>
      <c r="I129" s="1445"/>
      <c r="J129" s="1445"/>
    </row>
    <row r="130" spans="1:10" ht="21.95" customHeight="1">
      <c r="A130" s="1445"/>
      <c r="B130" s="1445"/>
      <c r="C130" s="1445"/>
      <c r="D130" s="1445"/>
      <c r="E130" s="1445"/>
      <c r="F130" s="1445"/>
      <c r="G130" s="1445"/>
      <c r="H130" s="1445"/>
      <c r="I130" s="1445"/>
      <c r="J130" s="1445"/>
    </row>
    <row r="131" spans="1:10" ht="21.95" customHeight="1">
      <c r="A131" s="1445"/>
      <c r="B131" s="1445"/>
      <c r="C131" s="1445"/>
      <c r="D131" s="1445"/>
      <c r="E131" s="1445"/>
      <c r="F131" s="1445"/>
      <c r="G131" s="1445"/>
      <c r="H131" s="1445"/>
      <c r="I131" s="1445"/>
      <c r="J131" s="1445"/>
    </row>
    <row r="132" spans="1:10" ht="21.95" customHeight="1">
      <c r="A132" s="1445"/>
      <c r="B132" s="1445"/>
      <c r="C132" s="1445"/>
      <c r="D132" s="1445"/>
      <c r="E132" s="1445"/>
      <c r="F132" s="1445"/>
      <c r="G132" s="1445"/>
      <c r="H132" s="1445"/>
      <c r="I132" s="1445"/>
      <c r="J132" s="1445"/>
    </row>
    <row r="133" spans="1:10" ht="21.95" customHeight="1">
      <c r="A133" s="1445"/>
      <c r="B133" s="1445"/>
      <c r="C133" s="1445"/>
      <c r="D133" s="1445"/>
      <c r="E133" s="1445"/>
      <c r="F133" s="1445"/>
      <c r="G133" s="1445"/>
      <c r="H133" s="1445"/>
      <c r="I133" s="1445"/>
      <c r="J133" s="1445"/>
    </row>
    <row r="134" spans="1:10" ht="21.95" customHeight="1">
      <c r="A134" s="1445"/>
      <c r="B134" s="1445"/>
      <c r="C134" s="1445"/>
      <c r="D134" s="1445"/>
      <c r="E134" s="1445"/>
      <c r="F134" s="1445"/>
      <c r="G134" s="1445"/>
      <c r="H134" s="1445"/>
      <c r="I134" s="1445"/>
      <c r="J134" s="1445"/>
    </row>
    <row r="135" spans="1:10" ht="21.95" customHeight="1">
      <c r="A135" s="1445"/>
      <c r="B135" s="1445"/>
      <c r="C135" s="1445"/>
      <c r="D135" s="1445"/>
      <c r="E135" s="1445"/>
      <c r="F135" s="1445"/>
      <c r="G135" s="1445"/>
      <c r="H135" s="1445"/>
      <c r="I135" s="1445"/>
      <c r="J135" s="1445"/>
    </row>
    <row r="136" spans="1:10" ht="21.95" customHeight="1">
      <c r="A136" s="1445"/>
      <c r="B136" s="1445"/>
      <c r="C136" s="1445"/>
      <c r="D136" s="1445"/>
      <c r="E136" s="1445"/>
      <c r="F136" s="1445"/>
      <c r="G136" s="1445"/>
      <c r="H136" s="1445"/>
      <c r="I136" s="1445"/>
      <c r="J136" s="1445"/>
    </row>
    <row r="137" spans="1:10" ht="21.95" customHeight="1">
      <c r="A137" s="1445"/>
      <c r="B137" s="1445"/>
      <c r="C137" s="1445"/>
      <c r="D137" s="1445"/>
      <c r="E137" s="1445"/>
      <c r="F137" s="1445"/>
      <c r="G137" s="1445"/>
      <c r="H137" s="1445"/>
      <c r="I137" s="1445"/>
      <c r="J137" s="1445"/>
    </row>
    <row r="138" spans="1:10" ht="21.95" customHeight="1">
      <c r="A138" s="1445"/>
      <c r="B138" s="1445"/>
      <c r="C138" s="1445"/>
      <c r="D138" s="1445"/>
      <c r="E138" s="1445"/>
      <c r="F138" s="1445"/>
      <c r="G138" s="1445"/>
      <c r="H138" s="1445"/>
      <c r="I138" s="1445"/>
      <c r="J138" s="1445"/>
    </row>
    <row r="139" spans="1:10" ht="21.95" customHeight="1">
      <c r="A139" s="1445"/>
      <c r="B139" s="1445"/>
      <c r="C139" s="1445"/>
      <c r="D139" s="1445"/>
      <c r="E139" s="1445"/>
      <c r="F139" s="1445"/>
      <c r="G139" s="1445"/>
      <c r="H139" s="1445"/>
      <c r="I139" s="1445"/>
      <c r="J139" s="1445"/>
    </row>
    <row r="140" spans="1:10" ht="21.95" customHeight="1">
      <c r="A140" s="1445"/>
      <c r="B140" s="1445"/>
      <c r="C140" s="1445"/>
      <c r="D140" s="1445"/>
      <c r="E140" s="1445"/>
      <c r="F140" s="1445"/>
      <c r="G140" s="1445"/>
      <c r="H140" s="1445"/>
      <c r="I140" s="1445"/>
      <c r="J140" s="1445"/>
    </row>
    <row r="141" spans="1:10" ht="21.95" customHeight="1">
      <c r="A141" s="1445"/>
      <c r="B141" s="1445"/>
      <c r="C141" s="1445"/>
      <c r="D141" s="1445"/>
      <c r="E141" s="1445"/>
      <c r="F141" s="1445"/>
      <c r="G141" s="1445"/>
      <c r="H141" s="1445"/>
      <c r="I141" s="1445"/>
      <c r="J141" s="1445"/>
    </row>
    <row r="142" spans="1:10" ht="21.95" customHeight="1">
      <c r="A142" s="1445"/>
      <c r="B142" s="1445"/>
      <c r="C142" s="1445"/>
      <c r="D142" s="1445"/>
      <c r="E142" s="1445"/>
      <c r="F142" s="1445"/>
      <c r="G142" s="1445"/>
      <c r="H142" s="1445"/>
      <c r="I142" s="1445"/>
      <c r="J142" s="1445"/>
    </row>
    <row r="143" spans="1:10" ht="21.95" customHeight="1">
      <c r="A143" s="1445"/>
      <c r="B143" s="1445"/>
      <c r="C143" s="1445"/>
      <c r="D143" s="1445"/>
      <c r="E143" s="1445"/>
      <c r="F143" s="1445"/>
      <c r="G143" s="1445"/>
      <c r="H143" s="1445"/>
      <c r="I143" s="1445"/>
      <c r="J143" s="1445"/>
    </row>
    <row r="144" spans="1:10" ht="21.95" customHeight="1">
      <c r="A144" s="1445"/>
      <c r="B144" s="1445"/>
      <c r="C144" s="1445"/>
      <c r="D144" s="1445"/>
      <c r="E144" s="1445"/>
      <c r="F144" s="1445"/>
      <c r="G144" s="1445"/>
      <c r="H144" s="1445"/>
      <c r="I144" s="1445"/>
      <c r="J144" s="1445"/>
    </row>
    <row r="145" spans="1:10" ht="21.95" customHeight="1">
      <c r="A145" s="1445"/>
      <c r="B145" s="1445"/>
      <c r="C145" s="1445"/>
      <c r="D145" s="1445"/>
      <c r="E145" s="1445"/>
      <c r="F145" s="1445"/>
      <c r="G145" s="1445"/>
      <c r="H145" s="1445"/>
      <c r="I145" s="1445"/>
      <c r="J145" s="1445"/>
    </row>
    <row r="146" spans="1:10" ht="21.95" customHeight="1">
      <c r="A146" s="1445"/>
      <c r="B146" s="1445"/>
      <c r="C146" s="1445"/>
      <c r="D146" s="1445"/>
      <c r="E146" s="1445"/>
      <c r="F146" s="1445"/>
      <c r="G146" s="1445"/>
      <c r="H146" s="1445"/>
      <c r="I146" s="1445"/>
      <c r="J146" s="1445"/>
    </row>
    <row r="147" spans="1:10" ht="21.95" customHeight="1">
      <c r="A147" s="1445"/>
      <c r="B147" s="1445"/>
      <c r="C147" s="1445"/>
      <c r="D147" s="1445"/>
      <c r="E147" s="1445"/>
      <c r="F147" s="1445"/>
      <c r="G147" s="1445"/>
      <c r="H147" s="1445"/>
      <c r="I147" s="1445"/>
      <c r="J147" s="1445"/>
    </row>
  </sheetData>
  <sheetProtection selectLockedCells="1" selectUnlockedCells="1"/>
  <mergeCells count="31">
    <mergeCell ref="H1:J1"/>
    <mergeCell ref="H2:J2"/>
    <mergeCell ref="A1:G2"/>
    <mergeCell ref="H21:J21"/>
    <mergeCell ref="H22:J22"/>
    <mergeCell ref="A21:B22"/>
    <mergeCell ref="C21:D21"/>
    <mergeCell ref="C22:D22"/>
    <mergeCell ref="E21:G21"/>
    <mergeCell ref="E22:G22"/>
    <mergeCell ref="D18:E18"/>
    <mergeCell ref="A3:F4"/>
    <mergeCell ref="J4:J5"/>
    <mergeCell ref="A5:F5"/>
    <mergeCell ref="A6:J6"/>
    <mergeCell ref="A25:C26"/>
    <mergeCell ref="D25:J25"/>
    <mergeCell ref="D26:J26"/>
    <mergeCell ref="K26:N27"/>
    <mergeCell ref="A19:C19"/>
    <mergeCell ref="D19:J19"/>
    <mergeCell ref="A20:C20"/>
    <mergeCell ref="D20:F20"/>
    <mergeCell ref="A23:C24"/>
    <mergeCell ref="D23:F23"/>
    <mergeCell ref="G23:J23"/>
    <mergeCell ref="D24:J24"/>
    <mergeCell ref="K15:M24"/>
    <mergeCell ref="A16:B16"/>
    <mergeCell ref="A17:C18"/>
    <mergeCell ref="D17:E17"/>
  </mergeCells>
  <phoneticPr fontId="135" type="noConversion"/>
  <dataValidations count="3">
    <dataValidation type="list" allowBlank="1" showErrorMessage="1" sqref="E8:F15 H8:H15">
      <formula1>"是,否"</formula1>
      <formula2>0</formula2>
    </dataValidation>
    <dataValidation allowBlank="1" showErrorMessage="1" promptTitle="存在调整事项时" prompt="_x000a_选择 “E”" sqref="G23:J23">
      <formula1>0</formula1>
      <formula2>0</formula2>
    </dataValidation>
    <dataValidation allowBlank="1" showErrorMessage="1" sqref="H4">
      <formula1>0</formula1>
      <formula2>0</formula2>
    </dataValidation>
  </dataValidations>
  <hyperlinks>
    <hyperlink ref="K8" location="纳税调整明细表!C33" display="纳税调整明细表!C33"/>
    <hyperlink ref="K9" location="管理费用!A1" display="管理费用审核表"/>
    <hyperlink ref="K10" location="营外收支!A1" display="营外收支审核表"/>
    <hyperlink ref="K11" location="营业费用!A1" display="营业费用审核表"/>
    <hyperlink ref="K12" location="凭证检查!A1" display="凭证检查!A1"/>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drawing r:id="rId2"/>
  <legacyDrawing r:id="rId3"/>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8">
    <tabColor rgb="FFFFFF00"/>
  </sheetPr>
  <dimension ref="A1:L18"/>
  <sheetViews>
    <sheetView topLeftCell="G1" workbookViewId="0">
      <selection activeCell="G3" sqref="G3:K3"/>
    </sheetView>
  </sheetViews>
  <sheetFormatPr defaultRowHeight="14.25"/>
  <cols>
    <col min="1" max="1" width="4.25" style="575" customWidth="1"/>
    <col min="2" max="2" width="18.5" style="575" customWidth="1"/>
    <col min="3" max="3" width="23.5" style="575" customWidth="1"/>
    <col min="4" max="12" width="15.375" style="575" customWidth="1"/>
    <col min="13" max="235" width="9" style="575"/>
    <col min="236" max="236" width="4.25" style="575" customWidth="1"/>
    <col min="237" max="237" width="29.5" style="575" customWidth="1"/>
    <col min="238" max="252" width="4.5" style="575" customWidth="1"/>
    <col min="253" max="253" width="3.875" style="575" customWidth="1"/>
    <col min="254" max="254" width="4" style="575" customWidth="1"/>
    <col min="255" max="255" width="4.375" style="575" customWidth="1"/>
    <col min="256" max="256" width="4.5" style="575" customWidth="1"/>
    <col min="257" max="257" width="3.875" style="575" customWidth="1"/>
    <col min="258" max="258" width="16.125" style="575" customWidth="1"/>
    <col min="259" max="259" width="19.875" style="575" customWidth="1"/>
    <col min="260" max="491" width="9" style="575"/>
    <col min="492" max="492" width="4.25" style="575" customWidth="1"/>
    <col min="493" max="493" width="29.5" style="575" customWidth="1"/>
    <col min="494" max="508" width="4.5" style="575" customWidth="1"/>
    <col min="509" max="509" width="3.875" style="575" customWidth="1"/>
    <col min="510" max="510" width="4" style="575" customWidth="1"/>
    <col min="511" max="511" width="4.375" style="575" customWidth="1"/>
    <col min="512" max="512" width="4.5" style="575" customWidth="1"/>
    <col min="513" max="513" width="3.875" style="575" customWidth="1"/>
    <col min="514" max="514" width="16.125" style="575" customWidth="1"/>
    <col min="515" max="515" width="19.875" style="575" customWidth="1"/>
    <col min="516" max="747" width="9" style="575"/>
    <col min="748" max="748" width="4.25" style="575" customWidth="1"/>
    <col min="749" max="749" width="29.5" style="575" customWidth="1"/>
    <col min="750" max="764" width="4.5" style="575" customWidth="1"/>
    <col min="765" max="765" width="3.875" style="575" customWidth="1"/>
    <col min="766" max="766" width="4" style="575" customWidth="1"/>
    <col min="767" max="767" width="4.375" style="575" customWidth="1"/>
    <col min="768" max="768" width="4.5" style="575" customWidth="1"/>
    <col min="769" max="769" width="3.875" style="575" customWidth="1"/>
    <col min="770" max="770" width="16.125" style="575" customWidth="1"/>
    <col min="771" max="771" width="19.875" style="575" customWidth="1"/>
    <col min="772" max="1003" width="9" style="575"/>
    <col min="1004" max="1004" width="4.25" style="575" customWidth="1"/>
    <col min="1005" max="1005" width="29.5" style="575" customWidth="1"/>
    <col min="1006" max="1020" width="4.5" style="575" customWidth="1"/>
    <col min="1021" max="1021" width="3.875" style="575" customWidth="1"/>
    <col min="1022" max="1022" width="4" style="575" customWidth="1"/>
    <col min="1023" max="1023" width="4.375" style="575" customWidth="1"/>
    <col min="1024" max="1024" width="4.5" style="575" customWidth="1"/>
    <col min="1025" max="1025" width="3.875" style="575" customWidth="1"/>
    <col min="1026" max="1026" width="16.125" style="575" customWidth="1"/>
    <col min="1027" max="1027" width="19.875" style="575" customWidth="1"/>
    <col min="1028" max="1259" width="9" style="575"/>
    <col min="1260" max="1260" width="4.25" style="575" customWidth="1"/>
    <col min="1261" max="1261" width="29.5" style="575" customWidth="1"/>
    <col min="1262" max="1276" width="4.5" style="575" customWidth="1"/>
    <col min="1277" max="1277" width="3.875" style="575" customWidth="1"/>
    <col min="1278" max="1278" width="4" style="575" customWidth="1"/>
    <col min="1279" max="1279" width="4.375" style="575" customWidth="1"/>
    <col min="1280" max="1280" width="4.5" style="575" customWidth="1"/>
    <col min="1281" max="1281" width="3.875" style="575" customWidth="1"/>
    <col min="1282" max="1282" width="16.125" style="575" customWidth="1"/>
    <col min="1283" max="1283" width="19.875" style="575" customWidth="1"/>
    <col min="1284" max="1515" width="9" style="575"/>
    <col min="1516" max="1516" width="4.25" style="575" customWidth="1"/>
    <col min="1517" max="1517" width="29.5" style="575" customWidth="1"/>
    <col min="1518" max="1532" width="4.5" style="575" customWidth="1"/>
    <col min="1533" max="1533" width="3.875" style="575" customWidth="1"/>
    <col min="1534" max="1534" width="4" style="575" customWidth="1"/>
    <col min="1535" max="1535" width="4.375" style="575" customWidth="1"/>
    <col min="1536" max="1536" width="4.5" style="575" customWidth="1"/>
    <col min="1537" max="1537" width="3.875" style="575" customWidth="1"/>
    <col min="1538" max="1538" width="16.125" style="575" customWidth="1"/>
    <col min="1539" max="1539" width="19.875" style="575" customWidth="1"/>
    <col min="1540" max="1771" width="9" style="575"/>
    <col min="1772" max="1772" width="4.25" style="575" customWidth="1"/>
    <col min="1773" max="1773" width="29.5" style="575" customWidth="1"/>
    <col min="1774" max="1788" width="4.5" style="575" customWidth="1"/>
    <col min="1789" max="1789" width="3.875" style="575" customWidth="1"/>
    <col min="1790" max="1790" width="4" style="575" customWidth="1"/>
    <col min="1791" max="1791" width="4.375" style="575" customWidth="1"/>
    <col min="1792" max="1792" width="4.5" style="575" customWidth="1"/>
    <col min="1793" max="1793" width="3.875" style="575" customWidth="1"/>
    <col min="1794" max="1794" width="16.125" style="575" customWidth="1"/>
    <col min="1795" max="1795" width="19.875" style="575" customWidth="1"/>
    <col min="1796" max="2027" width="9" style="575"/>
    <col min="2028" max="2028" width="4.25" style="575" customWidth="1"/>
    <col min="2029" max="2029" width="29.5" style="575" customWidth="1"/>
    <col min="2030" max="2044" width="4.5" style="575" customWidth="1"/>
    <col min="2045" max="2045" width="3.875" style="575" customWidth="1"/>
    <col min="2046" max="2046" width="4" style="575" customWidth="1"/>
    <col min="2047" max="2047" width="4.375" style="575" customWidth="1"/>
    <col min="2048" max="2048" width="4.5" style="575" customWidth="1"/>
    <col min="2049" max="2049" width="3.875" style="575" customWidth="1"/>
    <col min="2050" max="2050" width="16.125" style="575" customWidth="1"/>
    <col min="2051" max="2051" width="19.875" style="575" customWidth="1"/>
    <col min="2052" max="2283" width="9" style="575"/>
    <col min="2284" max="2284" width="4.25" style="575" customWidth="1"/>
    <col min="2285" max="2285" width="29.5" style="575" customWidth="1"/>
    <col min="2286" max="2300" width="4.5" style="575" customWidth="1"/>
    <col min="2301" max="2301" width="3.875" style="575" customWidth="1"/>
    <col min="2302" max="2302" width="4" style="575" customWidth="1"/>
    <col min="2303" max="2303" width="4.375" style="575" customWidth="1"/>
    <col min="2304" max="2304" width="4.5" style="575" customWidth="1"/>
    <col min="2305" max="2305" width="3.875" style="575" customWidth="1"/>
    <col min="2306" max="2306" width="16.125" style="575" customWidth="1"/>
    <col min="2307" max="2307" width="19.875" style="575" customWidth="1"/>
    <col min="2308" max="2539" width="9" style="575"/>
    <col min="2540" max="2540" width="4.25" style="575" customWidth="1"/>
    <col min="2541" max="2541" width="29.5" style="575" customWidth="1"/>
    <col min="2542" max="2556" width="4.5" style="575" customWidth="1"/>
    <col min="2557" max="2557" width="3.875" style="575" customWidth="1"/>
    <col min="2558" max="2558" width="4" style="575" customWidth="1"/>
    <col min="2559" max="2559" width="4.375" style="575" customWidth="1"/>
    <col min="2560" max="2560" width="4.5" style="575" customWidth="1"/>
    <col min="2561" max="2561" width="3.875" style="575" customWidth="1"/>
    <col min="2562" max="2562" width="16.125" style="575" customWidth="1"/>
    <col min="2563" max="2563" width="19.875" style="575" customWidth="1"/>
    <col min="2564" max="2795" width="9" style="575"/>
    <col min="2796" max="2796" width="4.25" style="575" customWidth="1"/>
    <col min="2797" max="2797" width="29.5" style="575" customWidth="1"/>
    <col min="2798" max="2812" width="4.5" style="575" customWidth="1"/>
    <col min="2813" max="2813" width="3.875" style="575" customWidth="1"/>
    <col min="2814" max="2814" width="4" style="575" customWidth="1"/>
    <col min="2815" max="2815" width="4.375" style="575" customWidth="1"/>
    <col min="2816" max="2816" width="4.5" style="575" customWidth="1"/>
    <col min="2817" max="2817" width="3.875" style="575" customWidth="1"/>
    <col min="2818" max="2818" width="16.125" style="575" customWidth="1"/>
    <col min="2819" max="2819" width="19.875" style="575" customWidth="1"/>
    <col min="2820" max="3051" width="9" style="575"/>
    <col min="3052" max="3052" width="4.25" style="575" customWidth="1"/>
    <col min="3053" max="3053" width="29.5" style="575" customWidth="1"/>
    <col min="3054" max="3068" width="4.5" style="575" customWidth="1"/>
    <col min="3069" max="3069" width="3.875" style="575" customWidth="1"/>
    <col min="3070" max="3070" width="4" style="575" customWidth="1"/>
    <col min="3071" max="3071" width="4.375" style="575" customWidth="1"/>
    <col min="3072" max="3072" width="4.5" style="575" customWidth="1"/>
    <col min="3073" max="3073" width="3.875" style="575" customWidth="1"/>
    <col min="3074" max="3074" width="16.125" style="575" customWidth="1"/>
    <col min="3075" max="3075" width="19.875" style="575" customWidth="1"/>
    <col min="3076" max="3307" width="9" style="575"/>
    <col min="3308" max="3308" width="4.25" style="575" customWidth="1"/>
    <col min="3309" max="3309" width="29.5" style="575" customWidth="1"/>
    <col min="3310" max="3324" width="4.5" style="575" customWidth="1"/>
    <col min="3325" max="3325" width="3.875" style="575" customWidth="1"/>
    <col min="3326" max="3326" width="4" style="575" customWidth="1"/>
    <col min="3327" max="3327" width="4.375" style="575" customWidth="1"/>
    <col min="3328" max="3328" width="4.5" style="575" customWidth="1"/>
    <col min="3329" max="3329" width="3.875" style="575" customWidth="1"/>
    <col min="3330" max="3330" width="16.125" style="575" customWidth="1"/>
    <col min="3331" max="3331" width="19.875" style="575" customWidth="1"/>
    <col min="3332" max="3563" width="9" style="575"/>
    <col min="3564" max="3564" width="4.25" style="575" customWidth="1"/>
    <col min="3565" max="3565" width="29.5" style="575" customWidth="1"/>
    <col min="3566" max="3580" width="4.5" style="575" customWidth="1"/>
    <col min="3581" max="3581" width="3.875" style="575" customWidth="1"/>
    <col min="3582" max="3582" width="4" style="575" customWidth="1"/>
    <col min="3583" max="3583" width="4.375" style="575" customWidth="1"/>
    <col min="3584" max="3584" width="4.5" style="575" customWidth="1"/>
    <col min="3585" max="3585" width="3.875" style="575" customWidth="1"/>
    <col min="3586" max="3586" width="16.125" style="575" customWidth="1"/>
    <col min="3587" max="3587" width="19.875" style="575" customWidth="1"/>
    <col min="3588" max="3819" width="9" style="575"/>
    <col min="3820" max="3820" width="4.25" style="575" customWidth="1"/>
    <col min="3821" max="3821" width="29.5" style="575" customWidth="1"/>
    <col min="3822" max="3836" width="4.5" style="575" customWidth="1"/>
    <col min="3837" max="3837" width="3.875" style="575" customWidth="1"/>
    <col min="3838" max="3838" width="4" style="575" customWidth="1"/>
    <col min="3839" max="3839" width="4.375" style="575" customWidth="1"/>
    <col min="3840" max="3840" width="4.5" style="575" customWidth="1"/>
    <col min="3841" max="3841" width="3.875" style="575" customWidth="1"/>
    <col min="3842" max="3842" width="16.125" style="575" customWidth="1"/>
    <col min="3843" max="3843" width="19.875" style="575" customWidth="1"/>
    <col min="3844" max="4075" width="9" style="575"/>
    <col min="4076" max="4076" width="4.25" style="575" customWidth="1"/>
    <col min="4077" max="4077" width="29.5" style="575" customWidth="1"/>
    <col min="4078" max="4092" width="4.5" style="575" customWidth="1"/>
    <col min="4093" max="4093" width="3.875" style="575" customWidth="1"/>
    <col min="4094" max="4094" width="4" style="575" customWidth="1"/>
    <col min="4095" max="4095" width="4.375" style="575" customWidth="1"/>
    <col min="4096" max="4096" width="4.5" style="575" customWidth="1"/>
    <col min="4097" max="4097" width="3.875" style="575" customWidth="1"/>
    <col min="4098" max="4098" width="16.125" style="575" customWidth="1"/>
    <col min="4099" max="4099" width="19.875" style="575" customWidth="1"/>
    <col min="4100" max="4331" width="9" style="575"/>
    <col min="4332" max="4332" width="4.25" style="575" customWidth="1"/>
    <col min="4333" max="4333" width="29.5" style="575" customWidth="1"/>
    <col min="4334" max="4348" width="4.5" style="575" customWidth="1"/>
    <col min="4349" max="4349" width="3.875" style="575" customWidth="1"/>
    <col min="4350" max="4350" width="4" style="575" customWidth="1"/>
    <col min="4351" max="4351" width="4.375" style="575" customWidth="1"/>
    <col min="4352" max="4352" width="4.5" style="575" customWidth="1"/>
    <col min="4353" max="4353" width="3.875" style="575" customWidth="1"/>
    <col min="4354" max="4354" width="16.125" style="575" customWidth="1"/>
    <col min="4355" max="4355" width="19.875" style="575" customWidth="1"/>
    <col min="4356" max="4587" width="9" style="575"/>
    <col min="4588" max="4588" width="4.25" style="575" customWidth="1"/>
    <col min="4589" max="4589" width="29.5" style="575" customWidth="1"/>
    <col min="4590" max="4604" width="4.5" style="575" customWidth="1"/>
    <col min="4605" max="4605" width="3.875" style="575" customWidth="1"/>
    <col min="4606" max="4606" width="4" style="575" customWidth="1"/>
    <col min="4607" max="4607" width="4.375" style="575" customWidth="1"/>
    <col min="4608" max="4608" width="4.5" style="575" customWidth="1"/>
    <col min="4609" max="4609" width="3.875" style="575" customWidth="1"/>
    <col min="4610" max="4610" width="16.125" style="575" customWidth="1"/>
    <col min="4611" max="4611" width="19.875" style="575" customWidth="1"/>
    <col min="4612" max="4843" width="9" style="575"/>
    <col min="4844" max="4844" width="4.25" style="575" customWidth="1"/>
    <col min="4845" max="4845" width="29.5" style="575" customWidth="1"/>
    <col min="4846" max="4860" width="4.5" style="575" customWidth="1"/>
    <col min="4861" max="4861" width="3.875" style="575" customWidth="1"/>
    <col min="4862" max="4862" width="4" style="575" customWidth="1"/>
    <col min="4863" max="4863" width="4.375" style="575" customWidth="1"/>
    <col min="4864" max="4864" width="4.5" style="575" customWidth="1"/>
    <col min="4865" max="4865" width="3.875" style="575" customWidth="1"/>
    <col min="4866" max="4866" width="16.125" style="575" customWidth="1"/>
    <col min="4867" max="4867" width="19.875" style="575" customWidth="1"/>
    <col min="4868" max="5099" width="9" style="575"/>
    <col min="5100" max="5100" width="4.25" style="575" customWidth="1"/>
    <col min="5101" max="5101" width="29.5" style="575" customWidth="1"/>
    <col min="5102" max="5116" width="4.5" style="575" customWidth="1"/>
    <col min="5117" max="5117" width="3.875" style="575" customWidth="1"/>
    <col min="5118" max="5118" width="4" style="575" customWidth="1"/>
    <col min="5119" max="5119" width="4.375" style="575" customWidth="1"/>
    <col min="5120" max="5120" width="4.5" style="575" customWidth="1"/>
    <col min="5121" max="5121" width="3.875" style="575" customWidth="1"/>
    <col min="5122" max="5122" width="16.125" style="575" customWidth="1"/>
    <col min="5123" max="5123" width="19.875" style="575" customWidth="1"/>
    <col min="5124" max="5355" width="9" style="575"/>
    <col min="5356" max="5356" width="4.25" style="575" customWidth="1"/>
    <col min="5357" max="5357" width="29.5" style="575" customWidth="1"/>
    <col min="5358" max="5372" width="4.5" style="575" customWidth="1"/>
    <col min="5373" max="5373" width="3.875" style="575" customWidth="1"/>
    <col min="5374" max="5374" width="4" style="575" customWidth="1"/>
    <col min="5375" max="5375" width="4.375" style="575" customWidth="1"/>
    <col min="5376" max="5376" width="4.5" style="575" customWidth="1"/>
    <col min="5377" max="5377" width="3.875" style="575" customWidth="1"/>
    <col min="5378" max="5378" width="16.125" style="575" customWidth="1"/>
    <col min="5379" max="5379" width="19.875" style="575" customWidth="1"/>
    <col min="5380" max="5611" width="9" style="575"/>
    <col min="5612" max="5612" width="4.25" style="575" customWidth="1"/>
    <col min="5613" max="5613" width="29.5" style="575" customWidth="1"/>
    <col min="5614" max="5628" width="4.5" style="575" customWidth="1"/>
    <col min="5629" max="5629" width="3.875" style="575" customWidth="1"/>
    <col min="5630" max="5630" width="4" style="575" customWidth="1"/>
    <col min="5631" max="5631" width="4.375" style="575" customWidth="1"/>
    <col min="5632" max="5632" width="4.5" style="575" customWidth="1"/>
    <col min="5633" max="5633" width="3.875" style="575" customWidth="1"/>
    <col min="5634" max="5634" width="16.125" style="575" customWidth="1"/>
    <col min="5635" max="5635" width="19.875" style="575" customWidth="1"/>
    <col min="5636" max="5867" width="9" style="575"/>
    <col min="5868" max="5868" width="4.25" style="575" customWidth="1"/>
    <col min="5869" max="5869" width="29.5" style="575" customWidth="1"/>
    <col min="5870" max="5884" width="4.5" style="575" customWidth="1"/>
    <col min="5885" max="5885" width="3.875" style="575" customWidth="1"/>
    <col min="5886" max="5886" width="4" style="575" customWidth="1"/>
    <col min="5887" max="5887" width="4.375" style="575" customWidth="1"/>
    <col min="5888" max="5888" width="4.5" style="575" customWidth="1"/>
    <col min="5889" max="5889" width="3.875" style="575" customWidth="1"/>
    <col min="5890" max="5890" width="16.125" style="575" customWidth="1"/>
    <col min="5891" max="5891" width="19.875" style="575" customWidth="1"/>
    <col min="5892" max="6123" width="9" style="575"/>
    <col min="6124" max="6124" width="4.25" style="575" customWidth="1"/>
    <col min="6125" max="6125" width="29.5" style="575" customWidth="1"/>
    <col min="6126" max="6140" width="4.5" style="575" customWidth="1"/>
    <col min="6141" max="6141" width="3.875" style="575" customWidth="1"/>
    <col min="6142" max="6142" width="4" style="575" customWidth="1"/>
    <col min="6143" max="6143" width="4.375" style="575" customWidth="1"/>
    <col min="6144" max="6144" width="4.5" style="575" customWidth="1"/>
    <col min="6145" max="6145" width="3.875" style="575" customWidth="1"/>
    <col min="6146" max="6146" width="16.125" style="575" customWidth="1"/>
    <col min="6147" max="6147" width="19.875" style="575" customWidth="1"/>
    <col min="6148" max="6379" width="9" style="575"/>
    <col min="6380" max="6380" width="4.25" style="575" customWidth="1"/>
    <col min="6381" max="6381" width="29.5" style="575" customWidth="1"/>
    <col min="6382" max="6396" width="4.5" style="575" customWidth="1"/>
    <col min="6397" max="6397" width="3.875" style="575" customWidth="1"/>
    <col min="6398" max="6398" width="4" style="575" customWidth="1"/>
    <col min="6399" max="6399" width="4.375" style="575" customWidth="1"/>
    <col min="6400" max="6400" width="4.5" style="575" customWidth="1"/>
    <col min="6401" max="6401" width="3.875" style="575" customWidth="1"/>
    <col min="6402" max="6402" width="16.125" style="575" customWidth="1"/>
    <col min="6403" max="6403" width="19.875" style="575" customWidth="1"/>
    <col min="6404" max="6635" width="9" style="575"/>
    <col min="6636" max="6636" width="4.25" style="575" customWidth="1"/>
    <col min="6637" max="6637" width="29.5" style="575" customWidth="1"/>
    <col min="6638" max="6652" width="4.5" style="575" customWidth="1"/>
    <col min="6653" max="6653" width="3.875" style="575" customWidth="1"/>
    <col min="6654" max="6654" width="4" style="575" customWidth="1"/>
    <col min="6655" max="6655" width="4.375" style="575" customWidth="1"/>
    <col min="6656" max="6656" width="4.5" style="575" customWidth="1"/>
    <col min="6657" max="6657" width="3.875" style="575" customWidth="1"/>
    <col min="6658" max="6658" width="16.125" style="575" customWidth="1"/>
    <col min="6659" max="6659" width="19.875" style="575" customWidth="1"/>
    <col min="6660" max="6891" width="9" style="575"/>
    <col min="6892" max="6892" width="4.25" style="575" customWidth="1"/>
    <col min="6893" max="6893" width="29.5" style="575" customWidth="1"/>
    <col min="6894" max="6908" width="4.5" style="575" customWidth="1"/>
    <col min="6909" max="6909" width="3.875" style="575" customWidth="1"/>
    <col min="6910" max="6910" width="4" style="575" customWidth="1"/>
    <col min="6911" max="6911" width="4.375" style="575" customWidth="1"/>
    <col min="6912" max="6912" width="4.5" style="575" customWidth="1"/>
    <col min="6913" max="6913" width="3.875" style="575" customWidth="1"/>
    <col min="6914" max="6914" width="16.125" style="575" customWidth="1"/>
    <col min="6915" max="6915" width="19.875" style="575" customWidth="1"/>
    <col min="6916" max="7147" width="9" style="575"/>
    <col min="7148" max="7148" width="4.25" style="575" customWidth="1"/>
    <col min="7149" max="7149" width="29.5" style="575" customWidth="1"/>
    <col min="7150" max="7164" width="4.5" style="575" customWidth="1"/>
    <col min="7165" max="7165" width="3.875" style="575" customWidth="1"/>
    <col min="7166" max="7166" width="4" style="575" customWidth="1"/>
    <col min="7167" max="7167" width="4.375" style="575" customWidth="1"/>
    <col min="7168" max="7168" width="4.5" style="575" customWidth="1"/>
    <col min="7169" max="7169" width="3.875" style="575" customWidth="1"/>
    <col min="7170" max="7170" width="16.125" style="575" customWidth="1"/>
    <col min="7171" max="7171" width="19.875" style="575" customWidth="1"/>
    <col min="7172" max="7403" width="9" style="575"/>
    <col min="7404" max="7404" width="4.25" style="575" customWidth="1"/>
    <col min="7405" max="7405" width="29.5" style="575" customWidth="1"/>
    <col min="7406" max="7420" width="4.5" style="575" customWidth="1"/>
    <col min="7421" max="7421" width="3.875" style="575" customWidth="1"/>
    <col min="7422" max="7422" width="4" style="575" customWidth="1"/>
    <col min="7423" max="7423" width="4.375" style="575" customWidth="1"/>
    <col min="7424" max="7424" width="4.5" style="575" customWidth="1"/>
    <col min="7425" max="7425" width="3.875" style="575" customWidth="1"/>
    <col min="7426" max="7426" width="16.125" style="575" customWidth="1"/>
    <col min="7427" max="7427" width="19.875" style="575" customWidth="1"/>
    <col min="7428" max="7659" width="9" style="575"/>
    <col min="7660" max="7660" width="4.25" style="575" customWidth="1"/>
    <col min="7661" max="7661" width="29.5" style="575" customWidth="1"/>
    <col min="7662" max="7676" width="4.5" style="575" customWidth="1"/>
    <col min="7677" max="7677" width="3.875" style="575" customWidth="1"/>
    <col min="7678" max="7678" width="4" style="575" customWidth="1"/>
    <col min="7679" max="7679" width="4.375" style="575" customWidth="1"/>
    <col min="7680" max="7680" width="4.5" style="575" customWidth="1"/>
    <col min="7681" max="7681" width="3.875" style="575" customWidth="1"/>
    <col min="7682" max="7682" width="16.125" style="575" customWidth="1"/>
    <col min="7683" max="7683" width="19.875" style="575" customWidth="1"/>
    <col min="7684" max="7915" width="9" style="575"/>
    <col min="7916" max="7916" width="4.25" style="575" customWidth="1"/>
    <col min="7917" max="7917" width="29.5" style="575" customWidth="1"/>
    <col min="7918" max="7932" width="4.5" style="575" customWidth="1"/>
    <col min="7933" max="7933" width="3.875" style="575" customWidth="1"/>
    <col min="7934" max="7934" width="4" style="575" customWidth="1"/>
    <col min="7935" max="7935" width="4.375" style="575" customWidth="1"/>
    <col min="7936" max="7936" width="4.5" style="575" customWidth="1"/>
    <col min="7937" max="7937" width="3.875" style="575" customWidth="1"/>
    <col min="7938" max="7938" width="16.125" style="575" customWidth="1"/>
    <col min="7939" max="7939" width="19.875" style="575" customWidth="1"/>
    <col min="7940" max="8171" width="9" style="575"/>
    <col min="8172" max="8172" width="4.25" style="575" customWidth="1"/>
    <col min="8173" max="8173" width="29.5" style="575" customWidth="1"/>
    <col min="8174" max="8188" width="4.5" style="575" customWidth="1"/>
    <col min="8189" max="8189" width="3.875" style="575" customWidth="1"/>
    <col min="8190" max="8190" width="4" style="575" customWidth="1"/>
    <col min="8191" max="8191" width="4.375" style="575" customWidth="1"/>
    <col min="8192" max="8192" width="4.5" style="575" customWidth="1"/>
    <col min="8193" max="8193" width="3.875" style="575" customWidth="1"/>
    <col min="8194" max="8194" width="16.125" style="575" customWidth="1"/>
    <col min="8195" max="8195" width="19.875" style="575" customWidth="1"/>
    <col min="8196" max="8427" width="9" style="575"/>
    <col min="8428" max="8428" width="4.25" style="575" customWidth="1"/>
    <col min="8429" max="8429" width="29.5" style="575" customWidth="1"/>
    <col min="8430" max="8444" width="4.5" style="575" customWidth="1"/>
    <col min="8445" max="8445" width="3.875" style="575" customWidth="1"/>
    <col min="8446" max="8446" width="4" style="575" customWidth="1"/>
    <col min="8447" max="8447" width="4.375" style="575" customWidth="1"/>
    <col min="8448" max="8448" width="4.5" style="575" customWidth="1"/>
    <col min="8449" max="8449" width="3.875" style="575" customWidth="1"/>
    <col min="8450" max="8450" width="16.125" style="575" customWidth="1"/>
    <col min="8451" max="8451" width="19.875" style="575" customWidth="1"/>
    <col min="8452" max="8683" width="9" style="575"/>
    <col min="8684" max="8684" width="4.25" style="575" customWidth="1"/>
    <col min="8685" max="8685" width="29.5" style="575" customWidth="1"/>
    <col min="8686" max="8700" width="4.5" style="575" customWidth="1"/>
    <col min="8701" max="8701" width="3.875" style="575" customWidth="1"/>
    <col min="8702" max="8702" width="4" style="575" customWidth="1"/>
    <col min="8703" max="8703" width="4.375" style="575" customWidth="1"/>
    <col min="8704" max="8704" width="4.5" style="575" customWidth="1"/>
    <col min="8705" max="8705" width="3.875" style="575" customWidth="1"/>
    <col min="8706" max="8706" width="16.125" style="575" customWidth="1"/>
    <col min="8707" max="8707" width="19.875" style="575" customWidth="1"/>
    <col min="8708" max="8939" width="9" style="575"/>
    <col min="8940" max="8940" width="4.25" style="575" customWidth="1"/>
    <col min="8941" max="8941" width="29.5" style="575" customWidth="1"/>
    <col min="8942" max="8956" width="4.5" style="575" customWidth="1"/>
    <col min="8957" max="8957" width="3.875" style="575" customWidth="1"/>
    <col min="8958" max="8958" width="4" style="575" customWidth="1"/>
    <col min="8959" max="8959" width="4.375" style="575" customWidth="1"/>
    <col min="8960" max="8960" width="4.5" style="575" customWidth="1"/>
    <col min="8961" max="8961" width="3.875" style="575" customWidth="1"/>
    <col min="8962" max="8962" width="16.125" style="575" customWidth="1"/>
    <col min="8963" max="8963" width="19.875" style="575" customWidth="1"/>
    <col min="8964" max="9195" width="9" style="575"/>
    <col min="9196" max="9196" width="4.25" style="575" customWidth="1"/>
    <col min="9197" max="9197" width="29.5" style="575" customWidth="1"/>
    <col min="9198" max="9212" width="4.5" style="575" customWidth="1"/>
    <col min="9213" max="9213" width="3.875" style="575" customWidth="1"/>
    <col min="9214" max="9214" width="4" style="575" customWidth="1"/>
    <col min="9215" max="9215" width="4.375" style="575" customWidth="1"/>
    <col min="9216" max="9216" width="4.5" style="575" customWidth="1"/>
    <col min="9217" max="9217" width="3.875" style="575" customWidth="1"/>
    <col min="9218" max="9218" width="16.125" style="575" customWidth="1"/>
    <col min="9219" max="9219" width="19.875" style="575" customWidth="1"/>
    <col min="9220" max="9451" width="9" style="575"/>
    <col min="9452" max="9452" width="4.25" style="575" customWidth="1"/>
    <col min="9453" max="9453" width="29.5" style="575" customWidth="1"/>
    <col min="9454" max="9468" width="4.5" style="575" customWidth="1"/>
    <col min="9469" max="9469" width="3.875" style="575" customWidth="1"/>
    <col min="9470" max="9470" width="4" style="575" customWidth="1"/>
    <col min="9471" max="9471" width="4.375" style="575" customWidth="1"/>
    <col min="9472" max="9472" width="4.5" style="575" customWidth="1"/>
    <col min="9473" max="9473" width="3.875" style="575" customWidth="1"/>
    <col min="9474" max="9474" width="16.125" style="575" customWidth="1"/>
    <col min="9475" max="9475" width="19.875" style="575" customWidth="1"/>
    <col min="9476" max="9707" width="9" style="575"/>
    <col min="9708" max="9708" width="4.25" style="575" customWidth="1"/>
    <col min="9709" max="9709" width="29.5" style="575" customWidth="1"/>
    <col min="9710" max="9724" width="4.5" style="575" customWidth="1"/>
    <col min="9725" max="9725" width="3.875" style="575" customWidth="1"/>
    <col min="9726" max="9726" width="4" style="575" customWidth="1"/>
    <col min="9727" max="9727" width="4.375" style="575" customWidth="1"/>
    <col min="9728" max="9728" width="4.5" style="575" customWidth="1"/>
    <col min="9729" max="9729" width="3.875" style="575" customWidth="1"/>
    <col min="9730" max="9730" width="16.125" style="575" customWidth="1"/>
    <col min="9731" max="9731" width="19.875" style="575" customWidth="1"/>
    <col min="9732" max="9963" width="9" style="575"/>
    <col min="9964" max="9964" width="4.25" style="575" customWidth="1"/>
    <col min="9965" max="9965" width="29.5" style="575" customWidth="1"/>
    <col min="9966" max="9980" width="4.5" style="575" customWidth="1"/>
    <col min="9981" max="9981" width="3.875" style="575" customWidth="1"/>
    <col min="9982" max="9982" width="4" style="575" customWidth="1"/>
    <col min="9983" max="9983" width="4.375" style="575" customWidth="1"/>
    <col min="9984" max="9984" width="4.5" style="575" customWidth="1"/>
    <col min="9985" max="9985" width="3.875" style="575" customWidth="1"/>
    <col min="9986" max="9986" width="16.125" style="575" customWidth="1"/>
    <col min="9987" max="9987" width="19.875" style="575" customWidth="1"/>
    <col min="9988" max="10219" width="9" style="575"/>
    <col min="10220" max="10220" width="4.25" style="575" customWidth="1"/>
    <col min="10221" max="10221" width="29.5" style="575" customWidth="1"/>
    <col min="10222" max="10236" width="4.5" style="575" customWidth="1"/>
    <col min="10237" max="10237" width="3.875" style="575" customWidth="1"/>
    <col min="10238" max="10238" width="4" style="575" customWidth="1"/>
    <col min="10239" max="10239" width="4.375" style="575" customWidth="1"/>
    <col min="10240" max="10240" width="4.5" style="575" customWidth="1"/>
    <col min="10241" max="10241" width="3.875" style="575" customWidth="1"/>
    <col min="10242" max="10242" width="16.125" style="575" customWidth="1"/>
    <col min="10243" max="10243" width="19.875" style="575" customWidth="1"/>
    <col min="10244" max="10475" width="9" style="575"/>
    <col min="10476" max="10476" width="4.25" style="575" customWidth="1"/>
    <col min="10477" max="10477" width="29.5" style="575" customWidth="1"/>
    <col min="10478" max="10492" width="4.5" style="575" customWidth="1"/>
    <col min="10493" max="10493" width="3.875" style="575" customWidth="1"/>
    <col min="10494" max="10494" width="4" style="575" customWidth="1"/>
    <col min="10495" max="10495" width="4.375" style="575" customWidth="1"/>
    <col min="10496" max="10496" width="4.5" style="575" customWidth="1"/>
    <col min="10497" max="10497" width="3.875" style="575" customWidth="1"/>
    <col min="10498" max="10498" width="16.125" style="575" customWidth="1"/>
    <col min="10499" max="10499" width="19.875" style="575" customWidth="1"/>
    <col min="10500" max="10731" width="9" style="575"/>
    <col min="10732" max="10732" width="4.25" style="575" customWidth="1"/>
    <col min="10733" max="10733" width="29.5" style="575" customWidth="1"/>
    <col min="10734" max="10748" width="4.5" style="575" customWidth="1"/>
    <col min="10749" max="10749" width="3.875" style="575" customWidth="1"/>
    <col min="10750" max="10750" width="4" style="575" customWidth="1"/>
    <col min="10751" max="10751" width="4.375" style="575" customWidth="1"/>
    <col min="10752" max="10752" width="4.5" style="575" customWidth="1"/>
    <col min="10753" max="10753" width="3.875" style="575" customWidth="1"/>
    <col min="10754" max="10754" width="16.125" style="575" customWidth="1"/>
    <col min="10755" max="10755" width="19.875" style="575" customWidth="1"/>
    <col min="10756" max="10987" width="9" style="575"/>
    <col min="10988" max="10988" width="4.25" style="575" customWidth="1"/>
    <col min="10989" max="10989" width="29.5" style="575" customWidth="1"/>
    <col min="10990" max="11004" width="4.5" style="575" customWidth="1"/>
    <col min="11005" max="11005" width="3.875" style="575" customWidth="1"/>
    <col min="11006" max="11006" width="4" style="575" customWidth="1"/>
    <col min="11007" max="11007" width="4.375" style="575" customWidth="1"/>
    <col min="11008" max="11008" width="4.5" style="575" customWidth="1"/>
    <col min="11009" max="11009" width="3.875" style="575" customWidth="1"/>
    <col min="11010" max="11010" width="16.125" style="575" customWidth="1"/>
    <col min="11011" max="11011" width="19.875" style="575" customWidth="1"/>
    <col min="11012" max="11243" width="9" style="575"/>
    <col min="11244" max="11244" width="4.25" style="575" customWidth="1"/>
    <col min="11245" max="11245" width="29.5" style="575" customWidth="1"/>
    <col min="11246" max="11260" width="4.5" style="575" customWidth="1"/>
    <col min="11261" max="11261" width="3.875" style="575" customWidth="1"/>
    <col min="11262" max="11262" width="4" style="575" customWidth="1"/>
    <col min="11263" max="11263" width="4.375" style="575" customWidth="1"/>
    <col min="11264" max="11264" width="4.5" style="575" customWidth="1"/>
    <col min="11265" max="11265" width="3.875" style="575" customWidth="1"/>
    <col min="11266" max="11266" width="16.125" style="575" customWidth="1"/>
    <col min="11267" max="11267" width="19.875" style="575" customWidth="1"/>
    <col min="11268" max="11499" width="9" style="575"/>
    <col min="11500" max="11500" width="4.25" style="575" customWidth="1"/>
    <col min="11501" max="11501" width="29.5" style="575" customWidth="1"/>
    <col min="11502" max="11516" width="4.5" style="575" customWidth="1"/>
    <col min="11517" max="11517" width="3.875" style="575" customWidth="1"/>
    <col min="11518" max="11518" width="4" style="575" customWidth="1"/>
    <col min="11519" max="11519" width="4.375" style="575" customWidth="1"/>
    <col min="11520" max="11520" width="4.5" style="575" customWidth="1"/>
    <col min="11521" max="11521" width="3.875" style="575" customWidth="1"/>
    <col min="11522" max="11522" width="16.125" style="575" customWidth="1"/>
    <col min="11523" max="11523" width="19.875" style="575" customWidth="1"/>
    <col min="11524" max="11755" width="9" style="575"/>
    <col min="11756" max="11756" width="4.25" style="575" customWidth="1"/>
    <col min="11757" max="11757" width="29.5" style="575" customWidth="1"/>
    <col min="11758" max="11772" width="4.5" style="575" customWidth="1"/>
    <col min="11773" max="11773" width="3.875" style="575" customWidth="1"/>
    <col min="11774" max="11774" width="4" style="575" customWidth="1"/>
    <col min="11775" max="11775" width="4.375" style="575" customWidth="1"/>
    <col min="11776" max="11776" width="4.5" style="575" customWidth="1"/>
    <col min="11777" max="11777" width="3.875" style="575" customWidth="1"/>
    <col min="11778" max="11778" width="16.125" style="575" customWidth="1"/>
    <col min="11779" max="11779" width="19.875" style="575" customWidth="1"/>
    <col min="11780" max="12011" width="9" style="575"/>
    <col min="12012" max="12012" width="4.25" style="575" customWidth="1"/>
    <col min="12013" max="12013" width="29.5" style="575" customWidth="1"/>
    <col min="12014" max="12028" width="4.5" style="575" customWidth="1"/>
    <col min="12029" max="12029" width="3.875" style="575" customWidth="1"/>
    <col min="12030" max="12030" width="4" style="575" customWidth="1"/>
    <col min="12031" max="12031" width="4.375" style="575" customWidth="1"/>
    <col min="12032" max="12032" width="4.5" style="575" customWidth="1"/>
    <col min="12033" max="12033" width="3.875" style="575" customWidth="1"/>
    <col min="12034" max="12034" width="16.125" style="575" customWidth="1"/>
    <col min="12035" max="12035" width="19.875" style="575" customWidth="1"/>
    <col min="12036" max="12267" width="9" style="575"/>
    <col min="12268" max="12268" width="4.25" style="575" customWidth="1"/>
    <col min="12269" max="12269" width="29.5" style="575" customWidth="1"/>
    <col min="12270" max="12284" width="4.5" style="575" customWidth="1"/>
    <col min="12285" max="12285" width="3.875" style="575" customWidth="1"/>
    <col min="12286" max="12286" width="4" style="575" customWidth="1"/>
    <col min="12287" max="12287" width="4.375" style="575" customWidth="1"/>
    <col min="12288" max="12288" width="4.5" style="575" customWidth="1"/>
    <col min="12289" max="12289" width="3.875" style="575" customWidth="1"/>
    <col min="12290" max="12290" width="16.125" style="575" customWidth="1"/>
    <col min="12291" max="12291" width="19.875" style="575" customWidth="1"/>
    <col min="12292" max="12523" width="9" style="575"/>
    <col min="12524" max="12524" width="4.25" style="575" customWidth="1"/>
    <col min="12525" max="12525" width="29.5" style="575" customWidth="1"/>
    <col min="12526" max="12540" width="4.5" style="575" customWidth="1"/>
    <col min="12541" max="12541" width="3.875" style="575" customWidth="1"/>
    <col min="12542" max="12542" width="4" style="575" customWidth="1"/>
    <col min="12543" max="12543" width="4.375" style="575" customWidth="1"/>
    <col min="12544" max="12544" width="4.5" style="575" customWidth="1"/>
    <col min="12545" max="12545" width="3.875" style="575" customWidth="1"/>
    <col min="12546" max="12546" width="16.125" style="575" customWidth="1"/>
    <col min="12547" max="12547" width="19.875" style="575" customWidth="1"/>
    <col min="12548" max="12779" width="9" style="575"/>
    <col min="12780" max="12780" width="4.25" style="575" customWidth="1"/>
    <col min="12781" max="12781" width="29.5" style="575" customWidth="1"/>
    <col min="12782" max="12796" width="4.5" style="575" customWidth="1"/>
    <col min="12797" max="12797" width="3.875" style="575" customWidth="1"/>
    <col min="12798" max="12798" width="4" style="575" customWidth="1"/>
    <col min="12799" max="12799" width="4.375" style="575" customWidth="1"/>
    <col min="12800" max="12800" width="4.5" style="575" customWidth="1"/>
    <col min="12801" max="12801" width="3.875" style="575" customWidth="1"/>
    <col min="12802" max="12802" width="16.125" style="575" customWidth="1"/>
    <col min="12803" max="12803" width="19.875" style="575" customWidth="1"/>
    <col min="12804" max="13035" width="9" style="575"/>
    <col min="13036" max="13036" width="4.25" style="575" customWidth="1"/>
    <col min="13037" max="13037" width="29.5" style="575" customWidth="1"/>
    <col min="13038" max="13052" width="4.5" style="575" customWidth="1"/>
    <col min="13053" max="13053" width="3.875" style="575" customWidth="1"/>
    <col min="13054" max="13054" width="4" style="575" customWidth="1"/>
    <col min="13055" max="13055" width="4.375" style="575" customWidth="1"/>
    <col min="13056" max="13056" width="4.5" style="575" customWidth="1"/>
    <col min="13057" max="13057" width="3.875" style="575" customWidth="1"/>
    <col min="13058" max="13058" width="16.125" style="575" customWidth="1"/>
    <col min="13059" max="13059" width="19.875" style="575" customWidth="1"/>
    <col min="13060" max="13291" width="9" style="575"/>
    <col min="13292" max="13292" width="4.25" style="575" customWidth="1"/>
    <col min="13293" max="13293" width="29.5" style="575" customWidth="1"/>
    <col min="13294" max="13308" width="4.5" style="575" customWidth="1"/>
    <col min="13309" max="13309" width="3.875" style="575" customWidth="1"/>
    <col min="13310" max="13310" width="4" style="575" customWidth="1"/>
    <col min="13311" max="13311" width="4.375" style="575" customWidth="1"/>
    <col min="13312" max="13312" width="4.5" style="575" customWidth="1"/>
    <col min="13313" max="13313" width="3.875" style="575" customWidth="1"/>
    <col min="13314" max="13314" width="16.125" style="575" customWidth="1"/>
    <col min="13315" max="13315" width="19.875" style="575" customWidth="1"/>
    <col min="13316" max="13547" width="9" style="575"/>
    <col min="13548" max="13548" width="4.25" style="575" customWidth="1"/>
    <col min="13549" max="13549" width="29.5" style="575" customWidth="1"/>
    <col min="13550" max="13564" width="4.5" style="575" customWidth="1"/>
    <col min="13565" max="13565" width="3.875" style="575" customWidth="1"/>
    <col min="13566" max="13566" width="4" style="575" customWidth="1"/>
    <col min="13567" max="13567" width="4.375" style="575" customWidth="1"/>
    <col min="13568" max="13568" width="4.5" style="575" customWidth="1"/>
    <col min="13569" max="13569" width="3.875" style="575" customWidth="1"/>
    <col min="13570" max="13570" width="16.125" style="575" customWidth="1"/>
    <col min="13571" max="13571" width="19.875" style="575" customWidth="1"/>
    <col min="13572" max="13803" width="9" style="575"/>
    <col min="13804" max="13804" width="4.25" style="575" customWidth="1"/>
    <col min="13805" max="13805" width="29.5" style="575" customWidth="1"/>
    <col min="13806" max="13820" width="4.5" style="575" customWidth="1"/>
    <col min="13821" max="13821" width="3.875" style="575" customWidth="1"/>
    <col min="13822" max="13822" width="4" style="575" customWidth="1"/>
    <col min="13823" max="13823" width="4.375" style="575" customWidth="1"/>
    <col min="13824" max="13824" width="4.5" style="575" customWidth="1"/>
    <col min="13825" max="13825" width="3.875" style="575" customWidth="1"/>
    <col min="13826" max="13826" width="16.125" style="575" customWidth="1"/>
    <col min="13827" max="13827" width="19.875" style="575" customWidth="1"/>
    <col min="13828" max="14059" width="9" style="575"/>
    <col min="14060" max="14060" width="4.25" style="575" customWidth="1"/>
    <col min="14061" max="14061" width="29.5" style="575" customWidth="1"/>
    <col min="14062" max="14076" width="4.5" style="575" customWidth="1"/>
    <col min="14077" max="14077" width="3.875" style="575" customWidth="1"/>
    <col min="14078" max="14078" width="4" style="575" customWidth="1"/>
    <col min="14079" max="14079" width="4.375" style="575" customWidth="1"/>
    <col min="14080" max="14080" width="4.5" style="575" customWidth="1"/>
    <col min="14081" max="14081" width="3.875" style="575" customWidth="1"/>
    <col min="14082" max="14082" width="16.125" style="575" customWidth="1"/>
    <col min="14083" max="14083" width="19.875" style="575" customWidth="1"/>
    <col min="14084" max="14315" width="9" style="575"/>
    <col min="14316" max="14316" width="4.25" style="575" customWidth="1"/>
    <col min="14317" max="14317" width="29.5" style="575" customWidth="1"/>
    <col min="14318" max="14332" width="4.5" style="575" customWidth="1"/>
    <col min="14333" max="14333" width="3.875" style="575" customWidth="1"/>
    <col min="14334" max="14334" width="4" style="575" customWidth="1"/>
    <col min="14335" max="14335" width="4.375" style="575" customWidth="1"/>
    <col min="14336" max="14336" width="4.5" style="575" customWidth="1"/>
    <col min="14337" max="14337" width="3.875" style="575" customWidth="1"/>
    <col min="14338" max="14338" width="16.125" style="575" customWidth="1"/>
    <col min="14339" max="14339" width="19.875" style="575" customWidth="1"/>
    <col min="14340" max="14571" width="9" style="575"/>
    <col min="14572" max="14572" width="4.25" style="575" customWidth="1"/>
    <col min="14573" max="14573" width="29.5" style="575" customWidth="1"/>
    <col min="14574" max="14588" width="4.5" style="575" customWidth="1"/>
    <col min="14589" max="14589" width="3.875" style="575" customWidth="1"/>
    <col min="14590" max="14590" width="4" style="575" customWidth="1"/>
    <col min="14591" max="14591" width="4.375" style="575" customWidth="1"/>
    <col min="14592" max="14592" width="4.5" style="575" customWidth="1"/>
    <col min="14593" max="14593" width="3.875" style="575" customWidth="1"/>
    <col min="14594" max="14594" width="16.125" style="575" customWidth="1"/>
    <col min="14595" max="14595" width="19.875" style="575" customWidth="1"/>
    <col min="14596" max="14827" width="9" style="575"/>
    <col min="14828" max="14828" width="4.25" style="575" customWidth="1"/>
    <col min="14829" max="14829" width="29.5" style="575" customWidth="1"/>
    <col min="14830" max="14844" width="4.5" style="575" customWidth="1"/>
    <col min="14845" max="14845" width="3.875" style="575" customWidth="1"/>
    <col min="14846" max="14846" width="4" style="575" customWidth="1"/>
    <col min="14847" max="14847" width="4.375" style="575" customWidth="1"/>
    <col min="14848" max="14848" width="4.5" style="575" customWidth="1"/>
    <col min="14849" max="14849" width="3.875" style="575" customWidth="1"/>
    <col min="14850" max="14850" width="16.125" style="575" customWidth="1"/>
    <col min="14851" max="14851" width="19.875" style="575" customWidth="1"/>
    <col min="14852" max="15083" width="9" style="575"/>
    <col min="15084" max="15084" width="4.25" style="575" customWidth="1"/>
    <col min="15085" max="15085" width="29.5" style="575" customWidth="1"/>
    <col min="15086" max="15100" width="4.5" style="575" customWidth="1"/>
    <col min="15101" max="15101" width="3.875" style="575" customWidth="1"/>
    <col min="15102" max="15102" width="4" style="575" customWidth="1"/>
    <col min="15103" max="15103" width="4.375" style="575" customWidth="1"/>
    <col min="15104" max="15104" width="4.5" style="575" customWidth="1"/>
    <col min="15105" max="15105" width="3.875" style="575" customWidth="1"/>
    <col min="15106" max="15106" width="16.125" style="575" customWidth="1"/>
    <col min="15107" max="15107" width="19.875" style="575" customWidth="1"/>
    <col min="15108" max="15339" width="9" style="575"/>
    <col min="15340" max="15340" width="4.25" style="575" customWidth="1"/>
    <col min="15341" max="15341" width="29.5" style="575" customWidth="1"/>
    <col min="15342" max="15356" width="4.5" style="575" customWidth="1"/>
    <col min="15357" max="15357" width="3.875" style="575" customWidth="1"/>
    <col min="15358" max="15358" width="4" style="575" customWidth="1"/>
    <col min="15359" max="15359" width="4.375" style="575" customWidth="1"/>
    <col min="15360" max="15360" width="4.5" style="575" customWidth="1"/>
    <col min="15361" max="15361" width="3.875" style="575" customWidth="1"/>
    <col min="15362" max="15362" width="16.125" style="575" customWidth="1"/>
    <col min="15363" max="15363" width="19.875" style="575" customWidth="1"/>
    <col min="15364" max="15595" width="9" style="575"/>
    <col min="15596" max="15596" width="4.25" style="575" customWidth="1"/>
    <col min="15597" max="15597" width="29.5" style="575" customWidth="1"/>
    <col min="15598" max="15612" width="4.5" style="575" customWidth="1"/>
    <col min="15613" max="15613" width="3.875" style="575" customWidth="1"/>
    <col min="15614" max="15614" width="4" style="575" customWidth="1"/>
    <col min="15615" max="15615" width="4.375" style="575" customWidth="1"/>
    <col min="15616" max="15616" width="4.5" style="575" customWidth="1"/>
    <col min="15617" max="15617" width="3.875" style="575" customWidth="1"/>
    <col min="15618" max="15618" width="16.125" style="575" customWidth="1"/>
    <col min="15619" max="15619" width="19.875" style="575" customWidth="1"/>
    <col min="15620" max="15851" width="9" style="575"/>
    <col min="15852" max="15852" width="4.25" style="575" customWidth="1"/>
    <col min="15853" max="15853" width="29.5" style="575" customWidth="1"/>
    <col min="15854" max="15868" width="4.5" style="575" customWidth="1"/>
    <col min="15869" max="15869" width="3.875" style="575" customWidth="1"/>
    <col min="15870" max="15870" width="4" style="575" customWidth="1"/>
    <col min="15871" max="15871" width="4.375" style="575" customWidth="1"/>
    <col min="15872" max="15872" width="4.5" style="575" customWidth="1"/>
    <col min="15873" max="15873" width="3.875" style="575" customWidth="1"/>
    <col min="15874" max="15874" width="16.125" style="575" customWidth="1"/>
    <col min="15875" max="15875" width="19.875" style="575" customWidth="1"/>
    <col min="15876" max="16107" width="9" style="575"/>
    <col min="16108" max="16108" width="4.25" style="575" customWidth="1"/>
    <col min="16109" max="16109" width="29.5" style="575" customWidth="1"/>
    <col min="16110" max="16124" width="4.5" style="575" customWidth="1"/>
    <col min="16125" max="16125" width="3.875" style="575" customWidth="1"/>
    <col min="16126" max="16126" width="4" style="575" customWidth="1"/>
    <col min="16127" max="16127" width="4.375" style="575" customWidth="1"/>
    <col min="16128" max="16128" width="4.5" style="575" customWidth="1"/>
    <col min="16129" max="16129" width="3.875" style="575" customWidth="1"/>
    <col min="16130" max="16130" width="16.125" style="575" customWidth="1"/>
    <col min="16131" max="16131" width="19.875" style="575" customWidth="1"/>
    <col min="16132" max="16384" width="9" style="575"/>
  </cols>
  <sheetData>
    <row r="1" spans="1:12" ht="25.9" customHeight="1">
      <c r="A1" s="3578" t="s">
        <v>5446</v>
      </c>
      <c r="B1" s="3578"/>
      <c r="C1" s="3578"/>
      <c r="D1" s="3578"/>
      <c r="E1" s="3578"/>
      <c r="F1" s="3578"/>
      <c r="G1" s="3578"/>
      <c r="H1" s="3578"/>
      <c r="I1" s="3578"/>
      <c r="J1" s="2754" t="str">
        <f>基本情况!$F$10</f>
        <v>厦中汇税审（2018）第DS0001号</v>
      </c>
      <c r="K1" s="2754"/>
      <c r="L1" s="2754"/>
    </row>
    <row r="2" spans="1:12" s="1596" customFormat="1" ht="37.15" customHeight="1">
      <c r="A2" s="3579"/>
      <c r="B2" s="3579"/>
      <c r="C2" s="3579"/>
      <c r="D2" s="3579"/>
      <c r="E2" s="3579"/>
      <c r="F2" s="3579"/>
      <c r="G2" s="3579"/>
      <c r="H2" s="3579"/>
      <c r="I2" s="3579"/>
      <c r="J2" s="3023" t="str">
        <f>"底稿编号："&amp;开始!L13</f>
        <v>底稿编号：AD-11</v>
      </c>
      <c r="K2" s="3023"/>
      <c r="L2" s="3595"/>
    </row>
    <row r="3" spans="1:12" s="621" customFormat="1" ht="33" customHeight="1">
      <c r="A3" s="3690" t="s">
        <v>5347</v>
      </c>
      <c r="B3" s="3691" t="s">
        <v>5447</v>
      </c>
      <c r="C3" s="3691"/>
      <c r="D3" s="3689" t="s">
        <v>370</v>
      </c>
      <c r="E3" s="3689"/>
      <c r="F3" s="3689"/>
      <c r="G3" s="3689" t="s">
        <v>371</v>
      </c>
      <c r="H3" s="3689"/>
      <c r="I3" s="3689"/>
      <c r="J3" s="3689"/>
      <c r="K3" s="3689"/>
      <c r="L3" s="3686" t="s">
        <v>603</v>
      </c>
    </row>
    <row r="4" spans="1:12" s="621" customFormat="1" ht="16.5" customHeight="1">
      <c r="A4" s="3690"/>
      <c r="B4" s="3691"/>
      <c r="C4" s="3691"/>
      <c r="D4" s="3686" t="s">
        <v>596</v>
      </c>
      <c r="E4" s="3692" t="s">
        <v>554</v>
      </c>
      <c r="F4" s="3692" t="s">
        <v>555</v>
      </c>
      <c r="G4" s="3692" t="s">
        <v>556</v>
      </c>
      <c r="H4" s="3686" t="s">
        <v>597</v>
      </c>
      <c r="I4" s="3686" t="s">
        <v>598</v>
      </c>
      <c r="J4" s="3686" t="s">
        <v>599</v>
      </c>
      <c r="K4" s="3686" t="s">
        <v>600</v>
      </c>
      <c r="L4" s="3686"/>
    </row>
    <row r="5" spans="1:12" s="621" customFormat="1" ht="27.75" customHeight="1">
      <c r="A5" s="3690"/>
      <c r="B5" s="3691"/>
      <c r="C5" s="3691"/>
      <c r="D5" s="3686"/>
      <c r="E5" s="3692"/>
      <c r="F5" s="3692"/>
      <c r="G5" s="3692"/>
      <c r="H5" s="3686"/>
      <c r="I5" s="3686"/>
      <c r="J5" s="3686"/>
      <c r="K5" s="3686"/>
      <c r="L5" s="3686"/>
    </row>
    <row r="6" spans="1:12" s="621" customFormat="1" ht="16.5" customHeight="1">
      <c r="A6" s="3690"/>
      <c r="B6" s="3691"/>
      <c r="C6" s="3691"/>
      <c r="D6" s="2366">
        <v>1</v>
      </c>
      <c r="E6" s="2366">
        <v>2</v>
      </c>
      <c r="F6" s="2366">
        <v>3</v>
      </c>
      <c r="G6" s="2366">
        <v>4</v>
      </c>
      <c r="H6" s="2366">
        <v>5</v>
      </c>
      <c r="I6" s="2366">
        <v>6</v>
      </c>
      <c r="J6" s="2332" t="s">
        <v>601</v>
      </c>
      <c r="K6" s="2366">
        <v>8</v>
      </c>
      <c r="L6" s="2332" t="s">
        <v>602</v>
      </c>
    </row>
    <row r="7" spans="1:12" s="621" customFormat="1" ht="24.75" customHeight="1">
      <c r="A7" s="1597">
        <v>1</v>
      </c>
      <c r="B7" s="3687" t="s">
        <v>6532</v>
      </c>
      <c r="C7" s="3687"/>
      <c r="D7" s="2371"/>
      <c r="E7" s="2371"/>
      <c r="F7" s="2371"/>
      <c r="G7" s="2371">
        <f>D7</f>
        <v>0</v>
      </c>
      <c r="H7" s="2371"/>
      <c r="I7" s="2371"/>
      <c r="J7" s="2371">
        <f>H7-I7</f>
        <v>0</v>
      </c>
      <c r="K7" s="2371"/>
      <c r="L7" s="2372">
        <f>E7-H7</f>
        <v>0</v>
      </c>
    </row>
    <row r="8" spans="1:12" s="621" customFormat="1" ht="24.75" customHeight="1">
      <c r="A8" s="1597">
        <v>2</v>
      </c>
      <c r="B8" s="3688" t="s">
        <v>6533</v>
      </c>
      <c r="C8" s="3688"/>
      <c r="D8" s="2371"/>
      <c r="E8" s="2371"/>
      <c r="F8" s="2371"/>
      <c r="G8" s="2371">
        <f t="shared" ref="G8:G16" si="0">D8</f>
        <v>0</v>
      </c>
      <c r="H8" s="2371"/>
      <c r="I8" s="2371"/>
      <c r="J8" s="2371">
        <f t="shared" ref="J8:J16" si="1">H8-I8</f>
        <v>0</v>
      </c>
      <c r="K8" s="2371"/>
      <c r="L8" s="2372">
        <f t="shared" ref="L8:L16" si="2">E8-H8</f>
        <v>0</v>
      </c>
    </row>
    <row r="9" spans="1:12" s="621" customFormat="1" ht="24.75" customHeight="1">
      <c r="A9" s="1597">
        <v>3</v>
      </c>
      <c r="B9" s="3688" t="s">
        <v>6542</v>
      </c>
      <c r="C9" s="3688"/>
      <c r="D9" s="2371">
        <f>SUM(D10:D12)</f>
        <v>0</v>
      </c>
      <c r="E9" s="2371">
        <f t="shared" ref="E9:L9" si="3">SUM(E10:E12)</f>
        <v>0</v>
      </c>
      <c r="F9" s="2371">
        <f t="shared" si="3"/>
        <v>0</v>
      </c>
      <c r="G9" s="2371">
        <f t="shared" si="0"/>
        <v>0</v>
      </c>
      <c r="H9" s="2371">
        <f t="shared" si="3"/>
        <v>0</v>
      </c>
      <c r="I9" s="2371">
        <f t="shared" si="3"/>
        <v>0</v>
      </c>
      <c r="J9" s="2371">
        <f t="shared" si="3"/>
        <v>0</v>
      </c>
      <c r="K9" s="2371">
        <f t="shared" si="3"/>
        <v>0</v>
      </c>
      <c r="L9" s="2371">
        <f t="shared" si="3"/>
        <v>0</v>
      </c>
    </row>
    <row r="10" spans="1:12" s="621" customFormat="1" ht="24.75" customHeight="1">
      <c r="A10" s="1597">
        <v>4</v>
      </c>
      <c r="B10" s="3684" t="s">
        <v>6534</v>
      </c>
      <c r="C10" s="3684"/>
      <c r="D10" s="2371"/>
      <c r="E10" s="2371"/>
      <c r="F10" s="2371"/>
      <c r="G10" s="2371">
        <f t="shared" si="0"/>
        <v>0</v>
      </c>
      <c r="H10" s="2371"/>
      <c r="I10" s="2371"/>
      <c r="J10" s="2371">
        <f t="shared" si="1"/>
        <v>0</v>
      </c>
      <c r="K10" s="2371"/>
      <c r="L10" s="2372">
        <f t="shared" si="2"/>
        <v>0</v>
      </c>
    </row>
    <row r="11" spans="1:12" s="621" customFormat="1" ht="24.75" customHeight="1">
      <c r="A11" s="1597">
        <v>5</v>
      </c>
      <c r="B11" s="3688" t="s">
        <v>6535</v>
      </c>
      <c r="C11" s="3688"/>
      <c r="D11" s="2370"/>
      <c r="E11" s="2370"/>
      <c r="F11" s="2370"/>
      <c r="G11" s="2371">
        <f t="shared" si="0"/>
        <v>0</v>
      </c>
      <c r="H11" s="2370"/>
      <c r="I11" s="2370"/>
      <c r="J11" s="2371">
        <f t="shared" si="1"/>
        <v>0</v>
      </c>
      <c r="K11" s="2370"/>
      <c r="L11" s="2372">
        <f t="shared" si="2"/>
        <v>0</v>
      </c>
    </row>
    <row r="12" spans="1:12" s="621" customFormat="1" ht="24.75" customHeight="1">
      <c r="A12" s="1597">
        <v>6</v>
      </c>
      <c r="B12" s="3684" t="s">
        <v>6536</v>
      </c>
      <c r="C12" s="3684"/>
      <c r="D12" s="2370"/>
      <c r="E12" s="2370"/>
      <c r="F12" s="2370"/>
      <c r="G12" s="2371">
        <f t="shared" si="0"/>
        <v>0</v>
      </c>
      <c r="H12" s="2370"/>
      <c r="I12" s="2370"/>
      <c r="J12" s="2371">
        <f t="shared" si="1"/>
        <v>0</v>
      </c>
      <c r="K12" s="2370"/>
      <c r="L12" s="2372">
        <f t="shared" si="2"/>
        <v>0</v>
      </c>
    </row>
    <row r="13" spans="1:12" s="621" customFormat="1" ht="24.75" customHeight="1">
      <c r="A13" s="1597">
        <v>7</v>
      </c>
      <c r="B13" s="3684" t="s">
        <v>6537</v>
      </c>
      <c r="C13" s="3684"/>
      <c r="D13" s="2370"/>
      <c r="E13" s="2370"/>
      <c r="F13" s="2370"/>
      <c r="G13" s="2371">
        <f t="shared" si="0"/>
        <v>0</v>
      </c>
      <c r="H13" s="2370"/>
      <c r="I13" s="2370"/>
      <c r="J13" s="2371">
        <f t="shared" si="1"/>
        <v>0</v>
      </c>
      <c r="K13" s="2370"/>
      <c r="L13" s="2372">
        <f t="shared" si="2"/>
        <v>0</v>
      </c>
    </row>
    <row r="14" spans="1:12" s="621" customFormat="1" ht="24.75" customHeight="1">
      <c r="A14" s="1597">
        <v>8</v>
      </c>
      <c r="B14" s="3684" t="s">
        <v>6538</v>
      </c>
      <c r="C14" s="3684"/>
      <c r="D14" s="2370"/>
      <c r="E14" s="2370"/>
      <c r="F14" s="2370"/>
      <c r="G14" s="2371">
        <f t="shared" si="0"/>
        <v>0</v>
      </c>
      <c r="H14" s="2370"/>
      <c r="I14" s="2370"/>
      <c r="J14" s="2371">
        <f t="shared" si="1"/>
        <v>0</v>
      </c>
      <c r="K14" s="2370"/>
      <c r="L14" s="2372">
        <f t="shared" si="2"/>
        <v>0</v>
      </c>
    </row>
    <row r="15" spans="1:12" s="621" customFormat="1" ht="24.75" customHeight="1">
      <c r="A15" s="1597">
        <v>9</v>
      </c>
      <c r="B15" s="3684" t="s">
        <v>6539</v>
      </c>
      <c r="C15" s="3684"/>
      <c r="D15" s="2370"/>
      <c r="E15" s="2370"/>
      <c r="F15" s="2370"/>
      <c r="G15" s="2371">
        <f t="shared" si="0"/>
        <v>0</v>
      </c>
      <c r="H15" s="2370"/>
      <c r="I15" s="2370"/>
      <c r="J15" s="2371">
        <f t="shared" si="1"/>
        <v>0</v>
      </c>
      <c r="K15" s="2370"/>
      <c r="L15" s="2372">
        <f t="shared" si="2"/>
        <v>0</v>
      </c>
    </row>
    <row r="16" spans="1:12" s="621" customFormat="1" ht="24.75" customHeight="1">
      <c r="A16" s="1597">
        <v>10</v>
      </c>
      <c r="B16" s="3684" t="s">
        <v>6540</v>
      </c>
      <c r="C16" s="3684"/>
      <c r="D16" s="2370"/>
      <c r="E16" s="2370"/>
      <c r="F16" s="2370"/>
      <c r="G16" s="2371">
        <f t="shared" si="0"/>
        <v>0</v>
      </c>
      <c r="H16" s="2370"/>
      <c r="I16" s="2370"/>
      <c r="J16" s="2371">
        <f t="shared" si="1"/>
        <v>0</v>
      </c>
      <c r="K16" s="2370"/>
      <c r="L16" s="2372">
        <f t="shared" si="2"/>
        <v>0</v>
      </c>
    </row>
    <row r="17" spans="1:12" s="621" customFormat="1" ht="24.75" customHeight="1">
      <c r="A17" s="1597">
        <v>11</v>
      </c>
      <c r="B17" s="3685" t="s">
        <v>6541</v>
      </c>
      <c r="C17" s="3685"/>
      <c r="D17" s="2370">
        <f>SUM(D7:D9,D13:D16)</f>
        <v>0</v>
      </c>
      <c r="E17" s="2370">
        <f t="shared" ref="E17:L17" si="4">SUM(E7:E9,E13:E16)</f>
        <v>0</v>
      </c>
      <c r="F17" s="2370">
        <f t="shared" si="4"/>
        <v>0</v>
      </c>
      <c r="G17" s="2370">
        <f t="shared" si="4"/>
        <v>0</v>
      </c>
      <c r="H17" s="2370">
        <f t="shared" si="4"/>
        <v>0</v>
      </c>
      <c r="I17" s="2370">
        <f t="shared" si="4"/>
        <v>0</v>
      </c>
      <c r="J17" s="2370">
        <f t="shared" si="4"/>
        <v>0</v>
      </c>
      <c r="K17" s="2370">
        <f t="shared" si="4"/>
        <v>0</v>
      </c>
      <c r="L17" s="2370">
        <f t="shared" si="4"/>
        <v>0</v>
      </c>
    </row>
    <row r="18" spans="1:12">
      <c r="A18" s="1540"/>
      <c r="B18" s="1540"/>
      <c r="C18" s="1540"/>
    </row>
  </sheetData>
  <mergeCells count="27">
    <mergeCell ref="J1:L1"/>
    <mergeCell ref="J2:L2"/>
    <mergeCell ref="A1:I2"/>
    <mergeCell ref="B14:C14"/>
    <mergeCell ref="D3:F3"/>
    <mergeCell ref="G3:K3"/>
    <mergeCell ref="A3:A6"/>
    <mergeCell ref="B3:C6"/>
    <mergeCell ref="D4:D5"/>
    <mergeCell ref="E4:E5"/>
    <mergeCell ref="F4:F5"/>
    <mergeCell ref="G4:G5"/>
    <mergeCell ref="H4:H5"/>
    <mergeCell ref="I4:I5"/>
    <mergeCell ref="J4:J5"/>
    <mergeCell ref="K4:K5"/>
    <mergeCell ref="B15:C15"/>
    <mergeCell ref="B16:C16"/>
    <mergeCell ref="B17:C17"/>
    <mergeCell ref="L3:L5"/>
    <mergeCell ref="B7:C7"/>
    <mergeCell ref="B8:C8"/>
    <mergeCell ref="B13:C13"/>
    <mergeCell ref="B9:C9"/>
    <mergeCell ref="B10:C10"/>
    <mergeCell ref="B12:C12"/>
    <mergeCell ref="B11:C11"/>
  </mergeCells>
  <phoneticPr fontId="135" type="noConversion"/>
  <printOptions horizontalCentered="1"/>
  <pageMargins left="0.59055118110236215" right="0.59055118110236215" top="0.39370078740157477" bottom="0.39370078740157477" header="0.511811023622047" footer="0.511811023622047"/>
  <pageSetup paperSize="9" scale="90" orientation="landscape" useFirstPageNumber="1" r:id="rId1"/>
  <headerFooter alignWithMargins="0"/>
  <drawing r:id="rId2"/>
  <legacyDrawing r:id="rId3"/>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9">
    <tabColor rgb="FFFFFF00"/>
  </sheetPr>
  <dimension ref="A1:H19"/>
  <sheetViews>
    <sheetView topLeftCell="C1" workbookViewId="0">
      <selection activeCell="F3" sqref="F3"/>
    </sheetView>
  </sheetViews>
  <sheetFormatPr defaultRowHeight="14.25"/>
  <cols>
    <col min="1" max="1" width="5.25" style="1577" customWidth="1"/>
    <col min="2" max="2" width="46.5" style="1577" customWidth="1"/>
    <col min="3" max="8" width="16" style="1577" customWidth="1"/>
    <col min="9" max="255" width="9" style="1577"/>
    <col min="256" max="256" width="5.25" style="1577" customWidth="1"/>
    <col min="257" max="257" width="46.5" style="1577" customWidth="1"/>
    <col min="258" max="259" width="9.375" style="1577" customWidth="1"/>
    <col min="260" max="260" width="10.25" style="1577" customWidth="1"/>
    <col min="261" max="261" width="23.5" style="1577" customWidth="1"/>
    <col min="262" max="263" width="9" style="1577"/>
    <col min="264" max="264" width="42" style="1577" customWidth="1"/>
    <col min="265" max="511" width="9" style="1577"/>
    <col min="512" max="512" width="5.25" style="1577" customWidth="1"/>
    <col min="513" max="513" width="46.5" style="1577" customWidth="1"/>
    <col min="514" max="515" width="9.375" style="1577" customWidth="1"/>
    <col min="516" max="516" width="10.25" style="1577" customWidth="1"/>
    <col min="517" max="517" width="23.5" style="1577" customWidth="1"/>
    <col min="518" max="519" width="9" style="1577"/>
    <col min="520" max="520" width="42" style="1577" customWidth="1"/>
    <col min="521" max="767" width="9" style="1577"/>
    <col min="768" max="768" width="5.25" style="1577" customWidth="1"/>
    <col min="769" max="769" width="46.5" style="1577" customWidth="1"/>
    <col min="770" max="771" width="9.375" style="1577" customWidth="1"/>
    <col min="772" max="772" width="10.25" style="1577" customWidth="1"/>
    <col min="773" max="773" width="23.5" style="1577" customWidth="1"/>
    <col min="774" max="775" width="9" style="1577"/>
    <col min="776" max="776" width="42" style="1577" customWidth="1"/>
    <col min="777" max="1023" width="9" style="1577"/>
    <col min="1024" max="1024" width="5.25" style="1577" customWidth="1"/>
    <col min="1025" max="1025" width="46.5" style="1577" customWidth="1"/>
    <col min="1026" max="1027" width="9.375" style="1577" customWidth="1"/>
    <col min="1028" max="1028" width="10.25" style="1577" customWidth="1"/>
    <col min="1029" max="1029" width="23.5" style="1577" customWidth="1"/>
    <col min="1030" max="1031" width="9" style="1577"/>
    <col min="1032" max="1032" width="42" style="1577" customWidth="1"/>
    <col min="1033" max="1279" width="9" style="1577"/>
    <col min="1280" max="1280" width="5.25" style="1577" customWidth="1"/>
    <col min="1281" max="1281" width="46.5" style="1577" customWidth="1"/>
    <col min="1282" max="1283" width="9.375" style="1577" customWidth="1"/>
    <col min="1284" max="1284" width="10.25" style="1577" customWidth="1"/>
    <col min="1285" max="1285" width="23.5" style="1577" customWidth="1"/>
    <col min="1286" max="1287" width="9" style="1577"/>
    <col min="1288" max="1288" width="42" style="1577" customWidth="1"/>
    <col min="1289" max="1535" width="9" style="1577"/>
    <col min="1536" max="1536" width="5.25" style="1577" customWidth="1"/>
    <col min="1537" max="1537" width="46.5" style="1577" customWidth="1"/>
    <col min="1538" max="1539" width="9.375" style="1577" customWidth="1"/>
    <col min="1540" max="1540" width="10.25" style="1577" customWidth="1"/>
    <col min="1541" max="1541" width="23.5" style="1577" customWidth="1"/>
    <col min="1542" max="1543" width="9" style="1577"/>
    <col min="1544" max="1544" width="42" style="1577" customWidth="1"/>
    <col min="1545" max="1791" width="9" style="1577"/>
    <col min="1792" max="1792" width="5.25" style="1577" customWidth="1"/>
    <col min="1793" max="1793" width="46.5" style="1577" customWidth="1"/>
    <col min="1794" max="1795" width="9.375" style="1577" customWidth="1"/>
    <col min="1796" max="1796" width="10.25" style="1577" customWidth="1"/>
    <col min="1797" max="1797" width="23.5" style="1577" customWidth="1"/>
    <col min="1798" max="1799" width="9" style="1577"/>
    <col min="1800" max="1800" width="42" style="1577" customWidth="1"/>
    <col min="1801" max="2047" width="9" style="1577"/>
    <col min="2048" max="2048" width="5.25" style="1577" customWidth="1"/>
    <col min="2049" max="2049" width="46.5" style="1577" customWidth="1"/>
    <col min="2050" max="2051" width="9.375" style="1577" customWidth="1"/>
    <col min="2052" max="2052" width="10.25" style="1577" customWidth="1"/>
    <col min="2053" max="2053" width="23.5" style="1577" customWidth="1"/>
    <col min="2054" max="2055" width="9" style="1577"/>
    <col min="2056" max="2056" width="42" style="1577" customWidth="1"/>
    <col min="2057" max="2303" width="9" style="1577"/>
    <col min="2304" max="2304" width="5.25" style="1577" customWidth="1"/>
    <col min="2305" max="2305" width="46.5" style="1577" customWidth="1"/>
    <col min="2306" max="2307" width="9.375" style="1577" customWidth="1"/>
    <col min="2308" max="2308" width="10.25" style="1577" customWidth="1"/>
    <col min="2309" max="2309" width="23.5" style="1577" customWidth="1"/>
    <col min="2310" max="2311" width="9" style="1577"/>
    <col min="2312" max="2312" width="42" style="1577" customWidth="1"/>
    <col min="2313" max="2559" width="9" style="1577"/>
    <col min="2560" max="2560" width="5.25" style="1577" customWidth="1"/>
    <col min="2561" max="2561" width="46.5" style="1577" customWidth="1"/>
    <col min="2562" max="2563" width="9.375" style="1577" customWidth="1"/>
    <col min="2564" max="2564" width="10.25" style="1577" customWidth="1"/>
    <col min="2565" max="2565" width="23.5" style="1577" customWidth="1"/>
    <col min="2566" max="2567" width="9" style="1577"/>
    <col min="2568" max="2568" width="42" style="1577" customWidth="1"/>
    <col min="2569" max="2815" width="9" style="1577"/>
    <col min="2816" max="2816" width="5.25" style="1577" customWidth="1"/>
    <col min="2817" max="2817" width="46.5" style="1577" customWidth="1"/>
    <col min="2818" max="2819" width="9.375" style="1577" customWidth="1"/>
    <col min="2820" max="2820" width="10.25" style="1577" customWidth="1"/>
    <col min="2821" max="2821" width="23.5" style="1577" customWidth="1"/>
    <col min="2822" max="2823" width="9" style="1577"/>
    <col min="2824" max="2824" width="42" style="1577" customWidth="1"/>
    <col min="2825" max="3071" width="9" style="1577"/>
    <col min="3072" max="3072" width="5.25" style="1577" customWidth="1"/>
    <col min="3073" max="3073" width="46.5" style="1577" customWidth="1"/>
    <col min="3074" max="3075" width="9.375" style="1577" customWidth="1"/>
    <col min="3076" max="3076" width="10.25" style="1577" customWidth="1"/>
    <col min="3077" max="3077" width="23.5" style="1577" customWidth="1"/>
    <col min="3078" max="3079" width="9" style="1577"/>
    <col min="3080" max="3080" width="42" style="1577" customWidth="1"/>
    <col min="3081" max="3327" width="9" style="1577"/>
    <col min="3328" max="3328" width="5.25" style="1577" customWidth="1"/>
    <col min="3329" max="3329" width="46.5" style="1577" customWidth="1"/>
    <col min="3330" max="3331" width="9.375" style="1577" customWidth="1"/>
    <col min="3332" max="3332" width="10.25" style="1577" customWidth="1"/>
    <col min="3333" max="3333" width="23.5" style="1577" customWidth="1"/>
    <col min="3334" max="3335" width="9" style="1577"/>
    <col min="3336" max="3336" width="42" style="1577" customWidth="1"/>
    <col min="3337" max="3583" width="9" style="1577"/>
    <col min="3584" max="3584" width="5.25" style="1577" customWidth="1"/>
    <col min="3585" max="3585" width="46.5" style="1577" customWidth="1"/>
    <col min="3586" max="3587" width="9.375" style="1577" customWidth="1"/>
    <col min="3588" max="3588" width="10.25" style="1577" customWidth="1"/>
    <col min="3589" max="3589" width="23.5" style="1577" customWidth="1"/>
    <col min="3590" max="3591" width="9" style="1577"/>
    <col min="3592" max="3592" width="42" style="1577" customWidth="1"/>
    <col min="3593" max="3839" width="9" style="1577"/>
    <col min="3840" max="3840" width="5.25" style="1577" customWidth="1"/>
    <col min="3841" max="3841" width="46.5" style="1577" customWidth="1"/>
    <col min="3842" max="3843" width="9.375" style="1577" customWidth="1"/>
    <col min="3844" max="3844" width="10.25" style="1577" customWidth="1"/>
    <col min="3845" max="3845" width="23.5" style="1577" customWidth="1"/>
    <col min="3846" max="3847" width="9" style="1577"/>
    <col min="3848" max="3848" width="42" style="1577" customWidth="1"/>
    <col min="3849" max="4095" width="9" style="1577"/>
    <col min="4096" max="4096" width="5.25" style="1577" customWidth="1"/>
    <col min="4097" max="4097" width="46.5" style="1577" customWidth="1"/>
    <col min="4098" max="4099" width="9.375" style="1577" customWidth="1"/>
    <col min="4100" max="4100" width="10.25" style="1577" customWidth="1"/>
    <col min="4101" max="4101" width="23.5" style="1577" customWidth="1"/>
    <col min="4102" max="4103" width="9" style="1577"/>
    <col min="4104" max="4104" width="42" style="1577" customWidth="1"/>
    <col min="4105" max="4351" width="9" style="1577"/>
    <col min="4352" max="4352" width="5.25" style="1577" customWidth="1"/>
    <col min="4353" max="4353" width="46.5" style="1577" customWidth="1"/>
    <col min="4354" max="4355" width="9.375" style="1577" customWidth="1"/>
    <col min="4356" max="4356" width="10.25" style="1577" customWidth="1"/>
    <col min="4357" max="4357" width="23.5" style="1577" customWidth="1"/>
    <col min="4358" max="4359" width="9" style="1577"/>
    <col min="4360" max="4360" width="42" style="1577" customWidth="1"/>
    <col min="4361" max="4607" width="9" style="1577"/>
    <col min="4608" max="4608" width="5.25" style="1577" customWidth="1"/>
    <col min="4609" max="4609" width="46.5" style="1577" customWidth="1"/>
    <col min="4610" max="4611" width="9.375" style="1577" customWidth="1"/>
    <col min="4612" max="4612" width="10.25" style="1577" customWidth="1"/>
    <col min="4613" max="4613" width="23.5" style="1577" customWidth="1"/>
    <col min="4614" max="4615" width="9" style="1577"/>
    <col min="4616" max="4616" width="42" style="1577" customWidth="1"/>
    <col min="4617" max="4863" width="9" style="1577"/>
    <col min="4864" max="4864" width="5.25" style="1577" customWidth="1"/>
    <col min="4865" max="4865" width="46.5" style="1577" customWidth="1"/>
    <col min="4866" max="4867" width="9.375" style="1577" customWidth="1"/>
    <col min="4868" max="4868" width="10.25" style="1577" customWidth="1"/>
    <col min="4869" max="4869" width="23.5" style="1577" customWidth="1"/>
    <col min="4870" max="4871" width="9" style="1577"/>
    <col min="4872" max="4872" width="42" style="1577" customWidth="1"/>
    <col min="4873" max="5119" width="9" style="1577"/>
    <col min="5120" max="5120" width="5.25" style="1577" customWidth="1"/>
    <col min="5121" max="5121" width="46.5" style="1577" customWidth="1"/>
    <col min="5122" max="5123" width="9.375" style="1577" customWidth="1"/>
    <col min="5124" max="5124" width="10.25" style="1577" customWidth="1"/>
    <col min="5125" max="5125" width="23.5" style="1577" customWidth="1"/>
    <col min="5126" max="5127" width="9" style="1577"/>
    <col min="5128" max="5128" width="42" style="1577" customWidth="1"/>
    <col min="5129" max="5375" width="9" style="1577"/>
    <col min="5376" max="5376" width="5.25" style="1577" customWidth="1"/>
    <col min="5377" max="5377" width="46.5" style="1577" customWidth="1"/>
    <col min="5378" max="5379" width="9.375" style="1577" customWidth="1"/>
    <col min="5380" max="5380" width="10.25" style="1577" customWidth="1"/>
    <col min="5381" max="5381" width="23.5" style="1577" customWidth="1"/>
    <col min="5382" max="5383" width="9" style="1577"/>
    <col min="5384" max="5384" width="42" style="1577" customWidth="1"/>
    <col min="5385" max="5631" width="9" style="1577"/>
    <col min="5632" max="5632" width="5.25" style="1577" customWidth="1"/>
    <col min="5633" max="5633" width="46.5" style="1577" customWidth="1"/>
    <col min="5634" max="5635" width="9.375" style="1577" customWidth="1"/>
    <col min="5636" max="5636" width="10.25" style="1577" customWidth="1"/>
    <col min="5637" max="5637" width="23.5" style="1577" customWidth="1"/>
    <col min="5638" max="5639" width="9" style="1577"/>
    <col min="5640" max="5640" width="42" style="1577" customWidth="1"/>
    <col min="5641" max="5887" width="9" style="1577"/>
    <col min="5888" max="5888" width="5.25" style="1577" customWidth="1"/>
    <col min="5889" max="5889" width="46.5" style="1577" customWidth="1"/>
    <col min="5890" max="5891" width="9.375" style="1577" customWidth="1"/>
    <col min="5892" max="5892" width="10.25" style="1577" customWidth="1"/>
    <col min="5893" max="5893" width="23.5" style="1577" customWidth="1"/>
    <col min="5894" max="5895" width="9" style="1577"/>
    <col min="5896" max="5896" width="42" style="1577" customWidth="1"/>
    <col min="5897" max="6143" width="9" style="1577"/>
    <col min="6144" max="6144" width="5.25" style="1577" customWidth="1"/>
    <col min="6145" max="6145" width="46.5" style="1577" customWidth="1"/>
    <col min="6146" max="6147" width="9.375" style="1577" customWidth="1"/>
    <col min="6148" max="6148" width="10.25" style="1577" customWidth="1"/>
    <col min="6149" max="6149" width="23.5" style="1577" customWidth="1"/>
    <col min="6150" max="6151" width="9" style="1577"/>
    <col min="6152" max="6152" width="42" style="1577" customWidth="1"/>
    <col min="6153" max="6399" width="9" style="1577"/>
    <col min="6400" max="6400" width="5.25" style="1577" customWidth="1"/>
    <col min="6401" max="6401" width="46.5" style="1577" customWidth="1"/>
    <col min="6402" max="6403" width="9.375" style="1577" customWidth="1"/>
    <col min="6404" max="6404" width="10.25" style="1577" customWidth="1"/>
    <col min="6405" max="6405" width="23.5" style="1577" customWidth="1"/>
    <col min="6406" max="6407" width="9" style="1577"/>
    <col min="6408" max="6408" width="42" style="1577" customWidth="1"/>
    <col min="6409" max="6655" width="9" style="1577"/>
    <col min="6656" max="6656" width="5.25" style="1577" customWidth="1"/>
    <col min="6657" max="6657" width="46.5" style="1577" customWidth="1"/>
    <col min="6658" max="6659" width="9.375" style="1577" customWidth="1"/>
    <col min="6660" max="6660" width="10.25" style="1577" customWidth="1"/>
    <col min="6661" max="6661" width="23.5" style="1577" customWidth="1"/>
    <col min="6662" max="6663" width="9" style="1577"/>
    <col min="6664" max="6664" width="42" style="1577" customWidth="1"/>
    <col min="6665" max="6911" width="9" style="1577"/>
    <col min="6912" max="6912" width="5.25" style="1577" customWidth="1"/>
    <col min="6913" max="6913" width="46.5" style="1577" customWidth="1"/>
    <col min="6914" max="6915" width="9.375" style="1577" customWidth="1"/>
    <col min="6916" max="6916" width="10.25" style="1577" customWidth="1"/>
    <col min="6917" max="6917" width="23.5" style="1577" customWidth="1"/>
    <col min="6918" max="6919" width="9" style="1577"/>
    <col min="6920" max="6920" width="42" style="1577" customWidth="1"/>
    <col min="6921" max="7167" width="9" style="1577"/>
    <col min="7168" max="7168" width="5.25" style="1577" customWidth="1"/>
    <col min="7169" max="7169" width="46.5" style="1577" customWidth="1"/>
    <col min="7170" max="7171" width="9.375" style="1577" customWidth="1"/>
    <col min="7172" max="7172" width="10.25" style="1577" customWidth="1"/>
    <col min="7173" max="7173" width="23.5" style="1577" customWidth="1"/>
    <col min="7174" max="7175" width="9" style="1577"/>
    <col min="7176" max="7176" width="42" style="1577" customWidth="1"/>
    <col min="7177" max="7423" width="9" style="1577"/>
    <col min="7424" max="7424" width="5.25" style="1577" customWidth="1"/>
    <col min="7425" max="7425" width="46.5" style="1577" customWidth="1"/>
    <col min="7426" max="7427" width="9.375" style="1577" customWidth="1"/>
    <col min="7428" max="7428" width="10.25" style="1577" customWidth="1"/>
    <col min="7429" max="7429" width="23.5" style="1577" customWidth="1"/>
    <col min="7430" max="7431" width="9" style="1577"/>
    <col min="7432" max="7432" width="42" style="1577" customWidth="1"/>
    <col min="7433" max="7679" width="9" style="1577"/>
    <col min="7680" max="7680" width="5.25" style="1577" customWidth="1"/>
    <col min="7681" max="7681" width="46.5" style="1577" customWidth="1"/>
    <col min="7682" max="7683" width="9.375" style="1577" customWidth="1"/>
    <col min="7684" max="7684" width="10.25" style="1577" customWidth="1"/>
    <col min="7685" max="7685" width="23.5" style="1577" customWidth="1"/>
    <col min="7686" max="7687" width="9" style="1577"/>
    <col min="7688" max="7688" width="42" style="1577" customWidth="1"/>
    <col min="7689" max="7935" width="9" style="1577"/>
    <col min="7936" max="7936" width="5.25" style="1577" customWidth="1"/>
    <col min="7937" max="7937" width="46.5" style="1577" customWidth="1"/>
    <col min="7938" max="7939" width="9.375" style="1577" customWidth="1"/>
    <col min="7940" max="7940" width="10.25" style="1577" customWidth="1"/>
    <col min="7941" max="7941" width="23.5" style="1577" customWidth="1"/>
    <col min="7942" max="7943" width="9" style="1577"/>
    <col min="7944" max="7944" width="42" style="1577" customWidth="1"/>
    <col min="7945" max="8191" width="9" style="1577"/>
    <col min="8192" max="8192" width="5.25" style="1577" customWidth="1"/>
    <col min="8193" max="8193" width="46.5" style="1577" customWidth="1"/>
    <col min="8194" max="8195" width="9.375" style="1577" customWidth="1"/>
    <col min="8196" max="8196" width="10.25" style="1577" customWidth="1"/>
    <col min="8197" max="8197" width="23.5" style="1577" customWidth="1"/>
    <col min="8198" max="8199" width="9" style="1577"/>
    <col min="8200" max="8200" width="42" style="1577" customWidth="1"/>
    <col min="8201" max="8447" width="9" style="1577"/>
    <col min="8448" max="8448" width="5.25" style="1577" customWidth="1"/>
    <col min="8449" max="8449" width="46.5" style="1577" customWidth="1"/>
    <col min="8450" max="8451" width="9.375" style="1577" customWidth="1"/>
    <col min="8452" max="8452" width="10.25" style="1577" customWidth="1"/>
    <col min="8453" max="8453" width="23.5" style="1577" customWidth="1"/>
    <col min="8454" max="8455" width="9" style="1577"/>
    <col min="8456" max="8456" width="42" style="1577" customWidth="1"/>
    <col min="8457" max="8703" width="9" style="1577"/>
    <col min="8704" max="8704" width="5.25" style="1577" customWidth="1"/>
    <col min="8705" max="8705" width="46.5" style="1577" customWidth="1"/>
    <col min="8706" max="8707" width="9.375" style="1577" customWidth="1"/>
    <col min="8708" max="8708" width="10.25" style="1577" customWidth="1"/>
    <col min="8709" max="8709" width="23.5" style="1577" customWidth="1"/>
    <col min="8710" max="8711" width="9" style="1577"/>
    <col min="8712" max="8712" width="42" style="1577" customWidth="1"/>
    <col min="8713" max="8959" width="9" style="1577"/>
    <col min="8960" max="8960" width="5.25" style="1577" customWidth="1"/>
    <col min="8961" max="8961" width="46.5" style="1577" customWidth="1"/>
    <col min="8962" max="8963" width="9.375" style="1577" customWidth="1"/>
    <col min="8964" max="8964" width="10.25" style="1577" customWidth="1"/>
    <col min="8965" max="8965" width="23.5" style="1577" customWidth="1"/>
    <col min="8966" max="8967" width="9" style="1577"/>
    <col min="8968" max="8968" width="42" style="1577" customWidth="1"/>
    <col min="8969" max="9215" width="9" style="1577"/>
    <col min="9216" max="9216" width="5.25" style="1577" customWidth="1"/>
    <col min="9217" max="9217" width="46.5" style="1577" customWidth="1"/>
    <col min="9218" max="9219" width="9.375" style="1577" customWidth="1"/>
    <col min="9220" max="9220" width="10.25" style="1577" customWidth="1"/>
    <col min="9221" max="9221" width="23.5" style="1577" customWidth="1"/>
    <col min="9222" max="9223" width="9" style="1577"/>
    <col min="9224" max="9224" width="42" style="1577" customWidth="1"/>
    <col min="9225" max="9471" width="9" style="1577"/>
    <col min="9472" max="9472" width="5.25" style="1577" customWidth="1"/>
    <col min="9473" max="9473" width="46.5" style="1577" customWidth="1"/>
    <col min="9474" max="9475" width="9.375" style="1577" customWidth="1"/>
    <col min="9476" max="9476" width="10.25" style="1577" customWidth="1"/>
    <col min="9477" max="9477" width="23.5" style="1577" customWidth="1"/>
    <col min="9478" max="9479" width="9" style="1577"/>
    <col min="9480" max="9480" width="42" style="1577" customWidth="1"/>
    <col min="9481" max="9727" width="9" style="1577"/>
    <col min="9728" max="9728" width="5.25" style="1577" customWidth="1"/>
    <col min="9729" max="9729" width="46.5" style="1577" customWidth="1"/>
    <col min="9730" max="9731" width="9.375" style="1577" customWidth="1"/>
    <col min="9732" max="9732" width="10.25" style="1577" customWidth="1"/>
    <col min="9733" max="9733" width="23.5" style="1577" customWidth="1"/>
    <col min="9734" max="9735" width="9" style="1577"/>
    <col min="9736" max="9736" width="42" style="1577" customWidth="1"/>
    <col min="9737" max="9983" width="9" style="1577"/>
    <col min="9984" max="9984" width="5.25" style="1577" customWidth="1"/>
    <col min="9985" max="9985" width="46.5" style="1577" customWidth="1"/>
    <col min="9986" max="9987" width="9.375" style="1577" customWidth="1"/>
    <col min="9988" max="9988" width="10.25" style="1577" customWidth="1"/>
    <col min="9989" max="9989" width="23.5" style="1577" customWidth="1"/>
    <col min="9990" max="9991" width="9" style="1577"/>
    <col min="9992" max="9992" width="42" style="1577" customWidth="1"/>
    <col min="9993" max="10239" width="9" style="1577"/>
    <col min="10240" max="10240" width="5.25" style="1577" customWidth="1"/>
    <col min="10241" max="10241" width="46.5" style="1577" customWidth="1"/>
    <col min="10242" max="10243" width="9.375" style="1577" customWidth="1"/>
    <col min="10244" max="10244" width="10.25" style="1577" customWidth="1"/>
    <col min="10245" max="10245" width="23.5" style="1577" customWidth="1"/>
    <col min="10246" max="10247" width="9" style="1577"/>
    <col min="10248" max="10248" width="42" style="1577" customWidth="1"/>
    <col min="10249" max="10495" width="9" style="1577"/>
    <col min="10496" max="10496" width="5.25" style="1577" customWidth="1"/>
    <col min="10497" max="10497" width="46.5" style="1577" customWidth="1"/>
    <col min="10498" max="10499" width="9.375" style="1577" customWidth="1"/>
    <col min="10500" max="10500" width="10.25" style="1577" customWidth="1"/>
    <col min="10501" max="10501" width="23.5" style="1577" customWidth="1"/>
    <col min="10502" max="10503" width="9" style="1577"/>
    <col min="10504" max="10504" width="42" style="1577" customWidth="1"/>
    <col min="10505" max="10751" width="9" style="1577"/>
    <col min="10752" max="10752" width="5.25" style="1577" customWidth="1"/>
    <col min="10753" max="10753" width="46.5" style="1577" customWidth="1"/>
    <col min="10754" max="10755" width="9.375" style="1577" customWidth="1"/>
    <col min="10756" max="10756" width="10.25" style="1577" customWidth="1"/>
    <col min="10757" max="10757" width="23.5" style="1577" customWidth="1"/>
    <col min="10758" max="10759" width="9" style="1577"/>
    <col min="10760" max="10760" width="42" style="1577" customWidth="1"/>
    <col min="10761" max="11007" width="9" style="1577"/>
    <col min="11008" max="11008" width="5.25" style="1577" customWidth="1"/>
    <col min="11009" max="11009" width="46.5" style="1577" customWidth="1"/>
    <col min="11010" max="11011" width="9.375" style="1577" customWidth="1"/>
    <col min="11012" max="11012" width="10.25" style="1577" customWidth="1"/>
    <col min="11013" max="11013" width="23.5" style="1577" customWidth="1"/>
    <col min="11014" max="11015" width="9" style="1577"/>
    <col min="11016" max="11016" width="42" style="1577" customWidth="1"/>
    <col min="11017" max="11263" width="9" style="1577"/>
    <col min="11264" max="11264" width="5.25" style="1577" customWidth="1"/>
    <col min="11265" max="11265" width="46.5" style="1577" customWidth="1"/>
    <col min="11266" max="11267" width="9.375" style="1577" customWidth="1"/>
    <col min="11268" max="11268" width="10.25" style="1577" customWidth="1"/>
    <col min="11269" max="11269" width="23.5" style="1577" customWidth="1"/>
    <col min="11270" max="11271" width="9" style="1577"/>
    <col min="11272" max="11272" width="42" style="1577" customWidth="1"/>
    <col min="11273" max="11519" width="9" style="1577"/>
    <col min="11520" max="11520" width="5.25" style="1577" customWidth="1"/>
    <col min="11521" max="11521" width="46.5" style="1577" customWidth="1"/>
    <col min="11522" max="11523" width="9.375" style="1577" customWidth="1"/>
    <col min="11524" max="11524" width="10.25" style="1577" customWidth="1"/>
    <col min="11525" max="11525" width="23.5" style="1577" customWidth="1"/>
    <col min="11526" max="11527" width="9" style="1577"/>
    <col min="11528" max="11528" width="42" style="1577" customWidth="1"/>
    <col min="11529" max="11775" width="9" style="1577"/>
    <col min="11776" max="11776" width="5.25" style="1577" customWidth="1"/>
    <col min="11777" max="11777" width="46.5" style="1577" customWidth="1"/>
    <col min="11778" max="11779" width="9.375" style="1577" customWidth="1"/>
    <col min="11780" max="11780" width="10.25" style="1577" customWidth="1"/>
    <col min="11781" max="11781" width="23.5" style="1577" customWidth="1"/>
    <col min="11782" max="11783" width="9" style="1577"/>
    <col min="11784" max="11784" width="42" style="1577" customWidth="1"/>
    <col min="11785" max="12031" width="9" style="1577"/>
    <col min="12032" max="12032" width="5.25" style="1577" customWidth="1"/>
    <col min="12033" max="12033" width="46.5" style="1577" customWidth="1"/>
    <col min="12034" max="12035" width="9.375" style="1577" customWidth="1"/>
    <col min="12036" max="12036" width="10.25" style="1577" customWidth="1"/>
    <col min="12037" max="12037" width="23.5" style="1577" customWidth="1"/>
    <col min="12038" max="12039" width="9" style="1577"/>
    <col min="12040" max="12040" width="42" style="1577" customWidth="1"/>
    <col min="12041" max="12287" width="9" style="1577"/>
    <col min="12288" max="12288" width="5.25" style="1577" customWidth="1"/>
    <col min="12289" max="12289" width="46.5" style="1577" customWidth="1"/>
    <col min="12290" max="12291" width="9.375" style="1577" customWidth="1"/>
    <col min="12292" max="12292" width="10.25" style="1577" customWidth="1"/>
    <col min="12293" max="12293" width="23.5" style="1577" customWidth="1"/>
    <col min="12294" max="12295" width="9" style="1577"/>
    <col min="12296" max="12296" width="42" style="1577" customWidth="1"/>
    <col min="12297" max="12543" width="9" style="1577"/>
    <col min="12544" max="12544" width="5.25" style="1577" customWidth="1"/>
    <col min="12545" max="12545" width="46.5" style="1577" customWidth="1"/>
    <col min="12546" max="12547" width="9.375" style="1577" customWidth="1"/>
    <col min="12548" max="12548" width="10.25" style="1577" customWidth="1"/>
    <col min="12549" max="12549" width="23.5" style="1577" customWidth="1"/>
    <col min="12550" max="12551" width="9" style="1577"/>
    <col min="12552" max="12552" width="42" style="1577" customWidth="1"/>
    <col min="12553" max="12799" width="9" style="1577"/>
    <col min="12800" max="12800" width="5.25" style="1577" customWidth="1"/>
    <col min="12801" max="12801" width="46.5" style="1577" customWidth="1"/>
    <col min="12802" max="12803" width="9.375" style="1577" customWidth="1"/>
    <col min="12804" max="12804" width="10.25" style="1577" customWidth="1"/>
    <col min="12805" max="12805" width="23.5" style="1577" customWidth="1"/>
    <col min="12806" max="12807" width="9" style="1577"/>
    <col min="12808" max="12808" width="42" style="1577" customWidth="1"/>
    <col min="12809" max="13055" width="9" style="1577"/>
    <col min="13056" max="13056" width="5.25" style="1577" customWidth="1"/>
    <col min="13057" max="13057" width="46.5" style="1577" customWidth="1"/>
    <col min="13058" max="13059" width="9.375" style="1577" customWidth="1"/>
    <col min="13060" max="13060" width="10.25" style="1577" customWidth="1"/>
    <col min="13061" max="13061" width="23.5" style="1577" customWidth="1"/>
    <col min="13062" max="13063" width="9" style="1577"/>
    <col min="13064" max="13064" width="42" style="1577" customWidth="1"/>
    <col min="13065" max="13311" width="9" style="1577"/>
    <col min="13312" max="13312" width="5.25" style="1577" customWidth="1"/>
    <col min="13313" max="13313" width="46.5" style="1577" customWidth="1"/>
    <col min="13314" max="13315" width="9.375" style="1577" customWidth="1"/>
    <col min="13316" max="13316" width="10.25" style="1577" customWidth="1"/>
    <col min="13317" max="13317" width="23.5" style="1577" customWidth="1"/>
    <col min="13318" max="13319" width="9" style="1577"/>
    <col min="13320" max="13320" width="42" style="1577" customWidth="1"/>
    <col min="13321" max="13567" width="9" style="1577"/>
    <col min="13568" max="13568" width="5.25" style="1577" customWidth="1"/>
    <col min="13569" max="13569" width="46.5" style="1577" customWidth="1"/>
    <col min="13570" max="13571" width="9.375" style="1577" customWidth="1"/>
    <col min="13572" max="13572" width="10.25" style="1577" customWidth="1"/>
    <col min="13573" max="13573" width="23.5" style="1577" customWidth="1"/>
    <col min="13574" max="13575" width="9" style="1577"/>
    <col min="13576" max="13576" width="42" style="1577" customWidth="1"/>
    <col min="13577" max="13823" width="9" style="1577"/>
    <col min="13824" max="13824" width="5.25" style="1577" customWidth="1"/>
    <col min="13825" max="13825" width="46.5" style="1577" customWidth="1"/>
    <col min="13826" max="13827" width="9.375" style="1577" customWidth="1"/>
    <col min="13828" max="13828" width="10.25" style="1577" customWidth="1"/>
    <col min="13829" max="13829" width="23.5" style="1577" customWidth="1"/>
    <col min="13830" max="13831" width="9" style="1577"/>
    <col min="13832" max="13832" width="42" style="1577" customWidth="1"/>
    <col min="13833" max="14079" width="9" style="1577"/>
    <col min="14080" max="14080" width="5.25" style="1577" customWidth="1"/>
    <col min="14081" max="14081" width="46.5" style="1577" customWidth="1"/>
    <col min="14082" max="14083" width="9.375" style="1577" customWidth="1"/>
    <col min="14084" max="14084" width="10.25" style="1577" customWidth="1"/>
    <col min="14085" max="14085" width="23.5" style="1577" customWidth="1"/>
    <col min="14086" max="14087" width="9" style="1577"/>
    <col min="14088" max="14088" width="42" style="1577" customWidth="1"/>
    <col min="14089" max="14335" width="9" style="1577"/>
    <col min="14336" max="14336" width="5.25" style="1577" customWidth="1"/>
    <col min="14337" max="14337" width="46.5" style="1577" customWidth="1"/>
    <col min="14338" max="14339" width="9.375" style="1577" customWidth="1"/>
    <col min="14340" max="14340" width="10.25" style="1577" customWidth="1"/>
    <col min="14341" max="14341" width="23.5" style="1577" customWidth="1"/>
    <col min="14342" max="14343" width="9" style="1577"/>
    <col min="14344" max="14344" width="42" style="1577" customWidth="1"/>
    <col min="14345" max="14591" width="9" style="1577"/>
    <col min="14592" max="14592" width="5.25" style="1577" customWidth="1"/>
    <col min="14593" max="14593" width="46.5" style="1577" customWidth="1"/>
    <col min="14594" max="14595" width="9.375" style="1577" customWidth="1"/>
    <col min="14596" max="14596" width="10.25" style="1577" customWidth="1"/>
    <col min="14597" max="14597" width="23.5" style="1577" customWidth="1"/>
    <col min="14598" max="14599" width="9" style="1577"/>
    <col min="14600" max="14600" width="42" style="1577" customWidth="1"/>
    <col min="14601" max="14847" width="9" style="1577"/>
    <col min="14848" max="14848" width="5.25" style="1577" customWidth="1"/>
    <col min="14849" max="14849" width="46.5" style="1577" customWidth="1"/>
    <col min="14850" max="14851" width="9.375" style="1577" customWidth="1"/>
    <col min="14852" max="14852" width="10.25" style="1577" customWidth="1"/>
    <col min="14853" max="14853" width="23.5" style="1577" customWidth="1"/>
    <col min="14854" max="14855" width="9" style="1577"/>
    <col min="14856" max="14856" width="42" style="1577" customWidth="1"/>
    <col min="14857" max="15103" width="9" style="1577"/>
    <col min="15104" max="15104" width="5.25" style="1577" customWidth="1"/>
    <col min="15105" max="15105" width="46.5" style="1577" customWidth="1"/>
    <col min="15106" max="15107" width="9.375" style="1577" customWidth="1"/>
    <col min="15108" max="15108" width="10.25" style="1577" customWidth="1"/>
    <col min="15109" max="15109" width="23.5" style="1577" customWidth="1"/>
    <col min="15110" max="15111" width="9" style="1577"/>
    <col min="15112" max="15112" width="42" style="1577" customWidth="1"/>
    <col min="15113" max="15359" width="9" style="1577"/>
    <col min="15360" max="15360" width="5.25" style="1577" customWidth="1"/>
    <col min="15361" max="15361" width="46.5" style="1577" customWidth="1"/>
    <col min="15362" max="15363" width="9.375" style="1577" customWidth="1"/>
    <col min="15364" max="15364" width="10.25" style="1577" customWidth="1"/>
    <col min="15365" max="15365" width="23.5" style="1577" customWidth="1"/>
    <col min="15366" max="15367" width="9" style="1577"/>
    <col min="15368" max="15368" width="42" style="1577" customWidth="1"/>
    <col min="15369" max="15615" width="9" style="1577"/>
    <col min="15616" max="15616" width="5.25" style="1577" customWidth="1"/>
    <col min="15617" max="15617" width="46.5" style="1577" customWidth="1"/>
    <col min="15618" max="15619" width="9.375" style="1577" customWidth="1"/>
    <col min="15620" max="15620" width="10.25" style="1577" customWidth="1"/>
    <col min="15621" max="15621" width="23.5" style="1577" customWidth="1"/>
    <col min="15622" max="15623" width="9" style="1577"/>
    <col min="15624" max="15624" width="42" style="1577" customWidth="1"/>
    <col min="15625" max="15871" width="9" style="1577"/>
    <col min="15872" max="15872" width="5.25" style="1577" customWidth="1"/>
    <col min="15873" max="15873" width="46.5" style="1577" customWidth="1"/>
    <col min="15874" max="15875" width="9.375" style="1577" customWidth="1"/>
    <col min="15876" max="15876" width="10.25" style="1577" customWidth="1"/>
    <col min="15877" max="15877" width="23.5" style="1577" customWidth="1"/>
    <col min="15878" max="15879" width="9" style="1577"/>
    <col min="15880" max="15880" width="42" style="1577" customWidth="1"/>
    <col min="15881" max="16127" width="9" style="1577"/>
    <col min="16128" max="16128" width="5.25" style="1577" customWidth="1"/>
    <col min="16129" max="16129" width="46.5" style="1577" customWidth="1"/>
    <col min="16130" max="16131" width="9.375" style="1577" customWidth="1"/>
    <col min="16132" max="16132" width="10.25" style="1577" customWidth="1"/>
    <col min="16133" max="16133" width="23.5" style="1577" customWidth="1"/>
    <col min="16134" max="16135" width="9" style="1577"/>
    <col min="16136" max="16136" width="42" style="1577" customWidth="1"/>
    <col min="16137" max="16384" width="9" style="1577"/>
  </cols>
  <sheetData>
    <row r="1" spans="1:8" s="1598" customFormat="1" ht="25.9" customHeight="1">
      <c r="A1" s="3693" t="s">
        <v>5449</v>
      </c>
      <c r="B1" s="3693"/>
      <c r="C1" s="3693"/>
      <c r="D1" s="3693"/>
      <c r="E1" s="3693"/>
      <c r="F1" s="2754" t="str">
        <f>基本情况!$F$10</f>
        <v>厦中汇税审（2018）第DS0001号</v>
      </c>
      <c r="G1" s="2754"/>
      <c r="H1" s="2754"/>
    </row>
    <row r="2" spans="1:8" s="1599" customFormat="1" ht="37.15" customHeight="1">
      <c r="A2" s="3694"/>
      <c r="B2" s="3694"/>
      <c r="C2" s="3694"/>
      <c r="D2" s="3694"/>
      <c r="E2" s="3694"/>
      <c r="F2" s="3023" t="str">
        <f>"底稿编号："&amp;开始!L14</f>
        <v>底稿编号：AD-12</v>
      </c>
      <c r="G2" s="3023"/>
      <c r="H2" s="3595"/>
    </row>
    <row r="3" spans="1:8" s="1420" customFormat="1" ht="19.5" customHeight="1">
      <c r="A3" s="3695" t="s">
        <v>147</v>
      </c>
      <c r="B3" s="3695" t="s">
        <v>615</v>
      </c>
      <c r="C3" s="2313" t="s">
        <v>628</v>
      </c>
      <c r="D3" s="2313" t="s">
        <v>629</v>
      </c>
      <c r="E3" s="2313" t="s">
        <v>630</v>
      </c>
      <c r="F3" s="2330" t="s">
        <v>631</v>
      </c>
      <c r="G3" s="2330" t="s">
        <v>632</v>
      </c>
      <c r="H3" s="2313" t="s">
        <v>616</v>
      </c>
    </row>
    <row r="4" spans="1:8" s="1420" customFormat="1" ht="18.75" customHeight="1">
      <c r="A4" s="3695"/>
      <c r="B4" s="3695"/>
      <c r="C4" s="2313">
        <v>1</v>
      </c>
      <c r="D4" s="2313">
        <v>2</v>
      </c>
      <c r="E4" s="2313">
        <v>3</v>
      </c>
      <c r="F4" s="2313">
        <v>4</v>
      </c>
      <c r="G4" s="2313" t="s">
        <v>633</v>
      </c>
      <c r="H4" s="2339" t="s">
        <v>634</v>
      </c>
    </row>
    <row r="5" spans="1:8" s="1420" customFormat="1" ht="18.75" customHeight="1">
      <c r="A5" s="2335">
        <v>1</v>
      </c>
      <c r="B5" s="2333" t="s">
        <v>618</v>
      </c>
      <c r="C5" s="2340">
        <f>SUM(C6:C12)</f>
        <v>0</v>
      </c>
      <c r="D5" s="2340">
        <f>SUM(D6:D12)</f>
        <v>0</v>
      </c>
      <c r="E5" s="2340">
        <f>SUM(E6:E12)</f>
        <v>0</v>
      </c>
      <c r="F5" s="2340">
        <f>SUM(F6:F12)</f>
        <v>0</v>
      </c>
      <c r="G5" s="2340">
        <f>F5-D5-E5</f>
        <v>0</v>
      </c>
      <c r="H5" s="2340">
        <f>C5-G5</f>
        <v>0</v>
      </c>
    </row>
    <row r="6" spans="1:8" s="1420" customFormat="1" ht="30" customHeight="1">
      <c r="A6" s="2336">
        <v>2</v>
      </c>
      <c r="B6" s="2337" t="s">
        <v>620</v>
      </c>
      <c r="C6" s="2320"/>
      <c r="D6" s="2320"/>
      <c r="E6" s="2320"/>
      <c r="F6" s="293"/>
      <c r="G6" s="2340">
        <f>F6-D6-E6</f>
        <v>0</v>
      </c>
      <c r="H6" s="2340">
        <f t="shared" ref="H6:H17" si="0">C6-G6</f>
        <v>0</v>
      </c>
    </row>
    <row r="7" spans="1:8" s="1420" customFormat="1" ht="18.75" customHeight="1">
      <c r="A7" s="2335">
        <v>3</v>
      </c>
      <c r="B7" s="2333" t="s">
        <v>621</v>
      </c>
      <c r="C7" s="123"/>
      <c r="D7" s="123"/>
      <c r="E7" s="123"/>
      <c r="F7" s="294"/>
      <c r="G7" s="2340">
        <f t="shared" ref="G7:G12" si="1">F7-D7-E7</f>
        <v>0</v>
      </c>
      <c r="H7" s="2340">
        <f t="shared" si="0"/>
        <v>0</v>
      </c>
    </row>
    <row r="8" spans="1:8" s="1420" customFormat="1" ht="18.75" customHeight="1">
      <c r="A8" s="2335">
        <v>4</v>
      </c>
      <c r="B8" s="2333" t="s">
        <v>622</v>
      </c>
      <c r="C8" s="123"/>
      <c r="D8" s="123"/>
      <c r="E8" s="123"/>
      <c r="F8" s="294"/>
      <c r="G8" s="2340">
        <f t="shared" si="1"/>
        <v>0</v>
      </c>
      <c r="H8" s="2340">
        <f t="shared" si="0"/>
        <v>0</v>
      </c>
    </row>
    <row r="9" spans="1:8" s="1420" customFormat="1" ht="30" customHeight="1">
      <c r="A9" s="2336">
        <v>5</v>
      </c>
      <c r="B9" s="2337" t="s">
        <v>623</v>
      </c>
      <c r="C9" s="2320"/>
      <c r="D9" s="2320"/>
      <c r="E9" s="2320"/>
      <c r="F9" s="293"/>
      <c r="G9" s="2340">
        <f t="shared" si="1"/>
        <v>0</v>
      </c>
      <c r="H9" s="2340">
        <f t="shared" si="0"/>
        <v>0</v>
      </c>
    </row>
    <row r="10" spans="1:8" s="1420" customFormat="1" ht="30" customHeight="1">
      <c r="A10" s="2336">
        <v>6</v>
      </c>
      <c r="B10" s="2337" t="s">
        <v>624</v>
      </c>
      <c r="C10" s="2320"/>
      <c r="D10" s="2320"/>
      <c r="E10" s="2320"/>
      <c r="F10" s="293"/>
      <c r="G10" s="2340">
        <f t="shared" si="1"/>
        <v>0</v>
      </c>
      <c r="H10" s="2340">
        <f t="shared" si="0"/>
        <v>0</v>
      </c>
    </row>
    <row r="11" spans="1:8" s="1420" customFormat="1" ht="18.75" customHeight="1">
      <c r="A11" s="2335">
        <v>7</v>
      </c>
      <c r="B11" s="2333" t="s">
        <v>625</v>
      </c>
      <c r="C11" s="123"/>
      <c r="D11" s="123"/>
      <c r="E11" s="123"/>
      <c r="F11" s="115"/>
      <c r="G11" s="2340">
        <f t="shared" si="1"/>
        <v>0</v>
      </c>
      <c r="H11" s="2340">
        <f t="shared" si="0"/>
        <v>0</v>
      </c>
    </row>
    <row r="12" spans="1:8" s="1420" customFormat="1" ht="18.75" customHeight="1">
      <c r="A12" s="2335">
        <v>8</v>
      </c>
      <c r="B12" s="2333" t="s">
        <v>626</v>
      </c>
      <c r="C12" s="123"/>
      <c r="D12" s="123"/>
      <c r="E12" s="123"/>
      <c r="F12" s="115"/>
      <c r="G12" s="2340">
        <f t="shared" si="1"/>
        <v>0</v>
      </c>
      <c r="H12" s="2340">
        <f t="shared" si="0"/>
        <v>0</v>
      </c>
    </row>
    <row r="13" spans="1:8" s="1420" customFormat="1" ht="18.75" customHeight="1">
      <c r="A13" s="2335">
        <v>9</v>
      </c>
      <c r="B13" s="2333" t="s">
        <v>639</v>
      </c>
      <c r="C13" s="2340">
        <f>SUM(C14:C17)</f>
        <v>0</v>
      </c>
      <c r="D13" s="2340">
        <f>SUM(D14:D17)</f>
        <v>0</v>
      </c>
      <c r="E13" s="2340">
        <f>SUM(E14:E17)</f>
        <v>0</v>
      </c>
      <c r="F13" s="2340">
        <f>SUM(F14:F17)</f>
        <v>0</v>
      </c>
      <c r="G13" s="2340">
        <f>F13-D13-E13</f>
        <v>0</v>
      </c>
      <c r="H13" s="2340">
        <f t="shared" si="0"/>
        <v>0</v>
      </c>
    </row>
    <row r="14" spans="1:8" s="1420" customFormat="1" ht="18.75" customHeight="1">
      <c r="A14" s="2330">
        <v>10</v>
      </c>
      <c r="B14" s="2338" t="s">
        <v>635</v>
      </c>
      <c r="C14" s="2322"/>
      <c r="D14" s="2322"/>
      <c r="E14" s="2322"/>
      <c r="F14" s="2322"/>
      <c r="G14" s="2340">
        <f>F14-D14-E14</f>
        <v>0</v>
      </c>
      <c r="H14" s="2340">
        <f t="shared" si="0"/>
        <v>0</v>
      </c>
    </row>
    <row r="15" spans="1:8" s="1420" customFormat="1" ht="18.75" customHeight="1">
      <c r="A15" s="2330">
        <v>11</v>
      </c>
      <c r="B15" s="2329" t="s">
        <v>636</v>
      </c>
      <c r="C15" s="2321"/>
      <c r="D15" s="2321"/>
      <c r="E15" s="2321"/>
      <c r="F15" s="2322"/>
      <c r="G15" s="2340">
        <f>F15-D15-E15</f>
        <v>0</v>
      </c>
      <c r="H15" s="2340">
        <f t="shared" si="0"/>
        <v>0</v>
      </c>
    </row>
    <row r="16" spans="1:8" s="1420" customFormat="1" ht="18.75" customHeight="1">
      <c r="A16" s="2330">
        <v>12</v>
      </c>
      <c r="B16" s="2338" t="s">
        <v>637</v>
      </c>
      <c r="C16" s="2322"/>
      <c r="D16" s="2322"/>
      <c r="E16" s="2322"/>
      <c r="F16" s="2322"/>
      <c r="G16" s="2340">
        <f>F16-D16-E16</f>
        <v>0</v>
      </c>
      <c r="H16" s="2340">
        <f t="shared" si="0"/>
        <v>0</v>
      </c>
    </row>
    <row r="17" spans="1:8" s="1420" customFormat="1" ht="18.75" customHeight="1">
      <c r="A17" s="2330">
        <v>13</v>
      </c>
      <c r="B17" s="2338" t="s">
        <v>638</v>
      </c>
      <c r="C17" s="2322"/>
      <c r="D17" s="2322"/>
      <c r="E17" s="2322"/>
      <c r="F17" s="2322"/>
      <c r="G17" s="2340">
        <f>F17-D17-E17</f>
        <v>0</v>
      </c>
      <c r="H17" s="2340">
        <f t="shared" si="0"/>
        <v>0</v>
      </c>
    </row>
    <row r="18" spans="1:8" s="1420" customFormat="1" ht="18.75" customHeight="1">
      <c r="A18" s="2335">
        <v>14</v>
      </c>
      <c r="B18" s="2338" t="s">
        <v>627</v>
      </c>
      <c r="C18" s="2340">
        <f t="shared" ref="C18:H18" si="2">C5+C13</f>
        <v>0</v>
      </c>
      <c r="D18" s="2340">
        <f t="shared" si="2"/>
        <v>0</v>
      </c>
      <c r="E18" s="2340">
        <f t="shared" si="2"/>
        <v>0</v>
      </c>
      <c r="F18" s="2340">
        <f t="shared" si="2"/>
        <v>0</v>
      </c>
      <c r="G18" s="2340">
        <f t="shared" si="2"/>
        <v>0</v>
      </c>
      <c r="H18" s="2340">
        <f t="shared" si="2"/>
        <v>0</v>
      </c>
    </row>
    <row r="19" spans="1:8" ht="12.75" customHeight="1">
      <c r="A19" s="1595"/>
      <c r="B19" s="1595"/>
      <c r="C19" s="1595"/>
      <c r="D19" s="1595"/>
      <c r="E19" s="1595"/>
    </row>
  </sheetData>
  <mergeCells count="5">
    <mergeCell ref="F1:H1"/>
    <mergeCell ref="F2:H2"/>
    <mergeCell ref="A1:E2"/>
    <mergeCell ref="A3:A4"/>
    <mergeCell ref="B3:B4"/>
  </mergeCells>
  <phoneticPr fontId="135"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drawing r:id="rId2"/>
  <legacyDrawing r:id="rId3"/>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1">
    <tabColor rgb="FFFFFF00"/>
  </sheetPr>
  <dimension ref="A1:I32"/>
  <sheetViews>
    <sheetView workbookViewId="0">
      <selection activeCell="F3" sqref="F3:H3"/>
    </sheetView>
  </sheetViews>
  <sheetFormatPr defaultRowHeight="14.25"/>
  <cols>
    <col min="1" max="1" width="5.25" style="1577" customWidth="1"/>
    <col min="2" max="2" width="27.125" style="1577" customWidth="1"/>
    <col min="3" max="9" width="13.625" style="1577" customWidth="1"/>
    <col min="10" max="254" width="9" style="1577"/>
    <col min="255" max="255" width="5.25" style="1577" customWidth="1"/>
    <col min="256" max="256" width="34.75" style="1577" customWidth="1"/>
    <col min="257" max="257" width="8.75" style="1577" customWidth="1"/>
    <col min="258" max="258" width="9" style="1577"/>
    <col min="259" max="259" width="9.875" style="1577" customWidth="1"/>
    <col min="260" max="261" width="8.25" style="1577" customWidth="1"/>
    <col min="262" max="262" width="9.875" style="1577" customWidth="1"/>
    <col min="263" max="263" width="7.5" style="1577" customWidth="1"/>
    <col min="264" max="264" width="14.5" style="1577" customWidth="1"/>
    <col min="265" max="265" width="15.25" style="1577" customWidth="1"/>
    <col min="266" max="510" width="9" style="1577"/>
    <col min="511" max="511" width="5.25" style="1577" customWidth="1"/>
    <col min="512" max="512" width="34.75" style="1577" customWidth="1"/>
    <col min="513" max="513" width="8.75" style="1577" customWidth="1"/>
    <col min="514" max="514" width="9" style="1577"/>
    <col min="515" max="515" width="9.875" style="1577" customWidth="1"/>
    <col min="516" max="517" width="8.25" style="1577" customWidth="1"/>
    <col min="518" max="518" width="9.875" style="1577" customWidth="1"/>
    <col min="519" max="519" width="7.5" style="1577" customWidth="1"/>
    <col min="520" max="520" width="14.5" style="1577" customWidth="1"/>
    <col min="521" max="521" width="15.25" style="1577" customWidth="1"/>
    <col min="522" max="766" width="9" style="1577"/>
    <col min="767" max="767" width="5.25" style="1577" customWidth="1"/>
    <col min="768" max="768" width="34.75" style="1577" customWidth="1"/>
    <col min="769" max="769" width="8.75" style="1577" customWidth="1"/>
    <col min="770" max="770" width="9" style="1577"/>
    <col min="771" max="771" width="9.875" style="1577" customWidth="1"/>
    <col min="772" max="773" width="8.25" style="1577" customWidth="1"/>
    <col min="774" max="774" width="9.875" style="1577" customWidth="1"/>
    <col min="775" max="775" width="7.5" style="1577" customWidth="1"/>
    <col min="776" max="776" width="14.5" style="1577" customWidth="1"/>
    <col min="777" max="777" width="15.25" style="1577" customWidth="1"/>
    <col min="778" max="1022" width="9" style="1577"/>
    <col min="1023" max="1023" width="5.25" style="1577" customWidth="1"/>
    <col min="1024" max="1024" width="34.75" style="1577" customWidth="1"/>
    <col min="1025" max="1025" width="8.75" style="1577" customWidth="1"/>
    <col min="1026" max="1026" width="9" style="1577"/>
    <col min="1027" max="1027" width="9.875" style="1577" customWidth="1"/>
    <col min="1028" max="1029" width="8.25" style="1577" customWidth="1"/>
    <col min="1030" max="1030" width="9.875" style="1577" customWidth="1"/>
    <col min="1031" max="1031" width="7.5" style="1577" customWidth="1"/>
    <col min="1032" max="1032" width="14.5" style="1577" customWidth="1"/>
    <col min="1033" max="1033" width="15.25" style="1577" customWidth="1"/>
    <col min="1034" max="1278" width="9" style="1577"/>
    <col min="1279" max="1279" width="5.25" style="1577" customWidth="1"/>
    <col min="1280" max="1280" width="34.75" style="1577" customWidth="1"/>
    <col min="1281" max="1281" width="8.75" style="1577" customWidth="1"/>
    <col min="1282" max="1282" width="9" style="1577"/>
    <col min="1283" max="1283" width="9.875" style="1577" customWidth="1"/>
    <col min="1284" max="1285" width="8.25" style="1577" customWidth="1"/>
    <col min="1286" max="1286" width="9.875" style="1577" customWidth="1"/>
    <col min="1287" max="1287" width="7.5" style="1577" customWidth="1"/>
    <col min="1288" max="1288" width="14.5" style="1577" customWidth="1"/>
    <col min="1289" max="1289" width="15.25" style="1577" customWidth="1"/>
    <col min="1290" max="1534" width="9" style="1577"/>
    <col min="1535" max="1535" width="5.25" style="1577" customWidth="1"/>
    <col min="1536" max="1536" width="34.75" style="1577" customWidth="1"/>
    <col min="1537" max="1537" width="8.75" style="1577" customWidth="1"/>
    <col min="1538" max="1538" width="9" style="1577"/>
    <col min="1539" max="1539" width="9.875" style="1577" customWidth="1"/>
    <col min="1540" max="1541" width="8.25" style="1577" customWidth="1"/>
    <col min="1542" max="1542" width="9.875" style="1577" customWidth="1"/>
    <col min="1543" max="1543" width="7.5" style="1577" customWidth="1"/>
    <col min="1544" max="1544" width="14.5" style="1577" customWidth="1"/>
    <col min="1545" max="1545" width="15.25" style="1577" customWidth="1"/>
    <col min="1546" max="1790" width="9" style="1577"/>
    <col min="1791" max="1791" width="5.25" style="1577" customWidth="1"/>
    <col min="1792" max="1792" width="34.75" style="1577" customWidth="1"/>
    <col min="1793" max="1793" width="8.75" style="1577" customWidth="1"/>
    <col min="1794" max="1794" width="9" style="1577"/>
    <col min="1795" max="1795" width="9.875" style="1577" customWidth="1"/>
    <col min="1796" max="1797" width="8.25" style="1577" customWidth="1"/>
    <col min="1798" max="1798" width="9.875" style="1577" customWidth="1"/>
    <col min="1799" max="1799" width="7.5" style="1577" customWidth="1"/>
    <col min="1800" max="1800" width="14.5" style="1577" customWidth="1"/>
    <col min="1801" max="1801" width="15.25" style="1577" customWidth="1"/>
    <col min="1802" max="2046" width="9" style="1577"/>
    <col min="2047" max="2047" width="5.25" style="1577" customWidth="1"/>
    <col min="2048" max="2048" width="34.75" style="1577" customWidth="1"/>
    <col min="2049" max="2049" width="8.75" style="1577" customWidth="1"/>
    <col min="2050" max="2050" width="9" style="1577"/>
    <col min="2051" max="2051" width="9.875" style="1577" customWidth="1"/>
    <col min="2052" max="2053" width="8.25" style="1577" customWidth="1"/>
    <col min="2054" max="2054" width="9.875" style="1577" customWidth="1"/>
    <col min="2055" max="2055" width="7.5" style="1577" customWidth="1"/>
    <col min="2056" max="2056" width="14.5" style="1577" customWidth="1"/>
    <col min="2057" max="2057" width="15.25" style="1577" customWidth="1"/>
    <col min="2058" max="2302" width="9" style="1577"/>
    <col min="2303" max="2303" width="5.25" style="1577" customWidth="1"/>
    <col min="2304" max="2304" width="34.75" style="1577" customWidth="1"/>
    <col min="2305" max="2305" width="8.75" style="1577" customWidth="1"/>
    <col min="2306" max="2306" width="9" style="1577"/>
    <col min="2307" max="2307" width="9.875" style="1577" customWidth="1"/>
    <col min="2308" max="2309" width="8.25" style="1577" customWidth="1"/>
    <col min="2310" max="2310" width="9.875" style="1577" customWidth="1"/>
    <col min="2311" max="2311" width="7.5" style="1577" customWidth="1"/>
    <col min="2312" max="2312" width="14.5" style="1577" customWidth="1"/>
    <col min="2313" max="2313" width="15.25" style="1577" customWidth="1"/>
    <col min="2314" max="2558" width="9" style="1577"/>
    <col min="2559" max="2559" width="5.25" style="1577" customWidth="1"/>
    <col min="2560" max="2560" width="34.75" style="1577" customWidth="1"/>
    <col min="2561" max="2561" width="8.75" style="1577" customWidth="1"/>
    <col min="2562" max="2562" width="9" style="1577"/>
    <col min="2563" max="2563" width="9.875" style="1577" customWidth="1"/>
    <col min="2564" max="2565" width="8.25" style="1577" customWidth="1"/>
    <col min="2566" max="2566" width="9.875" style="1577" customWidth="1"/>
    <col min="2567" max="2567" width="7.5" style="1577" customWidth="1"/>
    <col min="2568" max="2568" width="14.5" style="1577" customWidth="1"/>
    <col min="2569" max="2569" width="15.25" style="1577" customWidth="1"/>
    <col min="2570" max="2814" width="9" style="1577"/>
    <col min="2815" max="2815" width="5.25" style="1577" customWidth="1"/>
    <col min="2816" max="2816" width="34.75" style="1577" customWidth="1"/>
    <col min="2817" max="2817" width="8.75" style="1577" customWidth="1"/>
    <col min="2818" max="2818" width="9" style="1577"/>
    <col min="2819" max="2819" width="9.875" style="1577" customWidth="1"/>
    <col min="2820" max="2821" width="8.25" style="1577" customWidth="1"/>
    <col min="2822" max="2822" width="9.875" style="1577" customWidth="1"/>
    <col min="2823" max="2823" width="7.5" style="1577" customWidth="1"/>
    <col min="2824" max="2824" width="14.5" style="1577" customWidth="1"/>
    <col min="2825" max="2825" width="15.25" style="1577" customWidth="1"/>
    <col min="2826" max="3070" width="9" style="1577"/>
    <col min="3071" max="3071" width="5.25" style="1577" customWidth="1"/>
    <col min="3072" max="3072" width="34.75" style="1577" customWidth="1"/>
    <col min="3073" max="3073" width="8.75" style="1577" customWidth="1"/>
    <col min="3074" max="3074" width="9" style="1577"/>
    <col min="3075" max="3075" width="9.875" style="1577" customWidth="1"/>
    <col min="3076" max="3077" width="8.25" style="1577" customWidth="1"/>
    <col min="3078" max="3078" width="9.875" style="1577" customWidth="1"/>
    <col min="3079" max="3079" width="7.5" style="1577" customWidth="1"/>
    <col min="3080" max="3080" width="14.5" style="1577" customWidth="1"/>
    <col min="3081" max="3081" width="15.25" style="1577" customWidth="1"/>
    <col min="3082" max="3326" width="9" style="1577"/>
    <col min="3327" max="3327" width="5.25" style="1577" customWidth="1"/>
    <col min="3328" max="3328" width="34.75" style="1577" customWidth="1"/>
    <col min="3329" max="3329" width="8.75" style="1577" customWidth="1"/>
    <col min="3330" max="3330" width="9" style="1577"/>
    <col min="3331" max="3331" width="9.875" style="1577" customWidth="1"/>
    <col min="3332" max="3333" width="8.25" style="1577" customWidth="1"/>
    <col min="3334" max="3334" width="9.875" style="1577" customWidth="1"/>
    <col min="3335" max="3335" width="7.5" style="1577" customWidth="1"/>
    <col min="3336" max="3336" width="14.5" style="1577" customWidth="1"/>
    <col min="3337" max="3337" width="15.25" style="1577" customWidth="1"/>
    <col min="3338" max="3582" width="9" style="1577"/>
    <col min="3583" max="3583" width="5.25" style="1577" customWidth="1"/>
    <col min="3584" max="3584" width="34.75" style="1577" customWidth="1"/>
    <col min="3585" max="3585" width="8.75" style="1577" customWidth="1"/>
    <col min="3586" max="3586" width="9" style="1577"/>
    <col min="3587" max="3587" width="9.875" style="1577" customWidth="1"/>
    <col min="3588" max="3589" width="8.25" style="1577" customWidth="1"/>
    <col min="3590" max="3590" width="9.875" style="1577" customWidth="1"/>
    <col min="3591" max="3591" width="7.5" style="1577" customWidth="1"/>
    <col min="3592" max="3592" width="14.5" style="1577" customWidth="1"/>
    <col min="3593" max="3593" width="15.25" style="1577" customWidth="1"/>
    <col min="3594" max="3838" width="9" style="1577"/>
    <col min="3839" max="3839" width="5.25" style="1577" customWidth="1"/>
    <col min="3840" max="3840" width="34.75" style="1577" customWidth="1"/>
    <col min="3841" max="3841" width="8.75" style="1577" customWidth="1"/>
    <col min="3842" max="3842" width="9" style="1577"/>
    <col min="3843" max="3843" width="9.875" style="1577" customWidth="1"/>
    <col min="3844" max="3845" width="8.25" style="1577" customWidth="1"/>
    <col min="3846" max="3846" width="9.875" style="1577" customWidth="1"/>
    <col min="3847" max="3847" width="7.5" style="1577" customWidth="1"/>
    <col min="3848" max="3848" width="14.5" style="1577" customWidth="1"/>
    <col min="3849" max="3849" width="15.25" style="1577" customWidth="1"/>
    <col min="3850" max="4094" width="9" style="1577"/>
    <col min="4095" max="4095" width="5.25" style="1577" customWidth="1"/>
    <col min="4096" max="4096" width="34.75" style="1577" customWidth="1"/>
    <col min="4097" max="4097" width="8.75" style="1577" customWidth="1"/>
    <col min="4098" max="4098" width="9" style="1577"/>
    <col min="4099" max="4099" width="9.875" style="1577" customWidth="1"/>
    <col min="4100" max="4101" width="8.25" style="1577" customWidth="1"/>
    <col min="4102" max="4102" width="9.875" style="1577" customWidth="1"/>
    <col min="4103" max="4103" width="7.5" style="1577" customWidth="1"/>
    <col min="4104" max="4104" width="14.5" style="1577" customWidth="1"/>
    <col min="4105" max="4105" width="15.25" style="1577" customWidth="1"/>
    <col min="4106" max="4350" width="9" style="1577"/>
    <col min="4351" max="4351" width="5.25" style="1577" customWidth="1"/>
    <col min="4352" max="4352" width="34.75" style="1577" customWidth="1"/>
    <col min="4353" max="4353" width="8.75" style="1577" customWidth="1"/>
    <col min="4354" max="4354" width="9" style="1577"/>
    <col min="4355" max="4355" width="9.875" style="1577" customWidth="1"/>
    <col min="4356" max="4357" width="8.25" style="1577" customWidth="1"/>
    <col min="4358" max="4358" width="9.875" style="1577" customWidth="1"/>
    <col min="4359" max="4359" width="7.5" style="1577" customWidth="1"/>
    <col min="4360" max="4360" width="14.5" style="1577" customWidth="1"/>
    <col min="4361" max="4361" width="15.25" style="1577" customWidth="1"/>
    <col min="4362" max="4606" width="9" style="1577"/>
    <col min="4607" max="4607" width="5.25" style="1577" customWidth="1"/>
    <col min="4608" max="4608" width="34.75" style="1577" customWidth="1"/>
    <col min="4609" max="4609" width="8.75" style="1577" customWidth="1"/>
    <col min="4610" max="4610" width="9" style="1577"/>
    <col min="4611" max="4611" width="9.875" style="1577" customWidth="1"/>
    <col min="4612" max="4613" width="8.25" style="1577" customWidth="1"/>
    <col min="4614" max="4614" width="9.875" style="1577" customWidth="1"/>
    <col min="4615" max="4615" width="7.5" style="1577" customWidth="1"/>
    <col min="4616" max="4616" width="14.5" style="1577" customWidth="1"/>
    <col min="4617" max="4617" width="15.25" style="1577" customWidth="1"/>
    <col min="4618" max="4862" width="9" style="1577"/>
    <col min="4863" max="4863" width="5.25" style="1577" customWidth="1"/>
    <col min="4864" max="4864" width="34.75" style="1577" customWidth="1"/>
    <col min="4865" max="4865" width="8.75" style="1577" customWidth="1"/>
    <col min="4866" max="4866" width="9" style="1577"/>
    <col min="4867" max="4867" width="9.875" style="1577" customWidth="1"/>
    <col min="4868" max="4869" width="8.25" style="1577" customWidth="1"/>
    <col min="4870" max="4870" width="9.875" style="1577" customWidth="1"/>
    <col min="4871" max="4871" width="7.5" style="1577" customWidth="1"/>
    <col min="4872" max="4872" width="14.5" style="1577" customWidth="1"/>
    <col min="4873" max="4873" width="15.25" style="1577" customWidth="1"/>
    <col min="4874" max="5118" width="9" style="1577"/>
    <col min="5119" max="5119" width="5.25" style="1577" customWidth="1"/>
    <col min="5120" max="5120" width="34.75" style="1577" customWidth="1"/>
    <col min="5121" max="5121" width="8.75" style="1577" customWidth="1"/>
    <col min="5122" max="5122" width="9" style="1577"/>
    <col min="5123" max="5123" width="9.875" style="1577" customWidth="1"/>
    <col min="5124" max="5125" width="8.25" style="1577" customWidth="1"/>
    <col min="5126" max="5126" width="9.875" style="1577" customWidth="1"/>
    <col min="5127" max="5127" width="7.5" style="1577" customWidth="1"/>
    <col min="5128" max="5128" width="14.5" style="1577" customWidth="1"/>
    <col min="5129" max="5129" width="15.25" style="1577" customWidth="1"/>
    <col min="5130" max="5374" width="9" style="1577"/>
    <col min="5375" max="5375" width="5.25" style="1577" customWidth="1"/>
    <col min="5376" max="5376" width="34.75" style="1577" customWidth="1"/>
    <col min="5377" max="5377" width="8.75" style="1577" customWidth="1"/>
    <col min="5378" max="5378" width="9" style="1577"/>
    <col min="5379" max="5379" width="9.875" style="1577" customWidth="1"/>
    <col min="5380" max="5381" width="8.25" style="1577" customWidth="1"/>
    <col min="5382" max="5382" width="9.875" style="1577" customWidth="1"/>
    <col min="5383" max="5383" width="7.5" style="1577" customWidth="1"/>
    <col min="5384" max="5384" width="14.5" style="1577" customWidth="1"/>
    <col min="5385" max="5385" width="15.25" style="1577" customWidth="1"/>
    <col min="5386" max="5630" width="9" style="1577"/>
    <col min="5631" max="5631" width="5.25" style="1577" customWidth="1"/>
    <col min="5632" max="5632" width="34.75" style="1577" customWidth="1"/>
    <col min="5633" max="5633" width="8.75" style="1577" customWidth="1"/>
    <col min="5634" max="5634" width="9" style="1577"/>
    <col min="5635" max="5635" width="9.875" style="1577" customWidth="1"/>
    <col min="5636" max="5637" width="8.25" style="1577" customWidth="1"/>
    <col min="5638" max="5638" width="9.875" style="1577" customWidth="1"/>
    <col min="5639" max="5639" width="7.5" style="1577" customWidth="1"/>
    <col min="5640" max="5640" width="14.5" style="1577" customWidth="1"/>
    <col min="5641" max="5641" width="15.25" style="1577" customWidth="1"/>
    <col min="5642" max="5886" width="9" style="1577"/>
    <col min="5887" max="5887" width="5.25" style="1577" customWidth="1"/>
    <col min="5888" max="5888" width="34.75" style="1577" customWidth="1"/>
    <col min="5889" max="5889" width="8.75" style="1577" customWidth="1"/>
    <col min="5890" max="5890" width="9" style="1577"/>
    <col min="5891" max="5891" width="9.875" style="1577" customWidth="1"/>
    <col min="5892" max="5893" width="8.25" style="1577" customWidth="1"/>
    <col min="5894" max="5894" width="9.875" style="1577" customWidth="1"/>
    <col min="5895" max="5895" width="7.5" style="1577" customWidth="1"/>
    <col min="5896" max="5896" width="14.5" style="1577" customWidth="1"/>
    <col min="5897" max="5897" width="15.25" style="1577" customWidth="1"/>
    <col min="5898" max="6142" width="9" style="1577"/>
    <col min="6143" max="6143" width="5.25" style="1577" customWidth="1"/>
    <col min="6144" max="6144" width="34.75" style="1577" customWidth="1"/>
    <col min="6145" max="6145" width="8.75" style="1577" customWidth="1"/>
    <col min="6146" max="6146" width="9" style="1577"/>
    <col min="6147" max="6147" width="9.875" style="1577" customWidth="1"/>
    <col min="6148" max="6149" width="8.25" style="1577" customWidth="1"/>
    <col min="6150" max="6150" width="9.875" style="1577" customWidth="1"/>
    <col min="6151" max="6151" width="7.5" style="1577" customWidth="1"/>
    <col min="6152" max="6152" width="14.5" style="1577" customWidth="1"/>
    <col min="6153" max="6153" width="15.25" style="1577" customWidth="1"/>
    <col min="6154" max="6398" width="9" style="1577"/>
    <col min="6399" max="6399" width="5.25" style="1577" customWidth="1"/>
    <col min="6400" max="6400" width="34.75" style="1577" customWidth="1"/>
    <col min="6401" max="6401" width="8.75" style="1577" customWidth="1"/>
    <col min="6402" max="6402" width="9" style="1577"/>
    <col min="6403" max="6403" width="9.875" style="1577" customWidth="1"/>
    <col min="6404" max="6405" width="8.25" style="1577" customWidth="1"/>
    <col min="6406" max="6406" width="9.875" style="1577" customWidth="1"/>
    <col min="6407" max="6407" width="7.5" style="1577" customWidth="1"/>
    <col min="6408" max="6408" width="14.5" style="1577" customWidth="1"/>
    <col min="6409" max="6409" width="15.25" style="1577" customWidth="1"/>
    <col min="6410" max="6654" width="9" style="1577"/>
    <col min="6655" max="6655" width="5.25" style="1577" customWidth="1"/>
    <col min="6656" max="6656" width="34.75" style="1577" customWidth="1"/>
    <col min="6657" max="6657" width="8.75" style="1577" customWidth="1"/>
    <col min="6658" max="6658" width="9" style="1577"/>
    <col min="6659" max="6659" width="9.875" style="1577" customWidth="1"/>
    <col min="6660" max="6661" width="8.25" style="1577" customWidth="1"/>
    <col min="6662" max="6662" width="9.875" style="1577" customWidth="1"/>
    <col min="6663" max="6663" width="7.5" style="1577" customWidth="1"/>
    <col min="6664" max="6664" width="14.5" style="1577" customWidth="1"/>
    <col min="6665" max="6665" width="15.25" style="1577" customWidth="1"/>
    <col min="6666" max="6910" width="9" style="1577"/>
    <col min="6911" max="6911" width="5.25" style="1577" customWidth="1"/>
    <col min="6912" max="6912" width="34.75" style="1577" customWidth="1"/>
    <col min="6913" max="6913" width="8.75" style="1577" customWidth="1"/>
    <col min="6914" max="6914" width="9" style="1577"/>
    <col min="6915" max="6915" width="9.875" style="1577" customWidth="1"/>
    <col min="6916" max="6917" width="8.25" style="1577" customWidth="1"/>
    <col min="6918" max="6918" width="9.875" style="1577" customWidth="1"/>
    <col min="6919" max="6919" width="7.5" style="1577" customWidth="1"/>
    <col min="6920" max="6920" width="14.5" style="1577" customWidth="1"/>
    <col min="6921" max="6921" width="15.25" style="1577" customWidth="1"/>
    <col min="6922" max="7166" width="9" style="1577"/>
    <col min="7167" max="7167" width="5.25" style="1577" customWidth="1"/>
    <col min="7168" max="7168" width="34.75" style="1577" customWidth="1"/>
    <col min="7169" max="7169" width="8.75" style="1577" customWidth="1"/>
    <col min="7170" max="7170" width="9" style="1577"/>
    <col min="7171" max="7171" width="9.875" style="1577" customWidth="1"/>
    <col min="7172" max="7173" width="8.25" style="1577" customWidth="1"/>
    <col min="7174" max="7174" width="9.875" style="1577" customWidth="1"/>
    <col min="7175" max="7175" width="7.5" style="1577" customWidth="1"/>
    <col min="7176" max="7176" width="14.5" style="1577" customWidth="1"/>
    <col min="7177" max="7177" width="15.25" style="1577" customWidth="1"/>
    <col min="7178" max="7422" width="9" style="1577"/>
    <col min="7423" max="7423" width="5.25" style="1577" customWidth="1"/>
    <col min="7424" max="7424" width="34.75" style="1577" customWidth="1"/>
    <col min="7425" max="7425" width="8.75" style="1577" customWidth="1"/>
    <col min="7426" max="7426" width="9" style="1577"/>
    <col min="7427" max="7427" width="9.875" style="1577" customWidth="1"/>
    <col min="7428" max="7429" width="8.25" style="1577" customWidth="1"/>
    <col min="7430" max="7430" width="9.875" style="1577" customWidth="1"/>
    <col min="7431" max="7431" width="7.5" style="1577" customWidth="1"/>
    <col min="7432" max="7432" width="14.5" style="1577" customWidth="1"/>
    <col min="7433" max="7433" width="15.25" style="1577" customWidth="1"/>
    <col min="7434" max="7678" width="9" style="1577"/>
    <col min="7679" max="7679" width="5.25" style="1577" customWidth="1"/>
    <col min="7680" max="7680" width="34.75" style="1577" customWidth="1"/>
    <col min="7681" max="7681" width="8.75" style="1577" customWidth="1"/>
    <col min="7682" max="7682" width="9" style="1577"/>
    <col min="7683" max="7683" width="9.875" style="1577" customWidth="1"/>
    <col min="7684" max="7685" width="8.25" style="1577" customWidth="1"/>
    <col min="7686" max="7686" width="9.875" style="1577" customWidth="1"/>
    <col min="7687" max="7687" width="7.5" style="1577" customWidth="1"/>
    <col min="7688" max="7688" width="14.5" style="1577" customWidth="1"/>
    <col min="7689" max="7689" width="15.25" style="1577" customWidth="1"/>
    <col min="7690" max="7934" width="9" style="1577"/>
    <col min="7935" max="7935" width="5.25" style="1577" customWidth="1"/>
    <col min="7936" max="7936" width="34.75" style="1577" customWidth="1"/>
    <col min="7937" max="7937" width="8.75" style="1577" customWidth="1"/>
    <col min="7938" max="7938" width="9" style="1577"/>
    <col min="7939" max="7939" width="9.875" style="1577" customWidth="1"/>
    <col min="7940" max="7941" width="8.25" style="1577" customWidth="1"/>
    <col min="7942" max="7942" width="9.875" style="1577" customWidth="1"/>
    <col min="7943" max="7943" width="7.5" style="1577" customWidth="1"/>
    <col min="7944" max="7944" width="14.5" style="1577" customWidth="1"/>
    <col min="7945" max="7945" width="15.25" style="1577" customWidth="1"/>
    <col min="7946" max="8190" width="9" style="1577"/>
    <col min="8191" max="8191" width="5.25" style="1577" customWidth="1"/>
    <col min="8192" max="8192" width="34.75" style="1577" customWidth="1"/>
    <col min="8193" max="8193" width="8.75" style="1577" customWidth="1"/>
    <col min="8194" max="8194" width="9" style="1577"/>
    <col min="8195" max="8195" width="9.875" style="1577" customWidth="1"/>
    <col min="8196" max="8197" width="8.25" style="1577" customWidth="1"/>
    <col min="8198" max="8198" width="9.875" style="1577" customWidth="1"/>
    <col min="8199" max="8199" width="7.5" style="1577" customWidth="1"/>
    <col min="8200" max="8200" width="14.5" style="1577" customWidth="1"/>
    <col min="8201" max="8201" width="15.25" style="1577" customWidth="1"/>
    <col min="8202" max="8446" width="9" style="1577"/>
    <col min="8447" max="8447" width="5.25" style="1577" customWidth="1"/>
    <col min="8448" max="8448" width="34.75" style="1577" customWidth="1"/>
    <col min="8449" max="8449" width="8.75" style="1577" customWidth="1"/>
    <col min="8450" max="8450" width="9" style="1577"/>
    <col min="8451" max="8451" width="9.875" style="1577" customWidth="1"/>
    <col min="8452" max="8453" width="8.25" style="1577" customWidth="1"/>
    <col min="8454" max="8454" width="9.875" style="1577" customWidth="1"/>
    <col min="8455" max="8455" width="7.5" style="1577" customWidth="1"/>
    <col min="8456" max="8456" width="14.5" style="1577" customWidth="1"/>
    <col min="8457" max="8457" width="15.25" style="1577" customWidth="1"/>
    <col min="8458" max="8702" width="9" style="1577"/>
    <col min="8703" max="8703" width="5.25" style="1577" customWidth="1"/>
    <col min="8704" max="8704" width="34.75" style="1577" customWidth="1"/>
    <col min="8705" max="8705" width="8.75" style="1577" customWidth="1"/>
    <col min="8706" max="8706" width="9" style="1577"/>
    <col min="8707" max="8707" width="9.875" style="1577" customWidth="1"/>
    <col min="8708" max="8709" width="8.25" style="1577" customWidth="1"/>
    <col min="8710" max="8710" width="9.875" style="1577" customWidth="1"/>
    <col min="8711" max="8711" width="7.5" style="1577" customWidth="1"/>
    <col min="8712" max="8712" width="14.5" style="1577" customWidth="1"/>
    <col min="8713" max="8713" width="15.25" style="1577" customWidth="1"/>
    <col min="8714" max="8958" width="9" style="1577"/>
    <col min="8959" max="8959" width="5.25" style="1577" customWidth="1"/>
    <col min="8960" max="8960" width="34.75" style="1577" customWidth="1"/>
    <col min="8961" max="8961" width="8.75" style="1577" customWidth="1"/>
    <col min="8962" max="8962" width="9" style="1577"/>
    <col min="8963" max="8963" width="9.875" style="1577" customWidth="1"/>
    <col min="8964" max="8965" width="8.25" style="1577" customWidth="1"/>
    <col min="8966" max="8966" width="9.875" style="1577" customWidth="1"/>
    <col min="8967" max="8967" width="7.5" style="1577" customWidth="1"/>
    <col min="8968" max="8968" width="14.5" style="1577" customWidth="1"/>
    <col min="8969" max="8969" width="15.25" style="1577" customWidth="1"/>
    <col min="8970" max="9214" width="9" style="1577"/>
    <col min="9215" max="9215" width="5.25" style="1577" customWidth="1"/>
    <col min="9216" max="9216" width="34.75" style="1577" customWidth="1"/>
    <col min="9217" max="9217" width="8.75" style="1577" customWidth="1"/>
    <col min="9218" max="9218" width="9" style="1577"/>
    <col min="9219" max="9219" width="9.875" style="1577" customWidth="1"/>
    <col min="9220" max="9221" width="8.25" style="1577" customWidth="1"/>
    <col min="9222" max="9222" width="9.875" style="1577" customWidth="1"/>
    <col min="9223" max="9223" width="7.5" style="1577" customWidth="1"/>
    <col min="9224" max="9224" width="14.5" style="1577" customWidth="1"/>
    <col min="9225" max="9225" width="15.25" style="1577" customWidth="1"/>
    <col min="9226" max="9470" width="9" style="1577"/>
    <col min="9471" max="9471" width="5.25" style="1577" customWidth="1"/>
    <col min="9472" max="9472" width="34.75" style="1577" customWidth="1"/>
    <col min="9473" max="9473" width="8.75" style="1577" customWidth="1"/>
    <col min="9474" max="9474" width="9" style="1577"/>
    <col min="9475" max="9475" width="9.875" style="1577" customWidth="1"/>
    <col min="9476" max="9477" width="8.25" style="1577" customWidth="1"/>
    <col min="9478" max="9478" width="9.875" style="1577" customWidth="1"/>
    <col min="9479" max="9479" width="7.5" style="1577" customWidth="1"/>
    <col min="9480" max="9480" width="14.5" style="1577" customWidth="1"/>
    <col min="9481" max="9481" width="15.25" style="1577" customWidth="1"/>
    <col min="9482" max="9726" width="9" style="1577"/>
    <col min="9727" max="9727" width="5.25" style="1577" customWidth="1"/>
    <col min="9728" max="9728" width="34.75" style="1577" customWidth="1"/>
    <col min="9729" max="9729" width="8.75" style="1577" customWidth="1"/>
    <col min="9730" max="9730" width="9" style="1577"/>
    <col min="9731" max="9731" width="9.875" style="1577" customWidth="1"/>
    <col min="9732" max="9733" width="8.25" style="1577" customWidth="1"/>
    <col min="9734" max="9734" width="9.875" style="1577" customWidth="1"/>
    <col min="9735" max="9735" width="7.5" style="1577" customWidth="1"/>
    <col min="9736" max="9736" width="14.5" style="1577" customWidth="1"/>
    <col min="9737" max="9737" width="15.25" style="1577" customWidth="1"/>
    <col min="9738" max="9982" width="9" style="1577"/>
    <col min="9983" max="9983" width="5.25" style="1577" customWidth="1"/>
    <col min="9984" max="9984" width="34.75" style="1577" customWidth="1"/>
    <col min="9985" max="9985" width="8.75" style="1577" customWidth="1"/>
    <col min="9986" max="9986" width="9" style="1577"/>
    <col min="9987" max="9987" width="9.875" style="1577" customWidth="1"/>
    <col min="9988" max="9989" width="8.25" style="1577" customWidth="1"/>
    <col min="9990" max="9990" width="9.875" style="1577" customWidth="1"/>
    <col min="9991" max="9991" width="7.5" style="1577" customWidth="1"/>
    <col min="9992" max="9992" width="14.5" style="1577" customWidth="1"/>
    <col min="9993" max="9993" width="15.25" style="1577" customWidth="1"/>
    <col min="9994" max="10238" width="9" style="1577"/>
    <col min="10239" max="10239" width="5.25" style="1577" customWidth="1"/>
    <col min="10240" max="10240" width="34.75" style="1577" customWidth="1"/>
    <col min="10241" max="10241" width="8.75" style="1577" customWidth="1"/>
    <col min="10242" max="10242" width="9" style="1577"/>
    <col min="10243" max="10243" width="9.875" style="1577" customWidth="1"/>
    <col min="10244" max="10245" width="8.25" style="1577" customWidth="1"/>
    <col min="10246" max="10246" width="9.875" style="1577" customWidth="1"/>
    <col min="10247" max="10247" width="7.5" style="1577" customWidth="1"/>
    <col min="10248" max="10248" width="14.5" style="1577" customWidth="1"/>
    <col min="10249" max="10249" width="15.25" style="1577" customWidth="1"/>
    <col min="10250" max="10494" width="9" style="1577"/>
    <col min="10495" max="10495" width="5.25" style="1577" customWidth="1"/>
    <col min="10496" max="10496" width="34.75" style="1577" customWidth="1"/>
    <col min="10497" max="10497" width="8.75" style="1577" customWidth="1"/>
    <col min="10498" max="10498" width="9" style="1577"/>
    <col min="10499" max="10499" width="9.875" style="1577" customWidth="1"/>
    <col min="10500" max="10501" width="8.25" style="1577" customWidth="1"/>
    <col min="10502" max="10502" width="9.875" style="1577" customWidth="1"/>
    <col min="10503" max="10503" width="7.5" style="1577" customWidth="1"/>
    <col min="10504" max="10504" width="14.5" style="1577" customWidth="1"/>
    <col min="10505" max="10505" width="15.25" style="1577" customWidth="1"/>
    <col min="10506" max="10750" width="9" style="1577"/>
    <col min="10751" max="10751" width="5.25" style="1577" customWidth="1"/>
    <col min="10752" max="10752" width="34.75" style="1577" customWidth="1"/>
    <col min="10753" max="10753" width="8.75" style="1577" customWidth="1"/>
    <col min="10754" max="10754" width="9" style="1577"/>
    <col min="10755" max="10755" width="9.875" style="1577" customWidth="1"/>
    <col min="10756" max="10757" width="8.25" style="1577" customWidth="1"/>
    <col min="10758" max="10758" width="9.875" style="1577" customWidth="1"/>
    <col min="10759" max="10759" width="7.5" style="1577" customWidth="1"/>
    <col min="10760" max="10760" width="14.5" style="1577" customWidth="1"/>
    <col min="10761" max="10761" width="15.25" style="1577" customWidth="1"/>
    <col min="10762" max="11006" width="9" style="1577"/>
    <col min="11007" max="11007" width="5.25" style="1577" customWidth="1"/>
    <col min="11008" max="11008" width="34.75" style="1577" customWidth="1"/>
    <col min="11009" max="11009" width="8.75" style="1577" customWidth="1"/>
    <col min="11010" max="11010" width="9" style="1577"/>
    <col min="11011" max="11011" width="9.875" style="1577" customWidth="1"/>
    <col min="11012" max="11013" width="8.25" style="1577" customWidth="1"/>
    <col min="11014" max="11014" width="9.875" style="1577" customWidth="1"/>
    <col min="11015" max="11015" width="7.5" style="1577" customWidth="1"/>
    <col min="11016" max="11016" width="14.5" style="1577" customWidth="1"/>
    <col min="11017" max="11017" width="15.25" style="1577" customWidth="1"/>
    <col min="11018" max="11262" width="9" style="1577"/>
    <col min="11263" max="11263" width="5.25" style="1577" customWidth="1"/>
    <col min="11264" max="11264" width="34.75" style="1577" customWidth="1"/>
    <col min="11265" max="11265" width="8.75" style="1577" customWidth="1"/>
    <col min="11266" max="11266" width="9" style="1577"/>
    <col min="11267" max="11267" width="9.875" style="1577" customWidth="1"/>
    <col min="11268" max="11269" width="8.25" style="1577" customWidth="1"/>
    <col min="11270" max="11270" width="9.875" style="1577" customWidth="1"/>
    <col min="11271" max="11271" width="7.5" style="1577" customWidth="1"/>
    <col min="11272" max="11272" width="14.5" style="1577" customWidth="1"/>
    <col min="11273" max="11273" width="15.25" style="1577" customWidth="1"/>
    <col min="11274" max="11518" width="9" style="1577"/>
    <col min="11519" max="11519" width="5.25" style="1577" customWidth="1"/>
    <col min="11520" max="11520" width="34.75" style="1577" customWidth="1"/>
    <col min="11521" max="11521" width="8.75" style="1577" customWidth="1"/>
    <col min="11522" max="11522" width="9" style="1577"/>
    <col min="11523" max="11523" width="9.875" style="1577" customWidth="1"/>
    <col min="11524" max="11525" width="8.25" style="1577" customWidth="1"/>
    <col min="11526" max="11526" width="9.875" style="1577" customWidth="1"/>
    <col min="11527" max="11527" width="7.5" style="1577" customWidth="1"/>
    <col min="11528" max="11528" width="14.5" style="1577" customWidth="1"/>
    <col min="11529" max="11529" width="15.25" style="1577" customWidth="1"/>
    <col min="11530" max="11774" width="9" style="1577"/>
    <col min="11775" max="11775" width="5.25" style="1577" customWidth="1"/>
    <col min="11776" max="11776" width="34.75" style="1577" customWidth="1"/>
    <col min="11777" max="11777" width="8.75" style="1577" customWidth="1"/>
    <col min="11778" max="11778" width="9" style="1577"/>
    <col min="11779" max="11779" width="9.875" style="1577" customWidth="1"/>
    <col min="11780" max="11781" width="8.25" style="1577" customWidth="1"/>
    <col min="11782" max="11782" width="9.875" style="1577" customWidth="1"/>
    <col min="11783" max="11783" width="7.5" style="1577" customWidth="1"/>
    <col min="11784" max="11784" width="14.5" style="1577" customWidth="1"/>
    <col min="11785" max="11785" width="15.25" style="1577" customWidth="1"/>
    <col min="11786" max="12030" width="9" style="1577"/>
    <col min="12031" max="12031" width="5.25" style="1577" customWidth="1"/>
    <col min="12032" max="12032" width="34.75" style="1577" customWidth="1"/>
    <col min="12033" max="12033" width="8.75" style="1577" customWidth="1"/>
    <col min="12034" max="12034" width="9" style="1577"/>
    <col min="12035" max="12035" width="9.875" style="1577" customWidth="1"/>
    <col min="12036" max="12037" width="8.25" style="1577" customWidth="1"/>
    <col min="12038" max="12038" width="9.875" style="1577" customWidth="1"/>
    <col min="12039" max="12039" width="7.5" style="1577" customWidth="1"/>
    <col min="12040" max="12040" width="14.5" style="1577" customWidth="1"/>
    <col min="12041" max="12041" width="15.25" style="1577" customWidth="1"/>
    <col min="12042" max="12286" width="9" style="1577"/>
    <col min="12287" max="12287" width="5.25" style="1577" customWidth="1"/>
    <col min="12288" max="12288" width="34.75" style="1577" customWidth="1"/>
    <col min="12289" max="12289" width="8.75" style="1577" customWidth="1"/>
    <col min="12290" max="12290" width="9" style="1577"/>
    <col min="12291" max="12291" width="9.875" style="1577" customWidth="1"/>
    <col min="12292" max="12293" width="8.25" style="1577" customWidth="1"/>
    <col min="12294" max="12294" width="9.875" style="1577" customWidth="1"/>
    <col min="12295" max="12295" width="7.5" style="1577" customWidth="1"/>
    <col min="12296" max="12296" width="14.5" style="1577" customWidth="1"/>
    <col min="12297" max="12297" width="15.25" style="1577" customWidth="1"/>
    <col min="12298" max="12542" width="9" style="1577"/>
    <col min="12543" max="12543" width="5.25" style="1577" customWidth="1"/>
    <col min="12544" max="12544" width="34.75" style="1577" customWidth="1"/>
    <col min="12545" max="12545" width="8.75" style="1577" customWidth="1"/>
    <col min="12546" max="12546" width="9" style="1577"/>
    <col min="12547" max="12547" width="9.875" style="1577" customWidth="1"/>
    <col min="12548" max="12549" width="8.25" style="1577" customWidth="1"/>
    <col min="12550" max="12550" width="9.875" style="1577" customWidth="1"/>
    <col min="12551" max="12551" width="7.5" style="1577" customWidth="1"/>
    <col min="12552" max="12552" width="14.5" style="1577" customWidth="1"/>
    <col min="12553" max="12553" width="15.25" style="1577" customWidth="1"/>
    <col min="12554" max="12798" width="9" style="1577"/>
    <col min="12799" max="12799" width="5.25" style="1577" customWidth="1"/>
    <col min="12800" max="12800" width="34.75" style="1577" customWidth="1"/>
    <col min="12801" max="12801" width="8.75" style="1577" customWidth="1"/>
    <col min="12802" max="12802" width="9" style="1577"/>
    <col min="12803" max="12803" width="9.875" style="1577" customWidth="1"/>
    <col min="12804" max="12805" width="8.25" style="1577" customWidth="1"/>
    <col min="12806" max="12806" width="9.875" style="1577" customWidth="1"/>
    <col min="12807" max="12807" width="7.5" style="1577" customWidth="1"/>
    <col min="12808" max="12808" width="14.5" style="1577" customWidth="1"/>
    <col min="12809" max="12809" width="15.25" style="1577" customWidth="1"/>
    <col min="12810" max="13054" width="9" style="1577"/>
    <col min="13055" max="13055" width="5.25" style="1577" customWidth="1"/>
    <col min="13056" max="13056" width="34.75" style="1577" customWidth="1"/>
    <col min="13057" max="13057" width="8.75" style="1577" customWidth="1"/>
    <col min="13058" max="13058" width="9" style="1577"/>
    <col min="13059" max="13059" width="9.875" style="1577" customWidth="1"/>
    <col min="13060" max="13061" width="8.25" style="1577" customWidth="1"/>
    <col min="13062" max="13062" width="9.875" style="1577" customWidth="1"/>
    <col min="13063" max="13063" width="7.5" style="1577" customWidth="1"/>
    <col min="13064" max="13064" width="14.5" style="1577" customWidth="1"/>
    <col min="13065" max="13065" width="15.25" style="1577" customWidth="1"/>
    <col min="13066" max="13310" width="9" style="1577"/>
    <col min="13311" max="13311" width="5.25" style="1577" customWidth="1"/>
    <col min="13312" max="13312" width="34.75" style="1577" customWidth="1"/>
    <col min="13313" max="13313" width="8.75" style="1577" customWidth="1"/>
    <col min="13314" max="13314" width="9" style="1577"/>
    <col min="13315" max="13315" width="9.875" style="1577" customWidth="1"/>
    <col min="13316" max="13317" width="8.25" style="1577" customWidth="1"/>
    <col min="13318" max="13318" width="9.875" style="1577" customWidth="1"/>
    <col min="13319" max="13319" width="7.5" style="1577" customWidth="1"/>
    <col min="13320" max="13320" width="14.5" style="1577" customWidth="1"/>
    <col min="13321" max="13321" width="15.25" style="1577" customWidth="1"/>
    <col min="13322" max="13566" width="9" style="1577"/>
    <col min="13567" max="13567" width="5.25" style="1577" customWidth="1"/>
    <col min="13568" max="13568" width="34.75" style="1577" customWidth="1"/>
    <col min="13569" max="13569" width="8.75" style="1577" customWidth="1"/>
    <col min="13570" max="13570" width="9" style="1577"/>
    <col min="13571" max="13571" width="9.875" style="1577" customWidth="1"/>
    <col min="13572" max="13573" width="8.25" style="1577" customWidth="1"/>
    <col min="13574" max="13574" width="9.875" style="1577" customWidth="1"/>
    <col min="13575" max="13575" width="7.5" style="1577" customWidth="1"/>
    <col min="13576" max="13576" width="14.5" style="1577" customWidth="1"/>
    <col min="13577" max="13577" width="15.25" style="1577" customWidth="1"/>
    <col min="13578" max="13822" width="9" style="1577"/>
    <col min="13823" max="13823" width="5.25" style="1577" customWidth="1"/>
    <col min="13824" max="13824" width="34.75" style="1577" customWidth="1"/>
    <col min="13825" max="13825" width="8.75" style="1577" customWidth="1"/>
    <col min="13826" max="13826" width="9" style="1577"/>
    <col min="13827" max="13827" width="9.875" style="1577" customWidth="1"/>
    <col min="13828" max="13829" width="8.25" style="1577" customWidth="1"/>
    <col min="13830" max="13830" width="9.875" style="1577" customWidth="1"/>
    <col min="13831" max="13831" width="7.5" style="1577" customWidth="1"/>
    <col min="13832" max="13832" width="14.5" style="1577" customWidth="1"/>
    <col min="13833" max="13833" width="15.25" style="1577" customWidth="1"/>
    <col min="13834" max="14078" width="9" style="1577"/>
    <col min="14079" max="14079" width="5.25" style="1577" customWidth="1"/>
    <col min="14080" max="14080" width="34.75" style="1577" customWidth="1"/>
    <col min="14081" max="14081" width="8.75" style="1577" customWidth="1"/>
    <col min="14082" max="14082" width="9" style="1577"/>
    <col min="14083" max="14083" width="9.875" style="1577" customWidth="1"/>
    <col min="14084" max="14085" width="8.25" style="1577" customWidth="1"/>
    <col min="14086" max="14086" width="9.875" style="1577" customWidth="1"/>
    <col min="14087" max="14087" width="7.5" style="1577" customWidth="1"/>
    <col min="14088" max="14088" width="14.5" style="1577" customWidth="1"/>
    <col min="14089" max="14089" width="15.25" style="1577" customWidth="1"/>
    <col min="14090" max="14334" width="9" style="1577"/>
    <col min="14335" max="14335" width="5.25" style="1577" customWidth="1"/>
    <col min="14336" max="14336" width="34.75" style="1577" customWidth="1"/>
    <col min="14337" max="14337" width="8.75" style="1577" customWidth="1"/>
    <col min="14338" max="14338" width="9" style="1577"/>
    <col min="14339" max="14339" width="9.875" style="1577" customWidth="1"/>
    <col min="14340" max="14341" width="8.25" style="1577" customWidth="1"/>
    <col min="14342" max="14342" width="9.875" style="1577" customWidth="1"/>
    <col min="14343" max="14343" width="7.5" style="1577" customWidth="1"/>
    <col min="14344" max="14344" width="14.5" style="1577" customWidth="1"/>
    <col min="14345" max="14345" width="15.25" style="1577" customWidth="1"/>
    <col min="14346" max="14590" width="9" style="1577"/>
    <col min="14591" max="14591" width="5.25" style="1577" customWidth="1"/>
    <col min="14592" max="14592" width="34.75" style="1577" customWidth="1"/>
    <col min="14593" max="14593" width="8.75" style="1577" customWidth="1"/>
    <col min="14594" max="14594" width="9" style="1577"/>
    <col min="14595" max="14595" width="9.875" style="1577" customWidth="1"/>
    <col min="14596" max="14597" width="8.25" style="1577" customWidth="1"/>
    <col min="14598" max="14598" width="9.875" style="1577" customWidth="1"/>
    <col min="14599" max="14599" width="7.5" style="1577" customWidth="1"/>
    <col min="14600" max="14600" width="14.5" style="1577" customWidth="1"/>
    <col min="14601" max="14601" width="15.25" style="1577" customWidth="1"/>
    <col min="14602" max="14846" width="9" style="1577"/>
    <col min="14847" max="14847" width="5.25" style="1577" customWidth="1"/>
    <col min="14848" max="14848" width="34.75" style="1577" customWidth="1"/>
    <col min="14849" max="14849" width="8.75" style="1577" customWidth="1"/>
    <col min="14850" max="14850" width="9" style="1577"/>
    <col min="14851" max="14851" width="9.875" style="1577" customWidth="1"/>
    <col min="14852" max="14853" width="8.25" style="1577" customWidth="1"/>
    <col min="14854" max="14854" width="9.875" style="1577" customWidth="1"/>
    <col min="14855" max="14855" width="7.5" style="1577" customWidth="1"/>
    <col min="14856" max="14856" width="14.5" style="1577" customWidth="1"/>
    <col min="14857" max="14857" width="15.25" style="1577" customWidth="1"/>
    <col min="14858" max="15102" width="9" style="1577"/>
    <col min="15103" max="15103" width="5.25" style="1577" customWidth="1"/>
    <col min="15104" max="15104" width="34.75" style="1577" customWidth="1"/>
    <col min="15105" max="15105" width="8.75" style="1577" customWidth="1"/>
    <col min="15106" max="15106" width="9" style="1577"/>
    <col min="15107" max="15107" width="9.875" style="1577" customWidth="1"/>
    <col min="15108" max="15109" width="8.25" style="1577" customWidth="1"/>
    <col min="15110" max="15110" width="9.875" style="1577" customWidth="1"/>
    <col min="15111" max="15111" width="7.5" style="1577" customWidth="1"/>
    <col min="15112" max="15112" width="14.5" style="1577" customWidth="1"/>
    <col min="15113" max="15113" width="15.25" style="1577" customWidth="1"/>
    <col min="15114" max="15358" width="9" style="1577"/>
    <col min="15359" max="15359" width="5.25" style="1577" customWidth="1"/>
    <col min="15360" max="15360" width="34.75" style="1577" customWidth="1"/>
    <col min="15361" max="15361" width="8.75" style="1577" customWidth="1"/>
    <col min="15362" max="15362" width="9" style="1577"/>
    <col min="15363" max="15363" width="9.875" style="1577" customWidth="1"/>
    <col min="15364" max="15365" width="8.25" style="1577" customWidth="1"/>
    <col min="15366" max="15366" width="9.875" style="1577" customWidth="1"/>
    <col min="15367" max="15367" width="7.5" style="1577" customWidth="1"/>
    <col min="15368" max="15368" width="14.5" style="1577" customWidth="1"/>
    <col min="15369" max="15369" width="15.25" style="1577" customWidth="1"/>
    <col min="15370" max="15614" width="9" style="1577"/>
    <col min="15615" max="15615" width="5.25" style="1577" customWidth="1"/>
    <col min="15616" max="15616" width="34.75" style="1577" customWidth="1"/>
    <col min="15617" max="15617" width="8.75" style="1577" customWidth="1"/>
    <col min="15618" max="15618" width="9" style="1577"/>
    <col min="15619" max="15619" width="9.875" style="1577" customWidth="1"/>
    <col min="15620" max="15621" width="8.25" style="1577" customWidth="1"/>
    <col min="15622" max="15622" width="9.875" style="1577" customWidth="1"/>
    <col min="15623" max="15623" width="7.5" style="1577" customWidth="1"/>
    <col min="15624" max="15624" width="14.5" style="1577" customWidth="1"/>
    <col min="15625" max="15625" width="15.25" style="1577" customWidth="1"/>
    <col min="15626" max="15870" width="9" style="1577"/>
    <col min="15871" max="15871" width="5.25" style="1577" customWidth="1"/>
    <col min="15872" max="15872" width="34.75" style="1577" customWidth="1"/>
    <col min="15873" max="15873" width="8.75" style="1577" customWidth="1"/>
    <col min="15874" max="15874" width="9" style="1577"/>
    <col min="15875" max="15875" width="9.875" style="1577" customWidth="1"/>
    <col min="15876" max="15877" width="8.25" style="1577" customWidth="1"/>
    <col min="15878" max="15878" width="9.875" style="1577" customWidth="1"/>
    <col min="15879" max="15879" width="7.5" style="1577" customWidth="1"/>
    <col min="15880" max="15880" width="14.5" style="1577" customWidth="1"/>
    <col min="15881" max="15881" width="15.25" style="1577" customWidth="1"/>
    <col min="15882" max="16126" width="9" style="1577"/>
    <col min="16127" max="16127" width="5.25" style="1577" customWidth="1"/>
    <col min="16128" max="16128" width="34.75" style="1577" customWidth="1"/>
    <col min="16129" max="16129" width="8.75" style="1577" customWidth="1"/>
    <col min="16130" max="16130" width="9" style="1577"/>
    <col min="16131" max="16131" width="9.875" style="1577" customWidth="1"/>
    <col min="16132" max="16133" width="8.25" style="1577" customWidth="1"/>
    <col min="16134" max="16134" width="9.875" style="1577" customWidth="1"/>
    <col min="16135" max="16135" width="7.5" style="1577" customWidth="1"/>
    <col min="16136" max="16136" width="14.5" style="1577" customWidth="1"/>
    <col min="16137" max="16137" width="15.25" style="1577" customWidth="1"/>
    <col min="16138" max="16384" width="9" style="1577"/>
  </cols>
  <sheetData>
    <row r="1" spans="1:9" ht="25.9" customHeight="1">
      <c r="A1" s="3697" t="s">
        <v>5450</v>
      </c>
      <c r="B1" s="3697"/>
      <c r="C1" s="3697"/>
      <c r="D1" s="3697"/>
      <c r="E1" s="3697"/>
      <c r="F1" s="3697"/>
      <c r="G1" s="2754" t="str">
        <f>基本情况!$F$10</f>
        <v>厦中汇税审（2018）第DS0001号</v>
      </c>
      <c r="H1" s="2754"/>
      <c r="I1" s="2754"/>
    </row>
    <row r="2" spans="1:9" ht="37.15" customHeight="1">
      <c r="A2" s="3698"/>
      <c r="B2" s="3698"/>
      <c r="C2" s="3698"/>
      <c r="D2" s="3698"/>
      <c r="E2" s="3698"/>
      <c r="F2" s="3698"/>
      <c r="G2" s="3023" t="str">
        <f>"底稿编号："&amp;开始!L15</f>
        <v>底稿编号：AD-13</v>
      </c>
      <c r="H2" s="3023"/>
      <c r="I2" s="3595"/>
    </row>
    <row r="3" spans="1:9" ht="18.75" customHeight="1">
      <c r="A3" s="3699" t="s">
        <v>147</v>
      </c>
      <c r="B3" s="3699" t="s">
        <v>641</v>
      </c>
      <c r="C3" s="3695" t="s">
        <v>642</v>
      </c>
      <c r="D3" s="3695"/>
      <c r="E3" s="3695"/>
      <c r="F3" s="3695" t="s">
        <v>643</v>
      </c>
      <c r="G3" s="3695"/>
      <c r="H3" s="3695"/>
      <c r="I3" s="3702" t="s">
        <v>616</v>
      </c>
    </row>
    <row r="4" spans="1:9" ht="18.75" customHeight="1">
      <c r="A4" s="3700"/>
      <c r="B4" s="3700"/>
      <c r="C4" s="2313" t="s">
        <v>645</v>
      </c>
      <c r="D4" s="2313" t="s">
        <v>371</v>
      </c>
      <c r="E4" s="2313" t="s">
        <v>616</v>
      </c>
      <c r="F4" s="2313" t="s">
        <v>645</v>
      </c>
      <c r="G4" s="2313" t="s">
        <v>371</v>
      </c>
      <c r="H4" s="2313" t="s">
        <v>616</v>
      </c>
      <c r="I4" s="3703"/>
    </row>
    <row r="5" spans="1:9" ht="18.75" customHeight="1">
      <c r="A5" s="3701"/>
      <c r="B5" s="3701"/>
      <c r="C5" s="2313">
        <v>1</v>
      </c>
      <c r="D5" s="2313">
        <v>2</v>
      </c>
      <c r="E5" s="2313" t="s">
        <v>646</v>
      </c>
      <c r="F5" s="2313">
        <v>4</v>
      </c>
      <c r="G5" s="2313">
        <v>5</v>
      </c>
      <c r="H5" s="2313" t="s">
        <v>647</v>
      </c>
      <c r="I5" s="2313" t="s">
        <v>648</v>
      </c>
    </row>
    <row r="6" spans="1:9" ht="18.75" customHeight="1">
      <c r="A6" s="2313">
        <v>1</v>
      </c>
      <c r="B6" s="2333" t="s">
        <v>649</v>
      </c>
      <c r="C6" s="328"/>
      <c r="D6" s="328"/>
      <c r="E6" s="2334">
        <f>ROUND(D6-C6,2)</f>
        <v>0</v>
      </c>
      <c r="F6" s="328"/>
      <c r="G6" s="328"/>
      <c r="H6" s="2334">
        <f>ROUND(G6-F6,2)</f>
        <v>0</v>
      </c>
      <c r="I6" s="2334">
        <f>ROUND(E6+H6,2)</f>
        <v>0</v>
      </c>
    </row>
    <row r="7" spans="1:9" ht="18.75" customHeight="1">
      <c r="A7" s="2313">
        <v>2</v>
      </c>
      <c r="B7" s="2333" t="s">
        <v>651</v>
      </c>
      <c r="C7" s="328"/>
      <c r="D7" s="328"/>
      <c r="E7" s="2334">
        <f t="shared" ref="E7:E20" si="0">ROUND(D7-C7,2)</f>
        <v>0</v>
      </c>
      <c r="F7" s="328"/>
      <c r="G7" s="328"/>
      <c r="H7" s="2334">
        <f t="shared" ref="H7:H20" si="1">ROUND(G7-F7,2)</f>
        <v>0</v>
      </c>
      <c r="I7" s="2334">
        <f t="shared" ref="I7:I20" si="2">ROUND(E7+H7,2)</f>
        <v>0</v>
      </c>
    </row>
    <row r="8" spans="1:9" ht="18.75" customHeight="1">
      <c r="A8" s="2313">
        <v>3</v>
      </c>
      <c r="B8" s="2333" t="s">
        <v>652</v>
      </c>
      <c r="C8" s="328"/>
      <c r="D8" s="328"/>
      <c r="E8" s="2334">
        <f t="shared" si="0"/>
        <v>0</v>
      </c>
      <c r="F8" s="328"/>
      <c r="G8" s="328"/>
      <c r="H8" s="2334">
        <f t="shared" si="1"/>
        <v>0</v>
      </c>
      <c r="I8" s="2334">
        <f t="shared" si="2"/>
        <v>0</v>
      </c>
    </row>
    <row r="9" spans="1:9" ht="18.75" customHeight="1">
      <c r="A9" s="2313">
        <v>4</v>
      </c>
      <c r="B9" s="2333" t="s">
        <v>653</v>
      </c>
      <c r="C9" s="328"/>
      <c r="D9" s="328"/>
      <c r="E9" s="2334">
        <f t="shared" si="0"/>
        <v>0</v>
      </c>
      <c r="F9" s="328"/>
      <c r="G9" s="328"/>
      <c r="H9" s="2334">
        <f t="shared" si="1"/>
        <v>0</v>
      </c>
      <c r="I9" s="2334">
        <f t="shared" si="2"/>
        <v>0</v>
      </c>
    </row>
    <row r="10" spans="1:9" ht="18.75" customHeight="1">
      <c r="A10" s="2313">
        <v>5</v>
      </c>
      <c r="B10" s="2333" t="s">
        <v>655</v>
      </c>
      <c r="C10" s="328"/>
      <c r="D10" s="328"/>
      <c r="E10" s="2334">
        <f t="shared" si="0"/>
        <v>0</v>
      </c>
      <c r="F10" s="328"/>
      <c r="G10" s="328"/>
      <c r="H10" s="2334">
        <f t="shared" si="1"/>
        <v>0</v>
      </c>
      <c r="I10" s="2334">
        <f t="shared" si="2"/>
        <v>0</v>
      </c>
    </row>
    <row r="11" spans="1:9" ht="18.75" customHeight="1">
      <c r="A11" s="2313">
        <v>6</v>
      </c>
      <c r="B11" s="2333" t="s">
        <v>656</v>
      </c>
      <c r="C11" s="328"/>
      <c r="D11" s="328"/>
      <c r="E11" s="2334">
        <f t="shared" si="0"/>
        <v>0</v>
      </c>
      <c r="F11" s="328"/>
      <c r="G11" s="328"/>
      <c r="H11" s="2334">
        <f t="shared" si="1"/>
        <v>0</v>
      </c>
      <c r="I11" s="2334">
        <f t="shared" si="2"/>
        <v>0</v>
      </c>
    </row>
    <row r="12" spans="1:9" ht="18.75" customHeight="1">
      <c r="A12" s="2313">
        <v>7</v>
      </c>
      <c r="B12" s="2333" t="s">
        <v>658</v>
      </c>
      <c r="C12" s="328"/>
      <c r="D12" s="328"/>
      <c r="E12" s="2334">
        <f t="shared" si="0"/>
        <v>0</v>
      </c>
      <c r="F12" s="328"/>
      <c r="G12" s="328"/>
      <c r="H12" s="2334">
        <f t="shared" si="1"/>
        <v>0</v>
      </c>
      <c r="I12" s="2334">
        <f t="shared" si="2"/>
        <v>0</v>
      </c>
    </row>
    <row r="13" spans="1:9" ht="18.75" customHeight="1">
      <c r="A13" s="2313">
        <v>8</v>
      </c>
      <c r="B13" s="2333" t="s">
        <v>659</v>
      </c>
      <c r="C13" s="2334">
        <f>ROUND(C14+C15,2)</f>
        <v>0</v>
      </c>
      <c r="D13" s="2334">
        <f>ROUND(D14+D15,2)</f>
        <v>0</v>
      </c>
      <c r="E13" s="2334">
        <f t="shared" si="0"/>
        <v>0</v>
      </c>
      <c r="F13" s="2334">
        <f>ROUND(F14+F15,2)</f>
        <v>0</v>
      </c>
      <c r="G13" s="2334">
        <f>ROUND(G14+G15,2)</f>
        <v>0</v>
      </c>
      <c r="H13" s="2334">
        <f t="shared" si="1"/>
        <v>0</v>
      </c>
      <c r="I13" s="2334">
        <f t="shared" si="2"/>
        <v>0</v>
      </c>
    </row>
    <row r="14" spans="1:9" ht="18.75" customHeight="1">
      <c r="A14" s="2313">
        <v>9</v>
      </c>
      <c r="B14" s="2333" t="s">
        <v>664</v>
      </c>
      <c r="C14" s="328"/>
      <c r="D14" s="328"/>
      <c r="E14" s="2334">
        <f t="shared" si="0"/>
        <v>0</v>
      </c>
      <c r="F14" s="328"/>
      <c r="G14" s="328"/>
      <c r="H14" s="2334">
        <f t="shared" si="1"/>
        <v>0</v>
      </c>
      <c r="I14" s="2334">
        <f t="shared" si="2"/>
        <v>0</v>
      </c>
    </row>
    <row r="15" spans="1:9" ht="18.75" customHeight="1">
      <c r="A15" s="2313">
        <v>10</v>
      </c>
      <c r="B15" s="2333" t="s">
        <v>665</v>
      </c>
      <c r="C15" s="328"/>
      <c r="D15" s="328"/>
      <c r="E15" s="2334">
        <f t="shared" si="0"/>
        <v>0</v>
      </c>
      <c r="F15" s="328"/>
      <c r="G15" s="328"/>
      <c r="H15" s="2334">
        <f t="shared" si="1"/>
        <v>0</v>
      </c>
      <c r="I15" s="2334">
        <f t="shared" si="2"/>
        <v>0</v>
      </c>
    </row>
    <row r="16" spans="1:9" ht="18.75" customHeight="1">
      <c r="A16" s="2313">
        <v>11</v>
      </c>
      <c r="B16" s="2333" t="s">
        <v>661</v>
      </c>
      <c r="C16" s="328"/>
      <c r="D16" s="328"/>
      <c r="E16" s="2334">
        <f t="shared" si="0"/>
        <v>0</v>
      </c>
      <c r="F16" s="328"/>
      <c r="G16" s="328"/>
      <c r="H16" s="2334">
        <f t="shared" si="1"/>
        <v>0</v>
      </c>
      <c r="I16" s="2334">
        <f t="shared" si="2"/>
        <v>0</v>
      </c>
    </row>
    <row r="17" spans="1:9" ht="18.75" customHeight="1">
      <c r="A17" s="2313">
        <v>12</v>
      </c>
      <c r="B17" s="2333" t="s">
        <v>666</v>
      </c>
      <c r="C17" s="328"/>
      <c r="D17" s="328"/>
      <c r="E17" s="2334">
        <f t="shared" si="0"/>
        <v>0</v>
      </c>
      <c r="F17" s="328"/>
      <c r="G17" s="328"/>
      <c r="H17" s="2334">
        <f t="shared" si="1"/>
        <v>0</v>
      </c>
      <c r="I17" s="2334">
        <f t="shared" si="2"/>
        <v>0</v>
      </c>
    </row>
    <row r="18" spans="1:9" s="1604" customFormat="1" ht="18.75" customHeight="1">
      <c r="A18" s="2313">
        <v>13</v>
      </c>
      <c r="B18" s="2333" t="s">
        <v>667</v>
      </c>
      <c r="C18" s="328"/>
      <c r="D18" s="328"/>
      <c r="E18" s="2334">
        <f t="shared" si="0"/>
        <v>0</v>
      </c>
      <c r="F18" s="328"/>
      <c r="G18" s="328"/>
      <c r="H18" s="2334">
        <f t="shared" si="1"/>
        <v>0</v>
      </c>
      <c r="I18" s="2334">
        <f t="shared" si="2"/>
        <v>0</v>
      </c>
    </row>
    <row r="19" spans="1:9" ht="18.75" customHeight="1">
      <c r="A19" s="2313">
        <v>14</v>
      </c>
      <c r="B19" s="2333" t="s">
        <v>668</v>
      </c>
      <c r="C19" s="328"/>
      <c r="D19" s="328"/>
      <c r="E19" s="2334">
        <f t="shared" si="0"/>
        <v>0</v>
      </c>
      <c r="F19" s="328"/>
      <c r="G19" s="328"/>
      <c r="H19" s="2334">
        <f t="shared" si="1"/>
        <v>0</v>
      </c>
      <c r="I19" s="2334">
        <f t="shared" si="2"/>
        <v>0</v>
      </c>
    </row>
    <row r="20" spans="1:9" ht="18.75" customHeight="1">
      <c r="A20" s="2313">
        <v>15</v>
      </c>
      <c r="B20" s="2333" t="s">
        <v>669</v>
      </c>
      <c r="C20" s="328"/>
      <c r="D20" s="328"/>
      <c r="E20" s="2334">
        <f t="shared" si="0"/>
        <v>0</v>
      </c>
      <c r="F20" s="328"/>
      <c r="G20" s="328"/>
      <c r="H20" s="2334">
        <f t="shared" si="1"/>
        <v>0</v>
      </c>
      <c r="I20" s="2334">
        <f t="shared" si="2"/>
        <v>0</v>
      </c>
    </row>
    <row r="21" spans="1:9" ht="18.75" customHeight="1">
      <c r="A21" s="2313">
        <v>16</v>
      </c>
      <c r="B21" s="2333" t="s">
        <v>670</v>
      </c>
      <c r="C21" s="2334">
        <f t="shared" ref="C21:I21" si="3">ROUND(C6+C9+C11+C13+C16+C20+C17+C18+C19,2)</f>
        <v>0</v>
      </c>
      <c r="D21" s="2334">
        <f t="shared" si="3"/>
        <v>0</v>
      </c>
      <c r="E21" s="2334">
        <f t="shared" si="3"/>
        <v>0</v>
      </c>
      <c r="F21" s="2334">
        <f t="shared" si="3"/>
        <v>0</v>
      </c>
      <c r="G21" s="2334">
        <f t="shared" si="3"/>
        <v>0</v>
      </c>
      <c r="H21" s="2334">
        <f t="shared" si="3"/>
        <v>0</v>
      </c>
      <c r="I21" s="2334">
        <f t="shared" si="3"/>
        <v>0</v>
      </c>
    </row>
    <row r="22" spans="1:9">
      <c r="A22" s="3696"/>
      <c r="B22" s="3696"/>
      <c r="C22" s="3696"/>
      <c r="D22" s="3696"/>
      <c r="E22" s="3696"/>
      <c r="F22" s="3696"/>
      <c r="G22" s="3696"/>
      <c r="H22" s="3696"/>
      <c r="I22" s="3696"/>
    </row>
    <row r="23" spans="1:9">
      <c r="A23" s="3696"/>
      <c r="B23" s="3696"/>
      <c r="C23" s="3696"/>
      <c r="D23" s="3696"/>
      <c r="E23" s="3696"/>
      <c r="F23" s="3696"/>
      <c r="G23" s="3696"/>
      <c r="H23" s="3696"/>
      <c r="I23" s="3696"/>
    </row>
    <row r="24" spans="1:9">
      <c r="A24" s="3696"/>
      <c r="B24" s="3696"/>
      <c r="C24" s="3696"/>
      <c r="D24" s="3696"/>
      <c r="E24" s="3696"/>
      <c r="F24" s="3696"/>
      <c r="G24" s="3696"/>
      <c r="H24" s="3696"/>
      <c r="I24" s="3696"/>
    </row>
    <row r="25" spans="1:9">
      <c r="A25" s="3696"/>
      <c r="B25" s="3696"/>
      <c r="C25" s="3696"/>
      <c r="D25" s="3696"/>
      <c r="E25" s="3696"/>
      <c r="F25" s="3696"/>
      <c r="G25" s="3696"/>
      <c r="H25" s="3696"/>
      <c r="I25" s="3696"/>
    </row>
    <row r="26" spans="1:9">
      <c r="A26" s="3696"/>
      <c r="B26" s="3696"/>
      <c r="C26" s="3696"/>
      <c r="D26" s="3696"/>
      <c r="E26" s="3696"/>
      <c r="F26" s="3696"/>
      <c r="G26" s="3696"/>
      <c r="H26" s="3696"/>
      <c r="I26" s="3696"/>
    </row>
    <row r="27" spans="1:9">
      <c r="A27" s="3696"/>
      <c r="B27" s="3696"/>
      <c r="C27" s="3696"/>
      <c r="D27" s="3696"/>
      <c r="E27" s="3696"/>
      <c r="F27" s="3696"/>
      <c r="G27" s="3696"/>
      <c r="H27" s="3696"/>
      <c r="I27" s="3696"/>
    </row>
    <row r="28" spans="1:9">
      <c r="A28" s="3696"/>
      <c r="B28" s="3696"/>
      <c r="C28" s="3696"/>
      <c r="D28" s="3696"/>
      <c r="E28" s="3696"/>
      <c r="F28" s="3696"/>
      <c r="G28" s="3696"/>
      <c r="H28" s="3696"/>
      <c r="I28" s="3696"/>
    </row>
    <row r="29" spans="1:9">
      <c r="A29" s="3696"/>
      <c r="B29" s="3696"/>
      <c r="C29" s="3696"/>
      <c r="D29" s="3696"/>
      <c r="E29" s="3696"/>
      <c r="F29" s="3696"/>
      <c r="G29" s="3696"/>
      <c r="H29" s="3696"/>
      <c r="I29" s="3696"/>
    </row>
    <row r="30" spans="1:9">
      <c r="A30" s="3696"/>
      <c r="B30" s="3696"/>
      <c r="C30" s="3696"/>
      <c r="D30" s="3696"/>
      <c r="E30" s="3696"/>
      <c r="F30" s="3696"/>
      <c r="G30" s="3696"/>
      <c r="H30" s="3696"/>
      <c r="I30" s="3696"/>
    </row>
    <row r="31" spans="1:9">
      <c r="A31" s="3696"/>
      <c r="B31" s="3696"/>
      <c r="C31" s="3696"/>
      <c r="D31" s="3696"/>
      <c r="E31" s="3696"/>
      <c r="F31" s="3696"/>
      <c r="G31" s="3696"/>
      <c r="H31" s="3696"/>
      <c r="I31" s="3696"/>
    </row>
    <row r="32" spans="1:9">
      <c r="A32" s="3696"/>
      <c r="B32" s="3696"/>
      <c r="C32" s="3696"/>
      <c r="D32" s="3696"/>
      <c r="E32" s="3696"/>
      <c r="F32" s="3696"/>
      <c r="G32" s="3696"/>
      <c r="H32" s="3696"/>
      <c r="I32" s="3696"/>
    </row>
  </sheetData>
  <mergeCells count="19">
    <mergeCell ref="G1:I1"/>
    <mergeCell ref="G2:I2"/>
    <mergeCell ref="A1:F2"/>
    <mergeCell ref="A3:A5"/>
    <mergeCell ref="B3:B5"/>
    <mergeCell ref="C3:E3"/>
    <mergeCell ref="F3:H3"/>
    <mergeCell ref="I3:I4"/>
    <mergeCell ref="A32:I32"/>
    <mergeCell ref="A22:I22"/>
    <mergeCell ref="A23:I23"/>
    <mergeCell ref="A24:I24"/>
    <mergeCell ref="A25:I25"/>
    <mergeCell ref="A26:I26"/>
    <mergeCell ref="A27:I27"/>
    <mergeCell ref="A28:I28"/>
    <mergeCell ref="A29:I29"/>
    <mergeCell ref="A30:I30"/>
    <mergeCell ref="A31:I31"/>
  </mergeCells>
  <phoneticPr fontId="135"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drawing r:id="rId2"/>
  <legacyDrawing r:id="rId3"/>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2">
    <tabColor rgb="FFFFFF00"/>
  </sheetPr>
  <dimension ref="A1:I31"/>
  <sheetViews>
    <sheetView workbookViewId="0">
      <selection activeCell="C3" sqref="C3"/>
    </sheetView>
  </sheetViews>
  <sheetFormatPr defaultRowHeight="14.25"/>
  <cols>
    <col min="1" max="1" width="5.25" style="1565" customWidth="1"/>
    <col min="2" max="2" width="47.625" style="1605" customWidth="1"/>
    <col min="3" max="3" width="16.875" style="1565" customWidth="1"/>
    <col min="4" max="4" width="18" style="1565" customWidth="1"/>
    <col min="5" max="5" width="29.125" style="1565" customWidth="1"/>
    <col min="6" max="256" width="9" style="1565"/>
    <col min="257" max="257" width="5.25" style="1565" customWidth="1"/>
    <col min="258" max="258" width="47.625" style="1565" customWidth="1"/>
    <col min="259" max="259" width="8.125" style="1565" customWidth="1"/>
    <col min="260" max="260" width="18" style="1565" customWidth="1"/>
    <col min="261" max="261" width="29.125" style="1565" customWidth="1"/>
    <col min="262" max="512" width="9" style="1565"/>
    <col min="513" max="513" width="5.25" style="1565" customWidth="1"/>
    <col min="514" max="514" width="47.625" style="1565" customWidth="1"/>
    <col min="515" max="515" width="8.125" style="1565" customWidth="1"/>
    <col min="516" max="516" width="18" style="1565" customWidth="1"/>
    <col min="517" max="517" width="29.125" style="1565" customWidth="1"/>
    <col min="518" max="768" width="9" style="1565"/>
    <col min="769" max="769" width="5.25" style="1565" customWidth="1"/>
    <col min="770" max="770" width="47.625" style="1565" customWidth="1"/>
    <col min="771" max="771" width="8.125" style="1565" customWidth="1"/>
    <col min="772" max="772" width="18" style="1565" customWidth="1"/>
    <col min="773" max="773" width="29.125" style="1565" customWidth="1"/>
    <col min="774" max="1024" width="9" style="1565"/>
    <col min="1025" max="1025" width="5.25" style="1565" customWidth="1"/>
    <col min="1026" max="1026" width="47.625" style="1565" customWidth="1"/>
    <col min="1027" max="1027" width="8.125" style="1565" customWidth="1"/>
    <col min="1028" max="1028" width="18" style="1565" customWidth="1"/>
    <col min="1029" max="1029" width="29.125" style="1565" customWidth="1"/>
    <col min="1030" max="1280" width="9" style="1565"/>
    <col min="1281" max="1281" width="5.25" style="1565" customWidth="1"/>
    <col min="1282" max="1282" width="47.625" style="1565" customWidth="1"/>
    <col min="1283" max="1283" width="8.125" style="1565" customWidth="1"/>
    <col min="1284" max="1284" width="18" style="1565" customWidth="1"/>
    <col min="1285" max="1285" width="29.125" style="1565" customWidth="1"/>
    <col min="1286" max="1536" width="9" style="1565"/>
    <col min="1537" max="1537" width="5.25" style="1565" customWidth="1"/>
    <col min="1538" max="1538" width="47.625" style="1565" customWidth="1"/>
    <col min="1539" max="1539" width="8.125" style="1565" customWidth="1"/>
    <col min="1540" max="1540" width="18" style="1565" customWidth="1"/>
    <col min="1541" max="1541" width="29.125" style="1565" customWidth="1"/>
    <col min="1542" max="1792" width="9" style="1565"/>
    <col min="1793" max="1793" width="5.25" style="1565" customWidth="1"/>
    <col min="1794" max="1794" width="47.625" style="1565" customWidth="1"/>
    <col min="1795" max="1795" width="8.125" style="1565" customWidth="1"/>
    <col min="1796" max="1796" width="18" style="1565" customWidth="1"/>
    <col min="1797" max="1797" width="29.125" style="1565" customWidth="1"/>
    <col min="1798" max="2048" width="9" style="1565"/>
    <col min="2049" max="2049" width="5.25" style="1565" customWidth="1"/>
    <col min="2050" max="2050" width="47.625" style="1565" customWidth="1"/>
    <col min="2051" max="2051" width="8.125" style="1565" customWidth="1"/>
    <col min="2052" max="2052" width="18" style="1565" customWidth="1"/>
    <col min="2053" max="2053" width="29.125" style="1565" customWidth="1"/>
    <col min="2054" max="2304" width="9" style="1565"/>
    <col min="2305" max="2305" width="5.25" style="1565" customWidth="1"/>
    <col min="2306" max="2306" width="47.625" style="1565" customWidth="1"/>
    <col min="2307" max="2307" width="8.125" style="1565" customWidth="1"/>
    <col min="2308" max="2308" width="18" style="1565" customWidth="1"/>
    <col min="2309" max="2309" width="29.125" style="1565" customWidth="1"/>
    <col min="2310" max="2560" width="9" style="1565"/>
    <col min="2561" max="2561" width="5.25" style="1565" customWidth="1"/>
    <col min="2562" max="2562" width="47.625" style="1565" customWidth="1"/>
    <col min="2563" max="2563" width="8.125" style="1565" customWidth="1"/>
    <col min="2564" max="2564" width="18" style="1565" customWidth="1"/>
    <col min="2565" max="2565" width="29.125" style="1565" customWidth="1"/>
    <col min="2566" max="2816" width="9" style="1565"/>
    <col min="2817" max="2817" width="5.25" style="1565" customWidth="1"/>
    <col min="2818" max="2818" width="47.625" style="1565" customWidth="1"/>
    <col min="2819" max="2819" width="8.125" style="1565" customWidth="1"/>
    <col min="2820" max="2820" width="18" style="1565" customWidth="1"/>
    <col min="2821" max="2821" width="29.125" style="1565" customWidth="1"/>
    <col min="2822" max="3072" width="9" style="1565"/>
    <col min="3073" max="3073" width="5.25" style="1565" customWidth="1"/>
    <col min="3074" max="3074" width="47.625" style="1565" customWidth="1"/>
    <col min="3075" max="3075" width="8.125" style="1565" customWidth="1"/>
    <col min="3076" max="3076" width="18" style="1565" customWidth="1"/>
    <col min="3077" max="3077" width="29.125" style="1565" customWidth="1"/>
    <col min="3078" max="3328" width="9" style="1565"/>
    <col min="3329" max="3329" width="5.25" style="1565" customWidth="1"/>
    <col min="3330" max="3330" width="47.625" style="1565" customWidth="1"/>
    <col min="3331" max="3331" width="8.125" style="1565" customWidth="1"/>
    <col min="3332" max="3332" width="18" style="1565" customWidth="1"/>
    <col min="3333" max="3333" width="29.125" style="1565" customWidth="1"/>
    <col min="3334" max="3584" width="9" style="1565"/>
    <col min="3585" max="3585" width="5.25" style="1565" customWidth="1"/>
    <col min="3586" max="3586" width="47.625" style="1565" customWidth="1"/>
    <col min="3587" max="3587" width="8.125" style="1565" customWidth="1"/>
    <col min="3588" max="3588" width="18" style="1565" customWidth="1"/>
    <col min="3589" max="3589" width="29.125" style="1565" customWidth="1"/>
    <col min="3590" max="3840" width="9" style="1565"/>
    <col min="3841" max="3841" width="5.25" style="1565" customWidth="1"/>
    <col min="3842" max="3842" width="47.625" style="1565" customWidth="1"/>
    <col min="3843" max="3843" width="8.125" style="1565" customWidth="1"/>
    <col min="3844" max="3844" width="18" style="1565" customWidth="1"/>
    <col min="3845" max="3845" width="29.125" style="1565" customWidth="1"/>
    <col min="3846" max="4096" width="9" style="1565"/>
    <col min="4097" max="4097" width="5.25" style="1565" customWidth="1"/>
    <col min="4098" max="4098" width="47.625" style="1565" customWidth="1"/>
    <col min="4099" max="4099" width="8.125" style="1565" customWidth="1"/>
    <col min="4100" max="4100" width="18" style="1565" customWidth="1"/>
    <col min="4101" max="4101" width="29.125" style="1565" customWidth="1"/>
    <col min="4102" max="4352" width="9" style="1565"/>
    <col min="4353" max="4353" width="5.25" style="1565" customWidth="1"/>
    <col min="4354" max="4354" width="47.625" style="1565" customWidth="1"/>
    <col min="4355" max="4355" width="8.125" style="1565" customWidth="1"/>
    <col min="4356" max="4356" width="18" style="1565" customWidth="1"/>
    <col min="4357" max="4357" width="29.125" style="1565" customWidth="1"/>
    <col min="4358" max="4608" width="9" style="1565"/>
    <col min="4609" max="4609" width="5.25" style="1565" customWidth="1"/>
    <col min="4610" max="4610" width="47.625" style="1565" customWidth="1"/>
    <col min="4611" max="4611" width="8.125" style="1565" customWidth="1"/>
    <col min="4612" max="4612" width="18" style="1565" customWidth="1"/>
    <col min="4613" max="4613" width="29.125" style="1565" customWidth="1"/>
    <col min="4614" max="4864" width="9" style="1565"/>
    <col min="4865" max="4865" width="5.25" style="1565" customWidth="1"/>
    <col min="4866" max="4866" width="47.625" style="1565" customWidth="1"/>
    <col min="4867" max="4867" width="8.125" style="1565" customWidth="1"/>
    <col min="4868" max="4868" width="18" style="1565" customWidth="1"/>
    <col min="4869" max="4869" width="29.125" style="1565" customWidth="1"/>
    <col min="4870" max="5120" width="9" style="1565"/>
    <col min="5121" max="5121" width="5.25" style="1565" customWidth="1"/>
    <col min="5122" max="5122" width="47.625" style="1565" customWidth="1"/>
    <col min="5123" max="5123" width="8.125" style="1565" customWidth="1"/>
    <col min="5124" max="5124" width="18" style="1565" customWidth="1"/>
    <col min="5125" max="5125" width="29.125" style="1565" customWidth="1"/>
    <col min="5126" max="5376" width="9" style="1565"/>
    <col min="5377" max="5377" width="5.25" style="1565" customWidth="1"/>
    <col min="5378" max="5378" width="47.625" style="1565" customWidth="1"/>
    <col min="5379" max="5379" width="8.125" style="1565" customWidth="1"/>
    <col min="5380" max="5380" width="18" style="1565" customWidth="1"/>
    <col min="5381" max="5381" width="29.125" style="1565" customWidth="1"/>
    <col min="5382" max="5632" width="9" style="1565"/>
    <col min="5633" max="5633" width="5.25" style="1565" customWidth="1"/>
    <col min="5634" max="5634" width="47.625" style="1565" customWidth="1"/>
    <col min="5635" max="5635" width="8.125" style="1565" customWidth="1"/>
    <col min="5636" max="5636" width="18" style="1565" customWidth="1"/>
    <col min="5637" max="5637" width="29.125" style="1565" customWidth="1"/>
    <col min="5638" max="5888" width="9" style="1565"/>
    <col min="5889" max="5889" width="5.25" style="1565" customWidth="1"/>
    <col min="5890" max="5890" width="47.625" style="1565" customWidth="1"/>
    <col min="5891" max="5891" width="8.125" style="1565" customWidth="1"/>
    <col min="5892" max="5892" width="18" style="1565" customWidth="1"/>
    <col min="5893" max="5893" width="29.125" style="1565" customWidth="1"/>
    <col min="5894" max="6144" width="9" style="1565"/>
    <col min="6145" max="6145" width="5.25" style="1565" customWidth="1"/>
    <col min="6146" max="6146" width="47.625" style="1565" customWidth="1"/>
    <col min="6147" max="6147" width="8.125" style="1565" customWidth="1"/>
    <col min="6148" max="6148" width="18" style="1565" customWidth="1"/>
    <col min="6149" max="6149" width="29.125" style="1565" customWidth="1"/>
    <col min="6150" max="6400" width="9" style="1565"/>
    <col min="6401" max="6401" width="5.25" style="1565" customWidth="1"/>
    <col min="6402" max="6402" width="47.625" style="1565" customWidth="1"/>
    <col min="6403" max="6403" width="8.125" style="1565" customWidth="1"/>
    <col min="6404" max="6404" width="18" style="1565" customWidth="1"/>
    <col min="6405" max="6405" width="29.125" style="1565" customWidth="1"/>
    <col min="6406" max="6656" width="9" style="1565"/>
    <col min="6657" max="6657" width="5.25" style="1565" customWidth="1"/>
    <col min="6658" max="6658" width="47.625" style="1565" customWidth="1"/>
    <col min="6659" max="6659" width="8.125" style="1565" customWidth="1"/>
    <col min="6660" max="6660" width="18" style="1565" customWidth="1"/>
    <col min="6661" max="6661" width="29.125" style="1565" customWidth="1"/>
    <col min="6662" max="6912" width="9" style="1565"/>
    <col min="6913" max="6913" width="5.25" style="1565" customWidth="1"/>
    <col min="6914" max="6914" width="47.625" style="1565" customWidth="1"/>
    <col min="6915" max="6915" width="8.125" style="1565" customWidth="1"/>
    <col min="6916" max="6916" width="18" style="1565" customWidth="1"/>
    <col min="6917" max="6917" width="29.125" style="1565" customWidth="1"/>
    <col min="6918" max="7168" width="9" style="1565"/>
    <col min="7169" max="7169" width="5.25" style="1565" customWidth="1"/>
    <col min="7170" max="7170" width="47.625" style="1565" customWidth="1"/>
    <col min="7171" max="7171" width="8.125" style="1565" customWidth="1"/>
    <col min="7172" max="7172" width="18" style="1565" customWidth="1"/>
    <col min="7173" max="7173" width="29.125" style="1565" customWidth="1"/>
    <col min="7174" max="7424" width="9" style="1565"/>
    <col min="7425" max="7425" width="5.25" style="1565" customWidth="1"/>
    <col min="7426" max="7426" width="47.625" style="1565" customWidth="1"/>
    <col min="7427" max="7427" width="8.125" style="1565" customWidth="1"/>
    <col min="7428" max="7428" width="18" style="1565" customWidth="1"/>
    <col min="7429" max="7429" width="29.125" style="1565" customWidth="1"/>
    <col min="7430" max="7680" width="9" style="1565"/>
    <col min="7681" max="7681" width="5.25" style="1565" customWidth="1"/>
    <col min="7682" max="7682" width="47.625" style="1565" customWidth="1"/>
    <col min="7683" max="7683" width="8.125" style="1565" customWidth="1"/>
    <col min="7684" max="7684" width="18" style="1565" customWidth="1"/>
    <col min="7685" max="7685" width="29.125" style="1565" customWidth="1"/>
    <col min="7686" max="7936" width="9" style="1565"/>
    <col min="7937" max="7937" width="5.25" style="1565" customWidth="1"/>
    <col min="7938" max="7938" width="47.625" style="1565" customWidth="1"/>
    <col min="7939" max="7939" width="8.125" style="1565" customWidth="1"/>
    <col min="7940" max="7940" width="18" style="1565" customWidth="1"/>
    <col min="7941" max="7941" width="29.125" style="1565" customWidth="1"/>
    <col min="7942" max="8192" width="9" style="1565"/>
    <col min="8193" max="8193" width="5.25" style="1565" customWidth="1"/>
    <col min="8194" max="8194" width="47.625" style="1565" customWidth="1"/>
    <col min="8195" max="8195" width="8.125" style="1565" customWidth="1"/>
    <col min="8196" max="8196" width="18" style="1565" customWidth="1"/>
    <col min="8197" max="8197" width="29.125" style="1565" customWidth="1"/>
    <col min="8198" max="8448" width="9" style="1565"/>
    <col min="8449" max="8449" width="5.25" style="1565" customWidth="1"/>
    <col min="8450" max="8450" width="47.625" style="1565" customWidth="1"/>
    <col min="8451" max="8451" width="8.125" style="1565" customWidth="1"/>
    <col min="8452" max="8452" width="18" style="1565" customWidth="1"/>
    <col min="8453" max="8453" width="29.125" style="1565" customWidth="1"/>
    <col min="8454" max="8704" width="9" style="1565"/>
    <col min="8705" max="8705" width="5.25" style="1565" customWidth="1"/>
    <col min="8706" max="8706" width="47.625" style="1565" customWidth="1"/>
    <col min="8707" max="8707" width="8.125" style="1565" customWidth="1"/>
    <col min="8708" max="8708" width="18" style="1565" customWidth="1"/>
    <col min="8709" max="8709" width="29.125" style="1565" customWidth="1"/>
    <col min="8710" max="8960" width="9" style="1565"/>
    <col min="8961" max="8961" width="5.25" style="1565" customWidth="1"/>
    <col min="8962" max="8962" width="47.625" style="1565" customWidth="1"/>
    <col min="8963" max="8963" width="8.125" style="1565" customWidth="1"/>
    <col min="8964" max="8964" width="18" style="1565" customWidth="1"/>
    <col min="8965" max="8965" width="29.125" style="1565" customWidth="1"/>
    <col min="8966" max="9216" width="9" style="1565"/>
    <col min="9217" max="9217" width="5.25" style="1565" customWidth="1"/>
    <col min="9218" max="9218" width="47.625" style="1565" customWidth="1"/>
    <col min="9219" max="9219" width="8.125" style="1565" customWidth="1"/>
    <col min="9220" max="9220" width="18" style="1565" customWidth="1"/>
    <col min="9221" max="9221" width="29.125" style="1565" customWidth="1"/>
    <col min="9222" max="9472" width="9" style="1565"/>
    <col min="9473" max="9473" width="5.25" style="1565" customWidth="1"/>
    <col min="9474" max="9474" width="47.625" style="1565" customWidth="1"/>
    <col min="9475" max="9475" width="8.125" style="1565" customWidth="1"/>
    <col min="9476" max="9476" width="18" style="1565" customWidth="1"/>
    <col min="9477" max="9477" width="29.125" style="1565" customWidth="1"/>
    <col min="9478" max="9728" width="9" style="1565"/>
    <col min="9729" max="9729" width="5.25" style="1565" customWidth="1"/>
    <col min="9730" max="9730" width="47.625" style="1565" customWidth="1"/>
    <col min="9731" max="9731" width="8.125" style="1565" customWidth="1"/>
    <col min="9732" max="9732" width="18" style="1565" customWidth="1"/>
    <col min="9733" max="9733" width="29.125" style="1565" customWidth="1"/>
    <col min="9734" max="9984" width="9" style="1565"/>
    <col min="9985" max="9985" width="5.25" style="1565" customWidth="1"/>
    <col min="9986" max="9986" width="47.625" style="1565" customWidth="1"/>
    <col min="9987" max="9987" width="8.125" style="1565" customWidth="1"/>
    <col min="9988" max="9988" width="18" style="1565" customWidth="1"/>
    <col min="9989" max="9989" width="29.125" style="1565" customWidth="1"/>
    <col min="9990" max="10240" width="9" style="1565"/>
    <col min="10241" max="10241" width="5.25" style="1565" customWidth="1"/>
    <col min="10242" max="10242" width="47.625" style="1565" customWidth="1"/>
    <col min="10243" max="10243" width="8.125" style="1565" customWidth="1"/>
    <col min="10244" max="10244" width="18" style="1565" customWidth="1"/>
    <col min="10245" max="10245" width="29.125" style="1565" customWidth="1"/>
    <col min="10246" max="10496" width="9" style="1565"/>
    <col min="10497" max="10497" width="5.25" style="1565" customWidth="1"/>
    <col min="10498" max="10498" width="47.625" style="1565" customWidth="1"/>
    <col min="10499" max="10499" width="8.125" style="1565" customWidth="1"/>
    <col min="10500" max="10500" width="18" style="1565" customWidth="1"/>
    <col min="10501" max="10501" width="29.125" style="1565" customWidth="1"/>
    <col min="10502" max="10752" width="9" style="1565"/>
    <col min="10753" max="10753" width="5.25" style="1565" customWidth="1"/>
    <col min="10754" max="10754" width="47.625" style="1565" customWidth="1"/>
    <col min="10755" max="10755" width="8.125" style="1565" customWidth="1"/>
    <col min="10756" max="10756" width="18" style="1565" customWidth="1"/>
    <col min="10757" max="10757" width="29.125" style="1565" customWidth="1"/>
    <col min="10758" max="11008" width="9" style="1565"/>
    <col min="11009" max="11009" width="5.25" style="1565" customWidth="1"/>
    <col min="11010" max="11010" width="47.625" style="1565" customWidth="1"/>
    <col min="11011" max="11011" width="8.125" style="1565" customWidth="1"/>
    <col min="11012" max="11012" width="18" style="1565" customWidth="1"/>
    <col min="11013" max="11013" width="29.125" style="1565" customWidth="1"/>
    <col min="11014" max="11264" width="9" style="1565"/>
    <col min="11265" max="11265" width="5.25" style="1565" customWidth="1"/>
    <col min="11266" max="11266" width="47.625" style="1565" customWidth="1"/>
    <col min="11267" max="11267" width="8.125" style="1565" customWidth="1"/>
    <col min="11268" max="11268" width="18" style="1565" customWidth="1"/>
    <col min="11269" max="11269" width="29.125" style="1565" customWidth="1"/>
    <col min="11270" max="11520" width="9" style="1565"/>
    <col min="11521" max="11521" width="5.25" style="1565" customWidth="1"/>
    <col min="11522" max="11522" width="47.625" style="1565" customWidth="1"/>
    <col min="11523" max="11523" width="8.125" style="1565" customWidth="1"/>
    <col min="11524" max="11524" width="18" style="1565" customWidth="1"/>
    <col min="11525" max="11525" width="29.125" style="1565" customWidth="1"/>
    <col min="11526" max="11776" width="9" style="1565"/>
    <col min="11777" max="11777" width="5.25" style="1565" customWidth="1"/>
    <col min="11778" max="11778" width="47.625" style="1565" customWidth="1"/>
    <col min="11779" max="11779" width="8.125" style="1565" customWidth="1"/>
    <col min="11780" max="11780" width="18" style="1565" customWidth="1"/>
    <col min="11781" max="11781" width="29.125" style="1565" customWidth="1"/>
    <col min="11782" max="12032" width="9" style="1565"/>
    <col min="12033" max="12033" width="5.25" style="1565" customWidth="1"/>
    <col min="12034" max="12034" width="47.625" style="1565" customWidth="1"/>
    <col min="12035" max="12035" width="8.125" style="1565" customWidth="1"/>
    <col min="12036" max="12036" width="18" style="1565" customWidth="1"/>
    <col min="12037" max="12037" width="29.125" style="1565" customWidth="1"/>
    <col min="12038" max="12288" width="9" style="1565"/>
    <col min="12289" max="12289" width="5.25" style="1565" customWidth="1"/>
    <col min="12290" max="12290" width="47.625" style="1565" customWidth="1"/>
    <col min="12291" max="12291" width="8.125" style="1565" customWidth="1"/>
    <col min="12292" max="12292" width="18" style="1565" customWidth="1"/>
    <col min="12293" max="12293" width="29.125" style="1565" customWidth="1"/>
    <col min="12294" max="12544" width="9" style="1565"/>
    <col min="12545" max="12545" width="5.25" style="1565" customWidth="1"/>
    <col min="12546" max="12546" width="47.625" style="1565" customWidth="1"/>
    <col min="12547" max="12547" width="8.125" style="1565" customWidth="1"/>
    <col min="12548" max="12548" width="18" style="1565" customWidth="1"/>
    <col min="12549" max="12549" width="29.125" style="1565" customWidth="1"/>
    <col min="12550" max="12800" width="9" style="1565"/>
    <col min="12801" max="12801" width="5.25" style="1565" customWidth="1"/>
    <col min="12802" max="12802" width="47.625" style="1565" customWidth="1"/>
    <col min="12803" max="12803" width="8.125" style="1565" customWidth="1"/>
    <col min="12804" max="12804" width="18" style="1565" customWidth="1"/>
    <col min="12805" max="12805" width="29.125" style="1565" customWidth="1"/>
    <col min="12806" max="13056" width="9" style="1565"/>
    <col min="13057" max="13057" width="5.25" style="1565" customWidth="1"/>
    <col min="13058" max="13058" width="47.625" style="1565" customWidth="1"/>
    <col min="13059" max="13059" width="8.125" style="1565" customWidth="1"/>
    <col min="13060" max="13060" width="18" style="1565" customWidth="1"/>
    <col min="13061" max="13061" width="29.125" style="1565" customWidth="1"/>
    <col min="13062" max="13312" width="9" style="1565"/>
    <col min="13313" max="13313" width="5.25" style="1565" customWidth="1"/>
    <col min="13314" max="13314" width="47.625" style="1565" customWidth="1"/>
    <col min="13315" max="13315" width="8.125" style="1565" customWidth="1"/>
    <col min="13316" max="13316" width="18" style="1565" customWidth="1"/>
    <col min="13317" max="13317" width="29.125" style="1565" customWidth="1"/>
    <col min="13318" max="13568" width="9" style="1565"/>
    <col min="13569" max="13569" width="5.25" style="1565" customWidth="1"/>
    <col min="13570" max="13570" width="47.625" style="1565" customWidth="1"/>
    <col min="13571" max="13571" width="8.125" style="1565" customWidth="1"/>
    <col min="13572" max="13572" width="18" style="1565" customWidth="1"/>
    <col min="13573" max="13573" width="29.125" style="1565" customWidth="1"/>
    <col min="13574" max="13824" width="9" style="1565"/>
    <col min="13825" max="13825" width="5.25" style="1565" customWidth="1"/>
    <col min="13826" max="13826" width="47.625" style="1565" customWidth="1"/>
    <col min="13827" max="13827" width="8.125" style="1565" customWidth="1"/>
    <col min="13828" max="13828" width="18" style="1565" customWidth="1"/>
    <col min="13829" max="13829" width="29.125" style="1565" customWidth="1"/>
    <col min="13830" max="14080" width="9" style="1565"/>
    <col min="14081" max="14081" width="5.25" style="1565" customWidth="1"/>
    <col min="14082" max="14082" width="47.625" style="1565" customWidth="1"/>
    <col min="14083" max="14083" width="8.125" style="1565" customWidth="1"/>
    <col min="14084" max="14084" width="18" style="1565" customWidth="1"/>
    <col min="14085" max="14085" width="29.125" style="1565" customWidth="1"/>
    <col min="14086" max="14336" width="9" style="1565"/>
    <col min="14337" max="14337" width="5.25" style="1565" customWidth="1"/>
    <col min="14338" max="14338" width="47.625" style="1565" customWidth="1"/>
    <col min="14339" max="14339" width="8.125" style="1565" customWidth="1"/>
    <col min="14340" max="14340" width="18" style="1565" customWidth="1"/>
    <col min="14341" max="14341" width="29.125" style="1565" customWidth="1"/>
    <col min="14342" max="14592" width="9" style="1565"/>
    <col min="14593" max="14593" width="5.25" style="1565" customWidth="1"/>
    <col min="14594" max="14594" width="47.625" style="1565" customWidth="1"/>
    <col min="14595" max="14595" width="8.125" style="1565" customWidth="1"/>
    <col min="14596" max="14596" width="18" style="1565" customWidth="1"/>
    <col min="14597" max="14597" width="29.125" style="1565" customWidth="1"/>
    <col min="14598" max="14848" width="9" style="1565"/>
    <col min="14849" max="14849" width="5.25" style="1565" customWidth="1"/>
    <col min="14850" max="14850" width="47.625" style="1565" customWidth="1"/>
    <col min="14851" max="14851" width="8.125" style="1565" customWidth="1"/>
    <col min="14852" max="14852" width="18" style="1565" customWidth="1"/>
    <col min="14853" max="14853" width="29.125" style="1565" customWidth="1"/>
    <col min="14854" max="15104" width="9" style="1565"/>
    <col min="15105" max="15105" width="5.25" style="1565" customWidth="1"/>
    <col min="15106" max="15106" width="47.625" style="1565" customWidth="1"/>
    <col min="15107" max="15107" width="8.125" style="1565" customWidth="1"/>
    <col min="15108" max="15108" width="18" style="1565" customWidth="1"/>
    <col min="15109" max="15109" width="29.125" style="1565" customWidth="1"/>
    <col min="15110" max="15360" width="9" style="1565"/>
    <col min="15361" max="15361" width="5.25" style="1565" customWidth="1"/>
    <col min="15362" max="15362" width="47.625" style="1565" customWidth="1"/>
    <col min="15363" max="15363" width="8.125" style="1565" customWidth="1"/>
    <col min="15364" max="15364" width="18" style="1565" customWidth="1"/>
    <col min="15365" max="15365" width="29.125" style="1565" customWidth="1"/>
    <col min="15366" max="15616" width="9" style="1565"/>
    <col min="15617" max="15617" width="5.25" style="1565" customWidth="1"/>
    <col min="15618" max="15618" width="47.625" style="1565" customWidth="1"/>
    <col min="15619" max="15619" width="8.125" style="1565" customWidth="1"/>
    <col min="15620" max="15620" width="18" style="1565" customWidth="1"/>
    <col min="15621" max="15621" width="29.125" style="1565" customWidth="1"/>
    <col min="15622" max="15872" width="9" style="1565"/>
    <col min="15873" max="15873" width="5.25" style="1565" customWidth="1"/>
    <col min="15874" max="15874" width="47.625" style="1565" customWidth="1"/>
    <col min="15875" max="15875" width="8.125" style="1565" customWidth="1"/>
    <col min="15876" max="15876" width="18" style="1565" customWidth="1"/>
    <col min="15877" max="15877" width="29.125" style="1565" customWidth="1"/>
    <col min="15878" max="16128" width="9" style="1565"/>
    <col min="16129" max="16129" width="5.25" style="1565" customWidth="1"/>
    <col min="16130" max="16130" width="47.625" style="1565" customWidth="1"/>
    <col min="16131" max="16131" width="8.125" style="1565" customWidth="1"/>
    <col min="16132" max="16132" width="18" style="1565" customWidth="1"/>
    <col min="16133" max="16133" width="29.125" style="1565" customWidth="1"/>
    <col min="16134" max="16384" width="9" style="1565"/>
  </cols>
  <sheetData>
    <row r="1" spans="1:6" s="1605" customFormat="1" ht="25.9" customHeight="1">
      <c r="A1" s="3573" t="s">
        <v>5451</v>
      </c>
      <c r="B1" s="3573"/>
      <c r="C1" s="2754" t="str">
        <f>基本情况!$F$10</f>
        <v>厦中汇税审（2018）第DS0001号</v>
      </c>
      <c r="D1" s="2754"/>
    </row>
    <row r="2" spans="1:6" ht="37.15" customHeight="1">
      <c r="A2" s="3705"/>
      <c r="B2" s="3705"/>
      <c r="C2" s="2755" t="str">
        <f>"底稿编号："&amp;开始!L16</f>
        <v>底稿编号：AD-14</v>
      </c>
      <c r="D2" s="2755"/>
    </row>
    <row r="3" spans="1:6" ht="14.25" customHeight="1">
      <c r="A3" s="1559" t="s">
        <v>147</v>
      </c>
      <c r="B3" s="1559" t="s">
        <v>313</v>
      </c>
      <c r="C3" s="1551" t="s">
        <v>4378</v>
      </c>
      <c r="D3" s="1551" t="s">
        <v>5406</v>
      </c>
    </row>
    <row r="4" spans="1:6" ht="14.25" customHeight="1">
      <c r="A4" s="1551">
        <v>1</v>
      </c>
      <c r="B4" s="1573" t="s">
        <v>5452</v>
      </c>
      <c r="C4" s="1553">
        <f>ROUND(C5+C11,2)</f>
        <v>0</v>
      </c>
      <c r="D4" s="1580"/>
    </row>
    <row r="5" spans="1:6" ht="14.25" customHeight="1">
      <c r="A5" s="1551">
        <v>2</v>
      </c>
      <c r="B5" s="1573" t="s">
        <v>5453</v>
      </c>
      <c r="C5" s="1553">
        <f>ROUND(SUM(C6:C10),2)</f>
        <v>0</v>
      </c>
      <c r="D5" s="1580"/>
      <c r="F5" s="1606"/>
    </row>
    <row r="6" spans="1:6" ht="14.25" customHeight="1">
      <c r="A6" s="1551">
        <v>3</v>
      </c>
      <c r="B6" s="1573" t="s">
        <v>5454</v>
      </c>
      <c r="C6" s="1602"/>
      <c r="D6" s="1580"/>
    </row>
    <row r="7" spans="1:6" ht="14.25" customHeight="1">
      <c r="A7" s="1551">
        <v>4</v>
      </c>
      <c r="B7" s="1573" t="s">
        <v>5455</v>
      </c>
      <c r="C7" s="1602"/>
      <c r="D7" s="1580"/>
    </row>
    <row r="8" spans="1:6" ht="14.25" customHeight="1">
      <c r="A8" s="1551">
        <v>5</v>
      </c>
      <c r="B8" s="1573" t="s">
        <v>5456</v>
      </c>
      <c r="C8" s="1602"/>
      <c r="D8" s="1580"/>
    </row>
    <row r="9" spans="1:6" ht="14.25" customHeight="1">
      <c r="A9" s="1551">
        <v>6</v>
      </c>
      <c r="B9" s="1573" t="s">
        <v>5457</v>
      </c>
      <c r="C9" s="1602"/>
      <c r="D9" s="1580"/>
    </row>
    <row r="10" spans="1:6" ht="14.25" customHeight="1">
      <c r="A10" s="1551">
        <v>7</v>
      </c>
      <c r="B10" s="1573" t="s">
        <v>5458</v>
      </c>
      <c r="C10" s="1602"/>
      <c r="D10" s="1580"/>
    </row>
    <row r="11" spans="1:6" ht="14.25" customHeight="1">
      <c r="A11" s="1551">
        <v>8</v>
      </c>
      <c r="B11" s="1573" t="s">
        <v>5459</v>
      </c>
      <c r="C11" s="1602"/>
      <c r="D11" s="1580"/>
    </row>
    <row r="12" spans="1:6" ht="14.25" customHeight="1">
      <c r="A12" s="1551">
        <v>9</v>
      </c>
      <c r="B12" s="1573" t="s">
        <v>5460</v>
      </c>
      <c r="C12" s="1553">
        <f>ROUND(C13+C19,2)</f>
        <v>0</v>
      </c>
      <c r="D12" s="1580"/>
    </row>
    <row r="13" spans="1:6" ht="14.25" customHeight="1">
      <c r="A13" s="1551">
        <v>10</v>
      </c>
      <c r="B13" s="1573" t="s">
        <v>5461</v>
      </c>
      <c r="C13" s="1553">
        <f>ROUND(SUM(C14:C18),2)</f>
        <v>0</v>
      </c>
      <c r="D13" s="1580"/>
      <c r="E13" s="1555" t="s">
        <v>5462</v>
      </c>
    </row>
    <row r="14" spans="1:6" ht="14.25" customHeight="1">
      <c r="A14" s="1551">
        <v>11</v>
      </c>
      <c r="B14" s="1573" t="s">
        <v>5463</v>
      </c>
      <c r="C14" s="1602"/>
      <c r="D14" s="1580"/>
    </row>
    <row r="15" spans="1:6" ht="14.25" customHeight="1">
      <c r="A15" s="1551">
        <v>12</v>
      </c>
      <c r="B15" s="1573" t="s">
        <v>5464</v>
      </c>
      <c r="C15" s="1602"/>
      <c r="D15" s="1580"/>
    </row>
    <row r="16" spans="1:6" ht="14.25" customHeight="1">
      <c r="A16" s="1551">
        <v>13</v>
      </c>
      <c r="B16" s="1573" t="s">
        <v>5465</v>
      </c>
      <c r="C16" s="1602"/>
      <c r="D16" s="1580"/>
    </row>
    <row r="17" spans="1:9" ht="14.25" customHeight="1">
      <c r="A17" s="1551">
        <v>14</v>
      </c>
      <c r="B17" s="1573" t="s">
        <v>5466</v>
      </c>
      <c r="C17" s="1602"/>
      <c r="D17" s="1580"/>
    </row>
    <row r="18" spans="1:9" ht="14.25" customHeight="1">
      <c r="A18" s="1551">
        <v>15</v>
      </c>
      <c r="B18" s="1573" t="s">
        <v>5467</v>
      </c>
      <c r="C18" s="1602"/>
      <c r="D18" s="1580"/>
    </row>
    <row r="19" spans="1:9" ht="14.25" customHeight="1">
      <c r="A19" s="1551">
        <v>16</v>
      </c>
      <c r="B19" s="1573" t="s">
        <v>5468</v>
      </c>
      <c r="C19" s="1602"/>
      <c r="D19" s="1580"/>
    </row>
    <row r="20" spans="1:9" ht="14.25" customHeight="1">
      <c r="A20" s="1551">
        <v>17</v>
      </c>
      <c r="B20" s="1573" t="s">
        <v>5469</v>
      </c>
      <c r="C20" s="1553">
        <f>ROUND(C4-C12,2)</f>
        <v>0</v>
      </c>
      <c r="D20" s="1580"/>
    </row>
    <row r="21" spans="1:9" ht="14.25" customHeight="1">
      <c r="A21" s="1551">
        <v>18</v>
      </c>
      <c r="B21" s="1573" t="s">
        <v>5470</v>
      </c>
      <c r="C21" s="1553">
        <f>ROUND(C22+C23+C24,2)</f>
        <v>0</v>
      </c>
      <c r="D21" s="1580"/>
    </row>
    <row r="22" spans="1:9" s="1607" customFormat="1" ht="14.25" customHeight="1">
      <c r="A22" s="1551">
        <v>19</v>
      </c>
      <c r="B22" s="1573" t="s">
        <v>5471</v>
      </c>
      <c r="C22" s="1554"/>
      <c r="D22" s="1580"/>
    </row>
    <row r="23" spans="1:9" s="1607" customFormat="1" ht="14.25" customHeight="1">
      <c r="A23" s="1551">
        <v>20</v>
      </c>
      <c r="B23" s="1574" t="s">
        <v>5472</v>
      </c>
      <c r="C23" s="1554"/>
      <c r="D23" s="1580"/>
    </row>
    <row r="24" spans="1:9" s="1607" customFormat="1" ht="14.25" customHeight="1">
      <c r="A24" s="1551">
        <v>21</v>
      </c>
      <c r="B24" s="1574" t="s">
        <v>5473</v>
      </c>
      <c r="C24" s="1554"/>
      <c r="D24" s="1580"/>
    </row>
    <row r="25" spans="1:9" s="1607" customFormat="1" ht="14.25" customHeight="1">
      <c r="A25" s="1551">
        <v>22</v>
      </c>
      <c r="B25" s="1573" t="s">
        <v>5474</v>
      </c>
      <c r="C25" s="1554"/>
      <c r="D25" s="1580"/>
    </row>
    <row r="26" spans="1:9" s="1607" customFormat="1" ht="14.25" customHeight="1">
      <c r="A26" s="1551">
        <v>23</v>
      </c>
      <c r="B26" s="1573" t="s">
        <v>5475</v>
      </c>
      <c r="C26" s="1554"/>
      <c r="D26" s="1580"/>
    </row>
    <row r="27" spans="1:9" s="1607" customFormat="1" ht="55.5" customHeight="1">
      <c r="A27" s="1551">
        <v>24</v>
      </c>
      <c r="B27" s="1573" t="s">
        <v>5476</v>
      </c>
      <c r="C27" s="1553">
        <f>ROUND(C21-C25-C26,2)</f>
        <v>0</v>
      </c>
      <c r="D27" s="1574" t="s">
        <v>5477</v>
      </c>
      <c r="E27" s="1608"/>
    </row>
    <row r="28" spans="1:9" s="621" customFormat="1" ht="14.25" customHeight="1">
      <c r="A28" s="1609"/>
      <c r="B28" s="1609"/>
      <c r="C28" s="1609"/>
      <c r="D28" s="1610"/>
      <c r="E28" s="1611"/>
      <c r="F28" s="575"/>
      <c r="G28" s="575"/>
      <c r="H28" s="575"/>
      <c r="I28" s="575"/>
    </row>
    <row r="29" spans="1:9">
      <c r="A29" s="1576"/>
      <c r="B29" s="1576"/>
      <c r="C29" s="1576"/>
      <c r="D29" s="1576"/>
    </row>
    <row r="30" spans="1:9">
      <c r="A30" s="3704"/>
      <c r="B30" s="3704"/>
      <c r="C30" s="3704"/>
      <c r="D30" s="3704"/>
    </row>
    <row r="31" spans="1:9">
      <c r="A31" s="3704"/>
      <c r="B31" s="3704"/>
      <c r="C31" s="3704"/>
      <c r="D31" s="3704"/>
    </row>
  </sheetData>
  <mergeCells count="5">
    <mergeCell ref="A30:D30"/>
    <mergeCell ref="A31:D31"/>
    <mergeCell ref="C1:D1"/>
    <mergeCell ref="C2:D2"/>
    <mergeCell ref="A1:B2"/>
  </mergeCells>
  <phoneticPr fontId="135" type="noConversion"/>
  <hyperlinks>
    <hyperlink ref="E13" location="A105110政策性搬迁纳税调整明细表!A1" display="A105110政策性搬迁纳税调整明细表!A1"/>
  </hyperlinks>
  <printOptions horizontalCentered="1"/>
  <pageMargins left="0.39370078740157477" right="0.39370078740157477" top="0.59055118110236215" bottom="0.59055118110236215" header="0.511811023622047" footer="0.511811023622047"/>
  <pageSetup paperSize="9" orientation="portrait" r:id="rId1"/>
  <headerFooter alignWithMargins="0"/>
  <drawing r:id="rId2"/>
  <legacyDrawing r:id="rId3"/>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3">
    <tabColor rgb="FFFFFF00"/>
    <pageSetUpPr fitToPage="1"/>
  </sheetPr>
  <dimension ref="A1:J47"/>
  <sheetViews>
    <sheetView workbookViewId="0">
      <selection activeCell="F3" sqref="F3"/>
    </sheetView>
  </sheetViews>
  <sheetFormatPr defaultRowHeight="14.25"/>
  <cols>
    <col min="1" max="1" width="5.25" style="575" customWidth="1"/>
    <col min="2" max="2" width="20.125" style="575" customWidth="1"/>
    <col min="3" max="3" width="10.5" style="575" customWidth="1"/>
    <col min="4" max="4" width="10.375" style="575" customWidth="1"/>
    <col min="5" max="7" width="17.5" style="575" customWidth="1"/>
    <col min="8" max="256" width="9" style="575"/>
    <col min="257" max="257" width="5.25" style="575" customWidth="1"/>
    <col min="258" max="258" width="34.125" style="575" customWidth="1"/>
    <col min="259" max="259" width="8.625" style="575" customWidth="1"/>
    <col min="260" max="260" width="8.5" style="575" customWidth="1"/>
    <col min="261" max="261" width="8.75" style="575" customWidth="1"/>
    <col min="262" max="262" width="13.125" style="575" customWidth="1"/>
    <col min="263" max="512" width="9" style="575"/>
    <col min="513" max="513" width="5.25" style="575" customWidth="1"/>
    <col min="514" max="514" width="34.125" style="575" customWidth="1"/>
    <col min="515" max="515" width="8.625" style="575" customWidth="1"/>
    <col min="516" max="516" width="8.5" style="575" customWidth="1"/>
    <col min="517" max="517" width="8.75" style="575" customWidth="1"/>
    <col min="518" max="518" width="13.125" style="575" customWidth="1"/>
    <col min="519" max="768" width="9" style="575"/>
    <col min="769" max="769" width="5.25" style="575" customWidth="1"/>
    <col min="770" max="770" width="34.125" style="575" customWidth="1"/>
    <col min="771" max="771" width="8.625" style="575" customWidth="1"/>
    <col min="772" max="772" width="8.5" style="575" customWidth="1"/>
    <col min="773" max="773" width="8.75" style="575" customWidth="1"/>
    <col min="774" max="774" width="13.125" style="575" customWidth="1"/>
    <col min="775" max="1024" width="9" style="575"/>
    <col min="1025" max="1025" width="5.25" style="575" customWidth="1"/>
    <col min="1026" max="1026" width="34.125" style="575" customWidth="1"/>
    <col min="1027" max="1027" width="8.625" style="575" customWidth="1"/>
    <col min="1028" max="1028" width="8.5" style="575" customWidth="1"/>
    <col min="1029" max="1029" width="8.75" style="575" customWidth="1"/>
    <col min="1030" max="1030" width="13.125" style="575" customWidth="1"/>
    <col min="1031" max="1280" width="9" style="575"/>
    <col min="1281" max="1281" width="5.25" style="575" customWidth="1"/>
    <col min="1282" max="1282" width="34.125" style="575" customWidth="1"/>
    <col min="1283" max="1283" width="8.625" style="575" customWidth="1"/>
    <col min="1284" max="1284" width="8.5" style="575" customWidth="1"/>
    <col min="1285" max="1285" width="8.75" style="575" customWidth="1"/>
    <col min="1286" max="1286" width="13.125" style="575" customWidth="1"/>
    <col min="1287" max="1536" width="9" style="575"/>
    <col min="1537" max="1537" width="5.25" style="575" customWidth="1"/>
    <col min="1538" max="1538" width="34.125" style="575" customWidth="1"/>
    <col min="1539" max="1539" width="8.625" style="575" customWidth="1"/>
    <col min="1540" max="1540" width="8.5" style="575" customWidth="1"/>
    <col min="1541" max="1541" width="8.75" style="575" customWidth="1"/>
    <col min="1542" max="1542" width="13.125" style="575" customWidth="1"/>
    <col min="1543" max="1792" width="9" style="575"/>
    <col min="1793" max="1793" width="5.25" style="575" customWidth="1"/>
    <col min="1794" max="1794" width="34.125" style="575" customWidth="1"/>
    <col min="1795" max="1795" width="8.625" style="575" customWidth="1"/>
    <col min="1796" max="1796" width="8.5" style="575" customWidth="1"/>
    <col min="1797" max="1797" width="8.75" style="575" customWidth="1"/>
    <col min="1798" max="1798" width="13.125" style="575" customWidth="1"/>
    <col min="1799" max="2048" width="9" style="575"/>
    <col min="2049" max="2049" width="5.25" style="575" customWidth="1"/>
    <col min="2050" max="2050" width="34.125" style="575" customWidth="1"/>
    <col min="2051" max="2051" width="8.625" style="575" customWidth="1"/>
    <col min="2052" max="2052" width="8.5" style="575" customWidth="1"/>
    <col min="2053" max="2053" width="8.75" style="575" customWidth="1"/>
    <col min="2054" max="2054" width="13.125" style="575" customWidth="1"/>
    <col min="2055" max="2304" width="9" style="575"/>
    <col min="2305" max="2305" width="5.25" style="575" customWidth="1"/>
    <col min="2306" max="2306" width="34.125" style="575" customWidth="1"/>
    <col min="2307" max="2307" width="8.625" style="575" customWidth="1"/>
    <col min="2308" max="2308" width="8.5" style="575" customWidth="1"/>
    <col min="2309" max="2309" width="8.75" style="575" customWidth="1"/>
    <col min="2310" max="2310" width="13.125" style="575" customWidth="1"/>
    <col min="2311" max="2560" width="9" style="575"/>
    <col min="2561" max="2561" width="5.25" style="575" customWidth="1"/>
    <col min="2562" max="2562" width="34.125" style="575" customWidth="1"/>
    <col min="2563" max="2563" width="8.625" style="575" customWidth="1"/>
    <col min="2564" max="2564" width="8.5" style="575" customWidth="1"/>
    <col min="2565" max="2565" width="8.75" style="575" customWidth="1"/>
    <col min="2566" max="2566" width="13.125" style="575" customWidth="1"/>
    <col min="2567" max="2816" width="9" style="575"/>
    <col min="2817" max="2817" width="5.25" style="575" customWidth="1"/>
    <col min="2818" max="2818" width="34.125" style="575" customWidth="1"/>
    <col min="2819" max="2819" width="8.625" style="575" customWidth="1"/>
    <col min="2820" max="2820" width="8.5" style="575" customWidth="1"/>
    <col min="2821" max="2821" width="8.75" style="575" customWidth="1"/>
    <col min="2822" max="2822" width="13.125" style="575" customWidth="1"/>
    <col min="2823" max="3072" width="9" style="575"/>
    <col min="3073" max="3073" width="5.25" style="575" customWidth="1"/>
    <col min="3074" max="3074" width="34.125" style="575" customWidth="1"/>
    <col min="3075" max="3075" width="8.625" style="575" customWidth="1"/>
    <col min="3076" max="3076" width="8.5" style="575" customWidth="1"/>
    <col min="3077" max="3077" width="8.75" style="575" customWidth="1"/>
    <col min="3078" max="3078" width="13.125" style="575" customWidth="1"/>
    <col min="3079" max="3328" width="9" style="575"/>
    <col min="3329" max="3329" width="5.25" style="575" customWidth="1"/>
    <col min="3330" max="3330" width="34.125" style="575" customWidth="1"/>
    <col min="3331" max="3331" width="8.625" style="575" customWidth="1"/>
    <col min="3332" max="3332" width="8.5" style="575" customWidth="1"/>
    <col min="3333" max="3333" width="8.75" style="575" customWidth="1"/>
    <col min="3334" max="3334" width="13.125" style="575" customWidth="1"/>
    <col min="3335" max="3584" width="9" style="575"/>
    <col min="3585" max="3585" width="5.25" style="575" customWidth="1"/>
    <col min="3586" max="3586" width="34.125" style="575" customWidth="1"/>
    <col min="3587" max="3587" width="8.625" style="575" customWidth="1"/>
    <col min="3588" max="3588" width="8.5" style="575" customWidth="1"/>
    <col min="3589" max="3589" width="8.75" style="575" customWidth="1"/>
    <col min="3590" max="3590" width="13.125" style="575" customWidth="1"/>
    <col min="3591" max="3840" width="9" style="575"/>
    <col min="3841" max="3841" width="5.25" style="575" customWidth="1"/>
    <col min="3842" max="3842" width="34.125" style="575" customWidth="1"/>
    <col min="3843" max="3843" width="8.625" style="575" customWidth="1"/>
    <col min="3844" max="3844" width="8.5" style="575" customWidth="1"/>
    <col min="3845" max="3845" width="8.75" style="575" customWidth="1"/>
    <col min="3846" max="3846" width="13.125" style="575" customWidth="1"/>
    <col min="3847" max="4096" width="9" style="575"/>
    <col min="4097" max="4097" width="5.25" style="575" customWidth="1"/>
    <col min="4098" max="4098" width="34.125" style="575" customWidth="1"/>
    <col min="4099" max="4099" width="8.625" style="575" customWidth="1"/>
    <col min="4100" max="4100" width="8.5" style="575" customWidth="1"/>
    <col min="4101" max="4101" width="8.75" style="575" customWidth="1"/>
    <col min="4102" max="4102" width="13.125" style="575" customWidth="1"/>
    <col min="4103" max="4352" width="9" style="575"/>
    <col min="4353" max="4353" width="5.25" style="575" customWidth="1"/>
    <col min="4354" max="4354" width="34.125" style="575" customWidth="1"/>
    <col min="4355" max="4355" width="8.625" style="575" customWidth="1"/>
    <col min="4356" max="4356" width="8.5" style="575" customWidth="1"/>
    <col min="4357" max="4357" width="8.75" style="575" customWidth="1"/>
    <col min="4358" max="4358" width="13.125" style="575" customWidth="1"/>
    <col min="4359" max="4608" width="9" style="575"/>
    <col min="4609" max="4609" width="5.25" style="575" customWidth="1"/>
    <col min="4610" max="4610" width="34.125" style="575" customWidth="1"/>
    <col min="4611" max="4611" width="8.625" style="575" customWidth="1"/>
    <col min="4612" max="4612" width="8.5" style="575" customWidth="1"/>
    <col min="4613" max="4613" width="8.75" style="575" customWidth="1"/>
    <col min="4614" max="4614" width="13.125" style="575" customWidth="1"/>
    <col min="4615" max="4864" width="9" style="575"/>
    <col min="4865" max="4865" width="5.25" style="575" customWidth="1"/>
    <col min="4866" max="4866" width="34.125" style="575" customWidth="1"/>
    <col min="4867" max="4867" width="8.625" style="575" customWidth="1"/>
    <col min="4868" max="4868" width="8.5" style="575" customWidth="1"/>
    <col min="4869" max="4869" width="8.75" style="575" customWidth="1"/>
    <col min="4870" max="4870" width="13.125" style="575" customWidth="1"/>
    <col min="4871" max="5120" width="9" style="575"/>
    <col min="5121" max="5121" width="5.25" style="575" customWidth="1"/>
    <col min="5122" max="5122" width="34.125" style="575" customWidth="1"/>
    <col min="5123" max="5123" width="8.625" style="575" customWidth="1"/>
    <col min="5124" max="5124" width="8.5" style="575" customWidth="1"/>
    <col min="5125" max="5125" width="8.75" style="575" customWidth="1"/>
    <col min="5126" max="5126" width="13.125" style="575" customWidth="1"/>
    <col min="5127" max="5376" width="9" style="575"/>
    <col min="5377" max="5377" width="5.25" style="575" customWidth="1"/>
    <col min="5378" max="5378" width="34.125" style="575" customWidth="1"/>
    <col min="5379" max="5379" width="8.625" style="575" customWidth="1"/>
    <col min="5380" max="5380" width="8.5" style="575" customWidth="1"/>
    <col min="5381" max="5381" width="8.75" style="575" customWidth="1"/>
    <col min="5382" max="5382" width="13.125" style="575" customWidth="1"/>
    <col min="5383" max="5632" width="9" style="575"/>
    <col min="5633" max="5633" width="5.25" style="575" customWidth="1"/>
    <col min="5634" max="5634" width="34.125" style="575" customWidth="1"/>
    <col min="5635" max="5635" width="8.625" style="575" customWidth="1"/>
    <col min="5636" max="5636" width="8.5" style="575" customWidth="1"/>
    <col min="5637" max="5637" width="8.75" style="575" customWidth="1"/>
    <col min="5638" max="5638" width="13.125" style="575" customWidth="1"/>
    <col min="5639" max="5888" width="9" style="575"/>
    <col min="5889" max="5889" width="5.25" style="575" customWidth="1"/>
    <col min="5890" max="5890" width="34.125" style="575" customWidth="1"/>
    <col min="5891" max="5891" width="8.625" style="575" customWidth="1"/>
    <col min="5892" max="5892" width="8.5" style="575" customWidth="1"/>
    <col min="5893" max="5893" width="8.75" style="575" customWidth="1"/>
    <col min="5894" max="5894" width="13.125" style="575" customWidth="1"/>
    <col min="5895" max="6144" width="9" style="575"/>
    <col min="6145" max="6145" width="5.25" style="575" customWidth="1"/>
    <col min="6146" max="6146" width="34.125" style="575" customWidth="1"/>
    <col min="6147" max="6147" width="8.625" style="575" customWidth="1"/>
    <col min="6148" max="6148" width="8.5" style="575" customWidth="1"/>
    <col min="6149" max="6149" width="8.75" style="575" customWidth="1"/>
    <col min="6150" max="6150" width="13.125" style="575" customWidth="1"/>
    <col min="6151" max="6400" width="9" style="575"/>
    <col min="6401" max="6401" width="5.25" style="575" customWidth="1"/>
    <col min="6402" max="6402" width="34.125" style="575" customWidth="1"/>
    <col min="6403" max="6403" width="8.625" style="575" customWidth="1"/>
    <col min="6404" max="6404" width="8.5" style="575" customWidth="1"/>
    <col min="6405" max="6405" width="8.75" style="575" customWidth="1"/>
    <col min="6406" max="6406" width="13.125" style="575" customWidth="1"/>
    <col min="6407" max="6656" width="9" style="575"/>
    <col min="6657" max="6657" width="5.25" style="575" customWidth="1"/>
    <col min="6658" max="6658" width="34.125" style="575" customWidth="1"/>
    <col min="6659" max="6659" width="8.625" style="575" customWidth="1"/>
    <col min="6660" max="6660" width="8.5" style="575" customWidth="1"/>
    <col min="6661" max="6661" width="8.75" style="575" customWidth="1"/>
    <col min="6662" max="6662" width="13.125" style="575" customWidth="1"/>
    <col min="6663" max="6912" width="9" style="575"/>
    <col min="6913" max="6913" width="5.25" style="575" customWidth="1"/>
    <col min="6914" max="6914" width="34.125" style="575" customWidth="1"/>
    <col min="6915" max="6915" width="8.625" style="575" customWidth="1"/>
    <col min="6916" max="6916" width="8.5" style="575" customWidth="1"/>
    <col min="6917" max="6917" width="8.75" style="575" customWidth="1"/>
    <col min="6918" max="6918" width="13.125" style="575" customWidth="1"/>
    <col min="6919" max="7168" width="9" style="575"/>
    <col min="7169" max="7169" width="5.25" style="575" customWidth="1"/>
    <col min="7170" max="7170" width="34.125" style="575" customWidth="1"/>
    <col min="7171" max="7171" width="8.625" style="575" customWidth="1"/>
    <col min="7172" max="7172" width="8.5" style="575" customWidth="1"/>
    <col min="7173" max="7173" width="8.75" style="575" customWidth="1"/>
    <col min="7174" max="7174" width="13.125" style="575" customWidth="1"/>
    <col min="7175" max="7424" width="9" style="575"/>
    <col min="7425" max="7425" width="5.25" style="575" customWidth="1"/>
    <col min="7426" max="7426" width="34.125" style="575" customWidth="1"/>
    <col min="7427" max="7427" width="8.625" style="575" customWidth="1"/>
    <col min="7428" max="7428" width="8.5" style="575" customWidth="1"/>
    <col min="7429" max="7429" width="8.75" style="575" customWidth="1"/>
    <col min="7430" max="7430" width="13.125" style="575" customWidth="1"/>
    <col min="7431" max="7680" width="9" style="575"/>
    <col min="7681" max="7681" width="5.25" style="575" customWidth="1"/>
    <col min="7682" max="7682" width="34.125" style="575" customWidth="1"/>
    <col min="7683" max="7683" width="8.625" style="575" customWidth="1"/>
    <col min="7684" max="7684" width="8.5" style="575" customWidth="1"/>
    <col min="7685" max="7685" width="8.75" style="575" customWidth="1"/>
    <col min="7686" max="7686" width="13.125" style="575" customWidth="1"/>
    <col min="7687" max="7936" width="9" style="575"/>
    <col min="7937" max="7937" width="5.25" style="575" customWidth="1"/>
    <col min="7938" max="7938" width="34.125" style="575" customWidth="1"/>
    <col min="7939" max="7939" width="8.625" style="575" customWidth="1"/>
    <col min="7940" max="7940" width="8.5" style="575" customWidth="1"/>
    <col min="7941" max="7941" width="8.75" style="575" customWidth="1"/>
    <col min="7942" max="7942" width="13.125" style="575" customWidth="1"/>
    <col min="7943" max="8192" width="9" style="575"/>
    <col min="8193" max="8193" width="5.25" style="575" customWidth="1"/>
    <col min="8194" max="8194" width="34.125" style="575" customWidth="1"/>
    <col min="8195" max="8195" width="8.625" style="575" customWidth="1"/>
    <col min="8196" max="8196" width="8.5" style="575" customWidth="1"/>
    <col min="8197" max="8197" width="8.75" style="575" customWidth="1"/>
    <col min="8198" max="8198" width="13.125" style="575" customWidth="1"/>
    <col min="8199" max="8448" width="9" style="575"/>
    <col min="8449" max="8449" width="5.25" style="575" customWidth="1"/>
    <col min="8450" max="8450" width="34.125" style="575" customWidth="1"/>
    <col min="8451" max="8451" width="8.625" style="575" customWidth="1"/>
    <col min="8452" max="8452" width="8.5" style="575" customWidth="1"/>
    <col min="8453" max="8453" width="8.75" style="575" customWidth="1"/>
    <col min="8454" max="8454" width="13.125" style="575" customWidth="1"/>
    <col min="8455" max="8704" width="9" style="575"/>
    <col min="8705" max="8705" width="5.25" style="575" customWidth="1"/>
    <col min="8706" max="8706" width="34.125" style="575" customWidth="1"/>
    <col min="8707" max="8707" width="8.625" style="575" customWidth="1"/>
    <col min="8708" max="8708" width="8.5" style="575" customWidth="1"/>
    <col min="8709" max="8709" width="8.75" style="575" customWidth="1"/>
    <col min="8710" max="8710" width="13.125" style="575" customWidth="1"/>
    <col min="8711" max="8960" width="9" style="575"/>
    <col min="8961" max="8961" width="5.25" style="575" customWidth="1"/>
    <col min="8962" max="8962" width="34.125" style="575" customWidth="1"/>
    <col min="8963" max="8963" width="8.625" style="575" customWidth="1"/>
    <col min="8964" max="8964" width="8.5" style="575" customWidth="1"/>
    <col min="8965" max="8965" width="8.75" style="575" customWidth="1"/>
    <col min="8966" max="8966" width="13.125" style="575" customWidth="1"/>
    <col min="8967" max="9216" width="9" style="575"/>
    <col min="9217" max="9217" width="5.25" style="575" customWidth="1"/>
    <col min="9218" max="9218" width="34.125" style="575" customWidth="1"/>
    <col min="9219" max="9219" width="8.625" style="575" customWidth="1"/>
    <col min="9220" max="9220" width="8.5" style="575" customWidth="1"/>
    <col min="9221" max="9221" width="8.75" style="575" customWidth="1"/>
    <col min="9222" max="9222" width="13.125" style="575" customWidth="1"/>
    <col min="9223" max="9472" width="9" style="575"/>
    <col min="9473" max="9473" width="5.25" style="575" customWidth="1"/>
    <col min="9474" max="9474" width="34.125" style="575" customWidth="1"/>
    <col min="9475" max="9475" width="8.625" style="575" customWidth="1"/>
    <col min="9476" max="9476" width="8.5" style="575" customWidth="1"/>
    <col min="9477" max="9477" width="8.75" style="575" customWidth="1"/>
    <col min="9478" max="9478" width="13.125" style="575" customWidth="1"/>
    <col min="9479" max="9728" width="9" style="575"/>
    <col min="9729" max="9729" width="5.25" style="575" customWidth="1"/>
    <col min="9730" max="9730" width="34.125" style="575" customWidth="1"/>
    <col min="9731" max="9731" width="8.625" style="575" customWidth="1"/>
    <col min="9732" max="9732" width="8.5" style="575" customWidth="1"/>
    <col min="9733" max="9733" width="8.75" style="575" customWidth="1"/>
    <col min="9734" max="9734" width="13.125" style="575" customWidth="1"/>
    <col min="9735" max="9984" width="9" style="575"/>
    <col min="9985" max="9985" width="5.25" style="575" customWidth="1"/>
    <col min="9986" max="9986" width="34.125" style="575" customWidth="1"/>
    <col min="9987" max="9987" width="8.625" style="575" customWidth="1"/>
    <col min="9988" max="9988" width="8.5" style="575" customWidth="1"/>
    <col min="9989" max="9989" width="8.75" style="575" customWidth="1"/>
    <col min="9990" max="9990" width="13.125" style="575" customWidth="1"/>
    <col min="9991" max="10240" width="9" style="575"/>
    <col min="10241" max="10241" width="5.25" style="575" customWidth="1"/>
    <col min="10242" max="10242" width="34.125" style="575" customWidth="1"/>
    <col min="10243" max="10243" width="8.625" style="575" customWidth="1"/>
    <col min="10244" max="10244" width="8.5" style="575" customWidth="1"/>
    <col min="10245" max="10245" width="8.75" style="575" customWidth="1"/>
    <col min="10246" max="10246" width="13.125" style="575" customWidth="1"/>
    <col min="10247" max="10496" width="9" style="575"/>
    <col min="10497" max="10497" width="5.25" style="575" customWidth="1"/>
    <col min="10498" max="10498" width="34.125" style="575" customWidth="1"/>
    <col min="10499" max="10499" width="8.625" style="575" customWidth="1"/>
    <col min="10500" max="10500" width="8.5" style="575" customWidth="1"/>
    <col min="10501" max="10501" width="8.75" style="575" customWidth="1"/>
    <col min="10502" max="10502" width="13.125" style="575" customWidth="1"/>
    <col min="10503" max="10752" width="9" style="575"/>
    <col min="10753" max="10753" width="5.25" style="575" customWidth="1"/>
    <col min="10754" max="10754" width="34.125" style="575" customWidth="1"/>
    <col min="10755" max="10755" width="8.625" style="575" customWidth="1"/>
    <col min="10756" max="10756" width="8.5" style="575" customWidth="1"/>
    <col min="10757" max="10757" width="8.75" style="575" customWidth="1"/>
    <col min="10758" max="10758" width="13.125" style="575" customWidth="1"/>
    <col min="10759" max="11008" width="9" style="575"/>
    <col min="11009" max="11009" width="5.25" style="575" customWidth="1"/>
    <col min="11010" max="11010" width="34.125" style="575" customWidth="1"/>
    <col min="11011" max="11011" width="8.625" style="575" customWidth="1"/>
    <col min="11012" max="11012" width="8.5" style="575" customWidth="1"/>
    <col min="11013" max="11013" width="8.75" style="575" customWidth="1"/>
    <col min="11014" max="11014" width="13.125" style="575" customWidth="1"/>
    <col min="11015" max="11264" width="9" style="575"/>
    <col min="11265" max="11265" width="5.25" style="575" customWidth="1"/>
    <col min="11266" max="11266" width="34.125" style="575" customWidth="1"/>
    <col min="11267" max="11267" width="8.625" style="575" customWidth="1"/>
    <col min="11268" max="11268" width="8.5" style="575" customWidth="1"/>
    <col min="11269" max="11269" width="8.75" style="575" customWidth="1"/>
    <col min="11270" max="11270" width="13.125" style="575" customWidth="1"/>
    <col min="11271" max="11520" width="9" style="575"/>
    <col min="11521" max="11521" width="5.25" style="575" customWidth="1"/>
    <col min="11522" max="11522" width="34.125" style="575" customWidth="1"/>
    <col min="11523" max="11523" width="8.625" style="575" customWidth="1"/>
    <col min="11524" max="11524" width="8.5" style="575" customWidth="1"/>
    <col min="11525" max="11525" width="8.75" style="575" customWidth="1"/>
    <col min="11526" max="11526" width="13.125" style="575" customWidth="1"/>
    <col min="11527" max="11776" width="9" style="575"/>
    <col min="11777" max="11777" width="5.25" style="575" customWidth="1"/>
    <col min="11778" max="11778" width="34.125" style="575" customWidth="1"/>
    <col min="11779" max="11779" width="8.625" style="575" customWidth="1"/>
    <col min="11780" max="11780" width="8.5" style="575" customWidth="1"/>
    <col min="11781" max="11781" width="8.75" style="575" customWidth="1"/>
    <col min="11782" max="11782" width="13.125" style="575" customWidth="1"/>
    <col min="11783" max="12032" width="9" style="575"/>
    <col min="12033" max="12033" width="5.25" style="575" customWidth="1"/>
    <col min="12034" max="12034" width="34.125" style="575" customWidth="1"/>
    <col min="12035" max="12035" width="8.625" style="575" customWidth="1"/>
    <col min="12036" max="12036" width="8.5" style="575" customWidth="1"/>
    <col min="12037" max="12037" width="8.75" style="575" customWidth="1"/>
    <col min="12038" max="12038" width="13.125" style="575" customWidth="1"/>
    <col min="12039" max="12288" width="9" style="575"/>
    <col min="12289" max="12289" width="5.25" style="575" customWidth="1"/>
    <col min="12290" max="12290" width="34.125" style="575" customWidth="1"/>
    <col min="12291" max="12291" width="8.625" style="575" customWidth="1"/>
    <col min="12292" max="12292" width="8.5" style="575" customWidth="1"/>
    <col min="12293" max="12293" width="8.75" style="575" customWidth="1"/>
    <col min="12294" max="12294" width="13.125" style="575" customWidth="1"/>
    <col min="12295" max="12544" width="9" style="575"/>
    <col min="12545" max="12545" width="5.25" style="575" customWidth="1"/>
    <col min="12546" max="12546" width="34.125" style="575" customWidth="1"/>
    <col min="12547" max="12547" width="8.625" style="575" customWidth="1"/>
    <col min="12548" max="12548" width="8.5" style="575" customWidth="1"/>
    <col min="12549" max="12549" width="8.75" style="575" customWidth="1"/>
    <col min="12550" max="12550" width="13.125" style="575" customWidth="1"/>
    <col min="12551" max="12800" width="9" style="575"/>
    <col min="12801" max="12801" width="5.25" style="575" customWidth="1"/>
    <col min="12802" max="12802" width="34.125" style="575" customWidth="1"/>
    <col min="12803" max="12803" width="8.625" style="575" customWidth="1"/>
    <col min="12804" max="12804" width="8.5" style="575" customWidth="1"/>
    <col min="12805" max="12805" width="8.75" style="575" customWidth="1"/>
    <col min="12806" max="12806" width="13.125" style="575" customWidth="1"/>
    <col min="12807" max="13056" width="9" style="575"/>
    <col min="13057" max="13057" width="5.25" style="575" customWidth="1"/>
    <col min="13058" max="13058" width="34.125" style="575" customWidth="1"/>
    <col min="13059" max="13059" width="8.625" style="575" customWidth="1"/>
    <col min="13060" max="13060" width="8.5" style="575" customWidth="1"/>
    <col min="13061" max="13061" width="8.75" style="575" customWidth="1"/>
    <col min="13062" max="13062" width="13.125" style="575" customWidth="1"/>
    <col min="13063" max="13312" width="9" style="575"/>
    <col min="13313" max="13313" width="5.25" style="575" customWidth="1"/>
    <col min="13314" max="13314" width="34.125" style="575" customWidth="1"/>
    <col min="13315" max="13315" width="8.625" style="575" customWidth="1"/>
    <col min="13316" max="13316" width="8.5" style="575" customWidth="1"/>
    <col min="13317" max="13317" width="8.75" style="575" customWidth="1"/>
    <col min="13318" max="13318" width="13.125" style="575" customWidth="1"/>
    <col min="13319" max="13568" width="9" style="575"/>
    <col min="13569" max="13569" width="5.25" style="575" customWidth="1"/>
    <col min="13570" max="13570" width="34.125" style="575" customWidth="1"/>
    <col min="13571" max="13571" width="8.625" style="575" customWidth="1"/>
    <col min="13572" max="13572" width="8.5" style="575" customWidth="1"/>
    <col min="13573" max="13573" width="8.75" style="575" customWidth="1"/>
    <col min="13574" max="13574" width="13.125" style="575" customWidth="1"/>
    <col min="13575" max="13824" width="9" style="575"/>
    <col min="13825" max="13825" width="5.25" style="575" customWidth="1"/>
    <col min="13826" max="13826" width="34.125" style="575" customWidth="1"/>
    <col min="13827" max="13827" width="8.625" style="575" customWidth="1"/>
    <col min="13828" max="13828" width="8.5" style="575" customWidth="1"/>
    <col min="13829" max="13829" width="8.75" style="575" customWidth="1"/>
    <col min="13830" max="13830" width="13.125" style="575" customWidth="1"/>
    <col min="13831" max="14080" width="9" style="575"/>
    <col min="14081" max="14081" width="5.25" style="575" customWidth="1"/>
    <col min="14082" max="14082" width="34.125" style="575" customWidth="1"/>
    <col min="14083" max="14083" width="8.625" style="575" customWidth="1"/>
    <col min="14084" max="14084" width="8.5" style="575" customWidth="1"/>
    <col min="14085" max="14085" width="8.75" style="575" customWidth="1"/>
    <col min="14086" max="14086" width="13.125" style="575" customWidth="1"/>
    <col min="14087" max="14336" width="9" style="575"/>
    <col min="14337" max="14337" width="5.25" style="575" customWidth="1"/>
    <col min="14338" max="14338" width="34.125" style="575" customWidth="1"/>
    <col min="14339" max="14339" width="8.625" style="575" customWidth="1"/>
    <col min="14340" max="14340" width="8.5" style="575" customWidth="1"/>
    <col min="14341" max="14341" width="8.75" style="575" customWidth="1"/>
    <col min="14342" max="14342" width="13.125" style="575" customWidth="1"/>
    <col min="14343" max="14592" width="9" style="575"/>
    <col min="14593" max="14593" width="5.25" style="575" customWidth="1"/>
    <col min="14594" max="14594" width="34.125" style="575" customWidth="1"/>
    <col min="14595" max="14595" width="8.625" style="575" customWidth="1"/>
    <col min="14596" max="14596" width="8.5" style="575" customWidth="1"/>
    <col min="14597" max="14597" width="8.75" style="575" customWidth="1"/>
    <col min="14598" max="14598" width="13.125" style="575" customWidth="1"/>
    <col min="14599" max="14848" width="9" style="575"/>
    <col min="14849" max="14849" width="5.25" style="575" customWidth="1"/>
    <col min="14850" max="14850" width="34.125" style="575" customWidth="1"/>
    <col min="14851" max="14851" width="8.625" style="575" customWidth="1"/>
    <col min="14852" max="14852" width="8.5" style="575" customWidth="1"/>
    <col min="14853" max="14853" width="8.75" style="575" customWidth="1"/>
    <col min="14854" max="14854" width="13.125" style="575" customWidth="1"/>
    <col min="14855" max="15104" width="9" style="575"/>
    <col min="15105" max="15105" width="5.25" style="575" customWidth="1"/>
    <col min="15106" max="15106" width="34.125" style="575" customWidth="1"/>
    <col min="15107" max="15107" width="8.625" style="575" customWidth="1"/>
    <col min="15108" max="15108" width="8.5" style="575" customWidth="1"/>
    <col min="15109" max="15109" width="8.75" style="575" customWidth="1"/>
    <col min="15110" max="15110" width="13.125" style="575" customWidth="1"/>
    <col min="15111" max="15360" width="9" style="575"/>
    <col min="15361" max="15361" width="5.25" style="575" customWidth="1"/>
    <col min="15362" max="15362" width="34.125" style="575" customWidth="1"/>
    <col min="15363" max="15363" width="8.625" style="575" customWidth="1"/>
    <col min="15364" max="15364" width="8.5" style="575" customWidth="1"/>
    <col min="15365" max="15365" width="8.75" style="575" customWidth="1"/>
    <col min="15366" max="15366" width="13.125" style="575" customWidth="1"/>
    <col min="15367" max="15616" width="9" style="575"/>
    <col min="15617" max="15617" width="5.25" style="575" customWidth="1"/>
    <col min="15618" max="15618" width="34.125" style="575" customWidth="1"/>
    <col min="15619" max="15619" width="8.625" style="575" customWidth="1"/>
    <col min="15620" max="15620" width="8.5" style="575" customWidth="1"/>
    <col min="15621" max="15621" width="8.75" style="575" customWidth="1"/>
    <col min="15622" max="15622" width="13.125" style="575" customWidth="1"/>
    <col min="15623" max="15872" width="9" style="575"/>
    <col min="15873" max="15873" width="5.25" style="575" customWidth="1"/>
    <col min="15874" max="15874" width="34.125" style="575" customWidth="1"/>
    <col min="15875" max="15875" width="8.625" style="575" customWidth="1"/>
    <col min="15876" max="15876" width="8.5" style="575" customWidth="1"/>
    <col min="15877" max="15877" width="8.75" style="575" customWidth="1"/>
    <col min="15878" max="15878" width="13.125" style="575" customWidth="1"/>
    <col min="15879" max="16128" width="9" style="575"/>
    <col min="16129" max="16129" width="5.25" style="575" customWidth="1"/>
    <col min="16130" max="16130" width="34.125" style="575" customWidth="1"/>
    <col min="16131" max="16131" width="8.625" style="575" customWidth="1"/>
    <col min="16132" max="16132" width="8.5" style="575" customWidth="1"/>
    <col min="16133" max="16133" width="8.75" style="575" customWidth="1"/>
    <col min="16134" max="16134" width="13.125" style="575" customWidth="1"/>
    <col min="16135" max="16384" width="9" style="575"/>
  </cols>
  <sheetData>
    <row r="1" spans="1:10" ht="25.9" customHeight="1">
      <c r="A1" s="3706" t="s">
        <v>5478</v>
      </c>
      <c r="B1" s="3706"/>
      <c r="C1" s="3706"/>
      <c r="D1" s="3706"/>
      <c r="E1" s="3706"/>
      <c r="F1" s="2754" t="str">
        <f>基本情况!$F$10</f>
        <v>厦中汇税审（2018）第DS0001号</v>
      </c>
      <c r="G1" s="2754"/>
    </row>
    <row r="2" spans="1:10" ht="37.15" customHeight="1">
      <c r="A2" s="3707"/>
      <c r="B2" s="3707"/>
      <c r="C2" s="3707"/>
      <c r="D2" s="3707"/>
      <c r="E2" s="3707"/>
      <c r="F2" s="2755" t="str">
        <f>"底稿编号："&amp;开始!L17</f>
        <v>底稿编号：AD-15</v>
      </c>
      <c r="G2" s="2755"/>
    </row>
    <row r="3" spans="1:10" ht="16.5" customHeight="1">
      <c r="A3" s="3702" t="s">
        <v>698</v>
      </c>
      <c r="B3" s="3714" t="s">
        <v>615</v>
      </c>
      <c r="C3" s="3715"/>
      <c r="D3" s="3716"/>
      <c r="E3" s="2330" t="s">
        <v>370</v>
      </c>
      <c r="F3" s="2330" t="s">
        <v>371</v>
      </c>
      <c r="G3" s="2330" t="s">
        <v>509</v>
      </c>
    </row>
    <row r="4" spans="1:10" ht="16.5" customHeight="1">
      <c r="A4" s="3703"/>
      <c r="B4" s="3717"/>
      <c r="C4" s="3718"/>
      <c r="D4" s="3719"/>
      <c r="E4" s="2313">
        <v>1</v>
      </c>
      <c r="F4" s="2313">
        <v>2</v>
      </c>
      <c r="G4" s="2313" t="s">
        <v>700</v>
      </c>
      <c r="J4" s="1612"/>
    </row>
    <row r="5" spans="1:10" ht="16.5" customHeight="1">
      <c r="A5" s="2313">
        <v>1</v>
      </c>
      <c r="B5" s="3720" t="s">
        <v>749</v>
      </c>
      <c r="C5" s="3720"/>
      <c r="D5" s="3720"/>
      <c r="E5" s="2331">
        <f>ROUND(E6+E17+E18+E19+E20+E23+E24,2)</f>
        <v>0</v>
      </c>
      <c r="F5" s="2331">
        <f>ROUND(F6+F17+F18+F19+F20+F23+F24,2)</f>
        <v>0</v>
      </c>
      <c r="G5" s="2331">
        <f>ROUND(E5-F5,2)</f>
        <v>0</v>
      </c>
    </row>
    <row r="6" spans="1:10" ht="16.5" customHeight="1">
      <c r="A6" s="2313">
        <v>2</v>
      </c>
      <c r="B6" s="3720" t="s">
        <v>718</v>
      </c>
      <c r="C6" s="3720"/>
      <c r="D6" s="3720"/>
      <c r="E6" s="320"/>
      <c r="F6" s="320"/>
      <c r="G6" s="2331">
        <f t="shared" ref="G6:G46" si="0">ROUND(E6-F6,2)</f>
        <v>0</v>
      </c>
    </row>
    <row r="7" spans="1:10" ht="16.5" customHeight="1">
      <c r="A7" s="2313">
        <v>3</v>
      </c>
      <c r="B7" s="2328" t="s">
        <v>727</v>
      </c>
      <c r="C7" s="3721" t="s">
        <v>722</v>
      </c>
      <c r="D7" s="3721"/>
      <c r="E7" s="320"/>
      <c r="F7" s="320"/>
      <c r="G7" s="2331">
        <f t="shared" si="0"/>
        <v>0</v>
      </c>
    </row>
    <row r="8" spans="1:10" ht="16.5" customHeight="1">
      <c r="A8" s="2313">
        <v>4</v>
      </c>
      <c r="B8" s="2328"/>
      <c r="C8" s="2313" t="s">
        <v>719</v>
      </c>
      <c r="D8" s="2329" t="s">
        <v>720</v>
      </c>
      <c r="E8" s="320"/>
      <c r="F8" s="320"/>
      <c r="G8" s="2331">
        <f t="shared" si="0"/>
        <v>0</v>
      </c>
    </row>
    <row r="9" spans="1:10" ht="16.5" customHeight="1">
      <c r="A9" s="2313">
        <v>5</v>
      </c>
      <c r="B9" s="2328"/>
      <c r="C9" s="2313"/>
      <c r="D9" s="2329" t="s">
        <v>721</v>
      </c>
      <c r="E9" s="320"/>
      <c r="F9" s="320"/>
      <c r="G9" s="2331">
        <f t="shared" si="0"/>
        <v>0</v>
      </c>
    </row>
    <row r="10" spans="1:10" ht="16.5" customHeight="1">
      <c r="A10" s="2313">
        <v>6</v>
      </c>
      <c r="B10" s="2328" t="s">
        <v>728</v>
      </c>
      <c r="C10" s="3721" t="s">
        <v>723</v>
      </c>
      <c r="D10" s="3721"/>
      <c r="E10" s="320"/>
      <c r="F10" s="320"/>
      <c r="G10" s="2331">
        <f t="shared" si="0"/>
        <v>0</v>
      </c>
    </row>
    <row r="11" spans="1:10" ht="16.5" customHeight="1">
      <c r="A11" s="2313">
        <v>7</v>
      </c>
      <c r="B11" s="2328"/>
      <c r="C11" s="3721" t="s">
        <v>724</v>
      </c>
      <c r="D11" s="3721"/>
      <c r="E11" s="320"/>
      <c r="F11" s="320"/>
      <c r="G11" s="2331">
        <f t="shared" si="0"/>
        <v>0</v>
      </c>
    </row>
    <row r="12" spans="1:10" ht="16.5" customHeight="1">
      <c r="A12" s="2313">
        <v>8</v>
      </c>
      <c r="B12" s="2328" t="s">
        <v>729</v>
      </c>
      <c r="C12" s="3721" t="s">
        <v>725</v>
      </c>
      <c r="D12" s="3721"/>
      <c r="E12" s="320"/>
      <c r="F12" s="320"/>
      <c r="G12" s="2331">
        <f t="shared" si="0"/>
        <v>0</v>
      </c>
    </row>
    <row r="13" spans="1:10" ht="16.5" customHeight="1">
      <c r="A13" s="2313">
        <v>9</v>
      </c>
      <c r="B13" s="2328"/>
      <c r="C13" s="3721" t="s">
        <v>726</v>
      </c>
      <c r="D13" s="3721"/>
      <c r="E13" s="320"/>
      <c r="F13" s="320"/>
      <c r="G13" s="2331">
        <f t="shared" si="0"/>
        <v>0</v>
      </c>
    </row>
    <row r="14" spans="1:10" ht="16.5" customHeight="1">
      <c r="A14" s="2313">
        <v>10</v>
      </c>
      <c r="B14" s="2328" t="s">
        <v>730</v>
      </c>
      <c r="C14" s="3721" t="s">
        <v>722</v>
      </c>
      <c r="D14" s="3721"/>
      <c r="E14" s="320"/>
      <c r="F14" s="320"/>
      <c r="G14" s="2331">
        <f t="shared" si="0"/>
        <v>0</v>
      </c>
    </row>
    <row r="15" spans="1:10" ht="16.5" customHeight="1">
      <c r="A15" s="2313">
        <v>11</v>
      </c>
      <c r="B15" s="2328"/>
      <c r="C15" s="2313" t="s">
        <v>719</v>
      </c>
      <c r="D15" s="2329" t="s">
        <v>720</v>
      </c>
      <c r="E15" s="320"/>
      <c r="F15" s="320"/>
      <c r="G15" s="2331">
        <f t="shared" si="0"/>
        <v>0</v>
      </c>
    </row>
    <row r="16" spans="1:10" ht="16.5" customHeight="1">
      <c r="A16" s="2313">
        <v>12</v>
      </c>
      <c r="B16" s="2328"/>
      <c r="C16" s="2313"/>
      <c r="D16" s="2329" t="s">
        <v>721</v>
      </c>
      <c r="E16" s="320"/>
      <c r="F16" s="320"/>
      <c r="G16" s="2331">
        <f t="shared" si="0"/>
        <v>0</v>
      </c>
    </row>
    <row r="17" spans="1:7" ht="16.5" customHeight="1">
      <c r="A17" s="2313">
        <v>13</v>
      </c>
      <c r="B17" s="3708" t="s">
        <v>731</v>
      </c>
      <c r="C17" s="3709"/>
      <c r="D17" s="3710"/>
      <c r="E17" s="320"/>
      <c r="F17" s="320"/>
      <c r="G17" s="2331">
        <f t="shared" si="0"/>
        <v>0</v>
      </c>
    </row>
    <row r="18" spans="1:7" ht="16.5" customHeight="1">
      <c r="A18" s="2313">
        <v>14</v>
      </c>
      <c r="B18" s="3708" t="s">
        <v>732</v>
      </c>
      <c r="C18" s="3709"/>
      <c r="D18" s="3710"/>
      <c r="E18" s="320"/>
      <c r="F18" s="320"/>
      <c r="G18" s="2331">
        <f t="shared" si="0"/>
        <v>0</v>
      </c>
    </row>
    <row r="19" spans="1:7" ht="16.5" customHeight="1">
      <c r="A19" s="2313">
        <v>15</v>
      </c>
      <c r="B19" s="3708" t="s">
        <v>733</v>
      </c>
      <c r="C19" s="3709"/>
      <c r="D19" s="3710"/>
      <c r="E19" s="320"/>
      <c r="F19" s="125"/>
      <c r="G19" s="2331">
        <f t="shared" si="0"/>
        <v>0</v>
      </c>
    </row>
    <row r="20" spans="1:7" ht="16.5" customHeight="1">
      <c r="A20" s="2313">
        <v>16</v>
      </c>
      <c r="B20" s="3708" t="s">
        <v>734</v>
      </c>
      <c r="C20" s="3709"/>
      <c r="D20" s="3710"/>
      <c r="E20" s="2331">
        <f>ROUND(E21+E22,2)</f>
        <v>0</v>
      </c>
      <c r="F20" s="2331">
        <f>ROUND(F21+F22,2)</f>
        <v>0</v>
      </c>
      <c r="G20" s="2331">
        <f t="shared" si="0"/>
        <v>0</v>
      </c>
    </row>
    <row r="21" spans="1:7" ht="16.5" customHeight="1">
      <c r="A21" s="2313">
        <v>17</v>
      </c>
      <c r="B21" s="3708" t="s">
        <v>735</v>
      </c>
      <c r="C21" s="3709"/>
      <c r="D21" s="3710"/>
      <c r="E21" s="320"/>
      <c r="F21" s="125"/>
      <c r="G21" s="2331">
        <f t="shared" si="0"/>
        <v>0</v>
      </c>
    </row>
    <row r="22" spans="1:7" ht="16.5" customHeight="1">
      <c r="A22" s="2313">
        <v>18</v>
      </c>
      <c r="B22" s="3708" t="s">
        <v>736</v>
      </c>
      <c r="C22" s="3709"/>
      <c r="D22" s="3710"/>
      <c r="E22" s="320"/>
      <c r="F22" s="125"/>
      <c r="G22" s="2331">
        <f t="shared" si="0"/>
        <v>0</v>
      </c>
    </row>
    <row r="23" spans="1:7" ht="16.5" customHeight="1">
      <c r="A23" s="2313">
        <v>19</v>
      </c>
      <c r="B23" s="3708" t="s">
        <v>737</v>
      </c>
      <c r="C23" s="3709"/>
      <c r="D23" s="3710"/>
      <c r="E23" s="320"/>
      <c r="F23" s="125"/>
      <c r="G23" s="2331">
        <f t="shared" si="0"/>
        <v>0</v>
      </c>
    </row>
    <row r="24" spans="1:7" ht="16.5" customHeight="1">
      <c r="A24" s="2313">
        <v>20</v>
      </c>
      <c r="B24" s="3708" t="s">
        <v>738</v>
      </c>
      <c r="C24" s="3709"/>
      <c r="D24" s="3710"/>
      <c r="E24" s="320"/>
      <c r="F24" s="125"/>
      <c r="G24" s="2331">
        <f t="shared" si="0"/>
        <v>0</v>
      </c>
    </row>
    <row r="25" spans="1:7" ht="16.5" customHeight="1">
      <c r="A25" s="2313">
        <v>21</v>
      </c>
      <c r="B25" s="3708" t="s">
        <v>739</v>
      </c>
      <c r="C25" s="3709"/>
      <c r="D25" s="3710"/>
      <c r="E25" s="2331">
        <f>ROUND(SUM(E26:E29),2)</f>
        <v>0</v>
      </c>
      <c r="F25" s="2331">
        <f>ROUND(SUM(F26:F29),2)</f>
        <v>0</v>
      </c>
      <c r="G25" s="2331">
        <f t="shared" si="0"/>
        <v>0</v>
      </c>
    </row>
    <row r="26" spans="1:7" ht="16.5" customHeight="1">
      <c r="A26" s="2313">
        <v>22</v>
      </c>
      <c r="B26" s="3708" t="s">
        <v>703</v>
      </c>
      <c r="C26" s="3709"/>
      <c r="D26" s="3710"/>
      <c r="E26" s="320"/>
      <c r="F26" s="125"/>
      <c r="G26" s="2331">
        <f t="shared" si="0"/>
        <v>0</v>
      </c>
    </row>
    <row r="27" spans="1:7" ht="16.5" customHeight="1">
      <c r="A27" s="2313">
        <v>23</v>
      </c>
      <c r="B27" s="3708" t="s">
        <v>704</v>
      </c>
      <c r="C27" s="3709"/>
      <c r="D27" s="3710"/>
      <c r="E27" s="320"/>
      <c r="F27" s="125"/>
      <c r="G27" s="2331">
        <f t="shared" si="0"/>
        <v>0</v>
      </c>
    </row>
    <row r="28" spans="1:7" ht="16.5" customHeight="1">
      <c r="A28" s="2313">
        <v>24</v>
      </c>
      <c r="B28" s="3708" t="s">
        <v>705</v>
      </c>
      <c r="C28" s="3709"/>
      <c r="D28" s="3710"/>
      <c r="E28" s="320"/>
      <c r="F28" s="125"/>
      <c r="G28" s="2331">
        <f t="shared" si="0"/>
        <v>0</v>
      </c>
    </row>
    <row r="29" spans="1:7" ht="16.5" customHeight="1">
      <c r="A29" s="2313">
        <v>25</v>
      </c>
      <c r="B29" s="3708" t="s">
        <v>638</v>
      </c>
      <c r="C29" s="3709"/>
      <c r="D29" s="3710"/>
      <c r="E29" s="320"/>
      <c r="F29" s="125"/>
      <c r="G29" s="2331">
        <f t="shared" si="0"/>
        <v>0</v>
      </c>
    </row>
    <row r="30" spans="1:7" ht="16.5" customHeight="1">
      <c r="A30" s="2313">
        <v>26</v>
      </c>
      <c r="B30" s="3708" t="s">
        <v>740</v>
      </c>
      <c r="C30" s="3709"/>
      <c r="D30" s="3710"/>
      <c r="E30" s="2331">
        <f>ROUND(SUM(E31:E34),2)</f>
        <v>0</v>
      </c>
      <c r="F30" s="2331">
        <f>ROUND(SUM(F31:F34),2)</f>
        <v>0</v>
      </c>
      <c r="G30" s="2331">
        <f t="shared" si="0"/>
        <v>0</v>
      </c>
    </row>
    <row r="31" spans="1:7" ht="16.5" customHeight="1">
      <c r="A31" s="2313">
        <v>27</v>
      </c>
      <c r="B31" s="3708" t="s">
        <v>708</v>
      </c>
      <c r="C31" s="3709"/>
      <c r="D31" s="3710"/>
      <c r="E31" s="320"/>
      <c r="F31" s="125"/>
      <c r="G31" s="2331">
        <f t="shared" si="0"/>
        <v>0</v>
      </c>
    </row>
    <row r="32" spans="1:7" ht="16.5" customHeight="1">
      <c r="A32" s="2313">
        <v>28</v>
      </c>
      <c r="B32" s="3708" t="s">
        <v>709</v>
      </c>
      <c r="C32" s="3709"/>
      <c r="D32" s="3710"/>
      <c r="E32" s="320"/>
      <c r="F32" s="125"/>
      <c r="G32" s="2331">
        <f t="shared" si="0"/>
        <v>0</v>
      </c>
    </row>
    <row r="33" spans="1:8" ht="16.5" customHeight="1">
      <c r="A33" s="2313">
        <v>29</v>
      </c>
      <c r="B33" s="3708" t="s">
        <v>710</v>
      </c>
      <c r="C33" s="3709"/>
      <c r="D33" s="3710"/>
      <c r="E33" s="320"/>
      <c r="F33" s="125"/>
      <c r="G33" s="2331">
        <f t="shared" si="0"/>
        <v>0</v>
      </c>
    </row>
    <row r="34" spans="1:8" ht="16.5" customHeight="1">
      <c r="A34" s="2313">
        <v>30</v>
      </c>
      <c r="B34" s="3708" t="s">
        <v>638</v>
      </c>
      <c r="C34" s="3709"/>
      <c r="D34" s="3710"/>
      <c r="E34" s="320"/>
      <c r="F34" s="125"/>
      <c r="G34" s="2331">
        <f t="shared" si="0"/>
        <v>0</v>
      </c>
      <c r="H34" s="1612"/>
    </row>
    <row r="35" spans="1:8" ht="16.5" customHeight="1">
      <c r="A35" s="2313">
        <v>31</v>
      </c>
      <c r="B35" s="3708" t="s">
        <v>741</v>
      </c>
      <c r="C35" s="3709"/>
      <c r="D35" s="3710"/>
      <c r="E35" s="2331">
        <f>ROUND(SUM(E36:E38),2)</f>
        <v>0</v>
      </c>
      <c r="F35" s="2331">
        <f>ROUND(SUM(F36:F38),2)</f>
        <v>0</v>
      </c>
      <c r="G35" s="2331">
        <f t="shared" si="0"/>
        <v>0</v>
      </c>
    </row>
    <row r="36" spans="1:8" ht="16.5" customHeight="1">
      <c r="A36" s="2313">
        <v>32</v>
      </c>
      <c r="B36" s="3708" t="s">
        <v>712</v>
      </c>
      <c r="C36" s="3709"/>
      <c r="D36" s="3710"/>
      <c r="E36" s="320"/>
      <c r="F36" s="125"/>
      <c r="G36" s="2331">
        <f t="shared" si="0"/>
        <v>0</v>
      </c>
    </row>
    <row r="37" spans="1:8" ht="16.5" customHeight="1">
      <c r="A37" s="2313">
        <v>33</v>
      </c>
      <c r="B37" s="3708" t="s">
        <v>713</v>
      </c>
      <c r="C37" s="3709"/>
      <c r="D37" s="3710"/>
      <c r="E37" s="320"/>
      <c r="F37" s="125"/>
      <c r="G37" s="2331">
        <f t="shared" si="0"/>
        <v>0</v>
      </c>
    </row>
    <row r="38" spans="1:8" ht="16.5" customHeight="1">
      <c r="A38" s="2313">
        <v>34</v>
      </c>
      <c r="B38" s="3708" t="s">
        <v>714</v>
      </c>
      <c r="C38" s="3709"/>
      <c r="D38" s="3710"/>
      <c r="E38" s="322"/>
      <c r="F38" s="322"/>
      <c r="G38" s="2331">
        <f t="shared" si="0"/>
        <v>0</v>
      </c>
    </row>
    <row r="39" spans="1:8" ht="16.5" customHeight="1">
      <c r="A39" s="2313">
        <v>35</v>
      </c>
      <c r="B39" s="3708" t="s">
        <v>742</v>
      </c>
      <c r="C39" s="3709"/>
      <c r="D39" s="3710"/>
      <c r="E39" s="2331">
        <f>ROUND(SUM(E40:E42),2)</f>
        <v>0</v>
      </c>
      <c r="F39" s="2331">
        <f>ROUND(SUM(F40:F42),2)</f>
        <v>0</v>
      </c>
      <c r="G39" s="2331">
        <f t="shared" si="0"/>
        <v>0</v>
      </c>
    </row>
    <row r="40" spans="1:8" ht="16.5" customHeight="1">
      <c r="A40" s="2313">
        <v>36</v>
      </c>
      <c r="B40" s="3708" t="s">
        <v>716</v>
      </c>
      <c r="C40" s="3709"/>
      <c r="D40" s="3710"/>
      <c r="E40" s="322"/>
      <c r="F40" s="323"/>
      <c r="G40" s="2331">
        <f t="shared" si="0"/>
        <v>0</v>
      </c>
    </row>
    <row r="41" spans="1:8" ht="16.5" customHeight="1">
      <c r="A41" s="2313">
        <v>37</v>
      </c>
      <c r="B41" s="3708" t="s">
        <v>717</v>
      </c>
      <c r="C41" s="3709"/>
      <c r="D41" s="3710"/>
      <c r="E41" s="320"/>
      <c r="F41" s="323"/>
      <c r="G41" s="2331">
        <f t="shared" si="0"/>
        <v>0</v>
      </c>
    </row>
    <row r="42" spans="1:8" ht="16.5" customHeight="1">
      <c r="A42" s="2313">
        <v>38</v>
      </c>
      <c r="B42" s="3708" t="s">
        <v>714</v>
      </c>
      <c r="C42" s="3709"/>
      <c r="D42" s="3710"/>
      <c r="E42" s="322"/>
      <c r="F42" s="324"/>
      <c r="G42" s="2331">
        <f t="shared" si="0"/>
        <v>0</v>
      </c>
    </row>
    <row r="43" spans="1:8" ht="16.5" customHeight="1">
      <c r="A43" s="2313">
        <v>39</v>
      </c>
      <c r="B43" s="3708" t="s">
        <v>743</v>
      </c>
      <c r="C43" s="3709"/>
      <c r="D43" s="3710"/>
      <c r="E43" s="2331">
        <f>ROUND(E44+E45,2)</f>
        <v>0</v>
      </c>
      <c r="F43" s="2331">
        <f>ROUND(F44+F45,2)</f>
        <v>0</v>
      </c>
      <c r="G43" s="2331">
        <f t="shared" si="0"/>
        <v>0</v>
      </c>
    </row>
    <row r="44" spans="1:8" ht="16.5" customHeight="1">
      <c r="A44" s="2313">
        <v>40</v>
      </c>
      <c r="B44" s="3708" t="s">
        <v>744</v>
      </c>
      <c r="C44" s="3709"/>
      <c r="D44" s="3710"/>
      <c r="E44" s="322"/>
      <c r="F44" s="324"/>
      <c r="G44" s="2331">
        <f t="shared" si="0"/>
        <v>0</v>
      </c>
    </row>
    <row r="45" spans="1:8" ht="16.5" customHeight="1">
      <c r="A45" s="2313">
        <v>41</v>
      </c>
      <c r="B45" s="3708" t="s">
        <v>745</v>
      </c>
      <c r="C45" s="3709"/>
      <c r="D45" s="3710"/>
      <c r="E45" s="322"/>
      <c r="F45" s="324"/>
      <c r="G45" s="2331">
        <f t="shared" si="0"/>
        <v>0</v>
      </c>
    </row>
    <row r="46" spans="1:8" ht="16.5" customHeight="1">
      <c r="A46" s="2313">
        <v>42</v>
      </c>
      <c r="B46" s="3708" t="s">
        <v>746</v>
      </c>
      <c r="C46" s="3709"/>
      <c r="D46" s="3710"/>
      <c r="E46" s="320"/>
      <c r="F46" s="323"/>
      <c r="G46" s="2331">
        <f t="shared" si="0"/>
        <v>0</v>
      </c>
    </row>
    <row r="47" spans="1:8" ht="16.5" customHeight="1">
      <c r="A47" s="2313">
        <v>43</v>
      </c>
      <c r="B47" s="3711" t="s">
        <v>747</v>
      </c>
      <c r="C47" s="3712"/>
      <c r="D47" s="3713"/>
      <c r="E47" s="2331">
        <f>ROUND(E5+E25+E30+E35+E39+E43+E46,2)</f>
        <v>0</v>
      </c>
      <c r="F47" s="2331">
        <f>ROUND(F5+F25+F30+F35+F39+F43+F46,2)</f>
        <v>0</v>
      </c>
      <c r="G47" s="2331">
        <f>ROUND(G5+G25+G30+G35+G39+G43+G46,2)</f>
        <v>0</v>
      </c>
    </row>
  </sheetData>
  <mergeCells count="44">
    <mergeCell ref="B17:D17"/>
    <mergeCell ref="C10:D10"/>
    <mergeCell ref="C11:D11"/>
    <mergeCell ref="C12:D12"/>
    <mergeCell ref="C13:D13"/>
    <mergeCell ref="C14:D14"/>
    <mergeCell ref="A3:A4"/>
    <mergeCell ref="B3:D4"/>
    <mergeCell ref="B5:D5"/>
    <mergeCell ref="B6:D6"/>
    <mergeCell ref="C7:D7"/>
    <mergeCell ref="B24:D24"/>
    <mergeCell ref="B25:D25"/>
    <mergeCell ref="B26:D26"/>
    <mergeCell ref="B27:D27"/>
    <mergeCell ref="B18:D18"/>
    <mergeCell ref="B19:D19"/>
    <mergeCell ref="B20:D20"/>
    <mergeCell ref="B21:D21"/>
    <mergeCell ref="B22:D22"/>
    <mergeCell ref="B45:D45"/>
    <mergeCell ref="B46:D46"/>
    <mergeCell ref="B47:D47"/>
    <mergeCell ref="B38:D38"/>
    <mergeCell ref="B39:D39"/>
    <mergeCell ref="B40:D40"/>
    <mergeCell ref="B41:D41"/>
    <mergeCell ref="B42:D42"/>
    <mergeCell ref="F1:G1"/>
    <mergeCell ref="F2:G2"/>
    <mergeCell ref="A1:E2"/>
    <mergeCell ref="B43:D43"/>
    <mergeCell ref="B44:D44"/>
    <mergeCell ref="B33:D33"/>
    <mergeCell ref="B34:D34"/>
    <mergeCell ref="B35:D35"/>
    <mergeCell ref="B36:D36"/>
    <mergeCell ref="B37:D37"/>
    <mergeCell ref="B28:D28"/>
    <mergeCell ref="B29:D29"/>
    <mergeCell ref="B30:D30"/>
    <mergeCell ref="B31:D31"/>
    <mergeCell ref="B32:D32"/>
    <mergeCell ref="B23:D23"/>
  </mergeCells>
  <phoneticPr fontId="135" type="noConversion"/>
  <printOptions horizontalCentered="1"/>
  <pageMargins left="0.39370078740157483" right="0.39370078740157483" top="0.59055118110236227" bottom="0.59055118110236227" header="0.51181102362204722" footer="0.51181102362204722"/>
  <pageSetup paperSize="9" scale="92" fitToHeight="0" orientation="portrait" blackAndWhite="1" r:id="rId1"/>
  <headerFooter alignWithMargins="0"/>
  <drawing r:id="rId2"/>
  <legacyDrawing r:id="rId3"/>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0"/>
  <dimension ref="A1:EE149"/>
  <sheetViews>
    <sheetView topLeftCell="C1" workbookViewId="0">
      <selection activeCell="H3" sqref="H3"/>
    </sheetView>
  </sheetViews>
  <sheetFormatPr defaultColWidth="9" defaultRowHeight="16.5"/>
  <cols>
    <col min="1" max="1" width="9" style="565"/>
    <col min="2" max="4" width="20.875" style="565" customWidth="1"/>
    <col min="5" max="5" width="13.125" style="565" customWidth="1"/>
    <col min="6" max="6" width="15.375" style="565" customWidth="1"/>
    <col min="7" max="7" width="13" style="565" customWidth="1"/>
    <col min="8" max="8" width="8.375" style="565" customWidth="1"/>
    <col min="9" max="135" width="9" style="1406"/>
    <col min="136" max="16384" width="9" style="565"/>
  </cols>
  <sheetData>
    <row r="1" spans="1:135" s="1850" customFormat="1" ht="25.9" customHeight="1">
      <c r="A1" s="3723" t="s">
        <v>4638</v>
      </c>
      <c r="B1" s="3723"/>
      <c r="C1" s="3723"/>
      <c r="D1" s="3723"/>
      <c r="E1" s="3723"/>
      <c r="F1" s="2754" t="str">
        <f>基本情况!$F$10</f>
        <v>厦中汇税审（2018）第DS0001号</v>
      </c>
      <c r="G1" s="2754"/>
      <c r="H1" s="2754"/>
      <c r="I1" s="1406"/>
      <c r="J1" s="1406"/>
      <c r="K1" s="1406"/>
      <c r="L1" s="1406"/>
      <c r="M1" s="1406"/>
      <c r="N1" s="1406"/>
      <c r="O1" s="1406"/>
      <c r="P1" s="1406"/>
      <c r="Q1" s="1406"/>
      <c r="R1" s="1406"/>
      <c r="S1" s="1406"/>
      <c r="T1" s="1406"/>
      <c r="U1" s="1406"/>
      <c r="V1" s="1406"/>
      <c r="W1" s="1406"/>
      <c r="X1" s="1406"/>
      <c r="Y1" s="1406"/>
      <c r="Z1" s="1406"/>
      <c r="AA1" s="1406"/>
      <c r="AB1" s="1406"/>
      <c r="AC1" s="1406"/>
      <c r="AD1" s="1406"/>
      <c r="AE1" s="1406"/>
      <c r="AF1" s="1406"/>
      <c r="AG1" s="1406"/>
      <c r="AH1" s="1406"/>
      <c r="AI1" s="1406"/>
      <c r="AJ1" s="1406"/>
      <c r="AK1" s="1406"/>
      <c r="AL1" s="1406"/>
      <c r="AM1" s="1406"/>
      <c r="AN1" s="1406"/>
      <c r="AO1" s="1406"/>
      <c r="AP1" s="1406"/>
      <c r="AQ1" s="1406"/>
      <c r="AR1" s="1406"/>
      <c r="AS1" s="1406"/>
      <c r="AT1" s="1406"/>
      <c r="AU1" s="1406"/>
      <c r="AV1" s="1406"/>
      <c r="AW1" s="1406"/>
      <c r="AX1" s="1406"/>
      <c r="AY1" s="1406"/>
      <c r="AZ1" s="1406"/>
      <c r="BA1" s="1406"/>
      <c r="BB1" s="1406"/>
      <c r="BC1" s="1406"/>
      <c r="BD1" s="1406"/>
      <c r="BE1" s="1406"/>
      <c r="BF1" s="1406"/>
      <c r="BG1" s="1406"/>
      <c r="BH1" s="1406"/>
      <c r="BI1" s="1406"/>
      <c r="BJ1" s="1406"/>
      <c r="BK1" s="1406"/>
      <c r="BL1" s="1406"/>
      <c r="BM1" s="1406"/>
      <c r="BN1" s="1406"/>
      <c r="BO1" s="1406"/>
      <c r="BP1" s="1406"/>
      <c r="BQ1" s="1406"/>
      <c r="BR1" s="1406"/>
      <c r="BS1" s="1406"/>
      <c r="BT1" s="1406"/>
      <c r="BU1" s="1406"/>
      <c r="BV1" s="1406"/>
      <c r="BW1" s="1406"/>
      <c r="BX1" s="1406"/>
      <c r="BY1" s="1406"/>
      <c r="BZ1" s="1406"/>
      <c r="CA1" s="1406"/>
      <c r="CB1" s="1406"/>
      <c r="CC1" s="1406"/>
      <c r="CD1" s="1406"/>
      <c r="CE1" s="1406"/>
      <c r="CF1" s="1406"/>
      <c r="CG1" s="1406"/>
      <c r="CH1" s="1406"/>
      <c r="CI1" s="1406"/>
      <c r="CJ1" s="1406"/>
      <c r="CK1" s="1406"/>
      <c r="CL1" s="1406"/>
      <c r="CM1" s="1406"/>
      <c r="CN1" s="1406"/>
      <c r="CO1" s="1406"/>
      <c r="CP1" s="1406"/>
      <c r="CQ1" s="1406"/>
      <c r="CR1" s="1406"/>
      <c r="CS1" s="1406"/>
      <c r="CT1" s="1406"/>
      <c r="CU1" s="1406"/>
      <c r="CV1" s="1406"/>
      <c r="CW1" s="1406"/>
      <c r="CX1" s="1406"/>
      <c r="CY1" s="1406"/>
      <c r="CZ1" s="1406"/>
      <c r="DA1" s="1406"/>
      <c r="DB1" s="1406"/>
      <c r="DC1" s="1406"/>
      <c r="DD1" s="1406"/>
      <c r="DE1" s="1406"/>
      <c r="DF1" s="1406"/>
      <c r="DG1" s="1406"/>
      <c r="DH1" s="1406"/>
      <c r="DI1" s="1406"/>
      <c r="DJ1" s="1406"/>
      <c r="DK1" s="1406"/>
      <c r="DL1" s="1406"/>
      <c r="DM1" s="1406"/>
      <c r="DN1" s="1406"/>
      <c r="DO1" s="1406"/>
      <c r="DP1" s="1406"/>
      <c r="DQ1" s="1406"/>
      <c r="DR1" s="1406"/>
      <c r="DS1" s="1406"/>
      <c r="DT1" s="1406"/>
      <c r="DU1" s="1406"/>
      <c r="DV1" s="1406"/>
      <c r="DW1" s="1406"/>
      <c r="DX1" s="1406"/>
      <c r="DY1" s="1406"/>
      <c r="DZ1" s="1406"/>
      <c r="EA1" s="1406"/>
      <c r="EB1" s="1406"/>
      <c r="EC1" s="1406"/>
      <c r="ED1" s="1406"/>
      <c r="EE1" s="1406"/>
    </row>
    <row r="2" spans="1:135" ht="37.15" customHeight="1">
      <c r="A2" s="3724"/>
      <c r="B2" s="3724"/>
      <c r="C2" s="3724"/>
      <c r="D2" s="3724"/>
      <c r="E2" s="3724"/>
      <c r="F2" s="3023" t="str">
        <f>"底稿编号："&amp;开始!L18</f>
        <v>底稿编号：AD-16</v>
      </c>
      <c r="G2" s="3023"/>
      <c r="H2" s="3595"/>
    </row>
    <row r="3" spans="1:135" ht="14.25" customHeight="1">
      <c r="A3" s="3727" t="str">
        <f>"委托单位："&amp;基本情况!$C$3</f>
        <v>委托单位：</v>
      </c>
      <c r="B3" s="3727"/>
      <c r="C3" s="3727"/>
      <c r="D3" s="613"/>
      <c r="E3" s="571" t="s">
        <v>4472</v>
      </c>
      <c r="F3" s="2664" t="s">
        <v>4473</v>
      </c>
      <c r="G3" s="2664"/>
      <c r="H3" s="614" t="s">
        <v>4409</v>
      </c>
    </row>
    <row r="4" spans="1:135" ht="18" customHeight="1">
      <c r="A4" s="3727"/>
      <c r="B4" s="3727"/>
      <c r="C4" s="3727"/>
      <c r="D4" s="616" t="s">
        <v>4407</v>
      </c>
      <c r="E4" s="1479" t="str">
        <f>基本情况!$F$19&amp;""</f>
        <v/>
      </c>
      <c r="F4" s="3728" t="str">
        <f>TEXT(基本情况!$F$27,"yyyy-mm-dd")</f>
        <v>2018-03-16</v>
      </c>
      <c r="G4" s="3728"/>
      <c r="H4" s="3683"/>
    </row>
    <row r="5" spans="1:135" ht="24.75" customHeight="1">
      <c r="A5" s="3729" t="str">
        <f>"会计期间："&amp;基本情况!$F$9</f>
        <v>会计期间：2017年01月01日至2017年12月31日</v>
      </c>
      <c r="B5" s="3729"/>
      <c r="C5" s="3729"/>
      <c r="D5" s="566" t="s">
        <v>4410</v>
      </c>
      <c r="E5" s="1480" t="str">
        <f>基本情况!$F$18&amp;""</f>
        <v/>
      </c>
      <c r="F5" s="2926" t="str">
        <f>TEXT(基本情况!$F$28,"yyyy-mm-dd")</f>
        <v>2018-05-04</v>
      </c>
      <c r="G5" s="2926"/>
      <c r="H5" s="3683"/>
    </row>
    <row r="6" spans="1:135" ht="6.75" customHeight="1">
      <c r="A6" s="2661"/>
      <c r="B6" s="2661"/>
      <c r="C6" s="2661"/>
      <c r="D6" s="2661"/>
      <c r="E6" s="2661"/>
      <c r="F6" s="2661"/>
      <c r="G6" s="2661"/>
      <c r="H6" s="2661"/>
    </row>
    <row r="7" spans="1:135" ht="26.25" customHeight="1">
      <c r="A7" s="620" t="s">
        <v>751</v>
      </c>
      <c r="B7" s="1481" t="s">
        <v>5302</v>
      </c>
      <c r="C7" s="569" t="s">
        <v>5303</v>
      </c>
      <c r="D7" s="1482" t="s">
        <v>6515</v>
      </c>
      <c r="E7" s="2309" t="s">
        <v>6516</v>
      </c>
      <c r="F7" s="1482" t="s">
        <v>5304</v>
      </c>
      <c r="G7" s="2323" t="s">
        <v>5305</v>
      </c>
      <c r="H7" s="1418" t="s">
        <v>5306</v>
      </c>
      <c r="I7" s="958" t="s">
        <v>1724</v>
      </c>
    </row>
    <row r="8" spans="1:135" ht="22.5" customHeight="1">
      <c r="A8" s="1485">
        <f t="shared" ref="A8:A16" si="0">A9-1</f>
        <v>2007</v>
      </c>
      <c r="B8" s="1483"/>
      <c r="C8" s="1483"/>
      <c r="D8" s="1483"/>
      <c r="E8" s="1483">
        <f>C8-D8</f>
        <v>0</v>
      </c>
      <c r="F8" s="1483"/>
      <c r="G8" s="2311">
        <f>IF(E8&gt;0,F8,E8+F8)</f>
        <v>0</v>
      </c>
      <c r="H8" s="1484" t="s">
        <v>1798</v>
      </c>
    </row>
    <row r="9" spans="1:135" ht="22.5" customHeight="1">
      <c r="A9" s="1485">
        <f t="shared" si="0"/>
        <v>2008</v>
      </c>
      <c r="B9" s="1486"/>
      <c r="C9" s="1486"/>
      <c r="D9" s="1486"/>
      <c r="E9" s="1486">
        <f t="shared" ref="E9:E18" si="1">C9-D9</f>
        <v>0</v>
      </c>
      <c r="F9" s="1486"/>
      <c r="G9" s="2310">
        <f t="shared" ref="G9:G18" si="2">IF(E9&gt;0,F9,E9+F9)</f>
        <v>0</v>
      </c>
      <c r="H9" s="1487" t="s">
        <v>1798</v>
      </c>
      <c r="I9" s="1411" t="s">
        <v>5307</v>
      </c>
    </row>
    <row r="10" spans="1:135" ht="22.5" customHeight="1">
      <c r="A10" s="1485">
        <f t="shared" si="0"/>
        <v>2009</v>
      </c>
      <c r="B10" s="1486"/>
      <c r="C10" s="1486"/>
      <c r="D10" s="1486"/>
      <c r="E10" s="1486">
        <f t="shared" si="1"/>
        <v>0</v>
      </c>
      <c r="F10" s="1486"/>
      <c r="G10" s="2310">
        <f t="shared" si="2"/>
        <v>0</v>
      </c>
      <c r="H10" s="1487" t="s">
        <v>1798</v>
      </c>
    </row>
    <row r="11" spans="1:135" ht="22.5" customHeight="1">
      <c r="A11" s="1485">
        <f t="shared" si="0"/>
        <v>2010</v>
      </c>
      <c r="B11" s="1486"/>
      <c r="C11" s="1486"/>
      <c r="D11" s="1486"/>
      <c r="E11" s="1486">
        <f t="shared" si="1"/>
        <v>0</v>
      </c>
      <c r="F11" s="1486"/>
      <c r="G11" s="2310">
        <f t="shared" si="2"/>
        <v>0</v>
      </c>
      <c r="H11" s="1487" t="s">
        <v>1798</v>
      </c>
      <c r="I11" s="1411" t="s">
        <v>5308</v>
      </c>
    </row>
    <row r="12" spans="1:135" ht="22.5" customHeight="1">
      <c r="A12" s="1485">
        <f t="shared" si="0"/>
        <v>2011</v>
      </c>
      <c r="B12" s="1486"/>
      <c r="C12" s="1486"/>
      <c r="D12" s="1486"/>
      <c r="E12" s="1486">
        <f t="shared" si="1"/>
        <v>0</v>
      </c>
      <c r="F12" s="1486"/>
      <c r="G12" s="2310">
        <f t="shared" si="2"/>
        <v>0</v>
      </c>
      <c r="H12" s="1487" t="s">
        <v>1798</v>
      </c>
    </row>
    <row r="13" spans="1:135" ht="22.5" customHeight="1">
      <c r="A13" s="1485">
        <f t="shared" si="0"/>
        <v>2012</v>
      </c>
      <c r="B13" s="1486"/>
      <c r="C13" s="1486"/>
      <c r="D13" s="1486"/>
      <c r="E13" s="1486">
        <f t="shared" si="1"/>
        <v>0</v>
      </c>
      <c r="F13" s="1486"/>
      <c r="G13" s="2310">
        <f t="shared" si="2"/>
        <v>0</v>
      </c>
      <c r="H13" s="1487" t="s">
        <v>1798</v>
      </c>
    </row>
    <row r="14" spans="1:135" ht="22.5" customHeight="1">
      <c r="A14" s="1485">
        <f t="shared" si="0"/>
        <v>2013</v>
      </c>
      <c r="B14" s="1486"/>
      <c r="C14" s="1486"/>
      <c r="D14" s="1486"/>
      <c r="E14" s="1486">
        <f t="shared" si="1"/>
        <v>0</v>
      </c>
      <c r="F14" s="1486"/>
      <c r="G14" s="2310">
        <f t="shared" si="2"/>
        <v>0</v>
      </c>
      <c r="H14" s="1487" t="s">
        <v>1798</v>
      </c>
    </row>
    <row r="15" spans="1:135" ht="22.5" customHeight="1">
      <c r="A15" s="1485">
        <f t="shared" si="0"/>
        <v>2014</v>
      </c>
      <c r="B15" s="1486"/>
      <c r="C15" s="1486"/>
      <c r="D15" s="1486"/>
      <c r="E15" s="1486">
        <f t="shared" si="1"/>
        <v>0</v>
      </c>
      <c r="F15" s="1486"/>
      <c r="G15" s="2310">
        <f t="shared" si="2"/>
        <v>0</v>
      </c>
      <c r="H15" s="1487" t="s">
        <v>1798</v>
      </c>
    </row>
    <row r="16" spans="1:135" ht="22.5" customHeight="1">
      <c r="A16" s="1485">
        <f t="shared" si="0"/>
        <v>2015</v>
      </c>
      <c r="B16" s="1486"/>
      <c r="C16" s="1486"/>
      <c r="D16" s="1486"/>
      <c r="E16" s="1486">
        <f t="shared" si="1"/>
        <v>0</v>
      </c>
      <c r="F16" s="1486"/>
      <c r="G16" s="2310">
        <f t="shared" si="2"/>
        <v>0</v>
      </c>
      <c r="H16" s="1487" t="s">
        <v>1798</v>
      </c>
    </row>
    <row r="17" spans="1:8" ht="22.5" customHeight="1">
      <c r="A17" s="1485">
        <f>A18-1</f>
        <v>2016</v>
      </c>
      <c r="B17" s="1486"/>
      <c r="C17" s="1486"/>
      <c r="D17" s="1486"/>
      <c r="E17" s="1486">
        <f t="shared" si="1"/>
        <v>0</v>
      </c>
      <c r="F17" s="1486"/>
      <c r="G17" s="2310">
        <f t="shared" si="2"/>
        <v>0</v>
      </c>
      <c r="H17" s="1487" t="s">
        <v>1798</v>
      </c>
    </row>
    <row r="18" spans="1:8" ht="22.5" customHeight="1">
      <c r="A18" s="1488">
        <f>基本情况!$F$6</f>
        <v>2017</v>
      </c>
      <c r="B18" s="1489">
        <f>'A100000 中华人民共和国企业所得税年度纳税申报表（A类）'!D16</f>
        <v>0</v>
      </c>
      <c r="C18" s="1489">
        <f>'A100000 中华人民共和国企业所得税年度纳税申报表（A类）'!D22</f>
        <v>0</v>
      </c>
      <c r="D18" s="1486"/>
      <c r="E18" s="1486">
        <f t="shared" si="1"/>
        <v>0</v>
      </c>
      <c r="F18" s="1490"/>
      <c r="G18" s="2310">
        <f t="shared" si="2"/>
        <v>0</v>
      </c>
      <c r="H18" s="1491"/>
    </row>
    <row r="19" spans="1:8" ht="20.25" customHeight="1">
      <c r="A19" s="3725" t="s">
        <v>4431</v>
      </c>
      <c r="B19" s="3365" t="s">
        <v>5309</v>
      </c>
      <c r="C19" s="3365"/>
      <c r="D19" s="3365"/>
      <c r="E19" s="3365"/>
      <c r="F19" s="3072"/>
      <c r="G19" s="3072"/>
      <c r="H19" s="3072"/>
    </row>
    <row r="20" spans="1:8" ht="60" customHeight="1">
      <c r="A20" s="3725"/>
      <c r="B20" s="3726"/>
      <c r="C20" s="3726"/>
      <c r="D20" s="3726"/>
      <c r="E20" s="3726"/>
      <c r="F20" s="3726"/>
      <c r="G20" s="3726"/>
      <c r="H20" s="3726"/>
    </row>
    <row r="21" spans="1:8" ht="29.25" customHeight="1">
      <c r="A21" s="625" t="s">
        <v>4433</v>
      </c>
      <c r="B21" s="3722" t="s">
        <v>5310</v>
      </c>
      <c r="C21" s="3722"/>
      <c r="D21" s="3722"/>
      <c r="E21" s="3722"/>
      <c r="F21" s="3722"/>
      <c r="G21" s="3722"/>
      <c r="H21" s="3722"/>
    </row>
    <row r="22" spans="1:8">
      <c r="A22" s="1406"/>
      <c r="B22" s="1406"/>
      <c r="C22" s="1406"/>
      <c r="D22" s="1406"/>
      <c r="E22" s="1406"/>
      <c r="F22" s="1406"/>
      <c r="G22" s="1406"/>
      <c r="H22" s="1406"/>
    </row>
    <row r="23" spans="1:8">
      <c r="A23" s="1406"/>
      <c r="B23" s="1406"/>
      <c r="C23" s="1406"/>
      <c r="D23" s="1406"/>
      <c r="E23" s="1406"/>
      <c r="F23" s="1406"/>
      <c r="G23" s="1406"/>
      <c r="H23" s="1406"/>
    </row>
    <row r="24" spans="1:8">
      <c r="A24" s="1406"/>
      <c r="B24" s="1406"/>
      <c r="C24" s="1406"/>
      <c r="D24" s="1406"/>
      <c r="E24" s="1406"/>
      <c r="F24" s="1406"/>
      <c r="G24" s="1406"/>
      <c r="H24" s="1406"/>
    </row>
    <row r="25" spans="1:8">
      <c r="A25" s="1406"/>
      <c r="B25" s="1406"/>
      <c r="C25" s="1406"/>
      <c r="D25" s="1406"/>
      <c r="E25" s="1406"/>
      <c r="F25" s="1406"/>
      <c r="G25" s="1406"/>
      <c r="H25" s="1406"/>
    </row>
    <row r="26" spans="1:8">
      <c r="A26" s="1406"/>
      <c r="B26" s="1406"/>
      <c r="C26" s="1406"/>
      <c r="D26" s="1406"/>
      <c r="E26" s="1406"/>
      <c r="F26" s="1406"/>
      <c r="G26" s="1406"/>
      <c r="H26" s="1406"/>
    </row>
    <row r="27" spans="1:8">
      <c r="A27" s="1406"/>
      <c r="B27" s="1406"/>
      <c r="C27" s="1406"/>
      <c r="D27" s="1406"/>
      <c r="E27" s="1406"/>
      <c r="F27" s="1406"/>
      <c r="G27" s="1406"/>
      <c r="H27" s="1406"/>
    </row>
    <row r="28" spans="1:8">
      <c r="A28" s="1406"/>
      <c r="B28" s="1406"/>
      <c r="C28" s="1406"/>
      <c r="D28" s="1406"/>
      <c r="E28" s="1406"/>
      <c r="F28" s="1406"/>
      <c r="G28" s="1406"/>
      <c r="H28" s="1406"/>
    </row>
    <row r="29" spans="1:8">
      <c r="A29" s="1406"/>
      <c r="B29" s="1406"/>
      <c r="C29" s="1406"/>
      <c r="D29" s="1406"/>
      <c r="E29" s="1406"/>
      <c r="F29" s="1406"/>
      <c r="G29" s="1406"/>
      <c r="H29" s="1406"/>
    </row>
    <row r="30" spans="1:8">
      <c r="A30" s="1406"/>
      <c r="B30" s="1406"/>
      <c r="C30" s="1406"/>
      <c r="D30" s="1406"/>
      <c r="E30" s="1406"/>
      <c r="F30" s="1406"/>
      <c r="G30" s="1406"/>
      <c r="H30" s="1406"/>
    </row>
    <row r="31" spans="1:8">
      <c r="A31" s="1406"/>
      <c r="B31" s="1406"/>
      <c r="C31" s="1406"/>
      <c r="D31" s="1406"/>
      <c r="E31" s="1406"/>
      <c r="F31" s="1406"/>
      <c r="G31" s="1406"/>
      <c r="H31" s="1406"/>
    </row>
    <row r="32" spans="1:8">
      <c r="A32" s="1406"/>
      <c r="B32" s="1406"/>
      <c r="C32" s="1406"/>
      <c r="D32" s="1406"/>
      <c r="E32" s="1406"/>
      <c r="F32" s="1406"/>
      <c r="G32" s="1406"/>
      <c r="H32" s="1406"/>
    </row>
    <row r="33" spans="1:8">
      <c r="A33" s="1406"/>
      <c r="B33" s="1406"/>
      <c r="C33" s="1406"/>
      <c r="D33" s="1406"/>
      <c r="E33" s="1406"/>
      <c r="F33" s="1406"/>
      <c r="G33" s="1406"/>
      <c r="H33" s="1406"/>
    </row>
    <row r="34" spans="1:8">
      <c r="A34" s="1406"/>
      <c r="B34" s="1406"/>
      <c r="C34" s="1406"/>
      <c r="D34" s="1406"/>
      <c r="E34" s="1406"/>
      <c r="F34" s="1406"/>
      <c r="G34" s="1406"/>
      <c r="H34" s="1406"/>
    </row>
    <row r="35" spans="1:8" s="1406" customFormat="1"/>
    <row r="36" spans="1:8" s="1406" customFormat="1"/>
    <row r="37" spans="1:8" s="1406" customFormat="1"/>
    <row r="38" spans="1:8" s="1406" customFormat="1"/>
    <row r="39" spans="1:8" s="1406" customFormat="1"/>
    <row r="40" spans="1:8" s="1406" customFormat="1"/>
    <row r="41" spans="1:8" s="1406" customFormat="1"/>
    <row r="42" spans="1:8" s="1406" customFormat="1"/>
    <row r="43" spans="1:8" s="1406" customFormat="1"/>
    <row r="44" spans="1:8" s="1406" customFormat="1"/>
    <row r="45" spans="1:8" s="1406" customFormat="1"/>
    <row r="46" spans="1:8" s="1406" customFormat="1"/>
    <row r="47" spans="1:8" s="1406" customFormat="1"/>
    <row r="48" spans="1:8" s="1406" customFormat="1"/>
    <row r="49" s="1406" customFormat="1"/>
    <row r="50" s="1406" customFormat="1"/>
    <row r="51" s="1406" customFormat="1"/>
    <row r="52" s="1406" customFormat="1"/>
    <row r="53" s="1406" customFormat="1"/>
    <row r="54" s="1406" customFormat="1"/>
    <row r="55" s="1406" customFormat="1"/>
    <row r="56" s="1406" customFormat="1"/>
    <row r="57" s="1406" customFormat="1"/>
    <row r="58" s="1406" customFormat="1"/>
    <row r="59" s="1406" customFormat="1"/>
    <row r="60" s="1406" customFormat="1"/>
    <row r="61" s="1406" customFormat="1"/>
    <row r="62" s="1406" customFormat="1"/>
    <row r="63" s="1406" customFormat="1"/>
    <row r="64" s="1406" customFormat="1"/>
    <row r="65" s="1406" customFormat="1"/>
    <row r="66" s="1406" customFormat="1"/>
    <row r="67" s="1406" customFormat="1"/>
    <row r="68" s="1406" customFormat="1"/>
    <row r="69" s="1406" customFormat="1"/>
    <row r="70" s="1406" customFormat="1"/>
    <row r="71" s="1406" customFormat="1"/>
    <row r="72" s="1406" customFormat="1"/>
    <row r="73" s="1406" customFormat="1"/>
    <row r="74" s="1406" customFormat="1"/>
    <row r="75" s="1406" customFormat="1"/>
    <row r="76" s="1406" customFormat="1"/>
    <row r="77" s="1406" customFormat="1"/>
    <row r="78" s="1406" customFormat="1"/>
    <row r="79" s="1406" customFormat="1"/>
    <row r="80" s="1406" customFormat="1"/>
    <row r="81" s="1406" customFormat="1"/>
    <row r="82" s="1406" customFormat="1"/>
    <row r="83" s="1406" customFormat="1"/>
    <row r="84" s="1406" customFormat="1"/>
    <row r="85" s="1406" customFormat="1"/>
    <row r="86" s="1406" customFormat="1"/>
    <row r="87" s="1406" customFormat="1"/>
    <row r="88" s="1406" customFormat="1"/>
    <row r="89" s="1406" customFormat="1"/>
    <row r="90" s="1406" customFormat="1"/>
    <row r="91" s="1406" customFormat="1"/>
    <row r="92" s="1406" customFormat="1"/>
    <row r="93" s="1406" customFormat="1"/>
    <row r="94" s="1406" customFormat="1"/>
    <row r="95" s="1406" customFormat="1"/>
    <row r="96" s="1406" customFormat="1"/>
    <row r="97" s="1406" customFormat="1"/>
    <row r="98" s="1406" customFormat="1"/>
    <row r="99" s="1406" customFormat="1"/>
    <row r="100" s="1406" customFormat="1"/>
    <row r="101" s="1406" customFormat="1"/>
    <row r="102" s="1406" customFormat="1"/>
    <row r="103" s="1406" customFormat="1"/>
    <row r="104" s="1406" customFormat="1"/>
    <row r="105" s="1406" customFormat="1"/>
    <row r="106" s="1406" customFormat="1"/>
    <row r="107" s="1406" customFormat="1"/>
    <row r="108" s="1406" customFormat="1"/>
    <row r="109" s="1406" customFormat="1"/>
    <row r="110" s="1406" customFormat="1"/>
    <row r="111" s="1406" customFormat="1"/>
    <row r="112" s="1406" customFormat="1"/>
    <row r="113" s="1406" customFormat="1"/>
    <row r="114" s="1406" customFormat="1"/>
    <row r="115" s="1406" customFormat="1"/>
    <row r="116" s="1406" customFormat="1"/>
    <row r="117" s="1406" customFormat="1"/>
    <row r="118" s="1406" customFormat="1"/>
    <row r="119" s="1406" customFormat="1"/>
    <row r="120" s="1406" customFormat="1"/>
    <row r="121" s="1406" customFormat="1"/>
    <row r="122" s="1406" customFormat="1"/>
    <row r="123" s="1406" customFormat="1"/>
    <row r="124" s="1406" customFormat="1"/>
    <row r="125" s="1406" customFormat="1"/>
    <row r="126" s="1406" customFormat="1"/>
    <row r="127" s="1406" customFormat="1"/>
    <row r="128" s="1406" customFormat="1"/>
    <row r="129" s="1406" customFormat="1"/>
    <row r="130" s="1406" customFormat="1"/>
    <row r="131" s="1406" customFormat="1"/>
    <row r="132" s="1406" customFormat="1"/>
    <row r="133" s="1406" customFormat="1"/>
    <row r="134" s="1406" customFormat="1"/>
    <row r="135" s="1406" customFormat="1"/>
    <row r="136" s="1406" customFormat="1"/>
    <row r="137" s="1406" customFormat="1"/>
    <row r="138" s="1406" customFormat="1"/>
    <row r="139" s="1406" customFormat="1"/>
    <row r="140" s="1406" customFormat="1"/>
    <row r="141" s="1406" customFormat="1"/>
    <row r="142" s="1406" customFormat="1"/>
    <row r="143" s="1406" customFormat="1"/>
    <row r="144" s="1406" customFormat="1"/>
    <row r="145" s="1406" customFormat="1"/>
    <row r="146" s="1406" customFormat="1"/>
    <row r="147" s="1406" customFormat="1"/>
    <row r="148" s="1406" customFormat="1"/>
    <row r="149" s="1406" customFormat="1"/>
  </sheetData>
  <sheetProtection selectLockedCells="1" selectUnlockedCells="1"/>
  <mergeCells count="15">
    <mergeCell ref="B21:H21"/>
    <mergeCell ref="F1:H1"/>
    <mergeCell ref="F2:H2"/>
    <mergeCell ref="A1:E2"/>
    <mergeCell ref="A6:H6"/>
    <mergeCell ref="A19:A20"/>
    <mergeCell ref="B19:E19"/>
    <mergeCell ref="F19:H19"/>
    <mergeCell ref="B20:H20"/>
    <mergeCell ref="A3:C4"/>
    <mergeCell ref="F3:G3"/>
    <mergeCell ref="F4:G4"/>
    <mergeCell ref="H4:H5"/>
    <mergeCell ref="A5:C5"/>
    <mergeCell ref="F5:G5"/>
  </mergeCells>
  <phoneticPr fontId="135" type="noConversion"/>
  <conditionalFormatting sqref="D8:D18">
    <cfRule type="expression" dxfId="1" priority="1" stopIfTrue="1">
      <formula>C8&lt;0</formula>
    </cfRule>
  </conditionalFormatting>
  <dataValidations count="3">
    <dataValidation type="decimal" operator="greaterThan" allowBlank="1" showInputMessage="1" showErrorMessage="1" sqref="D8:D18">
      <formula1>0</formula1>
    </dataValidation>
    <dataValidation type="list" allowBlank="1" showErrorMessage="1" sqref="H8:H18">
      <formula1>"是,否"</formula1>
      <formula2>0</formula2>
    </dataValidation>
    <dataValidation allowBlank="1" showErrorMessage="1" promptTitle="存在调整事项时" prompt="_x000a_选择 “E”" sqref="F19:H19">
      <formula1>0</formula1>
      <formula2>0</formula2>
    </dataValidation>
  </dataValidations>
  <hyperlinks>
    <hyperlink ref="I9" location="利润!A1" display="利润表"/>
    <hyperlink ref="I11" location="弥补亏损明细表!A1" display="弥补亏损明细表"/>
  </hyperlinks>
  <printOptions horizontalCentered="1"/>
  <pageMargins left="0.59055118110236215" right="0.59055118110236215" top="0.39370078740157477" bottom="0.39370078740157477" header="0.511811023622047" footer="0.511811023622047"/>
  <pageSetup paperSize="9" firstPageNumber="0" orientation="landscape" blackAndWhite="1" cellComments="atEnd" r:id="rId1"/>
  <headerFooter alignWithMargins="0"/>
  <drawing r:id="rId2"/>
  <legacyDrawing r:id="rId3"/>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4">
    <tabColor rgb="FFFFFF00"/>
  </sheetPr>
  <dimension ref="A1:C34"/>
  <sheetViews>
    <sheetView workbookViewId="0">
      <selection activeCell="C3" sqref="C3"/>
    </sheetView>
  </sheetViews>
  <sheetFormatPr defaultColWidth="56.375" defaultRowHeight="14.25"/>
  <cols>
    <col min="1" max="1" width="4.125" style="577" customWidth="1"/>
    <col min="2" max="2" width="62.5" style="577" customWidth="1"/>
    <col min="3" max="3" width="32.375" style="577" bestFit="1" customWidth="1"/>
    <col min="4" max="254" width="56.375" style="577"/>
    <col min="255" max="255" width="4.125" style="577" customWidth="1"/>
    <col min="256" max="256" width="55.5" style="577" customWidth="1"/>
    <col min="257" max="257" width="6.375" style="577" customWidth="1"/>
    <col min="258" max="258" width="15" style="577" customWidth="1"/>
    <col min="259" max="510" width="56.375" style="577"/>
    <col min="511" max="511" width="4.125" style="577" customWidth="1"/>
    <col min="512" max="512" width="55.5" style="577" customWidth="1"/>
    <col min="513" max="513" width="6.375" style="577" customWidth="1"/>
    <col min="514" max="514" width="15" style="577" customWidth="1"/>
    <col min="515" max="766" width="56.375" style="577"/>
    <col min="767" max="767" width="4.125" style="577" customWidth="1"/>
    <col min="768" max="768" width="55.5" style="577" customWidth="1"/>
    <col min="769" max="769" width="6.375" style="577" customWidth="1"/>
    <col min="770" max="770" width="15" style="577" customWidth="1"/>
    <col min="771" max="1022" width="56.375" style="577"/>
    <col min="1023" max="1023" width="4.125" style="577" customWidth="1"/>
    <col min="1024" max="1024" width="55.5" style="577" customWidth="1"/>
    <col min="1025" max="1025" width="6.375" style="577" customWidth="1"/>
    <col min="1026" max="1026" width="15" style="577" customWidth="1"/>
    <col min="1027" max="1278" width="56.375" style="577"/>
    <col min="1279" max="1279" width="4.125" style="577" customWidth="1"/>
    <col min="1280" max="1280" width="55.5" style="577" customWidth="1"/>
    <col min="1281" max="1281" width="6.375" style="577" customWidth="1"/>
    <col min="1282" max="1282" width="15" style="577" customWidth="1"/>
    <col min="1283" max="1534" width="56.375" style="577"/>
    <col min="1535" max="1535" width="4.125" style="577" customWidth="1"/>
    <col min="1536" max="1536" width="55.5" style="577" customWidth="1"/>
    <col min="1537" max="1537" width="6.375" style="577" customWidth="1"/>
    <col min="1538" max="1538" width="15" style="577" customWidth="1"/>
    <col min="1539" max="1790" width="56.375" style="577"/>
    <col min="1791" max="1791" width="4.125" style="577" customWidth="1"/>
    <col min="1792" max="1792" width="55.5" style="577" customWidth="1"/>
    <col min="1793" max="1793" width="6.375" style="577" customWidth="1"/>
    <col min="1794" max="1794" width="15" style="577" customWidth="1"/>
    <col min="1795" max="2046" width="56.375" style="577"/>
    <col min="2047" max="2047" width="4.125" style="577" customWidth="1"/>
    <col min="2048" max="2048" width="55.5" style="577" customWidth="1"/>
    <col min="2049" max="2049" width="6.375" style="577" customWidth="1"/>
    <col min="2050" max="2050" width="15" style="577" customWidth="1"/>
    <col min="2051" max="2302" width="56.375" style="577"/>
    <col min="2303" max="2303" width="4.125" style="577" customWidth="1"/>
    <col min="2304" max="2304" width="55.5" style="577" customWidth="1"/>
    <col min="2305" max="2305" width="6.375" style="577" customWidth="1"/>
    <col min="2306" max="2306" width="15" style="577" customWidth="1"/>
    <col min="2307" max="2558" width="56.375" style="577"/>
    <col min="2559" max="2559" width="4.125" style="577" customWidth="1"/>
    <col min="2560" max="2560" width="55.5" style="577" customWidth="1"/>
    <col min="2561" max="2561" width="6.375" style="577" customWidth="1"/>
    <col min="2562" max="2562" width="15" style="577" customWidth="1"/>
    <col min="2563" max="2814" width="56.375" style="577"/>
    <col min="2815" max="2815" width="4.125" style="577" customWidth="1"/>
    <col min="2816" max="2816" width="55.5" style="577" customWidth="1"/>
    <col min="2817" max="2817" width="6.375" style="577" customWidth="1"/>
    <col min="2818" max="2818" width="15" style="577" customWidth="1"/>
    <col min="2819" max="3070" width="56.375" style="577"/>
    <col min="3071" max="3071" width="4.125" style="577" customWidth="1"/>
    <col min="3072" max="3072" width="55.5" style="577" customWidth="1"/>
    <col min="3073" max="3073" width="6.375" style="577" customWidth="1"/>
    <col min="3074" max="3074" width="15" style="577" customWidth="1"/>
    <col min="3075" max="3326" width="56.375" style="577"/>
    <col min="3327" max="3327" width="4.125" style="577" customWidth="1"/>
    <col min="3328" max="3328" width="55.5" style="577" customWidth="1"/>
    <col min="3329" max="3329" width="6.375" style="577" customWidth="1"/>
    <col min="3330" max="3330" width="15" style="577" customWidth="1"/>
    <col min="3331" max="3582" width="56.375" style="577"/>
    <col min="3583" max="3583" width="4.125" style="577" customWidth="1"/>
    <col min="3584" max="3584" width="55.5" style="577" customWidth="1"/>
    <col min="3585" max="3585" width="6.375" style="577" customWidth="1"/>
    <col min="3586" max="3586" width="15" style="577" customWidth="1"/>
    <col min="3587" max="3838" width="56.375" style="577"/>
    <col min="3839" max="3839" width="4.125" style="577" customWidth="1"/>
    <col min="3840" max="3840" width="55.5" style="577" customWidth="1"/>
    <col min="3841" max="3841" width="6.375" style="577" customWidth="1"/>
    <col min="3842" max="3842" width="15" style="577" customWidth="1"/>
    <col min="3843" max="4094" width="56.375" style="577"/>
    <col min="4095" max="4095" width="4.125" style="577" customWidth="1"/>
    <col min="4096" max="4096" width="55.5" style="577" customWidth="1"/>
    <col min="4097" max="4097" width="6.375" style="577" customWidth="1"/>
    <col min="4098" max="4098" width="15" style="577" customWidth="1"/>
    <col min="4099" max="4350" width="56.375" style="577"/>
    <col min="4351" max="4351" width="4.125" style="577" customWidth="1"/>
    <col min="4352" max="4352" width="55.5" style="577" customWidth="1"/>
    <col min="4353" max="4353" width="6.375" style="577" customWidth="1"/>
    <col min="4354" max="4354" width="15" style="577" customWidth="1"/>
    <col min="4355" max="4606" width="56.375" style="577"/>
    <col min="4607" max="4607" width="4.125" style="577" customWidth="1"/>
    <col min="4608" max="4608" width="55.5" style="577" customWidth="1"/>
    <col min="4609" max="4609" width="6.375" style="577" customWidth="1"/>
    <col min="4610" max="4610" width="15" style="577" customWidth="1"/>
    <col min="4611" max="4862" width="56.375" style="577"/>
    <col min="4863" max="4863" width="4.125" style="577" customWidth="1"/>
    <col min="4864" max="4864" width="55.5" style="577" customWidth="1"/>
    <col min="4865" max="4865" width="6.375" style="577" customWidth="1"/>
    <col min="4866" max="4866" width="15" style="577" customWidth="1"/>
    <col min="4867" max="5118" width="56.375" style="577"/>
    <col min="5119" max="5119" width="4.125" style="577" customWidth="1"/>
    <col min="5120" max="5120" width="55.5" style="577" customWidth="1"/>
    <col min="5121" max="5121" width="6.375" style="577" customWidth="1"/>
    <col min="5122" max="5122" width="15" style="577" customWidth="1"/>
    <col min="5123" max="5374" width="56.375" style="577"/>
    <col min="5375" max="5375" width="4.125" style="577" customWidth="1"/>
    <col min="5376" max="5376" width="55.5" style="577" customWidth="1"/>
    <col min="5377" max="5377" width="6.375" style="577" customWidth="1"/>
    <col min="5378" max="5378" width="15" style="577" customWidth="1"/>
    <col min="5379" max="5630" width="56.375" style="577"/>
    <col min="5631" max="5631" width="4.125" style="577" customWidth="1"/>
    <col min="5632" max="5632" width="55.5" style="577" customWidth="1"/>
    <col min="5633" max="5633" width="6.375" style="577" customWidth="1"/>
    <col min="5634" max="5634" width="15" style="577" customWidth="1"/>
    <col min="5635" max="5886" width="56.375" style="577"/>
    <col min="5887" max="5887" width="4.125" style="577" customWidth="1"/>
    <col min="5888" max="5888" width="55.5" style="577" customWidth="1"/>
    <col min="5889" max="5889" width="6.375" style="577" customWidth="1"/>
    <col min="5890" max="5890" width="15" style="577" customWidth="1"/>
    <col min="5891" max="6142" width="56.375" style="577"/>
    <col min="6143" max="6143" width="4.125" style="577" customWidth="1"/>
    <col min="6144" max="6144" width="55.5" style="577" customWidth="1"/>
    <col min="6145" max="6145" width="6.375" style="577" customWidth="1"/>
    <col min="6146" max="6146" width="15" style="577" customWidth="1"/>
    <col min="6147" max="6398" width="56.375" style="577"/>
    <col min="6399" max="6399" width="4.125" style="577" customWidth="1"/>
    <col min="6400" max="6400" width="55.5" style="577" customWidth="1"/>
    <col min="6401" max="6401" width="6.375" style="577" customWidth="1"/>
    <col min="6402" max="6402" width="15" style="577" customWidth="1"/>
    <col min="6403" max="6654" width="56.375" style="577"/>
    <col min="6655" max="6655" width="4.125" style="577" customWidth="1"/>
    <col min="6656" max="6656" width="55.5" style="577" customWidth="1"/>
    <col min="6657" max="6657" width="6.375" style="577" customWidth="1"/>
    <col min="6658" max="6658" width="15" style="577" customWidth="1"/>
    <col min="6659" max="6910" width="56.375" style="577"/>
    <col min="6911" max="6911" width="4.125" style="577" customWidth="1"/>
    <col min="6912" max="6912" width="55.5" style="577" customWidth="1"/>
    <col min="6913" max="6913" width="6.375" style="577" customWidth="1"/>
    <col min="6914" max="6914" width="15" style="577" customWidth="1"/>
    <col min="6915" max="7166" width="56.375" style="577"/>
    <col min="7167" max="7167" width="4.125" style="577" customWidth="1"/>
    <col min="7168" max="7168" width="55.5" style="577" customWidth="1"/>
    <col min="7169" max="7169" width="6.375" style="577" customWidth="1"/>
    <col min="7170" max="7170" width="15" style="577" customWidth="1"/>
    <col min="7171" max="7422" width="56.375" style="577"/>
    <col min="7423" max="7423" width="4.125" style="577" customWidth="1"/>
    <col min="7424" max="7424" width="55.5" style="577" customWidth="1"/>
    <col min="7425" max="7425" width="6.375" style="577" customWidth="1"/>
    <col min="7426" max="7426" width="15" style="577" customWidth="1"/>
    <col min="7427" max="7678" width="56.375" style="577"/>
    <col min="7679" max="7679" width="4.125" style="577" customWidth="1"/>
    <col min="7680" max="7680" width="55.5" style="577" customWidth="1"/>
    <col min="7681" max="7681" width="6.375" style="577" customWidth="1"/>
    <col min="7682" max="7682" width="15" style="577" customWidth="1"/>
    <col min="7683" max="7934" width="56.375" style="577"/>
    <col min="7935" max="7935" width="4.125" style="577" customWidth="1"/>
    <col min="7936" max="7936" width="55.5" style="577" customWidth="1"/>
    <col min="7937" max="7937" width="6.375" style="577" customWidth="1"/>
    <col min="7938" max="7938" width="15" style="577" customWidth="1"/>
    <col min="7939" max="8190" width="56.375" style="577"/>
    <col min="8191" max="8191" width="4.125" style="577" customWidth="1"/>
    <col min="8192" max="8192" width="55.5" style="577" customWidth="1"/>
    <col min="8193" max="8193" width="6.375" style="577" customWidth="1"/>
    <col min="8194" max="8194" width="15" style="577" customWidth="1"/>
    <col min="8195" max="8446" width="56.375" style="577"/>
    <col min="8447" max="8447" width="4.125" style="577" customWidth="1"/>
    <col min="8448" max="8448" width="55.5" style="577" customWidth="1"/>
    <col min="8449" max="8449" width="6.375" style="577" customWidth="1"/>
    <col min="8450" max="8450" width="15" style="577" customWidth="1"/>
    <col min="8451" max="8702" width="56.375" style="577"/>
    <col min="8703" max="8703" width="4.125" style="577" customWidth="1"/>
    <col min="8704" max="8704" width="55.5" style="577" customWidth="1"/>
    <col min="8705" max="8705" width="6.375" style="577" customWidth="1"/>
    <col min="8706" max="8706" width="15" style="577" customWidth="1"/>
    <col min="8707" max="8958" width="56.375" style="577"/>
    <col min="8959" max="8959" width="4.125" style="577" customWidth="1"/>
    <col min="8960" max="8960" width="55.5" style="577" customWidth="1"/>
    <col min="8961" max="8961" width="6.375" style="577" customWidth="1"/>
    <col min="8962" max="8962" width="15" style="577" customWidth="1"/>
    <col min="8963" max="9214" width="56.375" style="577"/>
    <col min="9215" max="9215" width="4.125" style="577" customWidth="1"/>
    <col min="9216" max="9216" width="55.5" style="577" customWidth="1"/>
    <col min="9217" max="9217" width="6.375" style="577" customWidth="1"/>
    <col min="9218" max="9218" width="15" style="577" customWidth="1"/>
    <col min="9219" max="9470" width="56.375" style="577"/>
    <col min="9471" max="9471" width="4.125" style="577" customWidth="1"/>
    <col min="9472" max="9472" width="55.5" style="577" customWidth="1"/>
    <col min="9473" max="9473" width="6.375" style="577" customWidth="1"/>
    <col min="9474" max="9474" width="15" style="577" customWidth="1"/>
    <col min="9475" max="9726" width="56.375" style="577"/>
    <col min="9727" max="9727" width="4.125" style="577" customWidth="1"/>
    <col min="9728" max="9728" width="55.5" style="577" customWidth="1"/>
    <col min="9729" max="9729" width="6.375" style="577" customWidth="1"/>
    <col min="9730" max="9730" width="15" style="577" customWidth="1"/>
    <col min="9731" max="9982" width="56.375" style="577"/>
    <col min="9983" max="9983" width="4.125" style="577" customWidth="1"/>
    <col min="9984" max="9984" width="55.5" style="577" customWidth="1"/>
    <col min="9985" max="9985" width="6.375" style="577" customWidth="1"/>
    <col min="9986" max="9986" width="15" style="577" customWidth="1"/>
    <col min="9987" max="10238" width="56.375" style="577"/>
    <col min="10239" max="10239" width="4.125" style="577" customWidth="1"/>
    <col min="10240" max="10240" width="55.5" style="577" customWidth="1"/>
    <col min="10241" max="10241" width="6.375" style="577" customWidth="1"/>
    <col min="10242" max="10242" width="15" style="577" customWidth="1"/>
    <col min="10243" max="10494" width="56.375" style="577"/>
    <col min="10495" max="10495" width="4.125" style="577" customWidth="1"/>
    <col min="10496" max="10496" width="55.5" style="577" customWidth="1"/>
    <col min="10497" max="10497" width="6.375" style="577" customWidth="1"/>
    <col min="10498" max="10498" width="15" style="577" customWidth="1"/>
    <col min="10499" max="10750" width="56.375" style="577"/>
    <col min="10751" max="10751" width="4.125" style="577" customWidth="1"/>
    <col min="10752" max="10752" width="55.5" style="577" customWidth="1"/>
    <col min="10753" max="10753" width="6.375" style="577" customWidth="1"/>
    <col min="10754" max="10754" width="15" style="577" customWidth="1"/>
    <col min="10755" max="11006" width="56.375" style="577"/>
    <col min="11007" max="11007" width="4.125" style="577" customWidth="1"/>
    <col min="11008" max="11008" width="55.5" style="577" customWidth="1"/>
    <col min="11009" max="11009" width="6.375" style="577" customWidth="1"/>
    <col min="11010" max="11010" width="15" style="577" customWidth="1"/>
    <col min="11011" max="11262" width="56.375" style="577"/>
    <col min="11263" max="11263" width="4.125" style="577" customWidth="1"/>
    <col min="11264" max="11264" width="55.5" style="577" customWidth="1"/>
    <col min="11265" max="11265" width="6.375" style="577" customWidth="1"/>
    <col min="11266" max="11266" width="15" style="577" customWidth="1"/>
    <col min="11267" max="11518" width="56.375" style="577"/>
    <col min="11519" max="11519" width="4.125" style="577" customWidth="1"/>
    <col min="11520" max="11520" width="55.5" style="577" customWidth="1"/>
    <col min="11521" max="11521" width="6.375" style="577" customWidth="1"/>
    <col min="11522" max="11522" width="15" style="577" customWidth="1"/>
    <col min="11523" max="11774" width="56.375" style="577"/>
    <col min="11775" max="11775" width="4.125" style="577" customWidth="1"/>
    <col min="11776" max="11776" width="55.5" style="577" customWidth="1"/>
    <col min="11777" max="11777" width="6.375" style="577" customWidth="1"/>
    <col min="11778" max="11778" width="15" style="577" customWidth="1"/>
    <col min="11779" max="12030" width="56.375" style="577"/>
    <col min="12031" max="12031" width="4.125" style="577" customWidth="1"/>
    <col min="12032" max="12032" width="55.5" style="577" customWidth="1"/>
    <col min="12033" max="12033" width="6.375" style="577" customWidth="1"/>
    <col min="12034" max="12034" width="15" style="577" customWidth="1"/>
    <col min="12035" max="12286" width="56.375" style="577"/>
    <col min="12287" max="12287" width="4.125" style="577" customWidth="1"/>
    <col min="12288" max="12288" width="55.5" style="577" customWidth="1"/>
    <col min="12289" max="12289" width="6.375" style="577" customWidth="1"/>
    <col min="12290" max="12290" width="15" style="577" customWidth="1"/>
    <col min="12291" max="12542" width="56.375" style="577"/>
    <col min="12543" max="12543" width="4.125" style="577" customWidth="1"/>
    <col min="12544" max="12544" width="55.5" style="577" customWidth="1"/>
    <col min="12545" max="12545" width="6.375" style="577" customWidth="1"/>
    <col min="12546" max="12546" width="15" style="577" customWidth="1"/>
    <col min="12547" max="12798" width="56.375" style="577"/>
    <col min="12799" max="12799" width="4.125" style="577" customWidth="1"/>
    <col min="12800" max="12800" width="55.5" style="577" customWidth="1"/>
    <col min="12801" max="12801" width="6.375" style="577" customWidth="1"/>
    <col min="12802" max="12802" width="15" style="577" customWidth="1"/>
    <col min="12803" max="13054" width="56.375" style="577"/>
    <col min="13055" max="13055" width="4.125" style="577" customWidth="1"/>
    <col min="13056" max="13056" width="55.5" style="577" customWidth="1"/>
    <col min="13057" max="13057" width="6.375" style="577" customWidth="1"/>
    <col min="13058" max="13058" width="15" style="577" customWidth="1"/>
    <col min="13059" max="13310" width="56.375" style="577"/>
    <col min="13311" max="13311" width="4.125" style="577" customWidth="1"/>
    <col min="13312" max="13312" width="55.5" style="577" customWidth="1"/>
    <col min="13313" max="13313" width="6.375" style="577" customWidth="1"/>
    <col min="13314" max="13314" width="15" style="577" customWidth="1"/>
    <col min="13315" max="13566" width="56.375" style="577"/>
    <col min="13567" max="13567" width="4.125" style="577" customWidth="1"/>
    <col min="13568" max="13568" width="55.5" style="577" customWidth="1"/>
    <col min="13569" max="13569" width="6.375" style="577" customWidth="1"/>
    <col min="13570" max="13570" width="15" style="577" customWidth="1"/>
    <col min="13571" max="13822" width="56.375" style="577"/>
    <col min="13823" max="13823" width="4.125" style="577" customWidth="1"/>
    <col min="13824" max="13824" width="55.5" style="577" customWidth="1"/>
    <col min="13825" max="13825" width="6.375" style="577" customWidth="1"/>
    <col min="13826" max="13826" width="15" style="577" customWidth="1"/>
    <col min="13827" max="14078" width="56.375" style="577"/>
    <col min="14079" max="14079" width="4.125" style="577" customWidth="1"/>
    <col min="14080" max="14080" width="55.5" style="577" customWidth="1"/>
    <col min="14081" max="14081" width="6.375" style="577" customWidth="1"/>
    <col min="14082" max="14082" width="15" style="577" customWidth="1"/>
    <col min="14083" max="14334" width="56.375" style="577"/>
    <col min="14335" max="14335" width="4.125" style="577" customWidth="1"/>
    <col min="14336" max="14336" width="55.5" style="577" customWidth="1"/>
    <col min="14337" max="14337" width="6.375" style="577" customWidth="1"/>
    <col min="14338" max="14338" width="15" style="577" customWidth="1"/>
    <col min="14339" max="14590" width="56.375" style="577"/>
    <col min="14591" max="14591" width="4.125" style="577" customWidth="1"/>
    <col min="14592" max="14592" width="55.5" style="577" customWidth="1"/>
    <col min="14593" max="14593" width="6.375" style="577" customWidth="1"/>
    <col min="14594" max="14594" width="15" style="577" customWidth="1"/>
    <col min="14595" max="14846" width="56.375" style="577"/>
    <col min="14847" max="14847" width="4.125" style="577" customWidth="1"/>
    <col min="14848" max="14848" width="55.5" style="577" customWidth="1"/>
    <col min="14849" max="14849" width="6.375" style="577" customWidth="1"/>
    <col min="14850" max="14850" width="15" style="577" customWidth="1"/>
    <col min="14851" max="15102" width="56.375" style="577"/>
    <col min="15103" max="15103" width="4.125" style="577" customWidth="1"/>
    <col min="15104" max="15104" width="55.5" style="577" customWidth="1"/>
    <col min="15105" max="15105" width="6.375" style="577" customWidth="1"/>
    <col min="15106" max="15106" width="15" style="577" customWidth="1"/>
    <col min="15107" max="15358" width="56.375" style="577"/>
    <col min="15359" max="15359" width="4.125" style="577" customWidth="1"/>
    <col min="15360" max="15360" width="55.5" style="577" customWidth="1"/>
    <col min="15361" max="15361" width="6.375" style="577" customWidth="1"/>
    <col min="15362" max="15362" width="15" style="577" customWidth="1"/>
    <col min="15363" max="15614" width="56.375" style="577"/>
    <col min="15615" max="15615" width="4.125" style="577" customWidth="1"/>
    <col min="15616" max="15616" width="55.5" style="577" customWidth="1"/>
    <col min="15617" max="15617" width="6.375" style="577" customWidth="1"/>
    <col min="15618" max="15618" width="15" style="577" customWidth="1"/>
    <col min="15619" max="15870" width="56.375" style="577"/>
    <col min="15871" max="15871" width="4.125" style="577" customWidth="1"/>
    <col min="15872" max="15872" width="55.5" style="577" customWidth="1"/>
    <col min="15873" max="15873" width="6.375" style="577" customWidth="1"/>
    <col min="15874" max="15874" width="15" style="577" customWidth="1"/>
    <col min="15875" max="16126" width="56.375" style="577"/>
    <col min="16127" max="16127" width="4.125" style="577" customWidth="1"/>
    <col min="16128" max="16128" width="55.5" style="577" customWidth="1"/>
    <col min="16129" max="16129" width="6.375" style="577" customWidth="1"/>
    <col min="16130" max="16130" width="15" style="577" customWidth="1"/>
    <col min="16131" max="16384" width="56.375" style="577"/>
  </cols>
  <sheetData>
    <row r="1" spans="1:3" ht="25.9" customHeight="1">
      <c r="A1" s="3730" t="s">
        <v>5479</v>
      </c>
      <c r="B1" s="3730"/>
      <c r="C1" s="2281" t="str">
        <f>基本情况!$F$10</f>
        <v>厦中汇税审（2018）第DS0001号</v>
      </c>
    </row>
    <row r="2" spans="1:3" ht="37.15" customHeight="1">
      <c r="A2" s="3731"/>
      <c r="B2" s="3731"/>
      <c r="C2" s="2291" t="str">
        <f>"底稿编号："&amp;开始!L19</f>
        <v>底稿编号：AD-17</v>
      </c>
    </row>
    <row r="3" spans="1:3">
      <c r="A3" s="2313" t="s">
        <v>147</v>
      </c>
      <c r="B3" s="2313" t="s">
        <v>761</v>
      </c>
      <c r="C3" s="2313" t="s">
        <v>314</v>
      </c>
    </row>
    <row r="4" spans="1:3">
      <c r="A4" s="2313">
        <v>1</v>
      </c>
      <c r="B4" s="2314" t="s">
        <v>762</v>
      </c>
      <c r="C4" s="2317">
        <f>ROUND(C5+C6+C9+C10+C11+C12+C13+C14+C15+C16+C17+C18+C19,2)</f>
        <v>0</v>
      </c>
    </row>
    <row r="5" spans="1:3">
      <c r="A5" s="2313">
        <v>2</v>
      </c>
      <c r="B5" s="2314" t="s">
        <v>763</v>
      </c>
      <c r="C5" s="340"/>
    </row>
    <row r="6" spans="1:3" ht="24">
      <c r="A6" s="2313">
        <v>3</v>
      </c>
      <c r="B6" s="2315" t="s">
        <v>764</v>
      </c>
      <c r="C6" s="2317">
        <f>A107011符合条件的居民企业之间的股息、红利等…优惠明细表!R24</f>
        <v>0</v>
      </c>
    </row>
    <row r="7" spans="1:3" ht="24">
      <c r="A7" s="2313">
        <v>4</v>
      </c>
      <c r="B7" s="2316" t="s">
        <v>765</v>
      </c>
      <c r="C7" s="2317">
        <f>A107011符合条件的居民企业之间的股息、红利等…优惠明细表!R25</f>
        <v>0</v>
      </c>
    </row>
    <row r="8" spans="1:3" ht="24">
      <c r="A8" s="2313">
        <v>5</v>
      </c>
      <c r="B8" s="2316" t="s">
        <v>766</v>
      </c>
      <c r="C8" s="2317">
        <f>A107011符合条件的居民企业之间的股息、红利等…优惠明细表!R26</f>
        <v>0</v>
      </c>
    </row>
    <row r="9" spans="1:3">
      <c r="A9" s="2313">
        <v>6</v>
      </c>
      <c r="B9" s="2314" t="s">
        <v>767</v>
      </c>
      <c r="C9" s="340"/>
    </row>
    <row r="10" spans="1:3">
      <c r="A10" s="2313">
        <v>7</v>
      </c>
      <c r="B10" s="2314" t="s">
        <v>768</v>
      </c>
      <c r="C10" s="336"/>
    </row>
    <row r="11" spans="1:3">
      <c r="A11" s="2313">
        <v>8</v>
      </c>
      <c r="B11" s="2314" t="s">
        <v>769</v>
      </c>
      <c r="C11" s="340"/>
    </row>
    <row r="12" spans="1:3">
      <c r="A12" s="2313">
        <v>9</v>
      </c>
      <c r="B12" s="2314" t="s">
        <v>770</v>
      </c>
      <c r="C12" s="340"/>
    </row>
    <row r="13" spans="1:3">
      <c r="A13" s="2313">
        <v>10</v>
      </c>
      <c r="B13" s="2314" t="s">
        <v>771</v>
      </c>
      <c r="C13" s="340"/>
    </row>
    <row r="14" spans="1:3">
      <c r="A14" s="2313">
        <v>11</v>
      </c>
      <c r="B14" s="2314" t="s">
        <v>772</v>
      </c>
      <c r="C14" s="340"/>
    </row>
    <row r="15" spans="1:3">
      <c r="A15" s="2313">
        <v>12</v>
      </c>
      <c r="B15" s="2314" t="s">
        <v>773</v>
      </c>
      <c r="C15" s="340"/>
    </row>
    <row r="16" spans="1:3">
      <c r="A16" s="2313">
        <v>13</v>
      </c>
      <c r="B16" s="2314" t="s">
        <v>774</v>
      </c>
      <c r="C16" s="340"/>
    </row>
    <row r="17" spans="1:3">
      <c r="A17" s="2313">
        <v>14</v>
      </c>
      <c r="B17" s="2314" t="s">
        <v>775</v>
      </c>
      <c r="C17" s="340"/>
    </row>
    <row r="18" spans="1:3">
      <c r="A18" s="2313">
        <v>15</v>
      </c>
      <c r="B18" s="2314" t="s">
        <v>776</v>
      </c>
      <c r="C18" s="340"/>
    </row>
    <row r="19" spans="1:3" ht="27.75" customHeight="1">
      <c r="A19" s="2313">
        <v>16</v>
      </c>
      <c r="B19" s="2314" t="s">
        <v>777</v>
      </c>
      <c r="C19" s="340"/>
    </row>
    <row r="20" spans="1:3">
      <c r="A20" s="2313">
        <v>17</v>
      </c>
      <c r="B20" s="2314" t="s">
        <v>778</v>
      </c>
      <c r="C20" s="2317">
        <f>ROUND((C21+C22+C26+C27),2)</f>
        <v>0</v>
      </c>
    </row>
    <row r="21" spans="1:3">
      <c r="A21" s="2313">
        <v>18</v>
      </c>
      <c r="B21" s="2314" t="s">
        <v>779</v>
      </c>
      <c r="C21" s="340"/>
    </row>
    <row r="22" spans="1:3">
      <c r="A22" s="2313">
        <v>19</v>
      </c>
      <c r="B22" s="2314" t="s">
        <v>780</v>
      </c>
      <c r="C22" s="2317">
        <f>SUM(C23:C25)</f>
        <v>0</v>
      </c>
    </row>
    <row r="23" spans="1:3">
      <c r="A23" s="2313">
        <v>20</v>
      </c>
      <c r="B23" s="2314" t="s">
        <v>781</v>
      </c>
      <c r="C23" s="340"/>
    </row>
    <row r="24" spans="1:3">
      <c r="A24" s="2313">
        <v>21</v>
      </c>
      <c r="B24" s="2314" t="s">
        <v>782</v>
      </c>
      <c r="C24" s="340"/>
    </row>
    <row r="25" spans="1:3" ht="24">
      <c r="A25" s="2313">
        <v>22</v>
      </c>
      <c r="B25" s="2314" t="s">
        <v>783</v>
      </c>
      <c r="C25" s="340"/>
    </row>
    <row r="26" spans="1:3">
      <c r="A26" s="2313">
        <v>23</v>
      </c>
      <c r="B26" s="2314" t="s">
        <v>784</v>
      </c>
      <c r="C26" s="340"/>
    </row>
    <row r="27" spans="1:3">
      <c r="A27" s="2313">
        <v>24</v>
      </c>
      <c r="B27" s="2314" t="s">
        <v>785</v>
      </c>
      <c r="C27" s="340"/>
    </row>
    <row r="28" spans="1:3">
      <c r="A28" s="2313">
        <v>25</v>
      </c>
      <c r="B28" s="2314" t="s">
        <v>786</v>
      </c>
      <c r="C28" s="2317">
        <f>SUM(C29:C33)</f>
        <v>0</v>
      </c>
    </row>
    <row r="29" spans="1:3" ht="24">
      <c r="A29" s="2313">
        <v>26</v>
      </c>
      <c r="B29" s="2314" t="s">
        <v>787</v>
      </c>
      <c r="C29" s="2318">
        <f>IF('A107012 研发费用加计扣除优惠明细表'!B4="√一般企业     □科技型中小企业",'A107012 研发费用加计扣除优惠明细表'!D54,0)</f>
        <v>0</v>
      </c>
    </row>
    <row r="30" spans="1:3" ht="24">
      <c r="A30" s="2313">
        <v>27</v>
      </c>
      <c r="B30" s="2314" t="s">
        <v>788</v>
      </c>
      <c r="C30" s="2318">
        <f>IF('A107012 研发费用加计扣除优惠明细表'!B4="√一般企业     □科技型中小企业",0,'A107012 研发费用加计扣除优惠明细表'!D54)</f>
        <v>0</v>
      </c>
    </row>
    <row r="31" spans="1:3" ht="24">
      <c r="A31" s="2313">
        <v>28</v>
      </c>
      <c r="B31" s="2314" t="s">
        <v>789</v>
      </c>
      <c r="C31" s="340"/>
    </row>
    <row r="32" spans="1:3">
      <c r="A32" s="2313">
        <v>29</v>
      </c>
      <c r="B32" s="2314" t="s">
        <v>790</v>
      </c>
      <c r="C32" s="340"/>
    </row>
    <row r="33" spans="1:3">
      <c r="A33" s="2313">
        <v>30</v>
      </c>
      <c r="B33" s="2314" t="s">
        <v>791</v>
      </c>
      <c r="C33" s="340"/>
    </row>
    <row r="34" spans="1:3">
      <c r="A34" s="2313">
        <v>31</v>
      </c>
      <c r="B34" s="2314" t="s">
        <v>792</v>
      </c>
      <c r="C34" s="336">
        <f>C4+C20+C28</f>
        <v>0</v>
      </c>
    </row>
  </sheetData>
  <mergeCells count="1">
    <mergeCell ref="A1:B2"/>
  </mergeCells>
  <phoneticPr fontId="135" type="noConversion"/>
  <printOptions horizontalCentered="1"/>
  <pageMargins left="0.39370078740157477" right="0.39370078740157477" top="0.59055118110236215" bottom="0.59055118110236215" header="0.511811023622047" footer="0.511811023622047"/>
  <pageSetup paperSize="9" orientation="portrait" r:id="rId1"/>
  <drawing r:id="rId2"/>
  <legacyDrawing r:id="rId3"/>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5">
    <tabColor rgb="FFFFFF00"/>
    <pageSetUpPr fitToPage="1"/>
  </sheetPr>
  <dimension ref="A1:S15"/>
  <sheetViews>
    <sheetView topLeftCell="G1" workbookViewId="0">
      <selection activeCell="L20" sqref="L20"/>
    </sheetView>
  </sheetViews>
  <sheetFormatPr defaultRowHeight="14.25"/>
  <cols>
    <col min="1" max="1" width="4.25" style="1615" customWidth="1"/>
    <col min="2" max="2" width="16.5" style="1615" customWidth="1"/>
    <col min="3" max="3" width="10.375" style="1615" customWidth="1"/>
    <col min="4" max="4" width="9" style="1615" customWidth="1"/>
    <col min="5" max="5" width="5.375" style="1615" customWidth="1"/>
    <col min="6" max="6" width="9.5" style="1615" customWidth="1"/>
    <col min="7" max="11" width="9" style="1615" customWidth="1"/>
    <col min="12" max="12" width="6.375" style="1615" customWidth="1"/>
    <col min="13" max="14" width="9" style="1615" customWidth="1"/>
    <col min="15" max="15" width="9" style="1615"/>
    <col min="16" max="16" width="9" style="1615" customWidth="1"/>
    <col min="17" max="17" width="11.375" style="1615" customWidth="1"/>
    <col min="18" max="18" width="10.125" style="1615" customWidth="1"/>
    <col min="19" max="256" width="9" style="1615"/>
    <col min="257" max="257" width="0" style="1615" hidden="1" customWidth="1"/>
    <col min="258" max="258" width="6.125" style="1615" customWidth="1"/>
    <col min="259" max="260" width="5.125" style="1615" customWidth="1"/>
    <col min="261" max="261" width="5.375" style="1615" customWidth="1"/>
    <col min="262" max="263" width="9.5" style="1615" customWidth="1"/>
    <col min="264" max="264" width="6.375" style="1615" customWidth="1"/>
    <col min="265" max="265" width="8.625" style="1615" customWidth="1"/>
    <col min="266" max="266" width="7.5" style="1615" customWidth="1"/>
    <col min="267" max="267" width="8.375" style="1615" customWidth="1"/>
    <col min="268" max="268" width="6.375" style="1615" customWidth="1"/>
    <col min="269" max="269" width="6.125" style="1615" customWidth="1"/>
    <col min="270" max="270" width="7.25" style="1615" customWidth="1"/>
    <col min="271" max="271" width="9" style="1615"/>
    <col min="272" max="272" width="6.5" style="1615" customWidth="1"/>
    <col min="273" max="273" width="9.375" style="1615" customWidth="1"/>
    <col min="274" max="274" width="8.375" style="1615" customWidth="1"/>
    <col min="275" max="512" width="9" style="1615"/>
    <col min="513" max="513" width="0" style="1615" hidden="1" customWidth="1"/>
    <col min="514" max="514" width="6.125" style="1615" customWidth="1"/>
    <col min="515" max="516" width="5.125" style="1615" customWidth="1"/>
    <col min="517" max="517" width="5.375" style="1615" customWidth="1"/>
    <col min="518" max="519" width="9.5" style="1615" customWidth="1"/>
    <col min="520" max="520" width="6.375" style="1615" customWidth="1"/>
    <col min="521" max="521" width="8.625" style="1615" customWidth="1"/>
    <col min="522" max="522" width="7.5" style="1615" customWidth="1"/>
    <col min="523" max="523" width="8.375" style="1615" customWidth="1"/>
    <col min="524" max="524" width="6.375" style="1615" customWidth="1"/>
    <col min="525" max="525" width="6.125" style="1615" customWidth="1"/>
    <col min="526" max="526" width="7.25" style="1615" customWidth="1"/>
    <col min="527" max="527" width="9" style="1615"/>
    <col min="528" max="528" width="6.5" style="1615" customWidth="1"/>
    <col min="529" max="529" width="9.375" style="1615" customWidth="1"/>
    <col min="530" max="530" width="8.375" style="1615" customWidth="1"/>
    <col min="531" max="768" width="9" style="1615"/>
    <col min="769" max="769" width="0" style="1615" hidden="1" customWidth="1"/>
    <col min="770" max="770" width="6.125" style="1615" customWidth="1"/>
    <col min="771" max="772" width="5.125" style="1615" customWidth="1"/>
    <col min="773" max="773" width="5.375" style="1615" customWidth="1"/>
    <col min="774" max="775" width="9.5" style="1615" customWidth="1"/>
    <col min="776" max="776" width="6.375" style="1615" customWidth="1"/>
    <col min="777" max="777" width="8.625" style="1615" customWidth="1"/>
    <col min="778" max="778" width="7.5" style="1615" customWidth="1"/>
    <col min="779" max="779" width="8.375" style="1615" customWidth="1"/>
    <col min="780" max="780" width="6.375" style="1615" customWidth="1"/>
    <col min="781" max="781" width="6.125" style="1615" customWidth="1"/>
    <col min="782" max="782" width="7.25" style="1615" customWidth="1"/>
    <col min="783" max="783" width="9" style="1615"/>
    <col min="784" max="784" width="6.5" style="1615" customWidth="1"/>
    <col min="785" max="785" width="9.375" style="1615" customWidth="1"/>
    <col min="786" max="786" width="8.375" style="1615" customWidth="1"/>
    <col min="787" max="1024" width="9" style="1615"/>
    <col min="1025" max="1025" width="0" style="1615" hidden="1" customWidth="1"/>
    <col min="1026" max="1026" width="6.125" style="1615" customWidth="1"/>
    <col min="1027" max="1028" width="5.125" style="1615" customWidth="1"/>
    <col min="1029" max="1029" width="5.375" style="1615" customWidth="1"/>
    <col min="1030" max="1031" width="9.5" style="1615" customWidth="1"/>
    <col min="1032" max="1032" width="6.375" style="1615" customWidth="1"/>
    <col min="1033" max="1033" width="8.625" style="1615" customWidth="1"/>
    <col min="1034" max="1034" width="7.5" style="1615" customWidth="1"/>
    <col min="1035" max="1035" width="8.375" style="1615" customWidth="1"/>
    <col min="1036" max="1036" width="6.375" style="1615" customWidth="1"/>
    <col min="1037" max="1037" width="6.125" style="1615" customWidth="1"/>
    <col min="1038" max="1038" width="7.25" style="1615" customWidth="1"/>
    <col min="1039" max="1039" width="9" style="1615"/>
    <col min="1040" max="1040" width="6.5" style="1615" customWidth="1"/>
    <col min="1041" max="1041" width="9.375" style="1615" customWidth="1"/>
    <col min="1042" max="1042" width="8.375" style="1615" customWidth="1"/>
    <col min="1043" max="1280" width="9" style="1615"/>
    <col min="1281" max="1281" width="0" style="1615" hidden="1" customWidth="1"/>
    <col min="1282" max="1282" width="6.125" style="1615" customWidth="1"/>
    <col min="1283" max="1284" width="5.125" style="1615" customWidth="1"/>
    <col min="1285" max="1285" width="5.375" style="1615" customWidth="1"/>
    <col min="1286" max="1287" width="9.5" style="1615" customWidth="1"/>
    <col min="1288" max="1288" width="6.375" style="1615" customWidth="1"/>
    <col min="1289" max="1289" width="8.625" style="1615" customWidth="1"/>
    <col min="1290" max="1290" width="7.5" style="1615" customWidth="1"/>
    <col min="1291" max="1291" width="8.375" style="1615" customWidth="1"/>
    <col min="1292" max="1292" width="6.375" style="1615" customWidth="1"/>
    <col min="1293" max="1293" width="6.125" style="1615" customWidth="1"/>
    <col min="1294" max="1294" width="7.25" style="1615" customWidth="1"/>
    <col min="1295" max="1295" width="9" style="1615"/>
    <col min="1296" max="1296" width="6.5" style="1615" customWidth="1"/>
    <col min="1297" max="1297" width="9.375" style="1615" customWidth="1"/>
    <col min="1298" max="1298" width="8.375" style="1615" customWidth="1"/>
    <col min="1299" max="1536" width="9" style="1615"/>
    <col min="1537" max="1537" width="0" style="1615" hidden="1" customWidth="1"/>
    <col min="1538" max="1538" width="6.125" style="1615" customWidth="1"/>
    <col min="1539" max="1540" width="5.125" style="1615" customWidth="1"/>
    <col min="1541" max="1541" width="5.375" style="1615" customWidth="1"/>
    <col min="1542" max="1543" width="9.5" style="1615" customWidth="1"/>
    <col min="1544" max="1544" width="6.375" style="1615" customWidth="1"/>
    <col min="1545" max="1545" width="8.625" style="1615" customWidth="1"/>
    <col min="1546" max="1546" width="7.5" style="1615" customWidth="1"/>
    <col min="1547" max="1547" width="8.375" style="1615" customWidth="1"/>
    <col min="1548" max="1548" width="6.375" style="1615" customWidth="1"/>
    <col min="1549" max="1549" width="6.125" style="1615" customWidth="1"/>
    <col min="1550" max="1550" width="7.25" style="1615" customWidth="1"/>
    <col min="1551" max="1551" width="9" style="1615"/>
    <col min="1552" max="1552" width="6.5" style="1615" customWidth="1"/>
    <col min="1553" max="1553" width="9.375" style="1615" customWidth="1"/>
    <col min="1554" max="1554" width="8.375" style="1615" customWidth="1"/>
    <col min="1555" max="1792" width="9" style="1615"/>
    <col min="1793" max="1793" width="0" style="1615" hidden="1" customWidth="1"/>
    <col min="1794" max="1794" width="6.125" style="1615" customWidth="1"/>
    <col min="1795" max="1796" width="5.125" style="1615" customWidth="1"/>
    <col min="1797" max="1797" width="5.375" style="1615" customWidth="1"/>
    <col min="1798" max="1799" width="9.5" style="1615" customWidth="1"/>
    <col min="1800" max="1800" width="6.375" style="1615" customWidth="1"/>
    <col min="1801" max="1801" width="8.625" style="1615" customWidth="1"/>
    <col min="1802" max="1802" width="7.5" style="1615" customWidth="1"/>
    <col min="1803" max="1803" width="8.375" style="1615" customWidth="1"/>
    <col min="1804" max="1804" width="6.375" style="1615" customWidth="1"/>
    <col min="1805" max="1805" width="6.125" style="1615" customWidth="1"/>
    <col min="1806" max="1806" width="7.25" style="1615" customWidth="1"/>
    <col min="1807" max="1807" width="9" style="1615"/>
    <col min="1808" max="1808" width="6.5" style="1615" customWidth="1"/>
    <col min="1809" max="1809" width="9.375" style="1615" customWidth="1"/>
    <col min="1810" max="1810" width="8.375" style="1615" customWidth="1"/>
    <col min="1811" max="2048" width="9" style="1615"/>
    <col min="2049" max="2049" width="0" style="1615" hidden="1" customWidth="1"/>
    <col min="2050" max="2050" width="6.125" style="1615" customWidth="1"/>
    <col min="2051" max="2052" width="5.125" style="1615" customWidth="1"/>
    <col min="2053" max="2053" width="5.375" style="1615" customWidth="1"/>
    <col min="2054" max="2055" width="9.5" style="1615" customWidth="1"/>
    <col min="2056" max="2056" width="6.375" style="1615" customWidth="1"/>
    <col min="2057" max="2057" width="8.625" style="1615" customWidth="1"/>
    <col min="2058" max="2058" width="7.5" style="1615" customWidth="1"/>
    <col min="2059" max="2059" width="8.375" style="1615" customWidth="1"/>
    <col min="2060" max="2060" width="6.375" style="1615" customWidth="1"/>
    <col min="2061" max="2061" width="6.125" style="1615" customWidth="1"/>
    <col min="2062" max="2062" width="7.25" style="1615" customWidth="1"/>
    <col min="2063" max="2063" width="9" style="1615"/>
    <col min="2064" max="2064" width="6.5" style="1615" customWidth="1"/>
    <col min="2065" max="2065" width="9.375" style="1615" customWidth="1"/>
    <col min="2066" max="2066" width="8.375" style="1615" customWidth="1"/>
    <col min="2067" max="2304" width="9" style="1615"/>
    <col min="2305" max="2305" width="0" style="1615" hidden="1" customWidth="1"/>
    <col min="2306" max="2306" width="6.125" style="1615" customWidth="1"/>
    <col min="2307" max="2308" width="5.125" style="1615" customWidth="1"/>
    <col min="2309" max="2309" width="5.375" style="1615" customWidth="1"/>
    <col min="2310" max="2311" width="9.5" style="1615" customWidth="1"/>
    <col min="2312" max="2312" width="6.375" style="1615" customWidth="1"/>
    <col min="2313" max="2313" width="8.625" style="1615" customWidth="1"/>
    <col min="2314" max="2314" width="7.5" style="1615" customWidth="1"/>
    <col min="2315" max="2315" width="8.375" style="1615" customWidth="1"/>
    <col min="2316" max="2316" width="6.375" style="1615" customWidth="1"/>
    <col min="2317" max="2317" width="6.125" style="1615" customWidth="1"/>
    <col min="2318" max="2318" width="7.25" style="1615" customWidth="1"/>
    <col min="2319" max="2319" width="9" style="1615"/>
    <col min="2320" max="2320" width="6.5" style="1615" customWidth="1"/>
    <col min="2321" max="2321" width="9.375" style="1615" customWidth="1"/>
    <col min="2322" max="2322" width="8.375" style="1615" customWidth="1"/>
    <col min="2323" max="2560" width="9" style="1615"/>
    <col min="2561" max="2561" width="0" style="1615" hidden="1" customWidth="1"/>
    <col min="2562" max="2562" width="6.125" style="1615" customWidth="1"/>
    <col min="2563" max="2564" width="5.125" style="1615" customWidth="1"/>
    <col min="2565" max="2565" width="5.375" style="1615" customWidth="1"/>
    <col min="2566" max="2567" width="9.5" style="1615" customWidth="1"/>
    <col min="2568" max="2568" width="6.375" style="1615" customWidth="1"/>
    <col min="2569" max="2569" width="8.625" style="1615" customWidth="1"/>
    <col min="2570" max="2570" width="7.5" style="1615" customWidth="1"/>
    <col min="2571" max="2571" width="8.375" style="1615" customWidth="1"/>
    <col min="2572" max="2572" width="6.375" style="1615" customWidth="1"/>
    <col min="2573" max="2573" width="6.125" style="1615" customWidth="1"/>
    <col min="2574" max="2574" width="7.25" style="1615" customWidth="1"/>
    <col min="2575" max="2575" width="9" style="1615"/>
    <col min="2576" max="2576" width="6.5" style="1615" customWidth="1"/>
    <col min="2577" max="2577" width="9.375" style="1615" customWidth="1"/>
    <col min="2578" max="2578" width="8.375" style="1615" customWidth="1"/>
    <col min="2579" max="2816" width="9" style="1615"/>
    <col min="2817" max="2817" width="0" style="1615" hidden="1" customWidth="1"/>
    <col min="2818" max="2818" width="6.125" style="1615" customWidth="1"/>
    <col min="2819" max="2820" width="5.125" style="1615" customWidth="1"/>
    <col min="2821" max="2821" width="5.375" style="1615" customWidth="1"/>
    <col min="2822" max="2823" width="9.5" style="1615" customWidth="1"/>
    <col min="2824" max="2824" width="6.375" style="1615" customWidth="1"/>
    <col min="2825" max="2825" width="8.625" style="1615" customWidth="1"/>
    <col min="2826" max="2826" width="7.5" style="1615" customWidth="1"/>
    <col min="2827" max="2827" width="8.375" style="1615" customWidth="1"/>
    <col min="2828" max="2828" width="6.375" style="1615" customWidth="1"/>
    <col min="2829" max="2829" width="6.125" style="1615" customWidth="1"/>
    <col min="2830" max="2830" width="7.25" style="1615" customWidth="1"/>
    <col min="2831" max="2831" width="9" style="1615"/>
    <col min="2832" max="2832" width="6.5" style="1615" customWidth="1"/>
    <col min="2833" max="2833" width="9.375" style="1615" customWidth="1"/>
    <col min="2834" max="2834" width="8.375" style="1615" customWidth="1"/>
    <col min="2835" max="3072" width="9" style="1615"/>
    <col min="3073" max="3073" width="0" style="1615" hidden="1" customWidth="1"/>
    <col min="3074" max="3074" width="6.125" style="1615" customWidth="1"/>
    <col min="3075" max="3076" width="5.125" style="1615" customWidth="1"/>
    <col min="3077" max="3077" width="5.375" style="1615" customWidth="1"/>
    <col min="3078" max="3079" width="9.5" style="1615" customWidth="1"/>
    <col min="3080" max="3080" width="6.375" style="1615" customWidth="1"/>
    <col min="3081" max="3081" width="8.625" style="1615" customWidth="1"/>
    <col min="3082" max="3082" width="7.5" style="1615" customWidth="1"/>
    <col min="3083" max="3083" width="8.375" style="1615" customWidth="1"/>
    <col min="3084" max="3084" width="6.375" style="1615" customWidth="1"/>
    <col min="3085" max="3085" width="6.125" style="1615" customWidth="1"/>
    <col min="3086" max="3086" width="7.25" style="1615" customWidth="1"/>
    <col min="3087" max="3087" width="9" style="1615"/>
    <col min="3088" max="3088" width="6.5" style="1615" customWidth="1"/>
    <col min="3089" max="3089" width="9.375" style="1615" customWidth="1"/>
    <col min="3090" max="3090" width="8.375" style="1615" customWidth="1"/>
    <col min="3091" max="3328" width="9" style="1615"/>
    <col min="3329" max="3329" width="0" style="1615" hidden="1" customWidth="1"/>
    <col min="3330" max="3330" width="6.125" style="1615" customWidth="1"/>
    <col min="3331" max="3332" width="5.125" style="1615" customWidth="1"/>
    <col min="3333" max="3333" width="5.375" style="1615" customWidth="1"/>
    <col min="3334" max="3335" width="9.5" style="1615" customWidth="1"/>
    <col min="3336" max="3336" width="6.375" style="1615" customWidth="1"/>
    <col min="3337" max="3337" width="8.625" style="1615" customWidth="1"/>
    <col min="3338" max="3338" width="7.5" style="1615" customWidth="1"/>
    <col min="3339" max="3339" width="8.375" style="1615" customWidth="1"/>
    <col min="3340" max="3340" width="6.375" style="1615" customWidth="1"/>
    <col min="3341" max="3341" width="6.125" style="1615" customWidth="1"/>
    <col min="3342" max="3342" width="7.25" style="1615" customWidth="1"/>
    <col min="3343" max="3343" width="9" style="1615"/>
    <col min="3344" max="3344" width="6.5" style="1615" customWidth="1"/>
    <col min="3345" max="3345" width="9.375" style="1615" customWidth="1"/>
    <col min="3346" max="3346" width="8.375" style="1615" customWidth="1"/>
    <col min="3347" max="3584" width="9" style="1615"/>
    <col min="3585" max="3585" width="0" style="1615" hidden="1" customWidth="1"/>
    <col min="3586" max="3586" width="6.125" style="1615" customWidth="1"/>
    <col min="3587" max="3588" width="5.125" style="1615" customWidth="1"/>
    <col min="3589" max="3589" width="5.375" style="1615" customWidth="1"/>
    <col min="3590" max="3591" width="9.5" style="1615" customWidth="1"/>
    <col min="3592" max="3592" width="6.375" style="1615" customWidth="1"/>
    <col min="3593" max="3593" width="8.625" style="1615" customWidth="1"/>
    <col min="3594" max="3594" width="7.5" style="1615" customWidth="1"/>
    <col min="3595" max="3595" width="8.375" style="1615" customWidth="1"/>
    <col min="3596" max="3596" width="6.375" style="1615" customWidth="1"/>
    <col min="3597" max="3597" width="6.125" style="1615" customWidth="1"/>
    <col min="3598" max="3598" width="7.25" style="1615" customWidth="1"/>
    <col min="3599" max="3599" width="9" style="1615"/>
    <col min="3600" max="3600" width="6.5" style="1615" customWidth="1"/>
    <col min="3601" max="3601" width="9.375" style="1615" customWidth="1"/>
    <col min="3602" max="3602" width="8.375" style="1615" customWidth="1"/>
    <col min="3603" max="3840" width="9" style="1615"/>
    <col min="3841" max="3841" width="0" style="1615" hidden="1" customWidth="1"/>
    <col min="3842" max="3842" width="6.125" style="1615" customWidth="1"/>
    <col min="3843" max="3844" width="5.125" style="1615" customWidth="1"/>
    <col min="3845" max="3845" width="5.375" style="1615" customWidth="1"/>
    <col min="3846" max="3847" width="9.5" style="1615" customWidth="1"/>
    <col min="3848" max="3848" width="6.375" style="1615" customWidth="1"/>
    <col min="3849" max="3849" width="8.625" style="1615" customWidth="1"/>
    <col min="3850" max="3850" width="7.5" style="1615" customWidth="1"/>
    <col min="3851" max="3851" width="8.375" style="1615" customWidth="1"/>
    <col min="3852" max="3852" width="6.375" style="1615" customWidth="1"/>
    <col min="3853" max="3853" width="6.125" style="1615" customWidth="1"/>
    <col min="3854" max="3854" width="7.25" style="1615" customWidth="1"/>
    <col min="3855" max="3855" width="9" style="1615"/>
    <col min="3856" max="3856" width="6.5" style="1615" customWidth="1"/>
    <col min="3857" max="3857" width="9.375" style="1615" customWidth="1"/>
    <col min="3858" max="3858" width="8.375" style="1615" customWidth="1"/>
    <col min="3859" max="4096" width="9" style="1615"/>
    <col min="4097" max="4097" width="0" style="1615" hidden="1" customWidth="1"/>
    <col min="4098" max="4098" width="6.125" style="1615" customWidth="1"/>
    <col min="4099" max="4100" width="5.125" style="1615" customWidth="1"/>
    <col min="4101" max="4101" width="5.375" style="1615" customWidth="1"/>
    <col min="4102" max="4103" width="9.5" style="1615" customWidth="1"/>
    <col min="4104" max="4104" width="6.375" style="1615" customWidth="1"/>
    <col min="4105" max="4105" width="8.625" style="1615" customWidth="1"/>
    <col min="4106" max="4106" width="7.5" style="1615" customWidth="1"/>
    <col min="4107" max="4107" width="8.375" style="1615" customWidth="1"/>
    <col min="4108" max="4108" width="6.375" style="1615" customWidth="1"/>
    <col min="4109" max="4109" width="6.125" style="1615" customWidth="1"/>
    <col min="4110" max="4110" width="7.25" style="1615" customWidth="1"/>
    <col min="4111" max="4111" width="9" style="1615"/>
    <col min="4112" max="4112" width="6.5" style="1615" customWidth="1"/>
    <col min="4113" max="4113" width="9.375" style="1615" customWidth="1"/>
    <col min="4114" max="4114" width="8.375" style="1615" customWidth="1"/>
    <col min="4115" max="4352" width="9" style="1615"/>
    <col min="4353" max="4353" width="0" style="1615" hidden="1" customWidth="1"/>
    <col min="4354" max="4354" width="6.125" style="1615" customWidth="1"/>
    <col min="4355" max="4356" width="5.125" style="1615" customWidth="1"/>
    <col min="4357" max="4357" width="5.375" style="1615" customWidth="1"/>
    <col min="4358" max="4359" width="9.5" style="1615" customWidth="1"/>
    <col min="4360" max="4360" width="6.375" style="1615" customWidth="1"/>
    <col min="4361" max="4361" width="8.625" style="1615" customWidth="1"/>
    <col min="4362" max="4362" width="7.5" style="1615" customWidth="1"/>
    <col min="4363" max="4363" width="8.375" style="1615" customWidth="1"/>
    <col min="4364" max="4364" width="6.375" style="1615" customWidth="1"/>
    <col min="4365" max="4365" width="6.125" style="1615" customWidth="1"/>
    <col min="4366" max="4366" width="7.25" style="1615" customWidth="1"/>
    <col min="4367" max="4367" width="9" style="1615"/>
    <col min="4368" max="4368" width="6.5" style="1615" customWidth="1"/>
    <col min="4369" max="4369" width="9.375" style="1615" customWidth="1"/>
    <col min="4370" max="4370" width="8.375" style="1615" customWidth="1"/>
    <col min="4371" max="4608" width="9" style="1615"/>
    <col min="4609" max="4609" width="0" style="1615" hidden="1" customWidth="1"/>
    <col min="4610" max="4610" width="6.125" style="1615" customWidth="1"/>
    <col min="4611" max="4612" width="5.125" style="1615" customWidth="1"/>
    <col min="4613" max="4613" width="5.375" style="1615" customWidth="1"/>
    <col min="4614" max="4615" width="9.5" style="1615" customWidth="1"/>
    <col min="4616" max="4616" width="6.375" style="1615" customWidth="1"/>
    <col min="4617" max="4617" width="8.625" style="1615" customWidth="1"/>
    <col min="4618" max="4618" width="7.5" style="1615" customWidth="1"/>
    <col min="4619" max="4619" width="8.375" style="1615" customWidth="1"/>
    <col min="4620" max="4620" width="6.375" style="1615" customWidth="1"/>
    <col min="4621" max="4621" width="6.125" style="1615" customWidth="1"/>
    <col min="4622" max="4622" width="7.25" style="1615" customWidth="1"/>
    <col min="4623" max="4623" width="9" style="1615"/>
    <col min="4624" max="4624" width="6.5" style="1615" customWidth="1"/>
    <col min="4625" max="4625" width="9.375" style="1615" customWidth="1"/>
    <col min="4626" max="4626" width="8.375" style="1615" customWidth="1"/>
    <col min="4627" max="4864" width="9" style="1615"/>
    <col min="4865" max="4865" width="0" style="1615" hidden="1" customWidth="1"/>
    <col min="4866" max="4866" width="6.125" style="1615" customWidth="1"/>
    <col min="4867" max="4868" width="5.125" style="1615" customWidth="1"/>
    <col min="4869" max="4869" width="5.375" style="1615" customWidth="1"/>
    <col min="4870" max="4871" width="9.5" style="1615" customWidth="1"/>
    <col min="4872" max="4872" width="6.375" style="1615" customWidth="1"/>
    <col min="4873" max="4873" width="8.625" style="1615" customWidth="1"/>
    <col min="4874" max="4874" width="7.5" style="1615" customWidth="1"/>
    <col min="4875" max="4875" width="8.375" style="1615" customWidth="1"/>
    <col min="4876" max="4876" width="6.375" style="1615" customWidth="1"/>
    <col min="4877" max="4877" width="6.125" style="1615" customWidth="1"/>
    <col min="4878" max="4878" width="7.25" style="1615" customWidth="1"/>
    <col min="4879" max="4879" width="9" style="1615"/>
    <col min="4880" max="4880" width="6.5" style="1615" customWidth="1"/>
    <col min="4881" max="4881" width="9.375" style="1615" customWidth="1"/>
    <col min="4882" max="4882" width="8.375" style="1615" customWidth="1"/>
    <col min="4883" max="5120" width="9" style="1615"/>
    <col min="5121" max="5121" width="0" style="1615" hidden="1" customWidth="1"/>
    <col min="5122" max="5122" width="6.125" style="1615" customWidth="1"/>
    <col min="5123" max="5124" width="5.125" style="1615" customWidth="1"/>
    <col min="5125" max="5125" width="5.375" style="1615" customWidth="1"/>
    <col min="5126" max="5127" width="9.5" style="1615" customWidth="1"/>
    <col min="5128" max="5128" width="6.375" style="1615" customWidth="1"/>
    <col min="5129" max="5129" width="8.625" style="1615" customWidth="1"/>
    <col min="5130" max="5130" width="7.5" style="1615" customWidth="1"/>
    <col min="5131" max="5131" width="8.375" style="1615" customWidth="1"/>
    <col min="5132" max="5132" width="6.375" style="1615" customWidth="1"/>
    <col min="5133" max="5133" width="6.125" style="1615" customWidth="1"/>
    <col min="5134" max="5134" width="7.25" style="1615" customWidth="1"/>
    <col min="5135" max="5135" width="9" style="1615"/>
    <col min="5136" max="5136" width="6.5" style="1615" customWidth="1"/>
    <col min="5137" max="5137" width="9.375" style="1615" customWidth="1"/>
    <col min="5138" max="5138" width="8.375" style="1615" customWidth="1"/>
    <col min="5139" max="5376" width="9" style="1615"/>
    <col min="5377" max="5377" width="0" style="1615" hidden="1" customWidth="1"/>
    <col min="5378" max="5378" width="6.125" style="1615" customWidth="1"/>
    <col min="5379" max="5380" width="5.125" style="1615" customWidth="1"/>
    <col min="5381" max="5381" width="5.375" style="1615" customWidth="1"/>
    <col min="5382" max="5383" width="9.5" style="1615" customWidth="1"/>
    <col min="5384" max="5384" width="6.375" style="1615" customWidth="1"/>
    <col min="5385" max="5385" width="8.625" style="1615" customWidth="1"/>
    <col min="5386" max="5386" width="7.5" style="1615" customWidth="1"/>
    <col min="5387" max="5387" width="8.375" style="1615" customWidth="1"/>
    <col min="5388" max="5388" width="6.375" style="1615" customWidth="1"/>
    <col min="5389" max="5389" width="6.125" style="1615" customWidth="1"/>
    <col min="5390" max="5390" width="7.25" style="1615" customWidth="1"/>
    <col min="5391" max="5391" width="9" style="1615"/>
    <col min="5392" max="5392" width="6.5" style="1615" customWidth="1"/>
    <col min="5393" max="5393" width="9.375" style="1615" customWidth="1"/>
    <col min="5394" max="5394" width="8.375" style="1615" customWidth="1"/>
    <col min="5395" max="5632" width="9" style="1615"/>
    <col min="5633" max="5633" width="0" style="1615" hidden="1" customWidth="1"/>
    <col min="5634" max="5634" width="6.125" style="1615" customWidth="1"/>
    <col min="5635" max="5636" width="5.125" style="1615" customWidth="1"/>
    <col min="5637" max="5637" width="5.375" style="1615" customWidth="1"/>
    <col min="5638" max="5639" width="9.5" style="1615" customWidth="1"/>
    <col min="5640" max="5640" width="6.375" style="1615" customWidth="1"/>
    <col min="5641" max="5641" width="8.625" style="1615" customWidth="1"/>
    <col min="5642" max="5642" width="7.5" style="1615" customWidth="1"/>
    <col min="5643" max="5643" width="8.375" style="1615" customWidth="1"/>
    <col min="5644" max="5644" width="6.375" style="1615" customWidth="1"/>
    <col min="5645" max="5645" width="6.125" style="1615" customWidth="1"/>
    <col min="5646" max="5646" width="7.25" style="1615" customWidth="1"/>
    <col min="5647" max="5647" width="9" style="1615"/>
    <col min="5648" max="5648" width="6.5" style="1615" customWidth="1"/>
    <col min="5649" max="5649" width="9.375" style="1615" customWidth="1"/>
    <col min="5650" max="5650" width="8.375" style="1615" customWidth="1"/>
    <col min="5651" max="5888" width="9" style="1615"/>
    <col min="5889" max="5889" width="0" style="1615" hidden="1" customWidth="1"/>
    <col min="5890" max="5890" width="6.125" style="1615" customWidth="1"/>
    <col min="5891" max="5892" width="5.125" style="1615" customWidth="1"/>
    <col min="5893" max="5893" width="5.375" style="1615" customWidth="1"/>
    <col min="5894" max="5895" width="9.5" style="1615" customWidth="1"/>
    <col min="5896" max="5896" width="6.375" style="1615" customWidth="1"/>
    <col min="5897" max="5897" width="8.625" style="1615" customWidth="1"/>
    <col min="5898" max="5898" width="7.5" style="1615" customWidth="1"/>
    <col min="5899" max="5899" width="8.375" style="1615" customWidth="1"/>
    <col min="5900" max="5900" width="6.375" style="1615" customWidth="1"/>
    <col min="5901" max="5901" width="6.125" style="1615" customWidth="1"/>
    <col min="5902" max="5902" width="7.25" style="1615" customWidth="1"/>
    <col min="5903" max="5903" width="9" style="1615"/>
    <col min="5904" max="5904" width="6.5" style="1615" customWidth="1"/>
    <col min="5905" max="5905" width="9.375" style="1615" customWidth="1"/>
    <col min="5906" max="5906" width="8.375" style="1615" customWidth="1"/>
    <col min="5907" max="6144" width="9" style="1615"/>
    <col min="6145" max="6145" width="0" style="1615" hidden="1" customWidth="1"/>
    <col min="6146" max="6146" width="6.125" style="1615" customWidth="1"/>
    <col min="6147" max="6148" width="5.125" style="1615" customWidth="1"/>
    <col min="6149" max="6149" width="5.375" style="1615" customWidth="1"/>
    <col min="6150" max="6151" width="9.5" style="1615" customWidth="1"/>
    <col min="6152" max="6152" width="6.375" style="1615" customWidth="1"/>
    <col min="6153" max="6153" width="8.625" style="1615" customWidth="1"/>
    <col min="6154" max="6154" width="7.5" style="1615" customWidth="1"/>
    <col min="6155" max="6155" width="8.375" style="1615" customWidth="1"/>
    <col min="6156" max="6156" width="6.375" style="1615" customWidth="1"/>
    <col min="6157" max="6157" width="6.125" style="1615" customWidth="1"/>
    <col min="6158" max="6158" width="7.25" style="1615" customWidth="1"/>
    <col min="6159" max="6159" width="9" style="1615"/>
    <col min="6160" max="6160" width="6.5" style="1615" customWidth="1"/>
    <col min="6161" max="6161" width="9.375" style="1615" customWidth="1"/>
    <col min="6162" max="6162" width="8.375" style="1615" customWidth="1"/>
    <col min="6163" max="6400" width="9" style="1615"/>
    <col min="6401" max="6401" width="0" style="1615" hidden="1" customWidth="1"/>
    <col min="6402" max="6402" width="6.125" style="1615" customWidth="1"/>
    <col min="6403" max="6404" width="5.125" style="1615" customWidth="1"/>
    <col min="6405" max="6405" width="5.375" style="1615" customWidth="1"/>
    <col min="6406" max="6407" width="9.5" style="1615" customWidth="1"/>
    <col min="6408" max="6408" width="6.375" style="1615" customWidth="1"/>
    <col min="6409" max="6409" width="8.625" style="1615" customWidth="1"/>
    <col min="6410" max="6410" width="7.5" style="1615" customWidth="1"/>
    <col min="6411" max="6411" width="8.375" style="1615" customWidth="1"/>
    <col min="6412" max="6412" width="6.375" style="1615" customWidth="1"/>
    <col min="6413" max="6413" width="6.125" style="1615" customWidth="1"/>
    <col min="6414" max="6414" width="7.25" style="1615" customWidth="1"/>
    <col min="6415" max="6415" width="9" style="1615"/>
    <col min="6416" max="6416" width="6.5" style="1615" customWidth="1"/>
    <col min="6417" max="6417" width="9.375" style="1615" customWidth="1"/>
    <col min="6418" max="6418" width="8.375" style="1615" customWidth="1"/>
    <col min="6419" max="6656" width="9" style="1615"/>
    <col min="6657" max="6657" width="0" style="1615" hidden="1" customWidth="1"/>
    <col min="6658" max="6658" width="6.125" style="1615" customWidth="1"/>
    <col min="6659" max="6660" width="5.125" style="1615" customWidth="1"/>
    <col min="6661" max="6661" width="5.375" style="1615" customWidth="1"/>
    <col min="6662" max="6663" width="9.5" style="1615" customWidth="1"/>
    <col min="6664" max="6664" width="6.375" style="1615" customWidth="1"/>
    <col min="6665" max="6665" width="8.625" style="1615" customWidth="1"/>
    <col min="6666" max="6666" width="7.5" style="1615" customWidth="1"/>
    <col min="6667" max="6667" width="8.375" style="1615" customWidth="1"/>
    <col min="6668" max="6668" width="6.375" style="1615" customWidth="1"/>
    <col min="6669" max="6669" width="6.125" style="1615" customWidth="1"/>
    <col min="6670" max="6670" width="7.25" style="1615" customWidth="1"/>
    <col min="6671" max="6671" width="9" style="1615"/>
    <col min="6672" max="6672" width="6.5" style="1615" customWidth="1"/>
    <col min="6673" max="6673" width="9.375" style="1615" customWidth="1"/>
    <col min="6674" max="6674" width="8.375" style="1615" customWidth="1"/>
    <col min="6675" max="6912" width="9" style="1615"/>
    <col min="6913" max="6913" width="0" style="1615" hidden="1" customWidth="1"/>
    <col min="6914" max="6914" width="6.125" style="1615" customWidth="1"/>
    <col min="6915" max="6916" width="5.125" style="1615" customWidth="1"/>
    <col min="6917" max="6917" width="5.375" style="1615" customWidth="1"/>
    <col min="6918" max="6919" width="9.5" style="1615" customWidth="1"/>
    <col min="6920" max="6920" width="6.375" style="1615" customWidth="1"/>
    <col min="6921" max="6921" width="8.625" style="1615" customWidth="1"/>
    <col min="6922" max="6922" width="7.5" style="1615" customWidth="1"/>
    <col min="6923" max="6923" width="8.375" style="1615" customWidth="1"/>
    <col min="6924" max="6924" width="6.375" style="1615" customWidth="1"/>
    <col min="6925" max="6925" width="6.125" style="1615" customWidth="1"/>
    <col min="6926" max="6926" width="7.25" style="1615" customWidth="1"/>
    <col min="6927" max="6927" width="9" style="1615"/>
    <col min="6928" max="6928" width="6.5" style="1615" customWidth="1"/>
    <col min="6929" max="6929" width="9.375" style="1615" customWidth="1"/>
    <col min="6930" max="6930" width="8.375" style="1615" customWidth="1"/>
    <col min="6931" max="7168" width="9" style="1615"/>
    <col min="7169" max="7169" width="0" style="1615" hidden="1" customWidth="1"/>
    <col min="7170" max="7170" width="6.125" style="1615" customWidth="1"/>
    <col min="7171" max="7172" width="5.125" style="1615" customWidth="1"/>
    <col min="7173" max="7173" width="5.375" style="1615" customWidth="1"/>
    <col min="7174" max="7175" width="9.5" style="1615" customWidth="1"/>
    <col min="7176" max="7176" width="6.375" style="1615" customWidth="1"/>
    <col min="7177" max="7177" width="8.625" style="1615" customWidth="1"/>
    <col min="7178" max="7178" width="7.5" style="1615" customWidth="1"/>
    <col min="7179" max="7179" width="8.375" style="1615" customWidth="1"/>
    <col min="7180" max="7180" width="6.375" style="1615" customWidth="1"/>
    <col min="7181" max="7181" width="6.125" style="1615" customWidth="1"/>
    <col min="7182" max="7182" width="7.25" style="1615" customWidth="1"/>
    <col min="7183" max="7183" width="9" style="1615"/>
    <col min="7184" max="7184" width="6.5" style="1615" customWidth="1"/>
    <col min="7185" max="7185" width="9.375" style="1615" customWidth="1"/>
    <col min="7186" max="7186" width="8.375" style="1615" customWidth="1"/>
    <col min="7187" max="7424" width="9" style="1615"/>
    <col min="7425" max="7425" width="0" style="1615" hidden="1" customWidth="1"/>
    <col min="7426" max="7426" width="6.125" style="1615" customWidth="1"/>
    <col min="7427" max="7428" width="5.125" style="1615" customWidth="1"/>
    <col min="7429" max="7429" width="5.375" style="1615" customWidth="1"/>
    <col min="7430" max="7431" width="9.5" style="1615" customWidth="1"/>
    <col min="7432" max="7432" width="6.375" style="1615" customWidth="1"/>
    <col min="7433" max="7433" width="8.625" style="1615" customWidth="1"/>
    <col min="7434" max="7434" width="7.5" style="1615" customWidth="1"/>
    <col min="7435" max="7435" width="8.375" style="1615" customWidth="1"/>
    <col min="7436" max="7436" width="6.375" style="1615" customWidth="1"/>
    <col min="7437" max="7437" width="6.125" style="1615" customWidth="1"/>
    <col min="7438" max="7438" width="7.25" style="1615" customWidth="1"/>
    <col min="7439" max="7439" width="9" style="1615"/>
    <col min="7440" max="7440" width="6.5" style="1615" customWidth="1"/>
    <col min="7441" max="7441" width="9.375" style="1615" customWidth="1"/>
    <col min="7442" max="7442" width="8.375" style="1615" customWidth="1"/>
    <col min="7443" max="7680" width="9" style="1615"/>
    <col min="7681" max="7681" width="0" style="1615" hidden="1" customWidth="1"/>
    <col min="7682" max="7682" width="6.125" style="1615" customWidth="1"/>
    <col min="7683" max="7684" width="5.125" style="1615" customWidth="1"/>
    <col min="7685" max="7685" width="5.375" style="1615" customWidth="1"/>
    <col min="7686" max="7687" width="9.5" style="1615" customWidth="1"/>
    <col min="7688" max="7688" width="6.375" style="1615" customWidth="1"/>
    <col min="7689" max="7689" width="8.625" style="1615" customWidth="1"/>
    <col min="7690" max="7690" width="7.5" style="1615" customWidth="1"/>
    <col min="7691" max="7691" width="8.375" style="1615" customWidth="1"/>
    <col min="7692" max="7692" width="6.375" style="1615" customWidth="1"/>
    <col min="7693" max="7693" width="6.125" style="1615" customWidth="1"/>
    <col min="7694" max="7694" width="7.25" style="1615" customWidth="1"/>
    <col min="7695" max="7695" width="9" style="1615"/>
    <col min="7696" max="7696" width="6.5" style="1615" customWidth="1"/>
    <col min="7697" max="7697" width="9.375" style="1615" customWidth="1"/>
    <col min="7698" max="7698" width="8.375" style="1615" customWidth="1"/>
    <col min="7699" max="7936" width="9" style="1615"/>
    <col min="7937" max="7937" width="0" style="1615" hidden="1" customWidth="1"/>
    <col min="7938" max="7938" width="6.125" style="1615" customWidth="1"/>
    <col min="7939" max="7940" width="5.125" style="1615" customWidth="1"/>
    <col min="7941" max="7941" width="5.375" style="1615" customWidth="1"/>
    <col min="7942" max="7943" width="9.5" style="1615" customWidth="1"/>
    <col min="7944" max="7944" width="6.375" style="1615" customWidth="1"/>
    <col min="7945" max="7945" width="8.625" style="1615" customWidth="1"/>
    <col min="7946" max="7946" width="7.5" style="1615" customWidth="1"/>
    <col min="7947" max="7947" width="8.375" style="1615" customWidth="1"/>
    <col min="7948" max="7948" width="6.375" style="1615" customWidth="1"/>
    <col min="7949" max="7949" width="6.125" style="1615" customWidth="1"/>
    <col min="7950" max="7950" width="7.25" style="1615" customWidth="1"/>
    <col min="7951" max="7951" width="9" style="1615"/>
    <col min="7952" max="7952" width="6.5" style="1615" customWidth="1"/>
    <col min="7953" max="7953" width="9.375" style="1615" customWidth="1"/>
    <col min="7954" max="7954" width="8.375" style="1615" customWidth="1"/>
    <col min="7955" max="8192" width="9" style="1615"/>
    <col min="8193" max="8193" width="0" style="1615" hidden="1" customWidth="1"/>
    <col min="8194" max="8194" width="6.125" style="1615" customWidth="1"/>
    <col min="8195" max="8196" width="5.125" style="1615" customWidth="1"/>
    <col min="8197" max="8197" width="5.375" style="1615" customWidth="1"/>
    <col min="8198" max="8199" width="9.5" style="1615" customWidth="1"/>
    <col min="8200" max="8200" width="6.375" style="1615" customWidth="1"/>
    <col min="8201" max="8201" width="8.625" style="1615" customWidth="1"/>
    <col min="8202" max="8202" width="7.5" style="1615" customWidth="1"/>
    <col min="8203" max="8203" width="8.375" style="1615" customWidth="1"/>
    <col min="8204" max="8204" width="6.375" style="1615" customWidth="1"/>
    <col min="8205" max="8205" width="6.125" style="1615" customWidth="1"/>
    <col min="8206" max="8206" width="7.25" style="1615" customWidth="1"/>
    <col min="8207" max="8207" width="9" style="1615"/>
    <col min="8208" max="8208" width="6.5" style="1615" customWidth="1"/>
    <col min="8209" max="8209" width="9.375" style="1615" customWidth="1"/>
    <col min="8210" max="8210" width="8.375" style="1615" customWidth="1"/>
    <col min="8211" max="8448" width="9" style="1615"/>
    <col min="8449" max="8449" width="0" style="1615" hidden="1" customWidth="1"/>
    <col min="8450" max="8450" width="6.125" style="1615" customWidth="1"/>
    <col min="8451" max="8452" width="5.125" style="1615" customWidth="1"/>
    <col min="8453" max="8453" width="5.375" style="1615" customWidth="1"/>
    <col min="8454" max="8455" width="9.5" style="1615" customWidth="1"/>
    <col min="8456" max="8456" width="6.375" style="1615" customWidth="1"/>
    <col min="8457" max="8457" width="8.625" style="1615" customWidth="1"/>
    <col min="8458" max="8458" width="7.5" style="1615" customWidth="1"/>
    <col min="8459" max="8459" width="8.375" style="1615" customWidth="1"/>
    <col min="8460" max="8460" width="6.375" style="1615" customWidth="1"/>
    <col min="8461" max="8461" width="6.125" style="1615" customWidth="1"/>
    <col min="8462" max="8462" width="7.25" style="1615" customWidth="1"/>
    <col min="8463" max="8463" width="9" style="1615"/>
    <col min="8464" max="8464" width="6.5" style="1615" customWidth="1"/>
    <col min="8465" max="8465" width="9.375" style="1615" customWidth="1"/>
    <col min="8466" max="8466" width="8.375" style="1615" customWidth="1"/>
    <col min="8467" max="8704" width="9" style="1615"/>
    <col min="8705" max="8705" width="0" style="1615" hidden="1" customWidth="1"/>
    <col min="8706" max="8706" width="6.125" style="1615" customWidth="1"/>
    <col min="8707" max="8708" width="5.125" style="1615" customWidth="1"/>
    <col min="8709" max="8709" width="5.375" style="1615" customWidth="1"/>
    <col min="8710" max="8711" width="9.5" style="1615" customWidth="1"/>
    <col min="8712" max="8712" width="6.375" style="1615" customWidth="1"/>
    <col min="8713" max="8713" width="8.625" style="1615" customWidth="1"/>
    <col min="8714" max="8714" width="7.5" style="1615" customWidth="1"/>
    <col min="8715" max="8715" width="8.375" style="1615" customWidth="1"/>
    <col min="8716" max="8716" width="6.375" style="1615" customWidth="1"/>
    <col min="8717" max="8717" width="6.125" style="1615" customWidth="1"/>
    <col min="8718" max="8718" width="7.25" style="1615" customWidth="1"/>
    <col min="8719" max="8719" width="9" style="1615"/>
    <col min="8720" max="8720" width="6.5" style="1615" customWidth="1"/>
    <col min="8721" max="8721" width="9.375" style="1615" customWidth="1"/>
    <col min="8722" max="8722" width="8.375" style="1615" customWidth="1"/>
    <col min="8723" max="8960" width="9" style="1615"/>
    <col min="8961" max="8961" width="0" style="1615" hidden="1" customWidth="1"/>
    <col min="8962" max="8962" width="6.125" style="1615" customWidth="1"/>
    <col min="8963" max="8964" width="5.125" style="1615" customWidth="1"/>
    <col min="8965" max="8965" width="5.375" style="1615" customWidth="1"/>
    <col min="8966" max="8967" width="9.5" style="1615" customWidth="1"/>
    <col min="8968" max="8968" width="6.375" style="1615" customWidth="1"/>
    <col min="8969" max="8969" width="8.625" style="1615" customWidth="1"/>
    <col min="8970" max="8970" width="7.5" style="1615" customWidth="1"/>
    <col min="8971" max="8971" width="8.375" style="1615" customWidth="1"/>
    <col min="8972" max="8972" width="6.375" style="1615" customWidth="1"/>
    <col min="8973" max="8973" width="6.125" style="1615" customWidth="1"/>
    <col min="8974" max="8974" width="7.25" style="1615" customWidth="1"/>
    <col min="8975" max="8975" width="9" style="1615"/>
    <col min="8976" max="8976" width="6.5" style="1615" customWidth="1"/>
    <col min="8977" max="8977" width="9.375" style="1615" customWidth="1"/>
    <col min="8978" max="8978" width="8.375" style="1615" customWidth="1"/>
    <col min="8979" max="9216" width="9" style="1615"/>
    <col min="9217" max="9217" width="0" style="1615" hidden="1" customWidth="1"/>
    <col min="9218" max="9218" width="6.125" style="1615" customWidth="1"/>
    <col min="9219" max="9220" width="5.125" style="1615" customWidth="1"/>
    <col min="9221" max="9221" width="5.375" style="1615" customWidth="1"/>
    <col min="9222" max="9223" width="9.5" style="1615" customWidth="1"/>
    <col min="9224" max="9224" width="6.375" style="1615" customWidth="1"/>
    <col min="9225" max="9225" width="8.625" style="1615" customWidth="1"/>
    <col min="9226" max="9226" width="7.5" style="1615" customWidth="1"/>
    <col min="9227" max="9227" width="8.375" style="1615" customWidth="1"/>
    <col min="9228" max="9228" width="6.375" style="1615" customWidth="1"/>
    <col min="9229" max="9229" width="6.125" style="1615" customWidth="1"/>
    <col min="9230" max="9230" width="7.25" style="1615" customWidth="1"/>
    <col min="9231" max="9231" width="9" style="1615"/>
    <col min="9232" max="9232" width="6.5" style="1615" customWidth="1"/>
    <col min="9233" max="9233" width="9.375" style="1615" customWidth="1"/>
    <col min="9234" max="9234" width="8.375" style="1615" customWidth="1"/>
    <col min="9235" max="9472" width="9" style="1615"/>
    <col min="9473" max="9473" width="0" style="1615" hidden="1" customWidth="1"/>
    <col min="9474" max="9474" width="6.125" style="1615" customWidth="1"/>
    <col min="9475" max="9476" width="5.125" style="1615" customWidth="1"/>
    <col min="9477" max="9477" width="5.375" style="1615" customWidth="1"/>
    <col min="9478" max="9479" width="9.5" style="1615" customWidth="1"/>
    <col min="9480" max="9480" width="6.375" style="1615" customWidth="1"/>
    <col min="9481" max="9481" width="8.625" style="1615" customWidth="1"/>
    <col min="9482" max="9482" width="7.5" style="1615" customWidth="1"/>
    <col min="9483" max="9483" width="8.375" style="1615" customWidth="1"/>
    <col min="9484" max="9484" width="6.375" style="1615" customWidth="1"/>
    <col min="9485" max="9485" width="6.125" style="1615" customWidth="1"/>
    <col min="9486" max="9486" width="7.25" style="1615" customWidth="1"/>
    <col min="9487" max="9487" width="9" style="1615"/>
    <col min="9488" max="9488" width="6.5" style="1615" customWidth="1"/>
    <col min="9489" max="9489" width="9.375" style="1615" customWidth="1"/>
    <col min="9490" max="9490" width="8.375" style="1615" customWidth="1"/>
    <col min="9491" max="9728" width="9" style="1615"/>
    <col min="9729" max="9729" width="0" style="1615" hidden="1" customWidth="1"/>
    <col min="9730" max="9730" width="6.125" style="1615" customWidth="1"/>
    <col min="9731" max="9732" width="5.125" style="1615" customWidth="1"/>
    <col min="9733" max="9733" width="5.375" style="1615" customWidth="1"/>
    <col min="9734" max="9735" width="9.5" style="1615" customWidth="1"/>
    <col min="9736" max="9736" width="6.375" style="1615" customWidth="1"/>
    <col min="9737" max="9737" width="8.625" style="1615" customWidth="1"/>
    <col min="9738" max="9738" width="7.5" style="1615" customWidth="1"/>
    <col min="9739" max="9739" width="8.375" style="1615" customWidth="1"/>
    <col min="9740" max="9740" width="6.375" style="1615" customWidth="1"/>
    <col min="9741" max="9741" width="6.125" style="1615" customWidth="1"/>
    <col min="9742" max="9742" width="7.25" style="1615" customWidth="1"/>
    <col min="9743" max="9743" width="9" style="1615"/>
    <col min="9744" max="9744" width="6.5" style="1615" customWidth="1"/>
    <col min="9745" max="9745" width="9.375" style="1615" customWidth="1"/>
    <col min="9746" max="9746" width="8.375" style="1615" customWidth="1"/>
    <col min="9747" max="9984" width="9" style="1615"/>
    <col min="9985" max="9985" width="0" style="1615" hidden="1" customWidth="1"/>
    <col min="9986" max="9986" width="6.125" style="1615" customWidth="1"/>
    <col min="9987" max="9988" width="5.125" style="1615" customWidth="1"/>
    <col min="9989" max="9989" width="5.375" style="1615" customWidth="1"/>
    <col min="9990" max="9991" width="9.5" style="1615" customWidth="1"/>
    <col min="9992" max="9992" width="6.375" style="1615" customWidth="1"/>
    <col min="9993" max="9993" width="8.625" style="1615" customWidth="1"/>
    <col min="9994" max="9994" width="7.5" style="1615" customWidth="1"/>
    <col min="9995" max="9995" width="8.375" style="1615" customWidth="1"/>
    <col min="9996" max="9996" width="6.375" style="1615" customWidth="1"/>
    <col min="9997" max="9997" width="6.125" style="1615" customWidth="1"/>
    <col min="9998" max="9998" width="7.25" style="1615" customWidth="1"/>
    <col min="9999" max="9999" width="9" style="1615"/>
    <col min="10000" max="10000" width="6.5" style="1615" customWidth="1"/>
    <col min="10001" max="10001" width="9.375" style="1615" customWidth="1"/>
    <col min="10002" max="10002" width="8.375" style="1615" customWidth="1"/>
    <col min="10003" max="10240" width="9" style="1615"/>
    <col min="10241" max="10241" width="0" style="1615" hidden="1" customWidth="1"/>
    <col min="10242" max="10242" width="6.125" style="1615" customWidth="1"/>
    <col min="10243" max="10244" width="5.125" style="1615" customWidth="1"/>
    <col min="10245" max="10245" width="5.375" style="1615" customWidth="1"/>
    <col min="10246" max="10247" width="9.5" style="1615" customWidth="1"/>
    <col min="10248" max="10248" width="6.375" style="1615" customWidth="1"/>
    <col min="10249" max="10249" width="8.625" style="1615" customWidth="1"/>
    <col min="10250" max="10250" width="7.5" style="1615" customWidth="1"/>
    <col min="10251" max="10251" width="8.375" style="1615" customWidth="1"/>
    <col min="10252" max="10252" width="6.375" style="1615" customWidth="1"/>
    <col min="10253" max="10253" width="6.125" style="1615" customWidth="1"/>
    <col min="10254" max="10254" width="7.25" style="1615" customWidth="1"/>
    <col min="10255" max="10255" width="9" style="1615"/>
    <col min="10256" max="10256" width="6.5" style="1615" customWidth="1"/>
    <col min="10257" max="10257" width="9.375" style="1615" customWidth="1"/>
    <col min="10258" max="10258" width="8.375" style="1615" customWidth="1"/>
    <col min="10259" max="10496" width="9" style="1615"/>
    <col min="10497" max="10497" width="0" style="1615" hidden="1" customWidth="1"/>
    <col min="10498" max="10498" width="6.125" style="1615" customWidth="1"/>
    <col min="10499" max="10500" width="5.125" style="1615" customWidth="1"/>
    <col min="10501" max="10501" width="5.375" style="1615" customWidth="1"/>
    <col min="10502" max="10503" width="9.5" style="1615" customWidth="1"/>
    <col min="10504" max="10504" width="6.375" style="1615" customWidth="1"/>
    <col min="10505" max="10505" width="8.625" style="1615" customWidth="1"/>
    <col min="10506" max="10506" width="7.5" style="1615" customWidth="1"/>
    <col min="10507" max="10507" width="8.375" style="1615" customWidth="1"/>
    <col min="10508" max="10508" width="6.375" style="1615" customWidth="1"/>
    <col min="10509" max="10509" width="6.125" style="1615" customWidth="1"/>
    <col min="10510" max="10510" width="7.25" style="1615" customWidth="1"/>
    <col min="10511" max="10511" width="9" style="1615"/>
    <col min="10512" max="10512" width="6.5" style="1615" customWidth="1"/>
    <col min="10513" max="10513" width="9.375" style="1615" customWidth="1"/>
    <col min="10514" max="10514" width="8.375" style="1615" customWidth="1"/>
    <col min="10515" max="10752" width="9" style="1615"/>
    <col min="10753" max="10753" width="0" style="1615" hidden="1" customWidth="1"/>
    <col min="10754" max="10754" width="6.125" style="1615" customWidth="1"/>
    <col min="10755" max="10756" width="5.125" style="1615" customWidth="1"/>
    <col min="10757" max="10757" width="5.375" style="1615" customWidth="1"/>
    <col min="10758" max="10759" width="9.5" style="1615" customWidth="1"/>
    <col min="10760" max="10760" width="6.375" style="1615" customWidth="1"/>
    <col min="10761" max="10761" width="8.625" style="1615" customWidth="1"/>
    <col min="10762" max="10762" width="7.5" style="1615" customWidth="1"/>
    <col min="10763" max="10763" width="8.375" style="1615" customWidth="1"/>
    <col min="10764" max="10764" width="6.375" style="1615" customWidth="1"/>
    <col min="10765" max="10765" width="6.125" style="1615" customWidth="1"/>
    <col min="10766" max="10766" width="7.25" style="1615" customWidth="1"/>
    <col min="10767" max="10767" width="9" style="1615"/>
    <col min="10768" max="10768" width="6.5" style="1615" customWidth="1"/>
    <col min="10769" max="10769" width="9.375" style="1615" customWidth="1"/>
    <col min="10770" max="10770" width="8.375" style="1615" customWidth="1"/>
    <col min="10771" max="11008" width="9" style="1615"/>
    <col min="11009" max="11009" width="0" style="1615" hidden="1" customWidth="1"/>
    <col min="11010" max="11010" width="6.125" style="1615" customWidth="1"/>
    <col min="11011" max="11012" width="5.125" style="1615" customWidth="1"/>
    <col min="11013" max="11013" width="5.375" style="1615" customWidth="1"/>
    <col min="11014" max="11015" width="9.5" style="1615" customWidth="1"/>
    <col min="11016" max="11016" width="6.375" style="1615" customWidth="1"/>
    <col min="11017" max="11017" width="8.625" style="1615" customWidth="1"/>
    <col min="11018" max="11018" width="7.5" style="1615" customWidth="1"/>
    <col min="11019" max="11019" width="8.375" style="1615" customWidth="1"/>
    <col min="11020" max="11020" width="6.375" style="1615" customWidth="1"/>
    <col min="11021" max="11021" width="6.125" style="1615" customWidth="1"/>
    <col min="11022" max="11022" width="7.25" style="1615" customWidth="1"/>
    <col min="11023" max="11023" width="9" style="1615"/>
    <col min="11024" max="11024" width="6.5" style="1615" customWidth="1"/>
    <col min="11025" max="11025" width="9.375" style="1615" customWidth="1"/>
    <col min="11026" max="11026" width="8.375" style="1615" customWidth="1"/>
    <col min="11027" max="11264" width="9" style="1615"/>
    <col min="11265" max="11265" width="0" style="1615" hidden="1" customWidth="1"/>
    <col min="11266" max="11266" width="6.125" style="1615" customWidth="1"/>
    <col min="11267" max="11268" width="5.125" style="1615" customWidth="1"/>
    <col min="11269" max="11269" width="5.375" style="1615" customWidth="1"/>
    <col min="11270" max="11271" width="9.5" style="1615" customWidth="1"/>
    <col min="11272" max="11272" width="6.375" style="1615" customWidth="1"/>
    <col min="11273" max="11273" width="8.625" style="1615" customWidth="1"/>
    <col min="11274" max="11274" width="7.5" style="1615" customWidth="1"/>
    <col min="11275" max="11275" width="8.375" style="1615" customWidth="1"/>
    <col min="11276" max="11276" width="6.375" style="1615" customWidth="1"/>
    <col min="11277" max="11277" width="6.125" style="1615" customWidth="1"/>
    <col min="11278" max="11278" width="7.25" style="1615" customWidth="1"/>
    <col min="11279" max="11279" width="9" style="1615"/>
    <col min="11280" max="11280" width="6.5" style="1615" customWidth="1"/>
    <col min="11281" max="11281" width="9.375" style="1615" customWidth="1"/>
    <col min="11282" max="11282" width="8.375" style="1615" customWidth="1"/>
    <col min="11283" max="11520" width="9" style="1615"/>
    <col min="11521" max="11521" width="0" style="1615" hidden="1" customWidth="1"/>
    <col min="11522" max="11522" width="6.125" style="1615" customWidth="1"/>
    <col min="11523" max="11524" width="5.125" style="1615" customWidth="1"/>
    <col min="11525" max="11525" width="5.375" style="1615" customWidth="1"/>
    <col min="11526" max="11527" width="9.5" style="1615" customWidth="1"/>
    <col min="11528" max="11528" width="6.375" style="1615" customWidth="1"/>
    <col min="11529" max="11529" width="8.625" style="1615" customWidth="1"/>
    <col min="11530" max="11530" width="7.5" style="1615" customWidth="1"/>
    <col min="11531" max="11531" width="8.375" style="1615" customWidth="1"/>
    <col min="11532" max="11532" width="6.375" style="1615" customWidth="1"/>
    <col min="11533" max="11533" width="6.125" style="1615" customWidth="1"/>
    <col min="11534" max="11534" width="7.25" style="1615" customWidth="1"/>
    <col min="11535" max="11535" width="9" style="1615"/>
    <col min="11536" max="11536" width="6.5" style="1615" customWidth="1"/>
    <col min="11537" max="11537" width="9.375" style="1615" customWidth="1"/>
    <col min="11538" max="11538" width="8.375" style="1615" customWidth="1"/>
    <col min="11539" max="11776" width="9" style="1615"/>
    <col min="11777" max="11777" width="0" style="1615" hidden="1" customWidth="1"/>
    <col min="11778" max="11778" width="6.125" style="1615" customWidth="1"/>
    <col min="11779" max="11780" width="5.125" style="1615" customWidth="1"/>
    <col min="11781" max="11781" width="5.375" style="1615" customWidth="1"/>
    <col min="11782" max="11783" width="9.5" style="1615" customWidth="1"/>
    <col min="11784" max="11784" width="6.375" style="1615" customWidth="1"/>
    <col min="11785" max="11785" width="8.625" style="1615" customWidth="1"/>
    <col min="11786" max="11786" width="7.5" style="1615" customWidth="1"/>
    <col min="11787" max="11787" width="8.375" style="1615" customWidth="1"/>
    <col min="11788" max="11788" width="6.375" style="1615" customWidth="1"/>
    <col min="11789" max="11789" width="6.125" style="1615" customWidth="1"/>
    <col min="11790" max="11790" width="7.25" style="1615" customWidth="1"/>
    <col min="11791" max="11791" width="9" style="1615"/>
    <col min="11792" max="11792" width="6.5" style="1615" customWidth="1"/>
    <col min="11793" max="11793" width="9.375" style="1615" customWidth="1"/>
    <col min="11794" max="11794" width="8.375" style="1615" customWidth="1"/>
    <col min="11795" max="12032" width="9" style="1615"/>
    <col min="12033" max="12033" width="0" style="1615" hidden="1" customWidth="1"/>
    <col min="12034" max="12034" width="6.125" style="1615" customWidth="1"/>
    <col min="12035" max="12036" width="5.125" style="1615" customWidth="1"/>
    <col min="12037" max="12037" width="5.375" style="1615" customWidth="1"/>
    <col min="12038" max="12039" width="9.5" style="1615" customWidth="1"/>
    <col min="12040" max="12040" width="6.375" style="1615" customWidth="1"/>
    <col min="12041" max="12041" width="8.625" style="1615" customWidth="1"/>
    <col min="12042" max="12042" width="7.5" style="1615" customWidth="1"/>
    <col min="12043" max="12043" width="8.375" style="1615" customWidth="1"/>
    <col min="12044" max="12044" width="6.375" style="1615" customWidth="1"/>
    <col min="12045" max="12045" width="6.125" style="1615" customWidth="1"/>
    <col min="12046" max="12046" width="7.25" style="1615" customWidth="1"/>
    <col min="12047" max="12047" width="9" style="1615"/>
    <col min="12048" max="12048" width="6.5" style="1615" customWidth="1"/>
    <col min="12049" max="12049" width="9.375" style="1615" customWidth="1"/>
    <col min="12050" max="12050" width="8.375" style="1615" customWidth="1"/>
    <col min="12051" max="12288" width="9" style="1615"/>
    <col min="12289" max="12289" width="0" style="1615" hidden="1" customWidth="1"/>
    <col min="12290" max="12290" width="6.125" style="1615" customWidth="1"/>
    <col min="12291" max="12292" width="5.125" style="1615" customWidth="1"/>
    <col min="12293" max="12293" width="5.375" style="1615" customWidth="1"/>
    <col min="12294" max="12295" width="9.5" style="1615" customWidth="1"/>
    <col min="12296" max="12296" width="6.375" style="1615" customWidth="1"/>
    <col min="12297" max="12297" width="8.625" style="1615" customWidth="1"/>
    <col min="12298" max="12298" width="7.5" style="1615" customWidth="1"/>
    <col min="12299" max="12299" width="8.375" style="1615" customWidth="1"/>
    <col min="12300" max="12300" width="6.375" style="1615" customWidth="1"/>
    <col min="12301" max="12301" width="6.125" style="1615" customWidth="1"/>
    <col min="12302" max="12302" width="7.25" style="1615" customWidth="1"/>
    <col min="12303" max="12303" width="9" style="1615"/>
    <col min="12304" max="12304" width="6.5" style="1615" customWidth="1"/>
    <col min="12305" max="12305" width="9.375" style="1615" customWidth="1"/>
    <col min="12306" max="12306" width="8.375" style="1615" customWidth="1"/>
    <col min="12307" max="12544" width="9" style="1615"/>
    <col min="12545" max="12545" width="0" style="1615" hidden="1" customWidth="1"/>
    <col min="12546" max="12546" width="6.125" style="1615" customWidth="1"/>
    <col min="12547" max="12548" width="5.125" style="1615" customWidth="1"/>
    <col min="12549" max="12549" width="5.375" style="1615" customWidth="1"/>
    <col min="12550" max="12551" width="9.5" style="1615" customWidth="1"/>
    <col min="12552" max="12552" width="6.375" style="1615" customWidth="1"/>
    <col min="12553" max="12553" width="8.625" style="1615" customWidth="1"/>
    <col min="12554" max="12554" width="7.5" style="1615" customWidth="1"/>
    <col min="12555" max="12555" width="8.375" style="1615" customWidth="1"/>
    <col min="12556" max="12556" width="6.375" style="1615" customWidth="1"/>
    <col min="12557" max="12557" width="6.125" style="1615" customWidth="1"/>
    <col min="12558" max="12558" width="7.25" style="1615" customWidth="1"/>
    <col min="12559" max="12559" width="9" style="1615"/>
    <col min="12560" max="12560" width="6.5" style="1615" customWidth="1"/>
    <col min="12561" max="12561" width="9.375" style="1615" customWidth="1"/>
    <col min="12562" max="12562" width="8.375" style="1615" customWidth="1"/>
    <col min="12563" max="12800" width="9" style="1615"/>
    <col min="12801" max="12801" width="0" style="1615" hidden="1" customWidth="1"/>
    <col min="12802" max="12802" width="6.125" style="1615" customWidth="1"/>
    <col min="12803" max="12804" width="5.125" style="1615" customWidth="1"/>
    <col min="12805" max="12805" width="5.375" style="1615" customWidth="1"/>
    <col min="12806" max="12807" width="9.5" style="1615" customWidth="1"/>
    <col min="12808" max="12808" width="6.375" style="1615" customWidth="1"/>
    <col min="12809" max="12809" width="8.625" style="1615" customWidth="1"/>
    <col min="12810" max="12810" width="7.5" style="1615" customWidth="1"/>
    <col min="12811" max="12811" width="8.375" style="1615" customWidth="1"/>
    <col min="12812" max="12812" width="6.375" style="1615" customWidth="1"/>
    <col min="12813" max="12813" width="6.125" style="1615" customWidth="1"/>
    <col min="12814" max="12814" width="7.25" style="1615" customWidth="1"/>
    <col min="12815" max="12815" width="9" style="1615"/>
    <col min="12816" max="12816" width="6.5" style="1615" customWidth="1"/>
    <col min="12817" max="12817" width="9.375" style="1615" customWidth="1"/>
    <col min="12818" max="12818" width="8.375" style="1615" customWidth="1"/>
    <col min="12819" max="13056" width="9" style="1615"/>
    <col min="13057" max="13057" width="0" style="1615" hidden="1" customWidth="1"/>
    <col min="13058" max="13058" width="6.125" style="1615" customWidth="1"/>
    <col min="13059" max="13060" width="5.125" style="1615" customWidth="1"/>
    <col min="13061" max="13061" width="5.375" style="1615" customWidth="1"/>
    <col min="13062" max="13063" width="9.5" style="1615" customWidth="1"/>
    <col min="13064" max="13064" width="6.375" style="1615" customWidth="1"/>
    <col min="13065" max="13065" width="8.625" style="1615" customWidth="1"/>
    <col min="13066" max="13066" width="7.5" style="1615" customWidth="1"/>
    <col min="13067" max="13067" width="8.375" style="1615" customWidth="1"/>
    <col min="13068" max="13068" width="6.375" style="1615" customWidth="1"/>
    <col min="13069" max="13069" width="6.125" style="1615" customWidth="1"/>
    <col min="13070" max="13070" width="7.25" style="1615" customWidth="1"/>
    <col min="13071" max="13071" width="9" style="1615"/>
    <col min="13072" max="13072" width="6.5" style="1615" customWidth="1"/>
    <col min="13073" max="13073" width="9.375" style="1615" customWidth="1"/>
    <col min="13074" max="13074" width="8.375" style="1615" customWidth="1"/>
    <col min="13075" max="13312" width="9" style="1615"/>
    <col min="13313" max="13313" width="0" style="1615" hidden="1" customWidth="1"/>
    <col min="13314" max="13314" width="6.125" style="1615" customWidth="1"/>
    <col min="13315" max="13316" width="5.125" style="1615" customWidth="1"/>
    <col min="13317" max="13317" width="5.375" style="1615" customWidth="1"/>
    <col min="13318" max="13319" width="9.5" style="1615" customWidth="1"/>
    <col min="13320" max="13320" width="6.375" style="1615" customWidth="1"/>
    <col min="13321" max="13321" width="8.625" style="1615" customWidth="1"/>
    <col min="13322" max="13322" width="7.5" style="1615" customWidth="1"/>
    <col min="13323" max="13323" width="8.375" style="1615" customWidth="1"/>
    <col min="13324" max="13324" width="6.375" style="1615" customWidth="1"/>
    <col min="13325" max="13325" width="6.125" style="1615" customWidth="1"/>
    <col min="13326" max="13326" width="7.25" style="1615" customWidth="1"/>
    <col min="13327" max="13327" width="9" style="1615"/>
    <col min="13328" max="13328" width="6.5" style="1615" customWidth="1"/>
    <col min="13329" max="13329" width="9.375" style="1615" customWidth="1"/>
    <col min="13330" max="13330" width="8.375" style="1615" customWidth="1"/>
    <col min="13331" max="13568" width="9" style="1615"/>
    <col min="13569" max="13569" width="0" style="1615" hidden="1" customWidth="1"/>
    <col min="13570" max="13570" width="6.125" style="1615" customWidth="1"/>
    <col min="13571" max="13572" width="5.125" style="1615" customWidth="1"/>
    <col min="13573" max="13573" width="5.375" style="1615" customWidth="1"/>
    <col min="13574" max="13575" width="9.5" style="1615" customWidth="1"/>
    <col min="13576" max="13576" width="6.375" style="1615" customWidth="1"/>
    <col min="13577" max="13577" width="8.625" style="1615" customWidth="1"/>
    <col min="13578" max="13578" width="7.5" style="1615" customWidth="1"/>
    <col min="13579" max="13579" width="8.375" style="1615" customWidth="1"/>
    <col min="13580" max="13580" width="6.375" style="1615" customWidth="1"/>
    <col min="13581" max="13581" width="6.125" style="1615" customWidth="1"/>
    <col min="13582" max="13582" width="7.25" style="1615" customWidth="1"/>
    <col min="13583" max="13583" width="9" style="1615"/>
    <col min="13584" max="13584" width="6.5" style="1615" customWidth="1"/>
    <col min="13585" max="13585" width="9.375" style="1615" customWidth="1"/>
    <col min="13586" max="13586" width="8.375" style="1615" customWidth="1"/>
    <col min="13587" max="13824" width="9" style="1615"/>
    <col min="13825" max="13825" width="0" style="1615" hidden="1" customWidth="1"/>
    <col min="13826" max="13826" width="6.125" style="1615" customWidth="1"/>
    <col min="13827" max="13828" width="5.125" style="1615" customWidth="1"/>
    <col min="13829" max="13829" width="5.375" style="1615" customWidth="1"/>
    <col min="13830" max="13831" width="9.5" style="1615" customWidth="1"/>
    <col min="13832" max="13832" width="6.375" style="1615" customWidth="1"/>
    <col min="13833" max="13833" width="8.625" style="1615" customWidth="1"/>
    <col min="13834" max="13834" width="7.5" style="1615" customWidth="1"/>
    <col min="13835" max="13835" width="8.375" style="1615" customWidth="1"/>
    <col min="13836" max="13836" width="6.375" style="1615" customWidth="1"/>
    <col min="13837" max="13837" width="6.125" style="1615" customWidth="1"/>
    <col min="13838" max="13838" width="7.25" style="1615" customWidth="1"/>
    <col min="13839" max="13839" width="9" style="1615"/>
    <col min="13840" max="13840" width="6.5" style="1615" customWidth="1"/>
    <col min="13841" max="13841" width="9.375" style="1615" customWidth="1"/>
    <col min="13842" max="13842" width="8.375" style="1615" customWidth="1"/>
    <col min="13843" max="14080" width="9" style="1615"/>
    <col min="14081" max="14081" width="0" style="1615" hidden="1" customWidth="1"/>
    <col min="14082" max="14082" width="6.125" style="1615" customWidth="1"/>
    <col min="14083" max="14084" width="5.125" style="1615" customWidth="1"/>
    <col min="14085" max="14085" width="5.375" style="1615" customWidth="1"/>
    <col min="14086" max="14087" width="9.5" style="1615" customWidth="1"/>
    <col min="14088" max="14088" width="6.375" style="1615" customWidth="1"/>
    <col min="14089" max="14089" width="8.625" style="1615" customWidth="1"/>
    <col min="14090" max="14090" width="7.5" style="1615" customWidth="1"/>
    <col min="14091" max="14091" width="8.375" style="1615" customWidth="1"/>
    <col min="14092" max="14092" width="6.375" style="1615" customWidth="1"/>
    <col min="14093" max="14093" width="6.125" style="1615" customWidth="1"/>
    <col min="14094" max="14094" width="7.25" style="1615" customWidth="1"/>
    <col min="14095" max="14095" width="9" style="1615"/>
    <col min="14096" max="14096" width="6.5" style="1615" customWidth="1"/>
    <col min="14097" max="14097" width="9.375" style="1615" customWidth="1"/>
    <col min="14098" max="14098" width="8.375" style="1615" customWidth="1"/>
    <col min="14099" max="14336" width="9" style="1615"/>
    <col min="14337" max="14337" width="0" style="1615" hidden="1" customWidth="1"/>
    <col min="14338" max="14338" width="6.125" style="1615" customWidth="1"/>
    <col min="14339" max="14340" width="5.125" style="1615" customWidth="1"/>
    <col min="14341" max="14341" width="5.375" style="1615" customWidth="1"/>
    <col min="14342" max="14343" width="9.5" style="1615" customWidth="1"/>
    <col min="14344" max="14344" width="6.375" style="1615" customWidth="1"/>
    <col min="14345" max="14345" width="8.625" style="1615" customWidth="1"/>
    <col min="14346" max="14346" width="7.5" style="1615" customWidth="1"/>
    <col min="14347" max="14347" width="8.375" style="1615" customWidth="1"/>
    <col min="14348" max="14348" width="6.375" style="1615" customWidth="1"/>
    <col min="14349" max="14349" width="6.125" style="1615" customWidth="1"/>
    <col min="14350" max="14350" width="7.25" style="1615" customWidth="1"/>
    <col min="14351" max="14351" width="9" style="1615"/>
    <col min="14352" max="14352" width="6.5" style="1615" customWidth="1"/>
    <col min="14353" max="14353" width="9.375" style="1615" customWidth="1"/>
    <col min="14354" max="14354" width="8.375" style="1615" customWidth="1"/>
    <col min="14355" max="14592" width="9" style="1615"/>
    <col min="14593" max="14593" width="0" style="1615" hidden="1" customWidth="1"/>
    <col min="14594" max="14594" width="6.125" style="1615" customWidth="1"/>
    <col min="14595" max="14596" width="5.125" style="1615" customWidth="1"/>
    <col min="14597" max="14597" width="5.375" style="1615" customWidth="1"/>
    <col min="14598" max="14599" width="9.5" style="1615" customWidth="1"/>
    <col min="14600" max="14600" width="6.375" style="1615" customWidth="1"/>
    <col min="14601" max="14601" width="8.625" style="1615" customWidth="1"/>
    <col min="14602" max="14602" width="7.5" style="1615" customWidth="1"/>
    <col min="14603" max="14603" width="8.375" style="1615" customWidth="1"/>
    <col min="14604" max="14604" width="6.375" style="1615" customWidth="1"/>
    <col min="14605" max="14605" width="6.125" style="1615" customWidth="1"/>
    <col min="14606" max="14606" width="7.25" style="1615" customWidth="1"/>
    <col min="14607" max="14607" width="9" style="1615"/>
    <col min="14608" max="14608" width="6.5" style="1615" customWidth="1"/>
    <col min="14609" max="14609" width="9.375" style="1615" customWidth="1"/>
    <col min="14610" max="14610" width="8.375" style="1615" customWidth="1"/>
    <col min="14611" max="14848" width="9" style="1615"/>
    <col min="14849" max="14849" width="0" style="1615" hidden="1" customWidth="1"/>
    <col min="14850" max="14850" width="6.125" style="1615" customWidth="1"/>
    <col min="14851" max="14852" width="5.125" style="1615" customWidth="1"/>
    <col min="14853" max="14853" width="5.375" style="1615" customWidth="1"/>
    <col min="14854" max="14855" width="9.5" style="1615" customWidth="1"/>
    <col min="14856" max="14856" width="6.375" style="1615" customWidth="1"/>
    <col min="14857" max="14857" width="8.625" style="1615" customWidth="1"/>
    <col min="14858" max="14858" width="7.5" style="1615" customWidth="1"/>
    <col min="14859" max="14859" width="8.375" style="1615" customWidth="1"/>
    <col min="14860" max="14860" width="6.375" style="1615" customWidth="1"/>
    <col min="14861" max="14861" width="6.125" style="1615" customWidth="1"/>
    <col min="14862" max="14862" width="7.25" style="1615" customWidth="1"/>
    <col min="14863" max="14863" width="9" style="1615"/>
    <col min="14864" max="14864" width="6.5" style="1615" customWidth="1"/>
    <col min="14865" max="14865" width="9.375" style="1615" customWidth="1"/>
    <col min="14866" max="14866" width="8.375" style="1615" customWidth="1"/>
    <col min="14867" max="15104" width="9" style="1615"/>
    <col min="15105" max="15105" width="0" style="1615" hidden="1" customWidth="1"/>
    <col min="15106" max="15106" width="6.125" style="1615" customWidth="1"/>
    <col min="15107" max="15108" width="5.125" style="1615" customWidth="1"/>
    <col min="15109" max="15109" width="5.375" style="1615" customWidth="1"/>
    <col min="15110" max="15111" width="9.5" style="1615" customWidth="1"/>
    <col min="15112" max="15112" width="6.375" style="1615" customWidth="1"/>
    <col min="15113" max="15113" width="8.625" style="1615" customWidth="1"/>
    <col min="15114" max="15114" width="7.5" style="1615" customWidth="1"/>
    <col min="15115" max="15115" width="8.375" style="1615" customWidth="1"/>
    <col min="15116" max="15116" width="6.375" style="1615" customWidth="1"/>
    <col min="15117" max="15117" width="6.125" style="1615" customWidth="1"/>
    <col min="15118" max="15118" width="7.25" style="1615" customWidth="1"/>
    <col min="15119" max="15119" width="9" style="1615"/>
    <col min="15120" max="15120" width="6.5" style="1615" customWidth="1"/>
    <col min="15121" max="15121" width="9.375" style="1615" customWidth="1"/>
    <col min="15122" max="15122" width="8.375" style="1615" customWidth="1"/>
    <col min="15123" max="15360" width="9" style="1615"/>
    <col min="15361" max="15361" width="0" style="1615" hidden="1" customWidth="1"/>
    <col min="15362" max="15362" width="6.125" style="1615" customWidth="1"/>
    <col min="15363" max="15364" width="5.125" style="1615" customWidth="1"/>
    <col min="15365" max="15365" width="5.375" style="1615" customWidth="1"/>
    <col min="15366" max="15367" width="9.5" style="1615" customWidth="1"/>
    <col min="15368" max="15368" width="6.375" style="1615" customWidth="1"/>
    <col min="15369" max="15369" width="8.625" style="1615" customWidth="1"/>
    <col min="15370" max="15370" width="7.5" style="1615" customWidth="1"/>
    <col min="15371" max="15371" width="8.375" style="1615" customWidth="1"/>
    <col min="15372" max="15372" width="6.375" style="1615" customWidth="1"/>
    <col min="15373" max="15373" width="6.125" style="1615" customWidth="1"/>
    <col min="15374" max="15374" width="7.25" style="1615" customWidth="1"/>
    <col min="15375" max="15375" width="9" style="1615"/>
    <col min="15376" max="15376" width="6.5" style="1615" customWidth="1"/>
    <col min="15377" max="15377" width="9.375" style="1615" customWidth="1"/>
    <col min="15378" max="15378" width="8.375" style="1615" customWidth="1"/>
    <col min="15379" max="15616" width="9" style="1615"/>
    <col min="15617" max="15617" width="0" style="1615" hidden="1" customWidth="1"/>
    <col min="15618" max="15618" width="6.125" style="1615" customWidth="1"/>
    <col min="15619" max="15620" width="5.125" style="1615" customWidth="1"/>
    <col min="15621" max="15621" width="5.375" style="1615" customWidth="1"/>
    <col min="15622" max="15623" width="9.5" style="1615" customWidth="1"/>
    <col min="15624" max="15624" width="6.375" style="1615" customWidth="1"/>
    <col min="15625" max="15625" width="8.625" style="1615" customWidth="1"/>
    <col min="15626" max="15626" width="7.5" style="1615" customWidth="1"/>
    <col min="15627" max="15627" width="8.375" style="1615" customWidth="1"/>
    <col min="15628" max="15628" width="6.375" style="1615" customWidth="1"/>
    <col min="15629" max="15629" width="6.125" style="1615" customWidth="1"/>
    <col min="15630" max="15630" width="7.25" style="1615" customWidth="1"/>
    <col min="15631" max="15631" width="9" style="1615"/>
    <col min="15632" max="15632" width="6.5" style="1615" customWidth="1"/>
    <col min="15633" max="15633" width="9.375" style="1615" customWidth="1"/>
    <col min="15634" max="15634" width="8.375" style="1615" customWidth="1"/>
    <col min="15635" max="15872" width="9" style="1615"/>
    <col min="15873" max="15873" width="0" style="1615" hidden="1" customWidth="1"/>
    <col min="15874" max="15874" width="6.125" style="1615" customWidth="1"/>
    <col min="15875" max="15876" width="5.125" style="1615" customWidth="1"/>
    <col min="15877" max="15877" width="5.375" style="1615" customWidth="1"/>
    <col min="15878" max="15879" width="9.5" style="1615" customWidth="1"/>
    <col min="15880" max="15880" width="6.375" style="1615" customWidth="1"/>
    <col min="15881" max="15881" width="8.625" style="1615" customWidth="1"/>
    <col min="15882" max="15882" width="7.5" style="1615" customWidth="1"/>
    <col min="15883" max="15883" width="8.375" style="1615" customWidth="1"/>
    <col min="15884" max="15884" width="6.375" style="1615" customWidth="1"/>
    <col min="15885" max="15885" width="6.125" style="1615" customWidth="1"/>
    <col min="15886" max="15886" width="7.25" style="1615" customWidth="1"/>
    <col min="15887" max="15887" width="9" style="1615"/>
    <col min="15888" max="15888" width="6.5" style="1615" customWidth="1"/>
    <col min="15889" max="15889" width="9.375" style="1615" customWidth="1"/>
    <col min="15890" max="15890" width="8.375" style="1615" customWidth="1"/>
    <col min="15891" max="16128" width="9" style="1615"/>
    <col min="16129" max="16129" width="0" style="1615" hidden="1" customWidth="1"/>
    <col min="16130" max="16130" width="6.125" style="1615" customWidth="1"/>
    <col min="16131" max="16132" width="5.125" style="1615" customWidth="1"/>
    <col min="16133" max="16133" width="5.375" style="1615" customWidth="1"/>
    <col min="16134" max="16135" width="9.5" style="1615" customWidth="1"/>
    <col min="16136" max="16136" width="6.375" style="1615" customWidth="1"/>
    <col min="16137" max="16137" width="8.625" style="1615" customWidth="1"/>
    <col min="16138" max="16138" width="7.5" style="1615" customWidth="1"/>
    <col min="16139" max="16139" width="8.375" style="1615" customWidth="1"/>
    <col min="16140" max="16140" width="6.375" style="1615" customWidth="1"/>
    <col min="16141" max="16141" width="6.125" style="1615" customWidth="1"/>
    <col min="16142" max="16142" width="7.25" style="1615" customWidth="1"/>
    <col min="16143" max="16143" width="9" style="1615"/>
    <col min="16144" max="16144" width="6.5" style="1615" customWidth="1"/>
    <col min="16145" max="16145" width="9.375" style="1615" customWidth="1"/>
    <col min="16146" max="16146" width="8.375" style="1615" customWidth="1"/>
    <col min="16147" max="16384" width="9" style="1615"/>
  </cols>
  <sheetData>
    <row r="1" spans="1:19" s="1614" customFormat="1" ht="25.9" customHeight="1">
      <c r="A1" s="3732" t="s">
        <v>5481</v>
      </c>
      <c r="B1" s="3732"/>
      <c r="C1" s="3732"/>
      <c r="D1" s="3732"/>
      <c r="E1" s="3732"/>
      <c r="F1" s="3732"/>
      <c r="G1" s="3732"/>
      <c r="H1" s="3732"/>
      <c r="I1" s="3732"/>
      <c r="J1" s="3732"/>
      <c r="K1" s="3732"/>
      <c r="L1" s="3732"/>
      <c r="M1" s="3732"/>
      <c r="N1" s="3732"/>
      <c r="O1" s="3732"/>
      <c r="P1" s="2754" t="str">
        <f>基本情况!$F$10</f>
        <v>厦中汇税审（2018）第DS0001号</v>
      </c>
      <c r="Q1" s="2754"/>
      <c r="R1" s="2754"/>
    </row>
    <row r="2" spans="1:19" ht="37.15" customHeight="1">
      <c r="A2" s="3733"/>
      <c r="B2" s="3733"/>
      <c r="C2" s="3733"/>
      <c r="D2" s="3733"/>
      <c r="E2" s="3733"/>
      <c r="F2" s="3733"/>
      <c r="G2" s="3733"/>
      <c r="H2" s="3733"/>
      <c r="I2" s="3733"/>
      <c r="J2" s="3733"/>
      <c r="K2" s="3733"/>
      <c r="L2" s="3733"/>
      <c r="M2" s="3733"/>
      <c r="N2" s="3733"/>
      <c r="O2" s="3733"/>
      <c r="P2" s="3023" t="str">
        <f>"底稿编号："&amp;开始!L20</f>
        <v>底稿编号：AD-18</v>
      </c>
      <c r="Q2" s="3023"/>
      <c r="R2" s="3595"/>
    </row>
    <row r="3" spans="1:19" s="1616" customFormat="1" ht="42.75" customHeight="1">
      <c r="A3" s="3734" t="s">
        <v>793</v>
      </c>
      <c r="B3" s="3741" t="s">
        <v>794</v>
      </c>
      <c r="C3" s="3741" t="s">
        <v>812</v>
      </c>
      <c r="D3" s="3741" t="s">
        <v>795</v>
      </c>
      <c r="E3" s="3741" t="s">
        <v>796</v>
      </c>
      <c r="F3" s="3741" t="s">
        <v>797</v>
      </c>
      <c r="G3" s="3743" t="s">
        <v>798</v>
      </c>
      <c r="H3" s="3744"/>
      <c r="I3" s="3743" t="s">
        <v>799</v>
      </c>
      <c r="J3" s="3745"/>
      <c r="K3" s="3744"/>
      <c r="L3" s="3745" t="s">
        <v>800</v>
      </c>
      <c r="M3" s="3745"/>
      <c r="N3" s="3745"/>
      <c r="O3" s="3745"/>
      <c r="P3" s="3745"/>
      <c r="Q3" s="3744"/>
      <c r="R3" s="3740" t="s">
        <v>801</v>
      </c>
    </row>
    <row r="4" spans="1:19" ht="77.25" customHeight="1">
      <c r="A4" s="3735"/>
      <c r="B4" s="3742"/>
      <c r="C4" s="3742"/>
      <c r="D4" s="3742"/>
      <c r="E4" s="3742"/>
      <c r="F4" s="3742"/>
      <c r="G4" s="2300" t="s">
        <v>802</v>
      </c>
      <c r="H4" s="2300" t="s">
        <v>803</v>
      </c>
      <c r="I4" s="2300" t="s">
        <v>804</v>
      </c>
      <c r="J4" s="2300" t="s">
        <v>805</v>
      </c>
      <c r="K4" s="2300" t="s">
        <v>806</v>
      </c>
      <c r="L4" s="2300" t="s">
        <v>807</v>
      </c>
      <c r="M4" s="2300" t="s">
        <v>808</v>
      </c>
      <c r="N4" s="2300" t="s">
        <v>809</v>
      </c>
      <c r="O4" s="2300" t="s">
        <v>810</v>
      </c>
      <c r="P4" s="2300" t="s">
        <v>811</v>
      </c>
      <c r="Q4" s="2300" t="s">
        <v>806</v>
      </c>
      <c r="R4" s="3740"/>
      <c r="S4" s="2272"/>
    </row>
    <row r="5" spans="1:19" ht="25.5" customHeight="1">
      <c r="A5" s="3735"/>
      <c r="B5" s="2298">
        <v>1</v>
      </c>
      <c r="C5" s="2298">
        <v>2</v>
      </c>
      <c r="D5" s="2298">
        <v>3</v>
      </c>
      <c r="E5" s="2298">
        <v>4</v>
      </c>
      <c r="F5" s="2298">
        <v>5</v>
      </c>
      <c r="G5" s="2298">
        <v>6</v>
      </c>
      <c r="H5" s="2298">
        <v>7</v>
      </c>
      <c r="I5" s="2298">
        <v>8</v>
      </c>
      <c r="J5" s="2298">
        <v>9</v>
      </c>
      <c r="K5" s="2302" t="s">
        <v>813</v>
      </c>
      <c r="L5" s="2302">
        <v>11</v>
      </c>
      <c r="M5" s="2302">
        <v>12</v>
      </c>
      <c r="N5" s="2302" t="s">
        <v>814</v>
      </c>
      <c r="O5" s="2302" t="s">
        <v>815</v>
      </c>
      <c r="P5" s="2302">
        <v>15</v>
      </c>
      <c r="Q5" s="2302" t="s">
        <v>816</v>
      </c>
      <c r="R5" s="2302" t="s">
        <v>817</v>
      </c>
    </row>
    <row r="6" spans="1:19">
      <c r="A6" s="2299">
        <v>1</v>
      </c>
      <c r="B6" s="136"/>
      <c r="C6" s="136"/>
      <c r="D6" s="136"/>
      <c r="E6" s="136"/>
      <c r="F6" s="136"/>
      <c r="G6" s="136"/>
      <c r="H6" s="136"/>
      <c r="I6" s="136"/>
      <c r="J6" s="136"/>
      <c r="K6" s="2296">
        <f>MIN(I6,J6)</f>
        <v>0</v>
      </c>
      <c r="L6" s="137"/>
      <c r="M6" s="137"/>
      <c r="N6" s="2296">
        <f>ROUND(E6*M6,2)</f>
        <v>0</v>
      </c>
      <c r="O6" s="2296">
        <f>ROUND(L6-N6,2)</f>
        <v>0</v>
      </c>
      <c r="P6" s="137"/>
      <c r="Q6" s="2296">
        <f>MIN(O6,P6)</f>
        <v>0</v>
      </c>
      <c r="R6" s="2296">
        <f>ROUND(H6+K6+Q6,2)</f>
        <v>0</v>
      </c>
    </row>
    <row r="7" spans="1:19">
      <c r="A7" s="2299">
        <v>2</v>
      </c>
      <c r="B7" s="136"/>
      <c r="C7" s="136"/>
      <c r="D7" s="136"/>
      <c r="E7" s="136"/>
      <c r="F7" s="136"/>
      <c r="G7" s="136"/>
      <c r="H7" s="136"/>
      <c r="I7" s="136"/>
      <c r="J7" s="136"/>
      <c r="K7" s="2296">
        <f t="shared" ref="K7:K12" si="0">MIN(I7,J7)</f>
        <v>0</v>
      </c>
      <c r="L7" s="137"/>
      <c r="M7" s="137"/>
      <c r="N7" s="2296">
        <f t="shared" ref="N7:N12" si="1">ROUND(E7*M7,2)</f>
        <v>0</v>
      </c>
      <c r="O7" s="2296">
        <f t="shared" ref="O7:O12" si="2">ROUND(L7-N7,2)</f>
        <v>0</v>
      </c>
      <c r="P7" s="137"/>
      <c r="Q7" s="2296">
        <f t="shared" ref="Q7:Q12" si="3">MIN(O7,P7)</f>
        <v>0</v>
      </c>
      <c r="R7" s="2296">
        <f t="shared" ref="R7:R12" si="4">ROUND(H7+K7+Q7,2)</f>
        <v>0</v>
      </c>
    </row>
    <row r="8" spans="1:19">
      <c r="A8" s="2299">
        <v>3</v>
      </c>
      <c r="B8" s="136"/>
      <c r="C8" s="136"/>
      <c r="D8" s="136"/>
      <c r="E8" s="136"/>
      <c r="F8" s="136"/>
      <c r="G8" s="136"/>
      <c r="H8" s="136"/>
      <c r="I8" s="136"/>
      <c r="J8" s="136"/>
      <c r="K8" s="2296">
        <f t="shared" si="0"/>
        <v>0</v>
      </c>
      <c r="L8" s="137"/>
      <c r="M8" s="137"/>
      <c r="N8" s="2296">
        <f t="shared" si="1"/>
        <v>0</v>
      </c>
      <c r="O8" s="2296">
        <f t="shared" si="2"/>
        <v>0</v>
      </c>
      <c r="P8" s="137"/>
      <c r="Q8" s="2296">
        <f t="shared" si="3"/>
        <v>0</v>
      </c>
      <c r="R8" s="2296">
        <f t="shared" si="4"/>
        <v>0</v>
      </c>
    </row>
    <row r="9" spans="1:19">
      <c r="A9" s="2299">
        <v>4</v>
      </c>
      <c r="B9" s="136"/>
      <c r="C9" s="136"/>
      <c r="D9" s="136"/>
      <c r="E9" s="136"/>
      <c r="F9" s="136"/>
      <c r="G9" s="136"/>
      <c r="H9" s="138"/>
      <c r="I9" s="136"/>
      <c r="J9" s="136"/>
      <c r="K9" s="2296">
        <f t="shared" si="0"/>
        <v>0</v>
      </c>
      <c r="L9" s="137"/>
      <c r="M9" s="137"/>
      <c r="N9" s="2296">
        <f t="shared" si="1"/>
        <v>0</v>
      </c>
      <c r="O9" s="2296">
        <f t="shared" si="2"/>
        <v>0</v>
      </c>
      <c r="P9" s="137"/>
      <c r="Q9" s="2296">
        <f t="shared" si="3"/>
        <v>0</v>
      </c>
      <c r="R9" s="2296">
        <f t="shared" si="4"/>
        <v>0</v>
      </c>
    </row>
    <row r="10" spans="1:19">
      <c r="A10" s="2299">
        <v>5</v>
      </c>
      <c r="B10" s="136"/>
      <c r="C10" s="136"/>
      <c r="D10" s="136"/>
      <c r="E10" s="136"/>
      <c r="F10" s="136"/>
      <c r="G10" s="136"/>
      <c r="H10" s="136"/>
      <c r="I10" s="136"/>
      <c r="J10" s="136"/>
      <c r="K10" s="2296">
        <f t="shared" si="0"/>
        <v>0</v>
      </c>
      <c r="L10" s="137"/>
      <c r="M10" s="137"/>
      <c r="N10" s="2296">
        <f t="shared" si="1"/>
        <v>0</v>
      </c>
      <c r="O10" s="2296">
        <f t="shared" si="2"/>
        <v>0</v>
      </c>
      <c r="P10" s="137"/>
      <c r="Q10" s="2296">
        <f t="shared" si="3"/>
        <v>0</v>
      </c>
      <c r="R10" s="2296">
        <f t="shared" si="4"/>
        <v>0</v>
      </c>
    </row>
    <row r="11" spans="1:19">
      <c r="A11" s="2299">
        <v>6</v>
      </c>
      <c r="B11" s="136"/>
      <c r="C11" s="136"/>
      <c r="D11" s="136"/>
      <c r="E11" s="136"/>
      <c r="F11" s="136"/>
      <c r="G11" s="136"/>
      <c r="H11" s="136"/>
      <c r="I11" s="136"/>
      <c r="J11" s="136"/>
      <c r="K11" s="2296">
        <f t="shared" si="0"/>
        <v>0</v>
      </c>
      <c r="L11" s="137"/>
      <c r="M11" s="137"/>
      <c r="N11" s="2296">
        <f t="shared" si="1"/>
        <v>0</v>
      </c>
      <c r="O11" s="2296">
        <f t="shared" si="2"/>
        <v>0</v>
      </c>
      <c r="P11" s="137"/>
      <c r="Q11" s="2296">
        <f t="shared" si="3"/>
        <v>0</v>
      </c>
      <c r="R11" s="2296">
        <f>ROUND(H11+K11+Q11,2)</f>
        <v>0</v>
      </c>
    </row>
    <row r="12" spans="1:19">
      <c r="A12" s="2299">
        <v>7</v>
      </c>
      <c r="B12" s="136"/>
      <c r="C12" s="136"/>
      <c r="D12" s="136"/>
      <c r="E12" s="136"/>
      <c r="F12" s="136"/>
      <c r="G12" s="136"/>
      <c r="H12" s="136"/>
      <c r="I12" s="136"/>
      <c r="J12" s="136"/>
      <c r="K12" s="2296">
        <f t="shared" si="0"/>
        <v>0</v>
      </c>
      <c r="L12" s="137"/>
      <c r="M12" s="137"/>
      <c r="N12" s="2296">
        <f t="shared" si="1"/>
        <v>0</v>
      </c>
      <c r="O12" s="2296">
        <f t="shared" si="2"/>
        <v>0</v>
      </c>
      <c r="P12" s="137"/>
      <c r="Q12" s="2296">
        <f t="shared" si="3"/>
        <v>0</v>
      </c>
      <c r="R12" s="2296">
        <f t="shared" si="4"/>
        <v>0</v>
      </c>
    </row>
    <row r="13" spans="1:19">
      <c r="A13" s="2299">
        <v>8</v>
      </c>
      <c r="B13" s="3736" t="s">
        <v>801</v>
      </c>
      <c r="C13" s="3737"/>
      <c r="D13" s="3737"/>
      <c r="E13" s="3737"/>
      <c r="F13" s="3737"/>
      <c r="G13" s="3737"/>
      <c r="H13" s="3737"/>
      <c r="I13" s="3737"/>
      <c r="J13" s="3737"/>
      <c r="K13" s="3737"/>
      <c r="L13" s="3737"/>
      <c r="M13" s="3737"/>
      <c r="N13" s="3737"/>
      <c r="O13" s="3737"/>
      <c r="P13" s="3737"/>
      <c r="Q13" s="3738"/>
      <c r="R13" s="2312">
        <f>ROUND(SUM(R6:R12),2)</f>
        <v>0</v>
      </c>
    </row>
    <row r="14" spans="1:19">
      <c r="A14" s="2299">
        <v>9</v>
      </c>
      <c r="B14" s="3739" t="s">
        <v>818</v>
      </c>
      <c r="C14" s="3739"/>
      <c r="D14" s="3739"/>
      <c r="E14" s="3739"/>
      <c r="F14" s="3739"/>
      <c r="G14" s="3739"/>
      <c r="H14" s="3739"/>
      <c r="I14" s="3739"/>
      <c r="J14" s="3739"/>
      <c r="K14" s="3739"/>
      <c r="L14" s="3739"/>
      <c r="M14" s="3739"/>
      <c r="N14" s="3739"/>
      <c r="O14" s="3739"/>
      <c r="P14" s="3739"/>
      <c r="Q14" s="3739"/>
      <c r="R14" s="144"/>
    </row>
    <row r="15" spans="1:19">
      <c r="A15" s="2299">
        <v>10</v>
      </c>
      <c r="B15" s="3739" t="s">
        <v>819</v>
      </c>
      <c r="C15" s="3739"/>
      <c r="D15" s="3739"/>
      <c r="E15" s="3739"/>
      <c r="F15" s="3739"/>
      <c r="G15" s="3739"/>
      <c r="H15" s="3739"/>
      <c r="I15" s="3739"/>
      <c r="J15" s="3739"/>
      <c r="K15" s="3739"/>
      <c r="L15" s="3739"/>
      <c r="M15" s="3739"/>
      <c r="N15" s="3739"/>
      <c r="O15" s="3739"/>
      <c r="P15" s="3739"/>
      <c r="Q15" s="3739"/>
      <c r="R15" s="144"/>
    </row>
  </sheetData>
  <mergeCells count="16">
    <mergeCell ref="B14:Q14"/>
    <mergeCell ref="B15:Q15"/>
    <mergeCell ref="R3:R4"/>
    <mergeCell ref="F3:F4"/>
    <mergeCell ref="B3:B4"/>
    <mergeCell ref="G3:H3"/>
    <mergeCell ref="I3:K3"/>
    <mergeCell ref="L3:Q3"/>
    <mergeCell ref="C3:C4"/>
    <mergeCell ref="D3:D4"/>
    <mergeCell ref="E3:E4"/>
    <mergeCell ref="P1:R1"/>
    <mergeCell ref="P2:R2"/>
    <mergeCell ref="A1:O2"/>
    <mergeCell ref="A3:A5"/>
    <mergeCell ref="B13:Q13"/>
  </mergeCells>
  <phoneticPr fontId="135" type="noConversion"/>
  <dataValidations count="1">
    <dataValidation type="list" allowBlank="1" showInputMessage="1" showErrorMessage="1" sqref="C5">
      <formula1>"直接投资,股票投资"</formula1>
    </dataValidation>
  </dataValidations>
  <printOptions horizontalCentered="1" verticalCentered="1"/>
  <pageMargins left="0.59055118110236215" right="0.59055118110236215" top="0.39370078740157477" bottom="0.39370078740157477" header="0.511811023622047" footer="0.511811023622047"/>
  <pageSetup paperSize="9" scale="78" fitToHeight="0" orientation="landscape" r:id="rId1"/>
  <drawing r:id="rId2"/>
  <legacyDrawing r:id="rId3"/>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8">
    <tabColor rgb="FFFFFF00"/>
  </sheetPr>
  <dimension ref="A1:G55"/>
  <sheetViews>
    <sheetView workbookViewId="0">
      <selection activeCell="A3" sqref="A3:D3"/>
    </sheetView>
  </sheetViews>
  <sheetFormatPr defaultRowHeight="14.25"/>
  <cols>
    <col min="1" max="1" width="5.75" style="1619" customWidth="1"/>
    <col min="2" max="2" width="31.5" style="1619" customWidth="1"/>
    <col min="3" max="3" width="26.5" style="1619" customWidth="1"/>
    <col min="4" max="4" width="30.5" style="1619" customWidth="1"/>
    <col min="5" max="239" width="9" style="1619"/>
    <col min="240" max="240" width="5.75" style="1619" customWidth="1"/>
    <col min="241" max="241" width="4.625" style="1619" customWidth="1"/>
    <col min="242" max="242" width="5.125" style="1619" customWidth="1"/>
    <col min="243" max="243" width="5" style="1619" customWidth="1"/>
    <col min="244" max="244" width="5.125" style="1619" customWidth="1"/>
    <col min="245" max="245" width="4.75" style="1619" customWidth="1"/>
    <col min="246" max="248" width="6.125" style="1619" customWidth="1"/>
    <col min="249" max="249" width="5.125" style="1619" customWidth="1"/>
    <col min="250" max="250" width="4.125" style="1619" customWidth="1"/>
    <col min="251" max="259" width="6.125" style="1619" customWidth="1"/>
    <col min="260" max="495" width="9" style="1619"/>
    <col min="496" max="496" width="5.75" style="1619" customWidth="1"/>
    <col min="497" max="497" width="4.625" style="1619" customWidth="1"/>
    <col min="498" max="498" width="5.125" style="1619" customWidth="1"/>
    <col min="499" max="499" width="5" style="1619" customWidth="1"/>
    <col min="500" max="500" width="5.125" style="1619" customWidth="1"/>
    <col min="501" max="501" width="4.75" style="1619" customWidth="1"/>
    <col min="502" max="504" width="6.125" style="1619" customWidth="1"/>
    <col min="505" max="505" width="5.125" style="1619" customWidth="1"/>
    <col min="506" max="506" width="4.125" style="1619" customWidth="1"/>
    <col min="507" max="515" width="6.125" style="1619" customWidth="1"/>
    <col min="516" max="751" width="9" style="1619"/>
    <col min="752" max="752" width="5.75" style="1619" customWidth="1"/>
    <col min="753" max="753" width="4.625" style="1619" customWidth="1"/>
    <col min="754" max="754" width="5.125" style="1619" customWidth="1"/>
    <col min="755" max="755" width="5" style="1619" customWidth="1"/>
    <col min="756" max="756" width="5.125" style="1619" customWidth="1"/>
    <col min="757" max="757" width="4.75" style="1619" customWidth="1"/>
    <col min="758" max="760" width="6.125" style="1619" customWidth="1"/>
    <col min="761" max="761" width="5.125" style="1619" customWidth="1"/>
    <col min="762" max="762" width="4.125" style="1619" customWidth="1"/>
    <col min="763" max="771" width="6.125" style="1619" customWidth="1"/>
    <col min="772" max="1007" width="9" style="1619"/>
    <col min="1008" max="1008" width="5.75" style="1619" customWidth="1"/>
    <col min="1009" max="1009" width="4.625" style="1619" customWidth="1"/>
    <col min="1010" max="1010" width="5.125" style="1619" customWidth="1"/>
    <col min="1011" max="1011" width="5" style="1619" customWidth="1"/>
    <col min="1012" max="1012" width="5.125" style="1619" customWidth="1"/>
    <col min="1013" max="1013" width="4.75" style="1619" customWidth="1"/>
    <col min="1014" max="1016" width="6.125" style="1619" customWidth="1"/>
    <col min="1017" max="1017" width="5.125" style="1619" customWidth="1"/>
    <col min="1018" max="1018" width="4.125" style="1619" customWidth="1"/>
    <col min="1019" max="1027" width="6.125" style="1619" customWidth="1"/>
    <col min="1028" max="1263" width="9" style="1619"/>
    <col min="1264" max="1264" width="5.75" style="1619" customWidth="1"/>
    <col min="1265" max="1265" width="4.625" style="1619" customWidth="1"/>
    <col min="1266" max="1266" width="5.125" style="1619" customWidth="1"/>
    <col min="1267" max="1267" width="5" style="1619" customWidth="1"/>
    <col min="1268" max="1268" width="5.125" style="1619" customWidth="1"/>
    <col min="1269" max="1269" width="4.75" style="1619" customWidth="1"/>
    <col min="1270" max="1272" width="6.125" style="1619" customWidth="1"/>
    <col min="1273" max="1273" width="5.125" style="1619" customWidth="1"/>
    <col min="1274" max="1274" width="4.125" style="1619" customWidth="1"/>
    <col min="1275" max="1283" width="6.125" style="1619" customWidth="1"/>
    <col min="1284" max="1519" width="9" style="1619"/>
    <col min="1520" max="1520" width="5.75" style="1619" customWidth="1"/>
    <col min="1521" max="1521" width="4.625" style="1619" customWidth="1"/>
    <col min="1522" max="1522" width="5.125" style="1619" customWidth="1"/>
    <col min="1523" max="1523" width="5" style="1619" customWidth="1"/>
    <col min="1524" max="1524" width="5.125" style="1619" customWidth="1"/>
    <col min="1525" max="1525" width="4.75" style="1619" customWidth="1"/>
    <col min="1526" max="1528" width="6.125" style="1619" customWidth="1"/>
    <col min="1529" max="1529" width="5.125" style="1619" customWidth="1"/>
    <col min="1530" max="1530" width="4.125" style="1619" customWidth="1"/>
    <col min="1531" max="1539" width="6.125" style="1619" customWidth="1"/>
    <col min="1540" max="1775" width="9" style="1619"/>
    <col min="1776" max="1776" width="5.75" style="1619" customWidth="1"/>
    <col min="1777" max="1777" width="4.625" style="1619" customWidth="1"/>
    <col min="1778" max="1778" width="5.125" style="1619" customWidth="1"/>
    <col min="1779" max="1779" width="5" style="1619" customWidth="1"/>
    <col min="1780" max="1780" width="5.125" style="1619" customWidth="1"/>
    <col min="1781" max="1781" width="4.75" style="1619" customWidth="1"/>
    <col min="1782" max="1784" width="6.125" style="1619" customWidth="1"/>
    <col min="1785" max="1785" width="5.125" style="1619" customWidth="1"/>
    <col min="1786" max="1786" width="4.125" style="1619" customWidth="1"/>
    <col min="1787" max="1795" width="6.125" style="1619" customWidth="1"/>
    <col min="1796" max="2031" width="9" style="1619"/>
    <col min="2032" max="2032" width="5.75" style="1619" customWidth="1"/>
    <col min="2033" max="2033" width="4.625" style="1619" customWidth="1"/>
    <col min="2034" max="2034" width="5.125" style="1619" customWidth="1"/>
    <col min="2035" max="2035" width="5" style="1619" customWidth="1"/>
    <col min="2036" max="2036" width="5.125" style="1619" customWidth="1"/>
    <col min="2037" max="2037" width="4.75" style="1619" customWidth="1"/>
    <col min="2038" max="2040" width="6.125" style="1619" customWidth="1"/>
    <col min="2041" max="2041" width="5.125" style="1619" customWidth="1"/>
    <col min="2042" max="2042" width="4.125" style="1619" customWidth="1"/>
    <col min="2043" max="2051" width="6.125" style="1619" customWidth="1"/>
    <col min="2052" max="2287" width="9" style="1619"/>
    <col min="2288" max="2288" width="5.75" style="1619" customWidth="1"/>
    <col min="2289" max="2289" width="4.625" style="1619" customWidth="1"/>
    <col min="2290" max="2290" width="5.125" style="1619" customWidth="1"/>
    <col min="2291" max="2291" width="5" style="1619" customWidth="1"/>
    <col min="2292" max="2292" width="5.125" style="1619" customWidth="1"/>
    <col min="2293" max="2293" width="4.75" style="1619" customWidth="1"/>
    <col min="2294" max="2296" width="6.125" style="1619" customWidth="1"/>
    <col min="2297" max="2297" width="5.125" style="1619" customWidth="1"/>
    <col min="2298" max="2298" width="4.125" style="1619" customWidth="1"/>
    <col min="2299" max="2307" width="6.125" style="1619" customWidth="1"/>
    <col min="2308" max="2543" width="9" style="1619"/>
    <col min="2544" max="2544" width="5.75" style="1619" customWidth="1"/>
    <col min="2545" max="2545" width="4.625" style="1619" customWidth="1"/>
    <col min="2546" max="2546" width="5.125" style="1619" customWidth="1"/>
    <col min="2547" max="2547" width="5" style="1619" customWidth="1"/>
    <col min="2548" max="2548" width="5.125" style="1619" customWidth="1"/>
    <col min="2549" max="2549" width="4.75" style="1619" customWidth="1"/>
    <col min="2550" max="2552" width="6.125" style="1619" customWidth="1"/>
    <col min="2553" max="2553" width="5.125" style="1619" customWidth="1"/>
    <col min="2554" max="2554" width="4.125" style="1619" customWidth="1"/>
    <col min="2555" max="2563" width="6.125" style="1619" customWidth="1"/>
    <col min="2564" max="2799" width="9" style="1619"/>
    <col min="2800" max="2800" width="5.75" style="1619" customWidth="1"/>
    <col min="2801" max="2801" width="4.625" style="1619" customWidth="1"/>
    <col min="2802" max="2802" width="5.125" style="1619" customWidth="1"/>
    <col min="2803" max="2803" width="5" style="1619" customWidth="1"/>
    <col min="2804" max="2804" width="5.125" style="1619" customWidth="1"/>
    <col min="2805" max="2805" width="4.75" style="1619" customWidth="1"/>
    <col min="2806" max="2808" width="6.125" style="1619" customWidth="1"/>
    <col min="2809" max="2809" width="5.125" style="1619" customWidth="1"/>
    <col min="2810" max="2810" width="4.125" style="1619" customWidth="1"/>
    <col min="2811" max="2819" width="6.125" style="1619" customWidth="1"/>
    <col min="2820" max="3055" width="9" style="1619"/>
    <col min="3056" max="3056" width="5.75" style="1619" customWidth="1"/>
    <col min="3057" max="3057" width="4.625" style="1619" customWidth="1"/>
    <col min="3058" max="3058" width="5.125" style="1619" customWidth="1"/>
    <col min="3059" max="3059" width="5" style="1619" customWidth="1"/>
    <col min="3060" max="3060" width="5.125" style="1619" customWidth="1"/>
    <col min="3061" max="3061" width="4.75" style="1619" customWidth="1"/>
    <col min="3062" max="3064" width="6.125" style="1619" customWidth="1"/>
    <col min="3065" max="3065" width="5.125" style="1619" customWidth="1"/>
    <col min="3066" max="3066" width="4.125" style="1619" customWidth="1"/>
    <col min="3067" max="3075" width="6.125" style="1619" customWidth="1"/>
    <col min="3076" max="3311" width="9" style="1619"/>
    <col min="3312" max="3312" width="5.75" style="1619" customWidth="1"/>
    <col min="3313" max="3313" width="4.625" style="1619" customWidth="1"/>
    <col min="3314" max="3314" width="5.125" style="1619" customWidth="1"/>
    <col min="3315" max="3315" width="5" style="1619" customWidth="1"/>
    <col min="3316" max="3316" width="5.125" style="1619" customWidth="1"/>
    <col min="3317" max="3317" width="4.75" style="1619" customWidth="1"/>
    <col min="3318" max="3320" width="6.125" style="1619" customWidth="1"/>
    <col min="3321" max="3321" width="5.125" style="1619" customWidth="1"/>
    <col min="3322" max="3322" width="4.125" style="1619" customWidth="1"/>
    <col min="3323" max="3331" width="6.125" style="1619" customWidth="1"/>
    <col min="3332" max="3567" width="9" style="1619"/>
    <col min="3568" max="3568" width="5.75" style="1619" customWidth="1"/>
    <col min="3569" max="3569" width="4.625" style="1619" customWidth="1"/>
    <col min="3570" max="3570" width="5.125" style="1619" customWidth="1"/>
    <col min="3571" max="3571" width="5" style="1619" customWidth="1"/>
    <col min="3572" max="3572" width="5.125" style="1619" customWidth="1"/>
    <col min="3573" max="3573" width="4.75" style="1619" customWidth="1"/>
    <col min="3574" max="3576" width="6.125" style="1619" customWidth="1"/>
    <col min="3577" max="3577" width="5.125" style="1619" customWidth="1"/>
    <col min="3578" max="3578" width="4.125" style="1619" customWidth="1"/>
    <col min="3579" max="3587" width="6.125" style="1619" customWidth="1"/>
    <col min="3588" max="3823" width="9" style="1619"/>
    <col min="3824" max="3824" width="5.75" style="1619" customWidth="1"/>
    <col min="3825" max="3825" width="4.625" style="1619" customWidth="1"/>
    <col min="3826" max="3826" width="5.125" style="1619" customWidth="1"/>
    <col min="3827" max="3827" width="5" style="1619" customWidth="1"/>
    <col min="3828" max="3828" width="5.125" style="1619" customWidth="1"/>
    <col min="3829" max="3829" width="4.75" style="1619" customWidth="1"/>
    <col min="3830" max="3832" width="6.125" style="1619" customWidth="1"/>
    <col min="3833" max="3833" width="5.125" style="1619" customWidth="1"/>
    <col min="3834" max="3834" width="4.125" style="1619" customWidth="1"/>
    <col min="3835" max="3843" width="6.125" style="1619" customWidth="1"/>
    <col min="3844" max="4079" width="9" style="1619"/>
    <col min="4080" max="4080" width="5.75" style="1619" customWidth="1"/>
    <col min="4081" max="4081" width="4.625" style="1619" customWidth="1"/>
    <col min="4082" max="4082" width="5.125" style="1619" customWidth="1"/>
    <col min="4083" max="4083" width="5" style="1619" customWidth="1"/>
    <col min="4084" max="4084" width="5.125" style="1619" customWidth="1"/>
    <col min="4085" max="4085" width="4.75" style="1619" customWidth="1"/>
    <col min="4086" max="4088" width="6.125" style="1619" customWidth="1"/>
    <col min="4089" max="4089" width="5.125" style="1619" customWidth="1"/>
    <col min="4090" max="4090" width="4.125" style="1619" customWidth="1"/>
    <col min="4091" max="4099" width="6.125" style="1619" customWidth="1"/>
    <col min="4100" max="4335" width="9" style="1619"/>
    <col min="4336" max="4336" width="5.75" style="1619" customWidth="1"/>
    <col min="4337" max="4337" width="4.625" style="1619" customWidth="1"/>
    <col min="4338" max="4338" width="5.125" style="1619" customWidth="1"/>
    <col min="4339" max="4339" width="5" style="1619" customWidth="1"/>
    <col min="4340" max="4340" width="5.125" style="1619" customWidth="1"/>
    <col min="4341" max="4341" width="4.75" style="1619" customWidth="1"/>
    <col min="4342" max="4344" width="6.125" style="1619" customWidth="1"/>
    <col min="4345" max="4345" width="5.125" style="1619" customWidth="1"/>
    <col min="4346" max="4346" width="4.125" style="1619" customWidth="1"/>
    <col min="4347" max="4355" width="6.125" style="1619" customWidth="1"/>
    <col min="4356" max="4591" width="9" style="1619"/>
    <col min="4592" max="4592" width="5.75" style="1619" customWidth="1"/>
    <col min="4593" max="4593" width="4.625" style="1619" customWidth="1"/>
    <col min="4594" max="4594" width="5.125" style="1619" customWidth="1"/>
    <col min="4595" max="4595" width="5" style="1619" customWidth="1"/>
    <col min="4596" max="4596" width="5.125" style="1619" customWidth="1"/>
    <col min="4597" max="4597" width="4.75" style="1619" customWidth="1"/>
    <col min="4598" max="4600" width="6.125" style="1619" customWidth="1"/>
    <col min="4601" max="4601" width="5.125" style="1619" customWidth="1"/>
    <col min="4602" max="4602" width="4.125" style="1619" customWidth="1"/>
    <col min="4603" max="4611" width="6.125" style="1619" customWidth="1"/>
    <col min="4612" max="4847" width="9" style="1619"/>
    <col min="4848" max="4848" width="5.75" style="1619" customWidth="1"/>
    <col min="4849" max="4849" width="4.625" style="1619" customWidth="1"/>
    <col min="4850" max="4850" width="5.125" style="1619" customWidth="1"/>
    <col min="4851" max="4851" width="5" style="1619" customWidth="1"/>
    <col min="4852" max="4852" width="5.125" style="1619" customWidth="1"/>
    <col min="4853" max="4853" width="4.75" style="1619" customWidth="1"/>
    <col min="4854" max="4856" width="6.125" style="1619" customWidth="1"/>
    <col min="4857" max="4857" width="5.125" style="1619" customWidth="1"/>
    <col min="4858" max="4858" width="4.125" style="1619" customWidth="1"/>
    <col min="4859" max="4867" width="6.125" style="1619" customWidth="1"/>
    <col min="4868" max="5103" width="9" style="1619"/>
    <col min="5104" max="5104" width="5.75" style="1619" customWidth="1"/>
    <col min="5105" max="5105" width="4.625" style="1619" customWidth="1"/>
    <col min="5106" max="5106" width="5.125" style="1619" customWidth="1"/>
    <col min="5107" max="5107" width="5" style="1619" customWidth="1"/>
    <col min="5108" max="5108" width="5.125" style="1619" customWidth="1"/>
    <col min="5109" max="5109" width="4.75" style="1619" customWidth="1"/>
    <col min="5110" max="5112" width="6.125" style="1619" customWidth="1"/>
    <col min="5113" max="5113" width="5.125" style="1619" customWidth="1"/>
    <col min="5114" max="5114" width="4.125" style="1619" customWidth="1"/>
    <col min="5115" max="5123" width="6.125" style="1619" customWidth="1"/>
    <col min="5124" max="5359" width="9" style="1619"/>
    <col min="5360" max="5360" width="5.75" style="1619" customWidth="1"/>
    <col min="5361" max="5361" width="4.625" style="1619" customWidth="1"/>
    <col min="5362" max="5362" width="5.125" style="1619" customWidth="1"/>
    <col min="5363" max="5363" width="5" style="1619" customWidth="1"/>
    <col min="5364" max="5364" width="5.125" style="1619" customWidth="1"/>
    <col min="5365" max="5365" width="4.75" style="1619" customWidth="1"/>
    <col min="5366" max="5368" width="6.125" style="1619" customWidth="1"/>
    <col min="5369" max="5369" width="5.125" style="1619" customWidth="1"/>
    <col min="5370" max="5370" width="4.125" style="1619" customWidth="1"/>
    <col min="5371" max="5379" width="6.125" style="1619" customWidth="1"/>
    <col min="5380" max="5615" width="9" style="1619"/>
    <col min="5616" max="5616" width="5.75" style="1619" customWidth="1"/>
    <col min="5617" max="5617" width="4.625" style="1619" customWidth="1"/>
    <col min="5618" max="5618" width="5.125" style="1619" customWidth="1"/>
    <col min="5619" max="5619" width="5" style="1619" customWidth="1"/>
    <col min="5620" max="5620" width="5.125" style="1619" customWidth="1"/>
    <col min="5621" max="5621" width="4.75" style="1619" customWidth="1"/>
    <col min="5622" max="5624" width="6.125" style="1619" customWidth="1"/>
    <col min="5625" max="5625" width="5.125" style="1619" customWidth="1"/>
    <col min="5626" max="5626" width="4.125" style="1619" customWidth="1"/>
    <col min="5627" max="5635" width="6.125" style="1619" customWidth="1"/>
    <col min="5636" max="5871" width="9" style="1619"/>
    <col min="5872" max="5872" width="5.75" style="1619" customWidth="1"/>
    <col min="5873" max="5873" width="4.625" style="1619" customWidth="1"/>
    <col min="5874" max="5874" width="5.125" style="1619" customWidth="1"/>
    <col min="5875" max="5875" width="5" style="1619" customWidth="1"/>
    <col min="5876" max="5876" width="5.125" style="1619" customWidth="1"/>
    <col min="5877" max="5877" width="4.75" style="1619" customWidth="1"/>
    <col min="5878" max="5880" width="6.125" style="1619" customWidth="1"/>
    <col min="5881" max="5881" width="5.125" style="1619" customWidth="1"/>
    <col min="5882" max="5882" width="4.125" style="1619" customWidth="1"/>
    <col min="5883" max="5891" width="6.125" style="1619" customWidth="1"/>
    <col min="5892" max="6127" width="9" style="1619"/>
    <col min="6128" max="6128" width="5.75" style="1619" customWidth="1"/>
    <col min="6129" max="6129" width="4.625" style="1619" customWidth="1"/>
    <col min="6130" max="6130" width="5.125" style="1619" customWidth="1"/>
    <col min="6131" max="6131" width="5" style="1619" customWidth="1"/>
    <col min="6132" max="6132" width="5.125" style="1619" customWidth="1"/>
    <col min="6133" max="6133" width="4.75" style="1619" customWidth="1"/>
    <col min="6134" max="6136" width="6.125" style="1619" customWidth="1"/>
    <col min="6137" max="6137" width="5.125" style="1619" customWidth="1"/>
    <col min="6138" max="6138" width="4.125" style="1619" customWidth="1"/>
    <col min="6139" max="6147" width="6.125" style="1619" customWidth="1"/>
    <col min="6148" max="6383" width="9" style="1619"/>
    <col min="6384" max="6384" width="5.75" style="1619" customWidth="1"/>
    <col min="6385" max="6385" width="4.625" style="1619" customWidth="1"/>
    <col min="6386" max="6386" width="5.125" style="1619" customWidth="1"/>
    <col min="6387" max="6387" width="5" style="1619" customWidth="1"/>
    <col min="6388" max="6388" width="5.125" style="1619" customWidth="1"/>
    <col min="6389" max="6389" width="4.75" style="1619" customWidth="1"/>
    <col min="6390" max="6392" width="6.125" style="1619" customWidth="1"/>
    <col min="6393" max="6393" width="5.125" style="1619" customWidth="1"/>
    <col min="6394" max="6394" width="4.125" style="1619" customWidth="1"/>
    <col min="6395" max="6403" width="6.125" style="1619" customWidth="1"/>
    <col min="6404" max="6639" width="9" style="1619"/>
    <col min="6640" max="6640" width="5.75" style="1619" customWidth="1"/>
    <col min="6641" max="6641" width="4.625" style="1619" customWidth="1"/>
    <col min="6642" max="6642" width="5.125" style="1619" customWidth="1"/>
    <col min="6643" max="6643" width="5" style="1619" customWidth="1"/>
    <col min="6644" max="6644" width="5.125" style="1619" customWidth="1"/>
    <col min="6645" max="6645" width="4.75" style="1619" customWidth="1"/>
    <col min="6646" max="6648" width="6.125" style="1619" customWidth="1"/>
    <col min="6649" max="6649" width="5.125" style="1619" customWidth="1"/>
    <col min="6650" max="6650" width="4.125" style="1619" customWidth="1"/>
    <col min="6651" max="6659" width="6.125" style="1619" customWidth="1"/>
    <col min="6660" max="6895" width="9" style="1619"/>
    <col min="6896" max="6896" width="5.75" style="1619" customWidth="1"/>
    <col min="6897" max="6897" width="4.625" style="1619" customWidth="1"/>
    <col min="6898" max="6898" width="5.125" style="1619" customWidth="1"/>
    <col min="6899" max="6899" width="5" style="1619" customWidth="1"/>
    <col min="6900" max="6900" width="5.125" style="1619" customWidth="1"/>
    <col min="6901" max="6901" width="4.75" style="1619" customWidth="1"/>
    <col min="6902" max="6904" width="6.125" style="1619" customWidth="1"/>
    <col min="6905" max="6905" width="5.125" style="1619" customWidth="1"/>
    <col min="6906" max="6906" width="4.125" style="1619" customWidth="1"/>
    <col min="6907" max="6915" width="6.125" style="1619" customWidth="1"/>
    <col min="6916" max="7151" width="9" style="1619"/>
    <col min="7152" max="7152" width="5.75" style="1619" customWidth="1"/>
    <col min="7153" max="7153" width="4.625" style="1619" customWidth="1"/>
    <col min="7154" max="7154" width="5.125" style="1619" customWidth="1"/>
    <col min="7155" max="7155" width="5" style="1619" customWidth="1"/>
    <col min="7156" max="7156" width="5.125" style="1619" customWidth="1"/>
    <col min="7157" max="7157" width="4.75" style="1619" customWidth="1"/>
    <col min="7158" max="7160" width="6.125" style="1619" customWidth="1"/>
    <col min="7161" max="7161" width="5.125" style="1619" customWidth="1"/>
    <col min="7162" max="7162" width="4.125" style="1619" customWidth="1"/>
    <col min="7163" max="7171" width="6.125" style="1619" customWidth="1"/>
    <col min="7172" max="7407" width="9" style="1619"/>
    <col min="7408" max="7408" width="5.75" style="1619" customWidth="1"/>
    <col min="7409" max="7409" width="4.625" style="1619" customWidth="1"/>
    <col min="7410" max="7410" width="5.125" style="1619" customWidth="1"/>
    <col min="7411" max="7411" width="5" style="1619" customWidth="1"/>
    <col min="7412" max="7412" width="5.125" style="1619" customWidth="1"/>
    <col min="7413" max="7413" width="4.75" style="1619" customWidth="1"/>
    <col min="7414" max="7416" width="6.125" style="1619" customWidth="1"/>
    <col min="7417" max="7417" width="5.125" style="1619" customWidth="1"/>
    <col min="7418" max="7418" width="4.125" style="1619" customWidth="1"/>
    <col min="7419" max="7427" width="6.125" style="1619" customWidth="1"/>
    <col min="7428" max="7663" width="9" style="1619"/>
    <col min="7664" max="7664" width="5.75" style="1619" customWidth="1"/>
    <col min="7665" max="7665" width="4.625" style="1619" customWidth="1"/>
    <col min="7666" max="7666" width="5.125" style="1619" customWidth="1"/>
    <col min="7667" max="7667" width="5" style="1619" customWidth="1"/>
    <col min="7668" max="7668" width="5.125" style="1619" customWidth="1"/>
    <col min="7669" max="7669" width="4.75" style="1619" customWidth="1"/>
    <col min="7670" max="7672" width="6.125" style="1619" customWidth="1"/>
    <col min="7673" max="7673" width="5.125" style="1619" customWidth="1"/>
    <col min="7674" max="7674" width="4.125" style="1619" customWidth="1"/>
    <col min="7675" max="7683" width="6.125" style="1619" customWidth="1"/>
    <col min="7684" max="7919" width="9" style="1619"/>
    <col min="7920" max="7920" width="5.75" style="1619" customWidth="1"/>
    <col min="7921" max="7921" width="4.625" style="1619" customWidth="1"/>
    <col min="7922" max="7922" width="5.125" style="1619" customWidth="1"/>
    <col min="7923" max="7923" width="5" style="1619" customWidth="1"/>
    <col min="7924" max="7924" width="5.125" style="1619" customWidth="1"/>
    <col min="7925" max="7925" width="4.75" style="1619" customWidth="1"/>
    <col min="7926" max="7928" width="6.125" style="1619" customWidth="1"/>
    <col min="7929" max="7929" width="5.125" style="1619" customWidth="1"/>
    <col min="7930" max="7930" width="4.125" style="1619" customWidth="1"/>
    <col min="7931" max="7939" width="6.125" style="1619" customWidth="1"/>
    <col min="7940" max="8175" width="9" style="1619"/>
    <col min="8176" max="8176" width="5.75" style="1619" customWidth="1"/>
    <col min="8177" max="8177" width="4.625" style="1619" customWidth="1"/>
    <col min="8178" max="8178" width="5.125" style="1619" customWidth="1"/>
    <col min="8179" max="8179" width="5" style="1619" customWidth="1"/>
    <col min="8180" max="8180" width="5.125" style="1619" customWidth="1"/>
    <col min="8181" max="8181" width="4.75" style="1619" customWidth="1"/>
    <col min="8182" max="8184" width="6.125" style="1619" customWidth="1"/>
    <col min="8185" max="8185" width="5.125" style="1619" customWidth="1"/>
    <col min="8186" max="8186" width="4.125" style="1619" customWidth="1"/>
    <col min="8187" max="8195" width="6.125" style="1619" customWidth="1"/>
    <col min="8196" max="8431" width="9" style="1619"/>
    <col min="8432" max="8432" width="5.75" style="1619" customWidth="1"/>
    <col min="8433" max="8433" width="4.625" style="1619" customWidth="1"/>
    <col min="8434" max="8434" width="5.125" style="1619" customWidth="1"/>
    <col min="8435" max="8435" width="5" style="1619" customWidth="1"/>
    <col min="8436" max="8436" width="5.125" style="1619" customWidth="1"/>
    <col min="8437" max="8437" width="4.75" style="1619" customWidth="1"/>
    <col min="8438" max="8440" width="6.125" style="1619" customWidth="1"/>
    <col min="8441" max="8441" width="5.125" style="1619" customWidth="1"/>
    <col min="8442" max="8442" width="4.125" style="1619" customWidth="1"/>
    <col min="8443" max="8451" width="6.125" style="1619" customWidth="1"/>
    <col min="8452" max="8687" width="9" style="1619"/>
    <col min="8688" max="8688" width="5.75" style="1619" customWidth="1"/>
    <col min="8689" max="8689" width="4.625" style="1619" customWidth="1"/>
    <col min="8690" max="8690" width="5.125" style="1619" customWidth="1"/>
    <col min="8691" max="8691" width="5" style="1619" customWidth="1"/>
    <col min="8692" max="8692" width="5.125" style="1619" customWidth="1"/>
    <col min="8693" max="8693" width="4.75" style="1619" customWidth="1"/>
    <col min="8694" max="8696" width="6.125" style="1619" customWidth="1"/>
    <col min="8697" max="8697" width="5.125" style="1619" customWidth="1"/>
    <col min="8698" max="8698" width="4.125" style="1619" customWidth="1"/>
    <col min="8699" max="8707" width="6.125" style="1619" customWidth="1"/>
    <col min="8708" max="8943" width="9" style="1619"/>
    <col min="8944" max="8944" width="5.75" style="1619" customWidth="1"/>
    <col min="8945" max="8945" width="4.625" style="1619" customWidth="1"/>
    <col min="8946" max="8946" width="5.125" style="1619" customWidth="1"/>
    <col min="8947" max="8947" width="5" style="1619" customWidth="1"/>
    <col min="8948" max="8948" width="5.125" style="1619" customWidth="1"/>
    <col min="8949" max="8949" width="4.75" style="1619" customWidth="1"/>
    <col min="8950" max="8952" width="6.125" style="1619" customWidth="1"/>
    <col min="8953" max="8953" width="5.125" style="1619" customWidth="1"/>
    <col min="8954" max="8954" width="4.125" style="1619" customWidth="1"/>
    <col min="8955" max="8963" width="6.125" style="1619" customWidth="1"/>
    <col min="8964" max="9199" width="9" style="1619"/>
    <col min="9200" max="9200" width="5.75" style="1619" customWidth="1"/>
    <col min="9201" max="9201" width="4.625" style="1619" customWidth="1"/>
    <col min="9202" max="9202" width="5.125" style="1619" customWidth="1"/>
    <col min="9203" max="9203" width="5" style="1619" customWidth="1"/>
    <col min="9204" max="9204" width="5.125" style="1619" customWidth="1"/>
    <col min="9205" max="9205" width="4.75" style="1619" customWidth="1"/>
    <col min="9206" max="9208" width="6.125" style="1619" customWidth="1"/>
    <col min="9209" max="9209" width="5.125" style="1619" customWidth="1"/>
    <col min="9210" max="9210" width="4.125" style="1619" customWidth="1"/>
    <col min="9211" max="9219" width="6.125" style="1619" customWidth="1"/>
    <col min="9220" max="9455" width="9" style="1619"/>
    <col min="9456" max="9456" width="5.75" style="1619" customWidth="1"/>
    <col min="9457" max="9457" width="4.625" style="1619" customWidth="1"/>
    <col min="9458" max="9458" width="5.125" style="1619" customWidth="1"/>
    <col min="9459" max="9459" width="5" style="1619" customWidth="1"/>
    <col min="9460" max="9460" width="5.125" style="1619" customWidth="1"/>
    <col min="9461" max="9461" width="4.75" style="1619" customWidth="1"/>
    <col min="9462" max="9464" width="6.125" style="1619" customWidth="1"/>
    <col min="9465" max="9465" width="5.125" style="1619" customWidth="1"/>
    <col min="9466" max="9466" width="4.125" style="1619" customWidth="1"/>
    <col min="9467" max="9475" width="6.125" style="1619" customWidth="1"/>
    <col min="9476" max="9711" width="9" style="1619"/>
    <col min="9712" max="9712" width="5.75" style="1619" customWidth="1"/>
    <col min="9713" max="9713" width="4.625" style="1619" customWidth="1"/>
    <col min="9714" max="9714" width="5.125" style="1619" customWidth="1"/>
    <col min="9715" max="9715" width="5" style="1619" customWidth="1"/>
    <col min="9716" max="9716" width="5.125" style="1619" customWidth="1"/>
    <col min="9717" max="9717" width="4.75" style="1619" customWidth="1"/>
    <col min="9718" max="9720" width="6.125" style="1619" customWidth="1"/>
    <col min="9721" max="9721" width="5.125" style="1619" customWidth="1"/>
    <col min="9722" max="9722" width="4.125" style="1619" customWidth="1"/>
    <col min="9723" max="9731" width="6.125" style="1619" customWidth="1"/>
    <col min="9732" max="9967" width="9" style="1619"/>
    <col min="9968" max="9968" width="5.75" style="1619" customWidth="1"/>
    <col min="9969" max="9969" width="4.625" style="1619" customWidth="1"/>
    <col min="9970" max="9970" width="5.125" style="1619" customWidth="1"/>
    <col min="9971" max="9971" width="5" style="1619" customWidth="1"/>
    <col min="9972" max="9972" width="5.125" style="1619" customWidth="1"/>
    <col min="9973" max="9973" width="4.75" style="1619" customWidth="1"/>
    <col min="9974" max="9976" width="6.125" style="1619" customWidth="1"/>
    <col min="9977" max="9977" width="5.125" style="1619" customWidth="1"/>
    <col min="9978" max="9978" width="4.125" style="1619" customWidth="1"/>
    <col min="9979" max="9987" width="6.125" style="1619" customWidth="1"/>
    <col min="9988" max="10223" width="9" style="1619"/>
    <col min="10224" max="10224" width="5.75" style="1619" customWidth="1"/>
    <col min="10225" max="10225" width="4.625" style="1619" customWidth="1"/>
    <col min="10226" max="10226" width="5.125" style="1619" customWidth="1"/>
    <col min="10227" max="10227" width="5" style="1619" customWidth="1"/>
    <col min="10228" max="10228" width="5.125" style="1619" customWidth="1"/>
    <col min="10229" max="10229" width="4.75" style="1619" customWidth="1"/>
    <col min="10230" max="10232" width="6.125" style="1619" customWidth="1"/>
    <col min="10233" max="10233" width="5.125" style="1619" customWidth="1"/>
    <col min="10234" max="10234" width="4.125" style="1619" customWidth="1"/>
    <col min="10235" max="10243" width="6.125" style="1619" customWidth="1"/>
    <col min="10244" max="10479" width="9" style="1619"/>
    <col min="10480" max="10480" width="5.75" style="1619" customWidth="1"/>
    <col min="10481" max="10481" width="4.625" style="1619" customWidth="1"/>
    <col min="10482" max="10482" width="5.125" style="1619" customWidth="1"/>
    <col min="10483" max="10483" width="5" style="1619" customWidth="1"/>
    <col min="10484" max="10484" width="5.125" style="1619" customWidth="1"/>
    <col min="10485" max="10485" width="4.75" style="1619" customWidth="1"/>
    <col min="10486" max="10488" width="6.125" style="1619" customWidth="1"/>
    <col min="10489" max="10489" width="5.125" style="1619" customWidth="1"/>
    <col min="10490" max="10490" width="4.125" style="1619" customWidth="1"/>
    <col min="10491" max="10499" width="6.125" style="1619" customWidth="1"/>
    <col min="10500" max="10735" width="9" style="1619"/>
    <col min="10736" max="10736" width="5.75" style="1619" customWidth="1"/>
    <col min="10737" max="10737" width="4.625" style="1619" customWidth="1"/>
    <col min="10738" max="10738" width="5.125" style="1619" customWidth="1"/>
    <col min="10739" max="10739" width="5" style="1619" customWidth="1"/>
    <col min="10740" max="10740" width="5.125" style="1619" customWidth="1"/>
    <col min="10741" max="10741" width="4.75" style="1619" customWidth="1"/>
    <col min="10742" max="10744" width="6.125" style="1619" customWidth="1"/>
    <col min="10745" max="10745" width="5.125" style="1619" customWidth="1"/>
    <col min="10746" max="10746" width="4.125" style="1619" customWidth="1"/>
    <col min="10747" max="10755" width="6.125" style="1619" customWidth="1"/>
    <col min="10756" max="10991" width="9" style="1619"/>
    <col min="10992" max="10992" width="5.75" style="1619" customWidth="1"/>
    <col min="10993" max="10993" width="4.625" style="1619" customWidth="1"/>
    <col min="10994" max="10994" width="5.125" style="1619" customWidth="1"/>
    <col min="10995" max="10995" width="5" style="1619" customWidth="1"/>
    <col min="10996" max="10996" width="5.125" style="1619" customWidth="1"/>
    <col min="10997" max="10997" width="4.75" style="1619" customWidth="1"/>
    <col min="10998" max="11000" width="6.125" style="1619" customWidth="1"/>
    <col min="11001" max="11001" width="5.125" style="1619" customWidth="1"/>
    <col min="11002" max="11002" width="4.125" style="1619" customWidth="1"/>
    <col min="11003" max="11011" width="6.125" style="1619" customWidth="1"/>
    <col min="11012" max="11247" width="9" style="1619"/>
    <col min="11248" max="11248" width="5.75" style="1619" customWidth="1"/>
    <col min="11249" max="11249" width="4.625" style="1619" customWidth="1"/>
    <col min="11250" max="11250" width="5.125" style="1619" customWidth="1"/>
    <col min="11251" max="11251" width="5" style="1619" customWidth="1"/>
    <col min="11252" max="11252" width="5.125" style="1619" customWidth="1"/>
    <col min="11253" max="11253" width="4.75" style="1619" customWidth="1"/>
    <col min="11254" max="11256" width="6.125" style="1619" customWidth="1"/>
    <col min="11257" max="11257" width="5.125" style="1619" customWidth="1"/>
    <col min="11258" max="11258" width="4.125" style="1619" customWidth="1"/>
    <col min="11259" max="11267" width="6.125" style="1619" customWidth="1"/>
    <col min="11268" max="11503" width="9" style="1619"/>
    <col min="11504" max="11504" width="5.75" style="1619" customWidth="1"/>
    <col min="11505" max="11505" width="4.625" style="1619" customWidth="1"/>
    <col min="11506" max="11506" width="5.125" style="1619" customWidth="1"/>
    <col min="11507" max="11507" width="5" style="1619" customWidth="1"/>
    <col min="11508" max="11508" width="5.125" style="1619" customWidth="1"/>
    <col min="11509" max="11509" width="4.75" style="1619" customWidth="1"/>
    <col min="11510" max="11512" width="6.125" style="1619" customWidth="1"/>
    <col min="11513" max="11513" width="5.125" style="1619" customWidth="1"/>
    <col min="11514" max="11514" width="4.125" style="1619" customWidth="1"/>
    <col min="11515" max="11523" width="6.125" style="1619" customWidth="1"/>
    <col min="11524" max="11759" width="9" style="1619"/>
    <col min="11760" max="11760" width="5.75" style="1619" customWidth="1"/>
    <col min="11761" max="11761" width="4.625" style="1619" customWidth="1"/>
    <col min="11762" max="11762" width="5.125" style="1619" customWidth="1"/>
    <col min="11763" max="11763" width="5" style="1619" customWidth="1"/>
    <col min="11764" max="11764" width="5.125" style="1619" customWidth="1"/>
    <col min="11765" max="11765" width="4.75" style="1619" customWidth="1"/>
    <col min="11766" max="11768" width="6.125" style="1619" customWidth="1"/>
    <col min="11769" max="11769" width="5.125" style="1619" customWidth="1"/>
    <col min="11770" max="11770" width="4.125" style="1619" customWidth="1"/>
    <col min="11771" max="11779" width="6.125" style="1619" customWidth="1"/>
    <col min="11780" max="12015" width="9" style="1619"/>
    <col min="12016" max="12016" width="5.75" style="1619" customWidth="1"/>
    <col min="12017" max="12017" width="4.625" style="1619" customWidth="1"/>
    <col min="12018" max="12018" width="5.125" style="1619" customWidth="1"/>
    <col min="12019" max="12019" width="5" style="1619" customWidth="1"/>
    <col min="12020" max="12020" width="5.125" style="1619" customWidth="1"/>
    <col min="12021" max="12021" width="4.75" style="1619" customWidth="1"/>
    <col min="12022" max="12024" width="6.125" style="1619" customWidth="1"/>
    <col min="12025" max="12025" width="5.125" style="1619" customWidth="1"/>
    <col min="12026" max="12026" width="4.125" style="1619" customWidth="1"/>
    <col min="12027" max="12035" width="6.125" style="1619" customWidth="1"/>
    <col min="12036" max="12271" width="9" style="1619"/>
    <col min="12272" max="12272" width="5.75" style="1619" customWidth="1"/>
    <col min="12273" max="12273" width="4.625" style="1619" customWidth="1"/>
    <col min="12274" max="12274" width="5.125" style="1619" customWidth="1"/>
    <col min="12275" max="12275" width="5" style="1619" customWidth="1"/>
    <col min="12276" max="12276" width="5.125" style="1619" customWidth="1"/>
    <col min="12277" max="12277" width="4.75" style="1619" customWidth="1"/>
    <col min="12278" max="12280" width="6.125" style="1619" customWidth="1"/>
    <col min="12281" max="12281" width="5.125" style="1619" customWidth="1"/>
    <col min="12282" max="12282" width="4.125" style="1619" customWidth="1"/>
    <col min="12283" max="12291" width="6.125" style="1619" customWidth="1"/>
    <col min="12292" max="12527" width="9" style="1619"/>
    <col min="12528" max="12528" width="5.75" style="1619" customWidth="1"/>
    <col min="12529" max="12529" width="4.625" style="1619" customWidth="1"/>
    <col min="12530" max="12530" width="5.125" style="1619" customWidth="1"/>
    <col min="12531" max="12531" width="5" style="1619" customWidth="1"/>
    <col min="12532" max="12532" width="5.125" style="1619" customWidth="1"/>
    <col min="12533" max="12533" width="4.75" style="1619" customWidth="1"/>
    <col min="12534" max="12536" width="6.125" style="1619" customWidth="1"/>
    <col min="12537" max="12537" width="5.125" style="1619" customWidth="1"/>
    <col min="12538" max="12538" width="4.125" style="1619" customWidth="1"/>
    <col min="12539" max="12547" width="6.125" style="1619" customWidth="1"/>
    <col min="12548" max="12783" width="9" style="1619"/>
    <col min="12784" max="12784" width="5.75" style="1619" customWidth="1"/>
    <col min="12785" max="12785" width="4.625" style="1619" customWidth="1"/>
    <col min="12786" max="12786" width="5.125" style="1619" customWidth="1"/>
    <col min="12787" max="12787" width="5" style="1619" customWidth="1"/>
    <col min="12788" max="12788" width="5.125" style="1619" customWidth="1"/>
    <col min="12789" max="12789" width="4.75" style="1619" customWidth="1"/>
    <col min="12790" max="12792" width="6.125" style="1619" customWidth="1"/>
    <col min="12793" max="12793" width="5.125" style="1619" customWidth="1"/>
    <col min="12794" max="12794" width="4.125" style="1619" customWidth="1"/>
    <col min="12795" max="12803" width="6.125" style="1619" customWidth="1"/>
    <col min="12804" max="13039" width="9" style="1619"/>
    <col min="13040" max="13040" width="5.75" style="1619" customWidth="1"/>
    <col min="13041" max="13041" width="4.625" style="1619" customWidth="1"/>
    <col min="13042" max="13042" width="5.125" style="1619" customWidth="1"/>
    <col min="13043" max="13043" width="5" style="1619" customWidth="1"/>
    <col min="13044" max="13044" width="5.125" style="1619" customWidth="1"/>
    <col min="13045" max="13045" width="4.75" style="1619" customWidth="1"/>
    <col min="13046" max="13048" width="6.125" style="1619" customWidth="1"/>
    <col min="13049" max="13049" width="5.125" style="1619" customWidth="1"/>
    <col min="13050" max="13050" width="4.125" style="1619" customWidth="1"/>
    <col min="13051" max="13059" width="6.125" style="1619" customWidth="1"/>
    <col min="13060" max="13295" width="9" style="1619"/>
    <col min="13296" max="13296" width="5.75" style="1619" customWidth="1"/>
    <col min="13297" max="13297" width="4.625" style="1619" customWidth="1"/>
    <col min="13298" max="13298" width="5.125" style="1619" customWidth="1"/>
    <col min="13299" max="13299" width="5" style="1619" customWidth="1"/>
    <col min="13300" max="13300" width="5.125" style="1619" customWidth="1"/>
    <col min="13301" max="13301" width="4.75" style="1619" customWidth="1"/>
    <col min="13302" max="13304" width="6.125" style="1619" customWidth="1"/>
    <col min="13305" max="13305" width="5.125" style="1619" customWidth="1"/>
    <col min="13306" max="13306" width="4.125" style="1619" customWidth="1"/>
    <col min="13307" max="13315" width="6.125" style="1619" customWidth="1"/>
    <col min="13316" max="13551" width="9" style="1619"/>
    <col min="13552" max="13552" width="5.75" style="1619" customWidth="1"/>
    <col min="13553" max="13553" width="4.625" style="1619" customWidth="1"/>
    <col min="13554" max="13554" width="5.125" style="1619" customWidth="1"/>
    <col min="13555" max="13555" width="5" style="1619" customWidth="1"/>
    <col min="13556" max="13556" width="5.125" style="1619" customWidth="1"/>
    <col min="13557" max="13557" width="4.75" style="1619" customWidth="1"/>
    <col min="13558" max="13560" width="6.125" style="1619" customWidth="1"/>
    <col min="13561" max="13561" width="5.125" style="1619" customWidth="1"/>
    <col min="13562" max="13562" width="4.125" style="1619" customWidth="1"/>
    <col min="13563" max="13571" width="6.125" style="1619" customWidth="1"/>
    <col min="13572" max="13807" width="9" style="1619"/>
    <col min="13808" max="13808" width="5.75" style="1619" customWidth="1"/>
    <col min="13809" max="13809" width="4.625" style="1619" customWidth="1"/>
    <col min="13810" max="13810" width="5.125" style="1619" customWidth="1"/>
    <col min="13811" max="13811" width="5" style="1619" customWidth="1"/>
    <col min="13812" max="13812" width="5.125" style="1619" customWidth="1"/>
    <col min="13813" max="13813" width="4.75" style="1619" customWidth="1"/>
    <col min="13814" max="13816" width="6.125" style="1619" customWidth="1"/>
    <col min="13817" max="13817" width="5.125" style="1619" customWidth="1"/>
    <col min="13818" max="13818" width="4.125" style="1619" customWidth="1"/>
    <col min="13819" max="13827" width="6.125" style="1619" customWidth="1"/>
    <col min="13828" max="14063" width="9" style="1619"/>
    <col min="14064" max="14064" width="5.75" style="1619" customWidth="1"/>
    <col min="14065" max="14065" width="4.625" style="1619" customWidth="1"/>
    <col min="14066" max="14066" width="5.125" style="1619" customWidth="1"/>
    <col min="14067" max="14067" width="5" style="1619" customWidth="1"/>
    <col min="14068" max="14068" width="5.125" style="1619" customWidth="1"/>
    <col min="14069" max="14069" width="4.75" style="1619" customWidth="1"/>
    <col min="14070" max="14072" width="6.125" style="1619" customWidth="1"/>
    <col min="14073" max="14073" width="5.125" style="1619" customWidth="1"/>
    <col min="14074" max="14074" width="4.125" style="1619" customWidth="1"/>
    <col min="14075" max="14083" width="6.125" style="1619" customWidth="1"/>
    <col min="14084" max="14319" width="9" style="1619"/>
    <col min="14320" max="14320" width="5.75" style="1619" customWidth="1"/>
    <col min="14321" max="14321" width="4.625" style="1619" customWidth="1"/>
    <col min="14322" max="14322" width="5.125" style="1619" customWidth="1"/>
    <col min="14323" max="14323" width="5" style="1619" customWidth="1"/>
    <col min="14324" max="14324" width="5.125" style="1619" customWidth="1"/>
    <col min="14325" max="14325" width="4.75" style="1619" customWidth="1"/>
    <col min="14326" max="14328" width="6.125" style="1619" customWidth="1"/>
    <col min="14329" max="14329" width="5.125" style="1619" customWidth="1"/>
    <col min="14330" max="14330" width="4.125" style="1619" customWidth="1"/>
    <col min="14331" max="14339" width="6.125" style="1619" customWidth="1"/>
    <col min="14340" max="14575" width="9" style="1619"/>
    <col min="14576" max="14576" width="5.75" style="1619" customWidth="1"/>
    <col min="14577" max="14577" width="4.625" style="1619" customWidth="1"/>
    <col min="14578" max="14578" width="5.125" style="1619" customWidth="1"/>
    <col min="14579" max="14579" width="5" style="1619" customWidth="1"/>
    <col min="14580" max="14580" width="5.125" style="1619" customWidth="1"/>
    <col min="14581" max="14581" width="4.75" style="1619" customWidth="1"/>
    <col min="14582" max="14584" width="6.125" style="1619" customWidth="1"/>
    <col min="14585" max="14585" width="5.125" style="1619" customWidth="1"/>
    <col min="14586" max="14586" width="4.125" style="1619" customWidth="1"/>
    <col min="14587" max="14595" width="6.125" style="1619" customWidth="1"/>
    <col min="14596" max="14831" width="9" style="1619"/>
    <col min="14832" max="14832" width="5.75" style="1619" customWidth="1"/>
    <col min="14833" max="14833" width="4.625" style="1619" customWidth="1"/>
    <col min="14834" max="14834" width="5.125" style="1619" customWidth="1"/>
    <col min="14835" max="14835" width="5" style="1619" customWidth="1"/>
    <col min="14836" max="14836" width="5.125" style="1619" customWidth="1"/>
    <col min="14837" max="14837" width="4.75" style="1619" customWidth="1"/>
    <col min="14838" max="14840" width="6.125" style="1619" customWidth="1"/>
    <col min="14841" max="14841" width="5.125" style="1619" customWidth="1"/>
    <col min="14842" max="14842" width="4.125" style="1619" customWidth="1"/>
    <col min="14843" max="14851" width="6.125" style="1619" customWidth="1"/>
    <col min="14852" max="15087" width="9" style="1619"/>
    <col min="15088" max="15088" width="5.75" style="1619" customWidth="1"/>
    <col min="15089" max="15089" width="4.625" style="1619" customWidth="1"/>
    <col min="15090" max="15090" width="5.125" style="1619" customWidth="1"/>
    <col min="15091" max="15091" width="5" style="1619" customWidth="1"/>
    <col min="15092" max="15092" width="5.125" style="1619" customWidth="1"/>
    <col min="15093" max="15093" width="4.75" style="1619" customWidth="1"/>
    <col min="15094" max="15096" width="6.125" style="1619" customWidth="1"/>
    <col min="15097" max="15097" width="5.125" style="1619" customWidth="1"/>
    <col min="15098" max="15098" width="4.125" style="1619" customWidth="1"/>
    <col min="15099" max="15107" width="6.125" style="1619" customWidth="1"/>
    <col min="15108" max="15343" width="9" style="1619"/>
    <col min="15344" max="15344" width="5.75" style="1619" customWidth="1"/>
    <col min="15345" max="15345" width="4.625" style="1619" customWidth="1"/>
    <col min="15346" max="15346" width="5.125" style="1619" customWidth="1"/>
    <col min="15347" max="15347" width="5" style="1619" customWidth="1"/>
    <col min="15348" max="15348" width="5.125" style="1619" customWidth="1"/>
    <col min="15349" max="15349" width="4.75" style="1619" customWidth="1"/>
    <col min="15350" max="15352" width="6.125" style="1619" customWidth="1"/>
    <col min="15353" max="15353" width="5.125" style="1619" customWidth="1"/>
    <col min="15354" max="15354" width="4.125" style="1619" customWidth="1"/>
    <col min="15355" max="15363" width="6.125" style="1619" customWidth="1"/>
    <col min="15364" max="15599" width="9" style="1619"/>
    <col min="15600" max="15600" width="5.75" style="1619" customWidth="1"/>
    <col min="15601" max="15601" width="4.625" style="1619" customWidth="1"/>
    <col min="15602" max="15602" width="5.125" style="1619" customWidth="1"/>
    <col min="15603" max="15603" width="5" style="1619" customWidth="1"/>
    <col min="15604" max="15604" width="5.125" style="1619" customWidth="1"/>
    <col min="15605" max="15605" width="4.75" style="1619" customWidth="1"/>
    <col min="15606" max="15608" width="6.125" style="1619" customWidth="1"/>
    <col min="15609" max="15609" width="5.125" style="1619" customWidth="1"/>
    <col min="15610" max="15610" width="4.125" style="1619" customWidth="1"/>
    <col min="15611" max="15619" width="6.125" style="1619" customWidth="1"/>
    <col min="15620" max="15855" width="9" style="1619"/>
    <col min="15856" max="15856" width="5.75" style="1619" customWidth="1"/>
    <col min="15857" max="15857" width="4.625" style="1619" customWidth="1"/>
    <col min="15858" max="15858" width="5.125" style="1619" customWidth="1"/>
    <col min="15859" max="15859" width="5" style="1619" customWidth="1"/>
    <col min="15860" max="15860" width="5.125" style="1619" customWidth="1"/>
    <col min="15861" max="15861" width="4.75" style="1619" customWidth="1"/>
    <col min="15862" max="15864" width="6.125" style="1619" customWidth="1"/>
    <col min="15865" max="15865" width="5.125" style="1619" customWidth="1"/>
    <col min="15866" max="15866" width="4.125" style="1619" customWidth="1"/>
    <col min="15867" max="15875" width="6.125" style="1619" customWidth="1"/>
    <col min="15876" max="16111" width="9" style="1619"/>
    <col min="16112" max="16112" width="5.75" style="1619" customWidth="1"/>
    <col min="16113" max="16113" width="4.625" style="1619" customWidth="1"/>
    <col min="16114" max="16114" width="5.125" style="1619" customWidth="1"/>
    <col min="16115" max="16115" width="5" style="1619" customWidth="1"/>
    <col min="16116" max="16116" width="5.125" style="1619" customWidth="1"/>
    <col min="16117" max="16117" width="4.75" style="1619" customWidth="1"/>
    <col min="16118" max="16120" width="6.125" style="1619" customWidth="1"/>
    <col min="16121" max="16121" width="5.125" style="1619" customWidth="1"/>
    <col min="16122" max="16122" width="4.125" style="1619" customWidth="1"/>
    <col min="16123" max="16131" width="6.125" style="1619" customWidth="1"/>
    <col min="16132" max="16384" width="9" style="1619"/>
  </cols>
  <sheetData>
    <row r="1" spans="1:7" ht="25.9" customHeight="1">
      <c r="A1" s="3730" t="s">
        <v>5485</v>
      </c>
      <c r="B1" s="3730"/>
      <c r="C1" s="3730"/>
      <c r="D1" s="2271" t="str">
        <f>基本情况!$F$10</f>
        <v>厦中汇税审（2018）第DS0001号</v>
      </c>
    </row>
    <row r="2" spans="1:7" s="1620" customFormat="1" ht="37.15" customHeight="1">
      <c r="A2" s="3731"/>
      <c r="B2" s="3731"/>
      <c r="C2" s="3731"/>
      <c r="D2" s="2259" t="str">
        <f>"底稿编号："&amp;开始!L21</f>
        <v>底稿编号：AD-19</v>
      </c>
    </row>
    <row r="3" spans="1:7" s="1563" customFormat="1" ht="12">
      <c r="A3" s="3746" t="s">
        <v>820</v>
      </c>
      <c r="B3" s="3746"/>
      <c r="C3" s="3746"/>
      <c r="D3" s="3746"/>
      <c r="G3" s="1621"/>
    </row>
    <row r="4" spans="1:7" s="1563" customFormat="1" ht="12">
      <c r="A4" s="2292">
        <v>1</v>
      </c>
      <c r="B4" s="2293" t="str">
        <f>IF(D4="","√一般企业     □科技型中小企业","□一般企业     √科技型中小企业")</f>
        <v>√一般企业     □科技型中小企业</v>
      </c>
      <c r="C4" s="2293" t="s">
        <v>821</v>
      </c>
      <c r="D4" s="2273"/>
    </row>
    <row r="5" spans="1:7" s="1621" customFormat="1" ht="12">
      <c r="A5" s="2292">
        <v>2</v>
      </c>
      <c r="B5" s="2293" t="s">
        <v>822</v>
      </c>
      <c r="C5" s="3747"/>
      <c r="D5" s="3747"/>
    </row>
    <row r="6" spans="1:7" s="1563" customFormat="1" ht="12">
      <c r="A6" s="3748" t="s">
        <v>823</v>
      </c>
      <c r="B6" s="3748"/>
      <c r="C6" s="3748"/>
      <c r="D6" s="3748"/>
    </row>
    <row r="7" spans="1:7" s="1563" customFormat="1" ht="12">
      <c r="A7" s="2292">
        <v>3</v>
      </c>
      <c r="B7" s="3749" t="s">
        <v>824</v>
      </c>
      <c r="C7" s="3749"/>
      <c r="D7" s="2296">
        <f>ROUND(D8+D12+D21+D24+D28+D39,2)</f>
        <v>0</v>
      </c>
    </row>
    <row r="8" spans="1:7" s="1563" customFormat="1" ht="12">
      <c r="A8" s="2292">
        <v>4</v>
      </c>
      <c r="B8" s="3750" t="s">
        <v>825</v>
      </c>
      <c r="C8" s="3750"/>
      <c r="D8" s="2296">
        <f>ROUND(SUM(D9:D11),2)</f>
        <v>0</v>
      </c>
    </row>
    <row r="9" spans="1:7" s="1563" customFormat="1" ht="16.5">
      <c r="A9" s="2292">
        <v>5</v>
      </c>
      <c r="B9" s="3751" t="s">
        <v>826</v>
      </c>
      <c r="C9" s="3751"/>
      <c r="D9" s="2273"/>
      <c r="E9" s="1617"/>
    </row>
    <row r="10" spans="1:7" s="1563" customFormat="1" ht="12">
      <c r="A10" s="2292">
        <v>6</v>
      </c>
      <c r="B10" s="3751" t="s">
        <v>827</v>
      </c>
      <c r="C10" s="3751"/>
      <c r="D10" s="2273"/>
    </row>
    <row r="11" spans="1:7" s="1563" customFormat="1" ht="12">
      <c r="A11" s="2292">
        <v>7</v>
      </c>
      <c r="B11" s="3751" t="s">
        <v>828</v>
      </c>
      <c r="C11" s="3751"/>
      <c r="D11" s="2273"/>
    </row>
    <row r="12" spans="1:7">
      <c r="A12" s="2292">
        <v>8</v>
      </c>
      <c r="B12" s="3750" t="s">
        <v>829</v>
      </c>
      <c r="C12" s="3750"/>
      <c r="D12" s="2296">
        <f>ROUND(SUM(D13:D20),2)</f>
        <v>0</v>
      </c>
    </row>
    <row r="13" spans="1:7">
      <c r="A13" s="2292">
        <v>9</v>
      </c>
      <c r="B13" s="3751" t="s">
        <v>830</v>
      </c>
      <c r="C13" s="3751"/>
      <c r="D13" s="2273"/>
    </row>
    <row r="14" spans="1:7">
      <c r="A14" s="2292">
        <v>10</v>
      </c>
      <c r="B14" s="3751" t="s">
        <v>831</v>
      </c>
      <c r="C14" s="3751"/>
      <c r="D14" s="2273"/>
    </row>
    <row r="15" spans="1:7">
      <c r="A15" s="2292">
        <v>11</v>
      </c>
      <c r="B15" s="3751" t="s">
        <v>832</v>
      </c>
      <c r="C15" s="3751"/>
      <c r="D15" s="2273"/>
    </row>
    <row r="16" spans="1:7">
      <c r="A16" s="2292">
        <v>12</v>
      </c>
      <c r="B16" s="3751" t="s">
        <v>833</v>
      </c>
      <c r="C16" s="3751"/>
      <c r="D16" s="2273"/>
    </row>
    <row r="17" spans="1:4">
      <c r="A17" s="2292">
        <v>13</v>
      </c>
      <c r="B17" s="3751" t="s">
        <v>834</v>
      </c>
      <c r="C17" s="3751"/>
      <c r="D17" s="2273"/>
    </row>
    <row r="18" spans="1:4">
      <c r="A18" s="2292">
        <v>14</v>
      </c>
      <c r="B18" s="3751" t="s">
        <v>835</v>
      </c>
      <c r="C18" s="3751"/>
      <c r="D18" s="2273"/>
    </row>
    <row r="19" spans="1:4">
      <c r="A19" s="2292">
        <v>15</v>
      </c>
      <c r="B19" s="3751" t="s">
        <v>836</v>
      </c>
      <c r="C19" s="3751"/>
      <c r="D19" s="2273"/>
    </row>
    <row r="20" spans="1:4">
      <c r="A20" s="2292">
        <v>16</v>
      </c>
      <c r="B20" s="3751" t="s">
        <v>837</v>
      </c>
      <c r="C20" s="3751"/>
      <c r="D20" s="2273"/>
    </row>
    <row r="21" spans="1:4">
      <c r="A21" s="2292">
        <v>17</v>
      </c>
      <c r="B21" s="3750" t="s">
        <v>838</v>
      </c>
      <c r="C21" s="3750"/>
      <c r="D21" s="2296">
        <f>ROUND(SUM(D22:D23),2)</f>
        <v>0</v>
      </c>
    </row>
    <row r="22" spans="1:4">
      <c r="A22" s="2292">
        <v>18</v>
      </c>
      <c r="B22" s="3751" t="s">
        <v>839</v>
      </c>
      <c r="C22" s="3751"/>
      <c r="D22" s="2273"/>
    </row>
    <row r="23" spans="1:4">
      <c r="A23" s="2292">
        <v>19</v>
      </c>
      <c r="B23" s="3751" t="s">
        <v>840</v>
      </c>
      <c r="C23" s="3751"/>
      <c r="D23" s="2273"/>
    </row>
    <row r="24" spans="1:4">
      <c r="A24" s="2292">
        <v>20</v>
      </c>
      <c r="B24" s="3750" t="s">
        <v>841</v>
      </c>
      <c r="C24" s="3750"/>
      <c r="D24" s="2296">
        <f>ROUND(SUM(D25:D27),2)</f>
        <v>0</v>
      </c>
    </row>
    <row r="25" spans="1:4">
      <c r="A25" s="2292">
        <v>21</v>
      </c>
      <c r="B25" s="3751" t="s">
        <v>842</v>
      </c>
      <c r="C25" s="3751"/>
      <c r="D25" s="2273"/>
    </row>
    <row r="26" spans="1:4">
      <c r="A26" s="2292">
        <v>22</v>
      </c>
      <c r="B26" s="3751" t="s">
        <v>843</v>
      </c>
      <c r="C26" s="3751"/>
      <c r="D26" s="2273"/>
    </row>
    <row r="27" spans="1:4" ht="26.25" customHeight="1">
      <c r="A27" s="2292">
        <v>23</v>
      </c>
      <c r="B27" s="3751" t="s">
        <v>844</v>
      </c>
      <c r="C27" s="3751"/>
      <c r="D27" s="2273"/>
    </row>
    <row r="28" spans="1:4">
      <c r="A28" s="2292">
        <v>24</v>
      </c>
      <c r="B28" s="3750" t="s">
        <v>845</v>
      </c>
      <c r="C28" s="3750"/>
      <c r="D28" s="2296">
        <f>ROUND(SUM(D29:D32),2)</f>
        <v>0</v>
      </c>
    </row>
    <row r="29" spans="1:4">
      <c r="A29" s="2292">
        <v>25</v>
      </c>
      <c r="B29" s="3751" t="s">
        <v>846</v>
      </c>
      <c r="C29" s="3751"/>
      <c r="D29" s="2273"/>
    </row>
    <row r="30" spans="1:4">
      <c r="A30" s="2292">
        <v>26</v>
      </c>
      <c r="B30" s="3751" t="s">
        <v>847</v>
      </c>
      <c r="C30" s="3751"/>
      <c r="D30" s="2273"/>
    </row>
    <row r="31" spans="1:4">
      <c r="A31" s="2292">
        <v>27</v>
      </c>
      <c r="B31" s="3751" t="s">
        <v>848</v>
      </c>
      <c r="C31" s="3751"/>
      <c r="D31" s="2273"/>
    </row>
    <row r="32" spans="1:4">
      <c r="A32" s="2292">
        <v>28</v>
      </c>
      <c r="B32" s="3751" t="s">
        <v>849</v>
      </c>
      <c r="C32" s="3751"/>
      <c r="D32" s="2273"/>
    </row>
    <row r="33" spans="1:4">
      <c r="A33" s="2292">
        <v>29</v>
      </c>
      <c r="B33" s="3750" t="s">
        <v>850</v>
      </c>
      <c r="C33" s="3750"/>
      <c r="D33" s="2296">
        <f>ROUND(SUM(D34:D38),2)</f>
        <v>0</v>
      </c>
    </row>
    <row r="34" spans="1:4">
      <c r="A34" s="2292">
        <v>30</v>
      </c>
      <c r="B34" s="3751" t="s">
        <v>851</v>
      </c>
      <c r="C34" s="3751"/>
      <c r="D34" s="2273"/>
    </row>
    <row r="35" spans="1:4">
      <c r="A35" s="2292">
        <v>31</v>
      </c>
      <c r="B35" s="3751" t="s">
        <v>852</v>
      </c>
      <c r="C35" s="3751"/>
      <c r="D35" s="2273"/>
    </row>
    <row r="36" spans="1:4">
      <c r="A36" s="2292">
        <v>32</v>
      </c>
      <c r="B36" s="3751" t="s">
        <v>853</v>
      </c>
      <c r="C36" s="3751"/>
      <c r="D36" s="2273"/>
    </row>
    <row r="37" spans="1:4">
      <c r="A37" s="2292">
        <v>33</v>
      </c>
      <c r="B37" s="3751" t="s">
        <v>854</v>
      </c>
      <c r="C37" s="3751"/>
      <c r="D37" s="2273"/>
    </row>
    <row r="38" spans="1:4">
      <c r="A38" s="2292">
        <v>34</v>
      </c>
      <c r="B38" s="3751" t="s">
        <v>855</v>
      </c>
      <c r="C38" s="3751"/>
      <c r="D38" s="2273"/>
    </row>
    <row r="39" spans="1:4">
      <c r="A39" s="2292">
        <v>35</v>
      </c>
      <c r="B39" s="3750" t="s">
        <v>856</v>
      </c>
      <c r="C39" s="3750"/>
      <c r="D39" s="348"/>
    </row>
    <row r="40" spans="1:4">
      <c r="A40" s="2292">
        <v>36</v>
      </c>
      <c r="B40" s="3749" t="s">
        <v>857</v>
      </c>
      <c r="C40" s="3749"/>
      <c r="D40" s="2296">
        <f>(D41-D42)*80%</f>
        <v>0</v>
      </c>
    </row>
    <row r="41" spans="1:4">
      <c r="A41" s="2292">
        <v>37</v>
      </c>
      <c r="B41" s="3750" t="s">
        <v>858</v>
      </c>
      <c r="C41" s="3750"/>
      <c r="D41" s="348"/>
    </row>
    <row r="42" spans="1:4">
      <c r="A42" s="2292">
        <v>38</v>
      </c>
      <c r="B42" s="3751" t="s">
        <v>859</v>
      </c>
      <c r="C42" s="3751"/>
      <c r="D42" s="2273"/>
    </row>
    <row r="43" spans="1:4">
      <c r="A43" s="2292">
        <v>39</v>
      </c>
      <c r="B43" s="3752" t="s">
        <v>860</v>
      </c>
      <c r="C43" s="3752"/>
      <c r="D43" s="2296">
        <f>ROUND(D7+D40,2)</f>
        <v>0</v>
      </c>
    </row>
    <row r="44" spans="1:4">
      <c r="A44" s="2292">
        <v>40</v>
      </c>
      <c r="B44" s="3750" t="s">
        <v>861</v>
      </c>
      <c r="C44" s="3750"/>
      <c r="D44" s="2273"/>
    </row>
    <row r="45" spans="1:4">
      <c r="A45" s="2292">
        <v>41</v>
      </c>
      <c r="B45" s="3750" t="s">
        <v>862</v>
      </c>
      <c r="C45" s="3750"/>
      <c r="D45" s="2273"/>
    </row>
    <row r="46" spans="1:4">
      <c r="A46" s="2292">
        <v>42</v>
      </c>
      <c r="B46" s="3752" t="s">
        <v>863</v>
      </c>
      <c r="C46" s="3752"/>
      <c r="D46" s="348"/>
    </row>
    <row r="47" spans="1:4">
      <c r="A47" s="2292">
        <v>43</v>
      </c>
      <c r="B47" s="3752" t="s">
        <v>864</v>
      </c>
      <c r="C47" s="3752"/>
      <c r="D47" s="2273"/>
    </row>
    <row r="48" spans="1:4">
      <c r="A48" s="2292">
        <v>44</v>
      </c>
      <c r="B48" s="3752" t="s">
        <v>865</v>
      </c>
      <c r="C48" s="3752"/>
      <c r="D48" s="2296">
        <f>ROUND(D44+D46+D47,2)</f>
        <v>0</v>
      </c>
    </row>
    <row r="49" spans="1:4">
      <c r="A49" s="2292">
        <v>45</v>
      </c>
      <c r="B49" s="3750" t="s">
        <v>866</v>
      </c>
      <c r="C49" s="3750"/>
      <c r="D49" s="2273"/>
    </row>
    <row r="50" spans="1:4">
      <c r="A50" s="2292">
        <v>46</v>
      </c>
      <c r="B50" s="3752" t="s">
        <v>867</v>
      </c>
      <c r="C50" s="3752"/>
      <c r="D50" s="2296">
        <f>ROUND(D48-D49,2)</f>
        <v>0</v>
      </c>
    </row>
    <row r="51" spans="1:4">
      <c r="A51" s="2292">
        <v>47</v>
      </c>
      <c r="B51" s="3750" t="s">
        <v>868</v>
      </c>
      <c r="C51" s="3750"/>
      <c r="D51" s="2273"/>
    </row>
    <row r="52" spans="1:4" ht="25.5" customHeight="1">
      <c r="A52" s="2292">
        <v>48</v>
      </c>
      <c r="B52" s="3750" t="s">
        <v>869</v>
      </c>
      <c r="C52" s="3750"/>
      <c r="D52" s="2273"/>
    </row>
    <row r="53" spans="1:4">
      <c r="A53" s="2292">
        <v>49</v>
      </c>
      <c r="B53" s="3752" t="s">
        <v>870</v>
      </c>
      <c r="C53" s="3752"/>
      <c r="D53" s="2304">
        <f>IF(D4&lt;&gt;"",75%,50%)</f>
        <v>0.5</v>
      </c>
    </row>
    <row r="54" spans="1:4">
      <c r="A54" s="2292">
        <v>50</v>
      </c>
      <c r="B54" s="3752" t="s">
        <v>871</v>
      </c>
      <c r="C54" s="3752"/>
      <c r="D54" s="2296">
        <f>IF((D50-D51-D52)&lt;0,0,ROUND((D50-D51-D52)*D53,2))</f>
        <v>0</v>
      </c>
    </row>
    <row r="55" spans="1:4" ht="27.75" customHeight="1">
      <c r="A55" s="2292">
        <v>51</v>
      </c>
      <c r="B55" s="3752" t="s">
        <v>872</v>
      </c>
      <c r="C55" s="3752"/>
      <c r="D55" s="2296">
        <f>IF((D50-D51-D52)&gt;=0,0,ABS(D50-D51-D52))</f>
        <v>0</v>
      </c>
    </row>
  </sheetData>
  <mergeCells count="53">
    <mergeCell ref="B53:C53"/>
    <mergeCell ref="B54:C54"/>
    <mergeCell ref="B55:C55"/>
    <mergeCell ref="B48:C48"/>
    <mergeCell ref="B49:C49"/>
    <mergeCell ref="B50:C50"/>
    <mergeCell ref="B51:C51"/>
    <mergeCell ref="B52:C52"/>
    <mergeCell ref="B43:C43"/>
    <mergeCell ref="B44:C44"/>
    <mergeCell ref="B45:C45"/>
    <mergeCell ref="B46:C46"/>
    <mergeCell ref="B47:C47"/>
    <mergeCell ref="B38:C38"/>
    <mergeCell ref="B39:C39"/>
    <mergeCell ref="B40:C40"/>
    <mergeCell ref="B41:C41"/>
    <mergeCell ref="B42:C42"/>
    <mergeCell ref="B33:C33"/>
    <mergeCell ref="B34:C34"/>
    <mergeCell ref="B35:C35"/>
    <mergeCell ref="B36:C36"/>
    <mergeCell ref="B37:C37"/>
    <mergeCell ref="B28:C28"/>
    <mergeCell ref="B29:C29"/>
    <mergeCell ref="B30:C30"/>
    <mergeCell ref="B31:C31"/>
    <mergeCell ref="B32:C32"/>
    <mergeCell ref="B23:C23"/>
    <mergeCell ref="B24:C24"/>
    <mergeCell ref="B25:C25"/>
    <mergeCell ref="B26:C26"/>
    <mergeCell ref="B27:C27"/>
    <mergeCell ref="B18:C18"/>
    <mergeCell ref="B19:C19"/>
    <mergeCell ref="B20:C20"/>
    <mergeCell ref="B21:C21"/>
    <mergeCell ref="B22:C22"/>
    <mergeCell ref="B13:C13"/>
    <mergeCell ref="B14:C14"/>
    <mergeCell ref="B15:C15"/>
    <mergeCell ref="B16:C16"/>
    <mergeCell ref="B17:C17"/>
    <mergeCell ref="B8:C8"/>
    <mergeCell ref="B9:C9"/>
    <mergeCell ref="B10:C10"/>
    <mergeCell ref="B11:C11"/>
    <mergeCell ref="B12:C12"/>
    <mergeCell ref="A3:D3"/>
    <mergeCell ref="C5:D5"/>
    <mergeCell ref="A1:C2"/>
    <mergeCell ref="A6:D6"/>
    <mergeCell ref="B7:C7"/>
  </mergeCells>
  <phoneticPr fontId="135" type="noConversion"/>
  <printOptions horizontalCentered="1"/>
  <pageMargins left="0.59055118110236215" right="0.59055118110236215" top="0.39370078740157477" bottom="0.39370078740157477" header="0.511811023622047" footer="0.511811023622047"/>
  <pageSetup paperSize="9" orientation="landscape" r:id="rId1"/>
  <drawing r:id="rId2"/>
  <legacyDrawing r:id="rId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9">
    <tabColor rgb="FFFFFF00"/>
  </sheetPr>
  <dimension ref="A1:M27"/>
  <sheetViews>
    <sheetView topLeftCell="E1" workbookViewId="0">
      <selection activeCell="K3" sqref="K3:L3"/>
    </sheetView>
  </sheetViews>
  <sheetFormatPr defaultColWidth="9.375" defaultRowHeight="24" customHeight="1"/>
  <cols>
    <col min="1" max="1" width="5.25" style="1615" customWidth="1"/>
    <col min="2" max="2" width="30" style="1624" customWidth="1"/>
    <col min="3" max="8" width="12.375" style="1607" customWidth="1"/>
    <col min="9" max="9" width="12.375" style="1615" customWidth="1"/>
    <col min="10" max="10" width="11.875" style="1615" customWidth="1"/>
    <col min="11" max="13" width="12.25" style="1615" customWidth="1"/>
    <col min="14" max="256" width="9.375" style="1615"/>
    <col min="257" max="257" width="5.25" style="1615" customWidth="1"/>
    <col min="258" max="258" width="41.625" style="1615" customWidth="1"/>
    <col min="259" max="260" width="9.875" style="1615" customWidth="1"/>
    <col min="261" max="261" width="8.25" style="1615" customWidth="1"/>
    <col min="262" max="262" width="8.375" style="1615" customWidth="1"/>
    <col min="263" max="263" width="7.875" style="1615" customWidth="1"/>
    <col min="264" max="264" width="10.875" style="1615" customWidth="1"/>
    <col min="265" max="265" width="8.25" style="1615" customWidth="1"/>
    <col min="266" max="266" width="11.875" style="1615" customWidth="1"/>
    <col min="267" max="512" width="9.375" style="1615"/>
    <col min="513" max="513" width="5.25" style="1615" customWidth="1"/>
    <col min="514" max="514" width="41.625" style="1615" customWidth="1"/>
    <col min="515" max="516" width="9.875" style="1615" customWidth="1"/>
    <col min="517" max="517" width="8.25" style="1615" customWidth="1"/>
    <col min="518" max="518" width="8.375" style="1615" customWidth="1"/>
    <col min="519" max="519" width="7.875" style="1615" customWidth="1"/>
    <col min="520" max="520" width="10.875" style="1615" customWidth="1"/>
    <col min="521" max="521" width="8.25" style="1615" customWidth="1"/>
    <col min="522" max="522" width="11.875" style="1615" customWidth="1"/>
    <col min="523" max="768" width="9.375" style="1615"/>
    <col min="769" max="769" width="5.25" style="1615" customWidth="1"/>
    <col min="770" max="770" width="41.625" style="1615" customWidth="1"/>
    <col min="771" max="772" width="9.875" style="1615" customWidth="1"/>
    <col min="773" max="773" width="8.25" style="1615" customWidth="1"/>
    <col min="774" max="774" width="8.375" style="1615" customWidth="1"/>
    <col min="775" max="775" width="7.875" style="1615" customWidth="1"/>
    <col min="776" max="776" width="10.875" style="1615" customWidth="1"/>
    <col min="777" max="777" width="8.25" style="1615" customWidth="1"/>
    <col min="778" max="778" width="11.875" style="1615" customWidth="1"/>
    <col min="779" max="1024" width="9.375" style="1615"/>
    <col min="1025" max="1025" width="5.25" style="1615" customWidth="1"/>
    <col min="1026" max="1026" width="41.625" style="1615" customWidth="1"/>
    <col min="1027" max="1028" width="9.875" style="1615" customWidth="1"/>
    <col min="1029" max="1029" width="8.25" style="1615" customWidth="1"/>
    <col min="1030" max="1030" width="8.375" style="1615" customWidth="1"/>
    <col min="1031" max="1031" width="7.875" style="1615" customWidth="1"/>
    <col min="1032" max="1032" width="10.875" style="1615" customWidth="1"/>
    <col min="1033" max="1033" width="8.25" style="1615" customWidth="1"/>
    <col min="1034" max="1034" width="11.875" style="1615" customWidth="1"/>
    <col min="1035" max="1280" width="9.375" style="1615"/>
    <col min="1281" max="1281" width="5.25" style="1615" customWidth="1"/>
    <col min="1282" max="1282" width="41.625" style="1615" customWidth="1"/>
    <col min="1283" max="1284" width="9.875" style="1615" customWidth="1"/>
    <col min="1285" max="1285" width="8.25" style="1615" customWidth="1"/>
    <col min="1286" max="1286" width="8.375" style="1615" customWidth="1"/>
    <col min="1287" max="1287" width="7.875" style="1615" customWidth="1"/>
    <col min="1288" max="1288" width="10.875" style="1615" customWidth="1"/>
    <col min="1289" max="1289" width="8.25" style="1615" customWidth="1"/>
    <col min="1290" max="1290" width="11.875" style="1615" customWidth="1"/>
    <col min="1291" max="1536" width="9.375" style="1615"/>
    <col min="1537" max="1537" width="5.25" style="1615" customWidth="1"/>
    <col min="1538" max="1538" width="41.625" style="1615" customWidth="1"/>
    <col min="1539" max="1540" width="9.875" style="1615" customWidth="1"/>
    <col min="1541" max="1541" width="8.25" style="1615" customWidth="1"/>
    <col min="1542" max="1542" width="8.375" style="1615" customWidth="1"/>
    <col min="1543" max="1543" width="7.875" style="1615" customWidth="1"/>
    <col min="1544" max="1544" width="10.875" style="1615" customWidth="1"/>
    <col min="1545" max="1545" width="8.25" style="1615" customWidth="1"/>
    <col min="1546" max="1546" width="11.875" style="1615" customWidth="1"/>
    <col min="1547" max="1792" width="9.375" style="1615"/>
    <col min="1793" max="1793" width="5.25" style="1615" customWidth="1"/>
    <col min="1794" max="1794" width="41.625" style="1615" customWidth="1"/>
    <col min="1795" max="1796" width="9.875" style="1615" customWidth="1"/>
    <col min="1797" max="1797" width="8.25" style="1615" customWidth="1"/>
    <col min="1798" max="1798" width="8.375" style="1615" customWidth="1"/>
    <col min="1799" max="1799" width="7.875" style="1615" customWidth="1"/>
    <col min="1800" max="1800" width="10.875" style="1615" customWidth="1"/>
    <col min="1801" max="1801" width="8.25" style="1615" customWidth="1"/>
    <col min="1802" max="1802" width="11.875" style="1615" customWidth="1"/>
    <col min="1803" max="2048" width="9.375" style="1615"/>
    <col min="2049" max="2049" width="5.25" style="1615" customWidth="1"/>
    <col min="2050" max="2050" width="41.625" style="1615" customWidth="1"/>
    <col min="2051" max="2052" width="9.875" style="1615" customWidth="1"/>
    <col min="2053" max="2053" width="8.25" style="1615" customWidth="1"/>
    <col min="2054" max="2054" width="8.375" style="1615" customWidth="1"/>
    <col min="2055" max="2055" width="7.875" style="1615" customWidth="1"/>
    <col min="2056" max="2056" width="10.875" style="1615" customWidth="1"/>
    <col min="2057" max="2057" width="8.25" style="1615" customWidth="1"/>
    <col min="2058" max="2058" width="11.875" style="1615" customWidth="1"/>
    <col min="2059" max="2304" width="9.375" style="1615"/>
    <col min="2305" max="2305" width="5.25" style="1615" customWidth="1"/>
    <col min="2306" max="2306" width="41.625" style="1615" customWidth="1"/>
    <col min="2307" max="2308" width="9.875" style="1615" customWidth="1"/>
    <col min="2309" max="2309" width="8.25" style="1615" customWidth="1"/>
    <col min="2310" max="2310" width="8.375" style="1615" customWidth="1"/>
    <col min="2311" max="2311" width="7.875" style="1615" customWidth="1"/>
    <col min="2312" max="2312" width="10.875" style="1615" customWidth="1"/>
    <col min="2313" max="2313" width="8.25" style="1615" customWidth="1"/>
    <col min="2314" max="2314" width="11.875" style="1615" customWidth="1"/>
    <col min="2315" max="2560" width="9.375" style="1615"/>
    <col min="2561" max="2561" width="5.25" style="1615" customWidth="1"/>
    <col min="2562" max="2562" width="41.625" style="1615" customWidth="1"/>
    <col min="2563" max="2564" width="9.875" style="1615" customWidth="1"/>
    <col min="2565" max="2565" width="8.25" style="1615" customWidth="1"/>
    <col min="2566" max="2566" width="8.375" style="1615" customWidth="1"/>
    <col min="2567" max="2567" width="7.875" style="1615" customWidth="1"/>
    <col min="2568" max="2568" width="10.875" style="1615" customWidth="1"/>
    <col min="2569" max="2569" width="8.25" style="1615" customWidth="1"/>
    <col min="2570" max="2570" width="11.875" style="1615" customWidth="1"/>
    <col min="2571" max="2816" width="9.375" style="1615"/>
    <col min="2817" max="2817" width="5.25" style="1615" customWidth="1"/>
    <col min="2818" max="2818" width="41.625" style="1615" customWidth="1"/>
    <col min="2819" max="2820" width="9.875" style="1615" customWidth="1"/>
    <col min="2821" max="2821" width="8.25" style="1615" customWidth="1"/>
    <col min="2822" max="2822" width="8.375" style="1615" customWidth="1"/>
    <col min="2823" max="2823" width="7.875" style="1615" customWidth="1"/>
    <col min="2824" max="2824" width="10.875" style="1615" customWidth="1"/>
    <col min="2825" max="2825" width="8.25" style="1615" customWidth="1"/>
    <col min="2826" max="2826" width="11.875" style="1615" customWidth="1"/>
    <col min="2827" max="3072" width="9.375" style="1615"/>
    <col min="3073" max="3073" width="5.25" style="1615" customWidth="1"/>
    <col min="3074" max="3074" width="41.625" style="1615" customWidth="1"/>
    <col min="3075" max="3076" width="9.875" style="1615" customWidth="1"/>
    <col min="3077" max="3077" width="8.25" style="1615" customWidth="1"/>
    <col min="3078" max="3078" width="8.375" style="1615" customWidth="1"/>
    <col min="3079" max="3079" width="7.875" style="1615" customWidth="1"/>
    <col min="3080" max="3080" width="10.875" style="1615" customWidth="1"/>
    <col min="3081" max="3081" width="8.25" style="1615" customWidth="1"/>
    <col min="3082" max="3082" width="11.875" style="1615" customWidth="1"/>
    <col min="3083" max="3328" width="9.375" style="1615"/>
    <col min="3329" max="3329" width="5.25" style="1615" customWidth="1"/>
    <col min="3330" max="3330" width="41.625" style="1615" customWidth="1"/>
    <col min="3331" max="3332" width="9.875" style="1615" customWidth="1"/>
    <col min="3333" max="3333" width="8.25" style="1615" customWidth="1"/>
    <col min="3334" max="3334" width="8.375" style="1615" customWidth="1"/>
    <col min="3335" max="3335" width="7.875" style="1615" customWidth="1"/>
    <col min="3336" max="3336" width="10.875" style="1615" customWidth="1"/>
    <col min="3337" max="3337" width="8.25" style="1615" customWidth="1"/>
    <col min="3338" max="3338" width="11.875" style="1615" customWidth="1"/>
    <col min="3339" max="3584" width="9.375" style="1615"/>
    <col min="3585" max="3585" width="5.25" style="1615" customWidth="1"/>
    <col min="3586" max="3586" width="41.625" style="1615" customWidth="1"/>
    <col min="3587" max="3588" width="9.875" style="1615" customWidth="1"/>
    <col min="3589" max="3589" width="8.25" style="1615" customWidth="1"/>
    <col min="3590" max="3590" width="8.375" style="1615" customWidth="1"/>
    <col min="3591" max="3591" width="7.875" style="1615" customWidth="1"/>
    <col min="3592" max="3592" width="10.875" style="1615" customWidth="1"/>
    <col min="3593" max="3593" width="8.25" style="1615" customWidth="1"/>
    <col min="3594" max="3594" width="11.875" style="1615" customWidth="1"/>
    <col min="3595" max="3840" width="9.375" style="1615"/>
    <col min="3841" max="3841" width="5.25" style="1615" customWidth="1"/>
    <col min="3842" max="3842" width="41.625" style="1615" customWidth="1"/>
    <col min="3843" max="3844" width="9.875" style="1615" customWidth="1"/>
    <col min="3845" max="3845" width="8.25" style="1615" customWidth="1"/>
    <col min="3846" max="3846" width="8.375" style="1615" customWidth="1"/>
    <col min="3847" max="3847" width="7.875" style="1615" customWidth="1"/>
    <col min="3848" max="3848" width="10.875" style="1615" customWidth="1"/>
    <col min="3849" max="3849" width="8.25" style="1615" customWidth="1"/>
    <col min="3850" max="3850" width="11.875" style="1615" customWidth="1"/>
    <col min="3851" max="4096" width="9.375" style="1615"/>
    <col min="4097" max="4097" width="5.25" style="1615" customWidth="1"/>
    <col min="4098" max="4098" width="41.625" style="1615" customWidth="1"/>
    <col min="4099" max="4100" width="9.875" style="1615" customWidth="1"/>
    <col min="4101" max="4101" width="8.25" style="1615" customWidth="1"/>
    <col min="4102" max="4102" width="8.375" style="1615" customWidth="1"/>
    <col min="4103" max="4103" width="7.875" style="1615" customWidth="1"/>
    <col min="4104" max="4104" width="10.875" style="1615" customWidth="1"/>
    <col min="4105" max="4105" width="8.25" style="1615" customWidth="1"/>
    <col min="4106" max="4106" width="11.875" style="1615" customWidth="1"/>
    <col min="4107" max="4352" width="9.375" style="1615"/>
    <col min="4353" max="4353" width="5.25" style="1615" customWidth="1"/>
    <col min="4354" max="4354" width="41.625" style="1615" customWidth="1"/>
    <col min="4355" max="4356" width="9.875" style="1615" customWidth="1"/>
    <col min="4357" max="4357" width="8.25" style="1615" customWidth="1"/>
    <col min="4358" max="4358" width="8.375" style="1615" customWidth="1"/>
    <col min="4359" max="4359" width="7.875" style="1615" customWidth="1"/>
    <col min="4360" max="4360" width="10.875" style="1615" customWidth="1"/>
    <col min="4361" max="4361" width="8.25" style="1615" customWidth="1"/>
    <col min="4362" max="4362" width="11.875" style="1615" customWidth="1"/>
    <col min="4363" max="4608" width="9.375" style="1615"/>
    <col min="4609" max="4609" width="5.25" style="1615" customWidth="1"/>
    <col min="4610" max="4610" width="41.625" style="1615" customWidth="1"/>
    <col min="4611" max="4612" width="9.875" style="1615" customWidth="1"/>
    <col min="4613" max="4613" width="8.25" style="1615" customWidth="1"/>
    <col min="4614" max="4614" width="8.375" style="1615" customWidth="1"/>
    <col min="4615" max="4615" width="7.875" style="1615" customWidth="1"/>
    <col min="4616" max="4616" width="10.875" style="1615" customWidth="1"/>
    <col min="4617" max="4617" width="8.25" style="1615" customWidth="1"/>
    <col min="4618" max="4618" width="11.875" style="1615" customWidth="1"/>
    <col min="4619" max="4864" width="9.375" style="1615"/>
    <col min="4865" max="4865" width="5.25" style="1615" customWidth="1"/>
    <col min="4866" max="4866" width="41.625" style="1615" customWidth="1"/>
    <col min="4867" max="4868" width="9.875" style="1615" customWidth="1"/>
    <col min="4869" max="4869" width="8.25" style="1615" customWidth="1"/>
    <col min="4870" max="4870" width="8.375" style="1615" customWidth="1"/>
    <col min="4871" max="4871" width="7.875" style="1615" customWidth="1"/>
    <col min="4872" max="4872" width="10.875" style="1615" customWidth="1"/>
    <col min="4873" max="4873" width="8.25" style="1615" customWidth="1"/>
    <col min="4874" max="4874" width="11.875" style="1615" customWidth="1"/>
    <col min="4875" max="5120" width="9.375" style="1615"/>
    <col min="5121" max="5121" width="5.25" style="1615" customWidth="1"/>
    <col min="5122" max="5122" width="41.625" style="1615" customWidth="1"/>
    <col min="5123" max="5124" width="9.875" style="1615" customWidth="1"/>
    <col min="5125" max="5125" width="8.25" style="1615" customWidth="1"/>
    <col min="5126" max="5126" width="8.375" style="1615" customWidth="1"/>
    <col min="5127" max="5127" width="7.875" style="1615" customWidth="1"/>
    <col min="5128" max="5128" width="10.875" style="1615" customWidth="1"/>
    <col min="5129" max="5129" width="8.25" style="1615" customWidth="1"/>
    <col min="5130" max="5130" width="11.875" style="1615" customWidth="1"/>
    <col min="5131" max="5376" width="9.375" style="1615"/>
    <col min="5377" max="5377" width="5.25" style="1615" customWidth="1"/>
    <col min="5378" max="5378" width="41.625" style="1615" customWidth="1"/>
    <col min="5379" max="5380" width="9.875" style="1615" customWidth="1"/>
    <col min="5381" max="5381" width="8.25" style="1615" customWidth="1"/>
    <col min="5382" max="5382" width="8.375" style="1615" customWidth="1"/>
    <col min="5383" max="5383" width="7.875" style="1615" customWidth="1"/>
    <col min="5384" max="5384" width="10.875" style="1615" customWidth="1"/>
    <col min="5385" max="5385" width="8.25" style="1615" customWidth="1"/>
    <col min="5386" max="5386" width="11.875" style="1615" customWidth="1"/>
    <col min="5387" max="5632" width="9.375" style="1615"/>
    <col min="5633" max="5633" width="5.25" style="1615" customWidth="1"/>
    <col min="5634" max="5634" width="41.625" style="1615" customWidth="1"/>
    <col min="5635" max="5636" width="9.875" style="1615" customWidth="1"/>
    <col min="5637" max="5637" width="8.25" style="1615" customWidth="1"/>
    <col min="5638" max="5638" width="8.375" style="1615" customWidth="1"/>
    <col min="5639" max="5639" width="7.875" style="1615" customWidth="1"/>
    <col min="5640" max="5640" width="10.875" style="1615" customWidth="1"/>
    <col min="5641" max="5641" width="8.25" style="1615" customWidth="1"/>
    <col min="5642" max="5642" width="11.875" style="1615" customWidth="1"/>
    <col min="5643" max="5888" width="9.375" style="1615"/>
    <col min="5889" max="5889" width="5.25" style="1615" customWidth="1"/>
    <col min="5890" max="5890" width="41.625" style="1615" customWidth="1"/>
    <col min="5891" max="5892" width="9.875" style="1615" customWidth="1"/>
    <col min="5893" max="5893" width="8.25" style="1615" customWidth="1"/>
    <col min="5894" max="5894" width="8.375" style="1615" customWidth="1"/>
    <col min="5895" max="5895" width="7.875" style="1615" customWidth="1"/>
    <col min="5896" max="5896" width="10.875" style="1615" customWidth="1"/>
    <col min="5897" max="5897" width="8.25" style="1615" customWidth="1"/>
    <col min="5898" max="5898" width="11.875" style="1615" customWidth="1"/>
    <col min="5899" max="6144" width="9.375" style="1615"/>
    <col min="6145" max="6145" width="5.25" style="1615" customWidth="1"/>
    <col min="6146" max="6146" width="41.625" style="1615" customWidth="1"/>
    <col min="6147" max="6148" width="9.875" style="1615" customWidth="1"/>
    <col min="6149" max="6149" width="8.25" style="1615" customWidth="1"/>
    <col min="6150" max="6150" width="8.375" style="1615" customWidth="1"/>
    <col min="6151" max="6151" width="7.875" style="1615" customWidth="1"/>
    <col min="6152" max="6152" width="10.875" style="1615" customWidth="1"/>
    <col min="6153" max="6153" width="8.25" style="1615" customWidth="1"/>
    <col min="6154" max="6154" width="11.875" style="1615" customWidth="1"/>
    <col min="6155" max="6400" width="9.375" style="1615"/>
    <col min="6401" max="6401" width="5.25" style="1615" customWidth="1"/>
    <col min="6402" max="6402" width="41.625" style="1615" customWidth="1"/>
    <col min="6403" max="6404" width="9.875" style="1615" customWidth="1"/>
    <col min="6405" max="6405" width="8.25" style="1615" customWidth="1"/>
    <col min="6406" max="6406" width="8.375" style="1615" customWidth="1"/>
    <col min="6407" max="6407" width="7.875" style="1615" customWidth="1"/>
    <col min="6408" max="6408" width="10.875" style="1615" customWidth="1"/>
    <col min="6409" max="6409" width="8.25" style="1615" customWidth="1"/>
    <col min="6410" max="6410" width="11.875" style="1615" customWidth="1"/>
    <col min="6411" max="6656" width="9.375" style="1615"/>
    <col min="6657" max="6657" width="5.25" style="1615" customWidth="1"/>
    <col min="6658" max="6658" width="41.625" style="1615" customWidth="1"/>
    <col min="6659" max="6660" width="9.875" style="1615" customWidth="1"/>
    <col min="6661" max="6661" width="8.25" style="1615" customWidth="1"/>
    <col min="6662" max="6662" width="8.375" style="1615" customWidth="1"/>
    <col min="6663" max="6663" width="7.875" style="1615" customWidth="1"/>
    <col min="6664" max="6664" width="10.875" style="1615" customWidth="1"/>
    <col min="6665" max="6665" width="8.25" style="1615" customWidth="1"/>
    <col min="6666" max="6666" width="11.875" style="1615" customWidth="1"/>
    <col min="6667" max="6912" width="9.375" style="1615"/>
    <col min="6913" max="6913" width="5.25" style="1615" customWidth="1"/>
    <col min="6914" max="6914" width="41.625" style="1615" customWidth="1"/>
    <col min="6915" max="6916" width="9.875" style="1615" customWidth="1"/>
    <col min="6917" max="6917" width="8.25" style="1615" customWidth="1"/>
    <col min="6918" max="6918" width="8.375" style="1615" customWidth="1"/>
    <col min="6919" max="6919" width="7.875" style="1615" customWidth="1"/>
    <col min="6920" max="6920" width="10.875" style="1615" customWidth="1"/>
    <col min="6921" max="6921" width="8.25" style="1615" customWidth="1"/>
    <col min="6922" max="6922" width="11.875" style="1615" customWidth="1"/>
    <col min="6923" max="7168" width="9.375" style="1615"/>
    <col min="7169" max="7169" width="5.25" style="1615" customWidth="1"/>
    <col min="7170" max="7170" width="41.625" style="1615" customWidth="1"/>
    <col min="7171" max="7172" width="9.875" style="1615" customWidth="1"/>
    <col min="7173" max="7173" width="8.25" style="1615" customWidth="1"/>
    <col min="7174" max="7174" width="8.375" style="1615" customWidth="1"/>
    <col min="7175" max="7175" width="7.875" style="1615" customWidth="1"/>
    <col min="7176" max="7176" width="10.875" style="1615" customWidth="1"/>
    <col min="7177" max="7177" width="8.25" style="1615" customWidth="1"/>
    <col min="7178" max="7178" width="11.875" style="1615" customWidth="1"/>
    <col min="7179" max="7424" width="9.375" style="1615"/>
    <col min="7425" max="7425" width="5.25" style="1615" customWidth="1"/>
    <col min="7426" max="7426" width="41.625" style="1615" customWidth="1"/>
    <col min="7427" max="7428" width="9.875" style="1615" customWidth="1"/>
    <col min="7429" max="7429" width="8.25" style="1615" customWidth="1"/>
    <col min="7430" max="7430" width="8.375" style="1615" customWidth="1"/>
    <col min="7431" max="7431" width="7.875" style="1615" customWidth="1"/>
    <col min="7432" max="7432" width="10.875" style="1615" customWidth="1"/>
    <col min="7433" max="7433" width="8.25" style="1615" customWidth="1"/>
    <col min="7434" max="7434" width="11.875" style="1615" customWidth="1"/>
    <col min="7435" max="7680" width="9.375" style="1615"/>
    <col min="7681" max="7681" width="5.25" style="1615" customWidth="1"/>
    <col min="7682" max="7682" width="41.625" style="1615" customWidth="1"/>
    <col min="7683" max="7684" width="9.875" style="1615" customWidth="1"/>
    <col min="7685" max="7685" width="8.25" style="1615" customWidth="1"/>
    <col min="7686" max="7686" width="8.375" style="1615" customWidth="1"/>
    <col min="7687" max="7687" width="7.875" style="1615" customWidth="1"/>
    <col min="7688" max="7688" width="10.875" style="1615" customWidth="1"/>
    <col min="7689" max="7689" width="8.25" style="1615" customWidth="1"/>
    <col min="7690" max="7690" width="11.875" style="1615" customWidth="1"/>
    <col min="7691" max="7936" width="9.375" style="1615"/>
    <col min="7937" max="7937" width="5.25" style="1615" customWidth="1"/>
    <col min="7938" max="7938" width="41.625" style="1615" customWidth="1"/>
    <col min="7939" max="7940" width="9.875" style="1615" customWidth="1"/>
    <col min="7941" max="7941" width="8.25" style="1615" customWidth="1"/>
    <col min="7942" max="7942" width="8.375" style="1615" customWidth="1"/>
    <col min="7943" max="7943" width="7.875" style="1615" customWidth="1"/>
    <col min="7944" max="7944" width="10.875" style="1615" customWidth="1"/>
    <col min="7945" max="7945" width="8.25" style="1615" customWidth="1"/>
    <col min="7946" max="7946" width="11.875" style="1615" customWidth="1"/>
    <col min="7947" max="8192" width="9.375" style="1615"/>
    <col min="8193" max="8193" width="5.25" style="1615" customWidth="1"/>
    <col min="8194" max="8194" width="41.625" style="1615" customWidth="1"/>
    <col min="8195" max="8196" width="9.875" style="1615" customWidth="1"/>
    <col min="8197" max="8197" width="8.25" style="1615" customWidth="1"/>
    <col min="8198" max="8198" width="8.375" style="1615" customWidth="1"/>
    <col min="8199" max="8199" width="7.875" style="1615" customWidth="1"/>
    <col min="8200" max="8200" width="10.875" style="1615" customWidth="1"/>
    <col min="8201" max="8201" width="8.25" style="1615" customWidth="1"/>
    <col min="8202" max="8202" width="11.875" style="1615" customWidth="1"/>
    <col min="8203" max="8448" width="9.375" style="1615"/>
    <col min="8449" max="8449" width="5.25" style="1615" customWidth="1"/>
    <col min="8450" max="8450" width="41.625" style="1615" customWidth="1"/>
    <col min="8451" max="8452" width="9.875" style="1615" customWidth="1"/>
    <col min="8453" max="8453" width="8.25" style="1615" customWidth="1"/>
    <col min="8454" max="8454" width="8.375" style="1615" customWidth="1"/>
    <col min="8455" max="8455" width="7.875" style="1615" customWidth="1"/>
    <col min="8456" max="8456" width="10.875" style="1615" customWidth="1"/>
    <col min="8457" max="8457" width="8.25" style="1615" customWidth="1"/>
    <col min="8458" max="8458" width="11.875" style="1615" customWidth="1"/>
    <col min="8459" max="8704" width="9.375" style="1615"/>
    <col min="8705" max="8705" width="5.25" style="1615" customWidth="1"/>
    <col min="8706" max="8706" width="41.625" style="1615" customWidth="1"/>
    <col min="8707" max="8708" width="9.875" style="1615" customWidth="1"/>
    <col min="8709" max="8709" width="8.25" style="1615" customWidth="1"/>
    <col min="8710" max="8710" width="8.375" style="1615" customWidth="1"/>
    <col min="8711" max="8711" width="7.875" style="1615" customWidth="1"/>
    <col min="8712" max="8712" width="10.875" style="1615" customWidth="1"/>
    <col min="8713" max="8713" width="8.25" style="1615" customWidth="1"/>
    <col min="8714" max="8714" width="11.875" style="1615" customWidth="1"/>
    <col min="8715" max="8960" width="9.375" style="1615"/>
    <col min="8961" max="8961" width="5.25" style="1615" customWidth="1"/>
    <col min="8962" max="8962" width="41.625" style="1615" customWidth="1"/>
    <col min="8963" max="8964" width="9.875" style="1615" customWidth="1"/>
    <col min="8965" max="8965" width="8.25" style="1615" customWidth="1"/>
    <col min="8966" max="8966" width="8.375" style="1615" customWidth="1"/>
    <col min="8967" max="8967" width="7.875" style="1615" customWidth="1"/>
    <col min="8968" max="8968" width="10.875" style="1615" customWidth="1"/>
    <col min="8969" max="8969" width="8.25" style="1615" customWidth="1"/>
    <col min="8970" max="8970" width="11.875" style="1615" customWidth="1"/>
    <col min="8971" max="9216" width="9.375" style="1615"/>
    <col min="9217" max="9217" width="5.25" style="1615" customWidth="1"/>
    <col min="9218" max="9218" width="41.625" style="1615" customWidth="1"/>
    <col min="9219" max="9220" width="9.875" style="1615" customWidth="1"/>
    <col min="9221" max="9221" width="8.25" style="1615" customWidth="1"/>
    <col min="9222" max="9222" width="8.375" style="1615" customWidth="1"/>
    <col min="9223" max="9223" width="7.875" style="1615" customWidth="1"/>
    <col min="9224" max="9224" width="10.875" style="1615" customWidth="1"/>
    <col min="9225" max="9225" width="8.25" style="1615" customWidth="1"/>
    <col min="9226" max="9226" width="11.875" style="1615" customWidth="1"/>
    <col min="9227" max="9472" width="9.375" style="1615"/>
    <col min="9473" max="9473" width="5.25" style="1615" customWidth="1"/>
    <col min="9474" max="9474" width="41.625" style="1615" customWidth="1"/>
    <col min="9475" max="9476" width="9.875" style="1615" customWidth="1"/>
    <col min="9477" max="9477" width="8.25" style="1615" customWidth="1"/>
    <col min="9478" max="9478" width="8.375" style="1615" customWidth="1"/>
    <col min="9479" max="9479" width="7.875" style="1615" customWidth="1"/>
    <col min="9480" max="9480" width="10.875" style="1615" customWidth="1"/>
    <col min="9481" max="9481" width="8.25" style="1615" customWidth="1"/>
    <col min="9482" max="9482" width="11.875" style="1615" customWidth="1"/>
    <col min="9483" max="9728" width="9.375" style="1615"/>
    <col min="9729" max="9729" width="5.25" style="1615" customWidth="1"/>
    <col min="9730" max="9730" width="41.625" style="1615" customWidth="1"/>
    <col min="9731" max="9732" width="9.875" style="1615" customWidth="1"/>
    <col min="9733" max="9733" width="8.25" style="1615" customWidth="1"/>
    <col min="9734" max="9734" width="8.375" style="1615" customWidth="1"/>
    <col min="9735" max="9735" width="7.875" style="1615" customWidth="1"/>
    <col min="9736" max="9736" width="10.875" style="1615" customWidth="1"/>
    <col min="9737" max="9737" width="8.25" style="1615" customWidth="1"/>
    <col min="9738" max="9738" width="11.875" style="1615" customWidth="1"/>
    <col min="9739" max="9984" width="9.375" style="1615"/>
    <col min="9985" max="9985" width="5.25" style="1615" customWidth="1"/>
    <col min="9986" max="9986" width="41.625" style="1615" customWidth="1"/>
    <col min="9987" max="9988" width="9.875" style="1615" customWidth="1"/>
    <col min="9989" max="9989" width="8.25" style="1615" customWidth="1"/>
    <col min="9990" max="9990" width="8.375" style="1615" customWidth="1"/>
    <col min="9991" max="9991" width="7.875" style="1615" customWidth="1"/>
    <col min="9992" max="9992" width="10.875" style="1615" customWidth="1"/>
    <col min="9993" max="9993" width="8.25" style="1615" customWidth="1"/>
    <col min="9994" max="9994" width="11.875" style="1615" customWidth="1"/>
    <col min="9995" max="10240" width="9.375" style="1615"/>
    <col min="10241" max="10241" width="5.25" style="1615" customWidth="1"/>
    <col min="10242" max="10242" width="41.625" style="1615" customWidth="1"/>
    <col min="10243" max="10244" width="9.875" style="1615" customWidth="1"/>
    <col min="10245" max="10245" width="8.25" style="1615" customWidth="1"/>
    <col min="10246" max="10246" width="8.375" style="1615" customWidth="1"/>
    <col min="10247" max="10247" width="7.875" style="1615" customWidth="1"/>
    <col min="10248" max="10248" width="10.875" style="1615" customWidth="1"/>
    <col min="10249" max="10249" width="8.25" style="1615" customWidth="1"/>
    <col min="10250" max="10250" width="11.875" style="1615" customWidth="1"/>
    <col min="10251" max="10496" width="9.375" style="1615"/>
    <col min="10497" max="10497" width="5.25" style="1615" customWidth="1"/>
    <col min="10498" max="10498" width="41.625" style="1615" customWidth="1"/>
    <col min="10499" max="10500" width="9.875" style="1615" customWidth="1"/>
    <col min="10501" max="10501" width="8.25" style="1615" customWidth="1"/>
    <col min="10502" max="10502" width="8.375" style="1615" customWidth="1"/>
    <col min="10503" max="10503" width="7.875" style="1615" customWidth="1"/>
    <col min="10504" max="10504" width="10.875" style="1615" customWidth="1"/>
    <col min="10505" max="10505" width="8.25" style="1615" customWidth="1"/>
    <col min="10506" max="10506" width="11.875" style="1615" customWidth="1"/>
    <col min="10507" max="10752" width="9.375" style="1615"/>
    <col min="10753" max="10753" width="5.25" style="1615" customWidth="1"/>
    <col min="10754" max="10754" width="41.625" style="1615" customWidth="1"/>
    <col min="10755" max="10756" width="9.875" style="1615" customWidth="1"/>
    <col min="10757" max="10757" width="8.25" style="1615" customWidth="1"/>
    <col min="10758" max="10758" width="8.375" style="1615" customWidth="1"/>
    <col min="10759" max="10759" width="7.875" style="1615" customWidth="1"/>
    <col min="10760" max="10760" width="10.875" style="1615" customWidth="1"/>
    <col min="10761" max="10761" width="8.25" style="1615" customWidth="1"/>
    <col min="10762" max="10762" width="11.875" style="1615" customWidth="1"/>
    <col min="10763" max="11008" width="9.375" style="1615"/>
    <col min="11009" max="11009" width="5.25" style="1615" customWidth="1"/>
    <col min="11010" max="11010" width="41.625" style="1615" customWidth="1"/>
    <col min="11011" max="11012" width="9.875" style="1615" customWidth="1"/>
    <col min="11013" max="11013" width="8.25" style="1615" customWidth="1"/>
    <col min="11014" max="11014" width="8.375" style="1615" customWidth="1"/>
    <col min="11015" max="11015" width="7.875" style="1615" customWidth="1"/>
    <col min="11016" max="11016" width="10.875" style="1615" customWidth="1"/>
    <col min="11017" max="11017" width="8.25" style="1615" customWidth="1"/>
    <col min="11018" max="11018" width="11.875" style="1615" customWidth="1"/>
    <col min="11019" max="11264" width="9.375" style="1615"/>
    <col min="11265" max="11265" width="5.25" style="1615" customWidth="1"/>
    <col min="11266" max="11266" width="41.625" style="1615" customWidth="1"/>
    <col min="11267" max="11268" width="9.875" style="1615" customWidth="1"/>
    <col min="11269" max="11269" width="8.25" style="1615" customWidth="1"/>
    <col min="11270" max="11270" width="8.375" style="1615" customWidth="1"/>
    <col min="11271" max="11271" width="7.875" style="1615" customWidth="1"/>
    <col min="11272" max="11272" width="10.875" style="1615" customWidth="1"/>
    <col min="11273" max="11273" width="8.25" style="1615" customWidth="1"/>
    <col min="11274" max="11274" width="11.875" style="1615" customWidth="1"/>
    <col min="11275" max="11520" width="9.375" style="1615"/>
    <col min="11521" max="11521" width="5.25" style="1615" customWidth="1"/>
    <col min="11522" max="11522" width="41.625" style="1615" customWidth="1"/>
    <col min="11523" max="11524" width="9.875" style="1615" customWidth="1"/>
    <col min="11525" max="11525" width="8.25" style="1615" customWidth="1"/>
    <col min="11526" max="11526" width="8.375" style="1615" customWidth="1"/>
    <col min="11527" max="11527" width="7.875" style="1615" customWidth="1"/>
    <col min="11528" max="11528" width="10.875" style="1615" customWidth="1"/>
    <col min="11529" max="11529" width="8.25" style="1615" customWidth="1"/>
    <col min="11530" max="11530" width="11.875" style="1615" customWidth="1"/>
    <col min="11531" max="11776" width="9.375" style="1615"/>
    <col min="11777" max="11777" width="5.25" style="1615" customWidth="1"/>
    <col min="11778" max="11778" width="41.625" style="1615" customWidth="1"/>
    <col min="11779" max="11780" width="9.875" style="1615" customWidth="1"/>
    <col min="11781" max="11781" width="8.25" style="1615" customWidth="1"/>
    <col min="11782" max="11782" width="8.375" style="1615" customWidth="1"/>
    <col min="11783" max="11783" width="7.875" style="1615" customWidth="1"/>
    <col min="11784" max="11784" width="10.875" style="1615" customWidth="1"/>
    <col min="11785" max="11785" width="8.25" style="1615" customWidth="1"/>
    <col min="11786" max="11786" width="11.875" style="1615" customWidth="1"/>
    <col min="11787" max="12032" width="9.375" style="1615"/>
    <col min="12033" max="12033" width="5.25" style="1615" customWidth="1"/>
    <col min="12034" max="12034" width="41.625" style="1615" customWidth="1"/>
    <col min="12035" max="12036" width="9.875" style="1615" customWidth="1"/>
    <col min="12037" max="12037" width="8.25" style="1615" customWidth="1"/>
    <col min="12038" max="12038" width="8.375" style="1615" customWidth="1"/>
    <col min="12039" max="12039" width="7.875" style="1615" customWidth="1"/>
    <col min="12040" max="12040" width="10.875" style="1615" customWidth="1"/>
    <col min="12041" max="12041" width="8.25" style="1615" customWidth="1"/>
    <col min="12042" max="12042" width="11.875" style="1615" customWidth="1"/>
    <col min="12043" max="12288" width="9.375" style="1615"/>
    <col min="12289" max="12289" width="5.25" style="1615" customWidth="1"/>
    <col min="12290" max="12290" width="41.625" style="1615" customWidth="1"/>
    <col min="12291" max="12292" width="9.875" style="1615" customWidth="1"/>
    <col min="12293" max="12293" width="8.25" style="1615" customWidth="1"/>
    <col min="12294" max="12294" width="8.375" style="1615" customWidth="1"/>
    <col min="12295" max="12295" width="7.875" style="1615" customWidth="1"/>
    <col min="12296" max="12296" width="10.875" style="1615" customWidth="1"/>
    <col min="12297" max="12297" width="8.25" style="1615" customWidth="1"/>
    <col min="12298" max="12298" width="11.875" style="1615" customWidth="1"/>
    <col min="12299" max="12544" width="9.375" style="1615"/>
    <col min="12545" max="12545" width="5.25" style="1615" customWidth="1"/>
    <col min="12546" max="12546" width="41.625" style="1615" customWidth="1"/>
    <col min="12547" max="12548" width="9.875" style="1615" customWidth="1"/>
    <col min="12549" max="12549" width="8.25" style="1615" customWidth="1"/>
    <col min="12550" max="12550" width="8.375" style="1615" customWidth="1"/>
    <col min="12551" max="12551" width="7.875" style="1615" customWidth="1"/>
    <col min="12552" max="12552" width="10.875" style="1615" customWidth="1"/>
    <col min="12553" max="12553" width="8.25" style="1615" customWidth="1"/>
    <col min="12554" max="12554" width="11.875" style="1615" customWidth="1"/>
    <col min="12555" max="12800" width="9.375" style="1615"/>
    <col min="12801" max="12801" width="5.25" style="1615" customWidth="1"/>
    <col min="12802" max="12802" width="41.625" style="1615" customWidth="1"/>
    <col min="12803" max="12804" width="9.875" style="1615" customWidth="1"/>
    <col min="12805" max="12805" width="8.25" style="1615" customWidth="1"/>
    <col min="12806" max="12806" width="8.375" style="1615" customWidth="1"/>
    <col min="12807" max="12807" width="7.875" style="1615" customWidth="1"/>
    <col min="12808" max="12808" width="10.875" style="1615" customWidth="1"/>
    <col min="12809" max="12809" width="8.25" style="1615" customWidth="1"/>
    <col min="12810" max="12810" width="11.875" style="1615" customWidth="1"/>
    <col min="12811" max="13056" width="9.375" style="1615"/>
    <col min="13057" max="13057" width="5.25" style="1615" customWidth="1"/>
    <col min="13058" max="13058" width="41.625" style="1615" customWidth="1"/>
    <col min="13059" max="13060" width="9.875" style="1615" customWidth="1"/>
    <col min="13061" max="13061" width="8.25" style="1615" customWidth="1"/>
    <col min="13062" max="13062" width="8.375" style="1615" customWidth="1"/>
    <col min="13063" max="13063" width="7.875" style="1615" customWidth="1"/>
    <col min="13064" max="13064" width="10.875" style="1615" customWidth="1"/>
    <col min="13065" max="13065" width="8.25" style="1615" customWidth="1"/>
    <col min="13066" max="13066" width="11.875" style="1615" customWidth="1"/>
    <col min="13067" max="13312" width="9.375" style="1615"/>
    <col min="13313" max="13313" width="5.25" style="1615" customWidth="1"/>
    <col min="13314" max="13314" width="41.625" style="1615" customWidth="1"/>
    <col min="13315" max="13316" width="9.875" style="1615" customWidth="1"/>
    <col min="13317" max="13317" width="8.25" style="1615" customWidth="1"/>
    <col min="13318" max="13318" width="8.375" style="1615" customWidth="1"/>
    <col min="13319" max="13319" width="7.875" style="1615" customWidth="1"/>
    <col min="13320" max="13320" width="10.875" style="1615" customWidth="1"/>
    <col min="13321" max="13321" width="8.25" style="1615" customWidth="1"/>
    <col min="13322" max="13322" width="11.875" style="1615" customWidth="1"/>
    <col min="13323" max="13568" width="9.375" style="1615"/>
    <col min="13569" max="13569" width="5.25" style="1615" customWidth="1"/>
    <col min="13570" max="13570" width="41.625" style="1615" customWidth="1"/>
    <col min="13571" max="13572" width="9.875" style="1615" customWidth="1"/>
    <col min="13573" max="13573" width="8.25" style="1615" customWidth="1"/>
    <col min="13574" max="13574" width="8.375" style="1615" customWidth="1"/>
    <col min="13575" max="13575" width="7.875" style="1615" customWidth="1"/>
    <col min="13576" max="13576" width="10.875" style="1615" customWidth="1"/>
    <col min="13577" max="13577" width="8.25" style="1615" customWidth="1"/>
    <col min="13578" max="13578" width="11.875" style="1615" customWidth="1"/>
    <col min="13579" max="13824" width="9.375" style="1615"/>
    <col min="13825" max="13825" width="5.25" style="1615" customWidth="1"/>
    <col min="13826" max="13826" width="41.625" style="1615" customWidth="1"/>
    <col min="13827" max="13828" width="9.875" style="1615" customWidth="1"/>
    <col min="13829" max="13829" width="8.25" style="1615" customWidth="1"/>
    <col min="13830" max="13830" width="8.375" style="1615" customWidth="1"/>
    <col min="13831" max="13831" width="7.875" style="1615" customWidth="1"/>
    <col min="13832" max="13832" width="10.875" style="1615" customWidth="1"/>
    <col min="13833" max="13833" width="8.25" style="1615" customWidth="1"/>
    <col min="13834" max="13834" width="11.875" style="1615" customWidth="1"/>
    <col min="13835" max="14080" width="9.375" style="1615"/>
    <col min="14081" max="14081" width="5.25" style="1615" customWidth="1"/>
    <col min="14082" max="14082" width="41.625" style="1615" customWidth="1"/>
    <col min="14083" max="14084" width="9.875" style="1615" customWidth="1"/>
    <col min="14085" max="14085" width="8.25" style="1615" customWidth="1"/>
    <col min="14086" max="14086" width="8.375" style="1615" customWidth="1"/>
    <col min="14087" max="14087" width="7.875" style="1615" customWidth="1"/>
    <col min="14088" max="14088" width="10.875" style="1615" customWidth="1"/>
    <col min="14089" max="14089" width="8.25" style="1615" customWidth="1"/>
    <col min="14090" max="14090" width="11.875" style="1615" customWidth="1"/>
    <col min="14091" max="14336" width="9.375" style="1615"/>
    <col min="14337" max="14337" width="5.25" style="1615" customWidth="1"/>
    <col min="14338" max="14338" width="41.625" style="1615" customWidth="1"/>
    <col min="14339" max="14340" width="9.875" style="1615" customWidth="1"/>
    <col min="14341" max="14341" width="8.25" style="1615" customWidth="1"/>
    <col min="14342" max="14342" width="8.375" style="1615" customWidth="1"/>
    <col min="14343" max="14343" width="7.875" style="1615" customWidth="1"/>
    <col min="14344" max="14344" width="10.875" style="1615" customWidth="1"/>
    <col min="14345" max="14345" width="8.25" style="1615" customWidth="1"/>
    <col min="14346" max="14346" width="11.875" style="1615" customWidth="1"/>
    <col min="14347" max="14592" width="9.375" style="1615"/>
    <col min="14593" max="14593" width="5.25" style="1615" customWidth="1"/>
    <col min="14594" max="14594" width="41.625" style="1615" customWidth="1"/>
    <col min="14595" max="14596" width="9.875" style="1615" customWidth="1"/>
    <col min="14597" max="14597" width="8.25" style="1615" customWidth="1"/>
    <col min="14598" max="14598" width="8.375" style="1615" customWidth="1"/>
    <col min="14599" max="14599" width="7.875" style="1615" customWidth="1"/>
    <col min="14600" max="14600" width="10.875" style="1615" customWidth="1"/>
    <col min="14601" max="14601" width="8.25" style="1615" customWidth="1"/>
    <col min="14602" max="14602" width="11.875" style="1615" customWidth="1"/>
    <col min="14603" max="14848" width="9.375" style="1615"/>
    <col min="14849" max="14849" width="5.25" style="1615" customWidth="1"/>
    <col min="14850" max="14850" width="41.625" style="1615" customWidth="1"/>
    <col min="14851" max="14852" width="9.875" style="1615" customWidth="1"/>
    <col min="14853" max="14853" width="8.25" style="1615" customWidth="1"/>
    <col min="14854" max="14854" width="8.375" style="1615" customWidth="1"/>
    <col min="14855" max="14855" width="7.875" style="1615" customWidth="1"/>
    <col min="14856" max="14856" width="10.875" style="1615" customWidth="1"/>
    <col min="14857" max="14857" width="8.25" style="1615" customWidth="1"/>
    <col min="14858" max="14858" width="11.875" style="1615" customWidth="1"/>
    <col min="14859" max="15104" width="9.375" style="1615"/>
    <col min="15105" max="15105" width="5.25" style="1615" customWidth="1"/>
    <col min="15106" max="15106" width="41.625" style="1615" customWidth="1"/>
    <col min="15107" max="15108" width="9.875" style="1615" customWidth="1"/>
    <col min="15109" max="15109" width="8.25" style="1615" customWidth="1"/>
    <col min="15110" max="15110" width="8.375" style="1615" customWidth="1"/>
    <col min="15111" max="15111" width="7.875" style="1615" customWidth="1"/>
    <col min="15112" max="15112" width="10.875" style="1615" customWidth="1"/>
    <col min="15113" max="15113" width="8.25" style="1615" customWidth="1"/>
    <col min="15114" max="15114" width="11.875" style="1615" customWidth="1"/>
    <col min="15115" max="15360" width="9.375" style="1615"/>
    <col min="15361" max="15361" width="5.25" style="1615" customWidth="1"/>
    <col min="15362" max="15362" width="41.625" style="1615" customWidth="1"/>
    <col min="15363" max="15364" width="9.875" style="1615" customWidth="1"/>
    <col min="15365" max="15365" width="8.25" style="1615" customWidth="1"/>
    <col min="15366" max="15366" width="8.375" style="1615" customWidth="1"/>
    <col min="15367" max="15367" width="7.875" style="1615" customWidth="1"/>
    <col min="15368" max="15368" width="10.875" style="1615" customWidth="1"/>
    <col min="15369" max="15369" width="8.25" style="1615" customWidth="1"/>
    <col min="15370" max="15370" width="11.875" style="1615" customWidth="1"/>
    <col min="15371" max="15616" width="9.375" style="1615"/>
    <col min="15617" max="15617" width="5.25" style="1615" customWidth="1"/>
    <col min="15618" max="15618" width="41.625" style="1615" customWidth="1"/>
    <col min="15619" max="15620" width="9.875" style="1615" customWidth="1"/>
    <col min="15621" max="15621" width="8.25" style="1615" customWidth="1"/>
    <col min="15622" max="15622" width="8.375" style="1615" customWidth="1"/>
    <col min="15623" max="15623" width="7.875" style="1615" customWidth="1"/>
    <col min="15624" max="15624" width="10.875" style="1615" customWidth="1"/>
    <col min="15625" max="15625" width="8.25" style="1615" customWidth="1"/>
    <col min="15626" max="15626" width="11.875" style="1615" customWidth="1"/>
    <col min="15627" max="15872" width="9.375" style="1615"/>
    <col min="15873" max="15873" width="5.25" style="1615" customWidth="1"/>
    <col min="15874" max="15874" width="41.625" style="1615" customWidth="1"/>
    <col min="15875" max="15876" width="9.875" style="1615" customWidth="1"/>
    <col min="15877" max="15877" width="8.25" style="1615" customWidth="1"/>
    <col min="15878" max="15878" width="8.375" style="1615" customWidth="1"/>
    <col min="15879" max="15879" width="7.875" style="1615" customWidth="1"/>
    <col min="15880" max="15880" width="10.875" style="1615" customWidth="1"/>
    <col min="15881" max="15881" width="8.25" style="1615" customWidth="1"/>
    <col min="15882" max="15882" width="11.875" style="1615" customWidth="1"/>
    <col min="15883" max="16128" width="9.375" style="1615"/>
    <col min="16129" max="16129" width="5.25" style="1615" customWidth="1"/>
    <col min="16130" max="16130" width="41.625" style="1615" customWidth="1"/>
    <col min="16131" max="16132" width="9.875" style="1615" customWidth="1"/>
    <col min="16133" max="16133" width="8.25" style="1615" customWidth="1"/>
    <col min="16134" max="16134" width="8.375" style="1615" customWidth="1"/>
    <col min="16135" max="16135" width="7.875" style="1615" customWidth="1"/>
    <col min="16136" max="16136" width="10.875" style="1615" customWidth="1"/>
    <col min="16137" max="16137" width="8.25" style="1615" customWidth="1"/>
    <col min="16138" max="16138" width="11.875" style="1615" customWidth="1"/>
    <col min="16139" max="16384" width="9.375" style="1615"/>
  </cols>
  <sheetData>
    <row r="1" spans="1:13" s="1614" customFormat="1" ht="25.9" customHeight="1">
      <c r="A1" s="3758" t="s">
        <v>5486</v>
      </c>
      <c r="B1" s="3758"/>
      <c r="C1" s="3758"/>
      <c r="D1" s="3758"/>
      <c r="E1" s="3758"/>
      <c r="F1" s="3758"/>
      <c r="G1" s="3758"/>
      <c r="H1" s="3758"/>
      <c r="I1" s="3758"/>
      <c r="J1" s="3758"/>
      <c r="K1" s="2754" t="str">
        <f>基本情况!$F$10</f>
        <v>厦中汇税审（2018）第DS0001号</v>
      </c>
      <c r="L1" s="2754"/>
      <c r="M1" s="2754"/>
    </row>
    <row r="2" spans="1:13" s="1618" customFormat="1" ht="37.15" customHeight="1">
      <c r="A2" s="3759"/>
      <c r="B2" s="3759"/>
      <c r="C2" s="3759"/>
      <c r="D2" s="3759"/>
      <c r="E2" s="3759"/>
      <c r="F2" s="3759"/>
      <c r="G2" s="3759"/>
      <c r="H2" s="3759"/>
      <c r="I2" s="3759"/>
      <c r="J2" s="3759"/>
      <c r="K2" s="3023" t="str">
        <f>"底稿编号："&amp;开始!L22</f>
        <v>底稿编号：AD-20</v>
      </c>
      <c r="L2" s="3023"/>
      <c r="M2" s="3595"/>
    </row>
    <row r="3" spans="1:13" ht="24" customHeight="1">
      <c r="A3" s="3734" t="s">
        <v>147</v>
      </c>
      <c r="B3" s="3741" t="s">
        <v>880</v>
      </c>
      <c r="C3" s="3741" t="s">
        <v>881</v>
      </c>
      <c r="D3" s="3741" t="s">
        <v>882</v>
      </c>
      <c r="E3" s="3741" t="s">
        <v>883</v>
      </c>
      <c r="F3" s="3741" t="s">
        <v>873</v>
      </c>
      <c r="G3" s="3741" t="s">
        <v>874</v>
      </c>
      <c r="H3" s="3741" t="s">
        <v>875</v>
      </c>
      <c r="I3" s="3741" t="s">
        <v>876</v>
      </c>
      <c r="J3" s="3741" t="s">
        <v>877</v>
      </c>
      <c r="K3" s="3757" t="s">
        <v>878</v>
      </c>
      <c r="L3" s="3757"/>
      <c r="M3" s="3741" t="s">
        <v>879</v>
      </c>
    </row>
    <row r="4" spans="1:13" ht="24" customHeight="1">
      <c r="A4" s="3735"/>
      <c r="B4" s="3742"/>
      <c r="C4" s="3756"/>
      <c r="D4" s="3756"/>
      <c r="E4" s="3756"/>
      <c r="F4" s="3756"/>
      <c r="G4" s="3756"/>
      <c r="H4" s="3756"/>
      <c r="I4" s="3756"/>
      <c r="J4" s="3756"/>
      <c r="K4" s="2300" t="s">
        <v>884</v>
      </c>
      <c r="L4" s="2147" t="s">
        <v>885</v>
      </c>
      <c r="M4" s="3756"/>
    </row>
    <row r="5" spans="1:13" ht="24" customHeight="1">
      <c r="A5" s="3760"/>
      <c r="B5" s="3756"/>
      <c r="C5" s="2301">
        <v>1</v>
      </c>
      <c r="D5" s="2301">
        <v>2</v>
      </c>
      <c r="E5" s="2301">
        <v>3</v>
      </c>
      <c r="F5" s="2301">
        <v>4</v>
      </c>
      <c r="G5" s="2301">
        <v>5</v>
      </c>
      <c r="H5" s="2301">
        <v>6</v>
      </c>
      <c r="I5" s="2301">
        <v>7</v>
      </c>
      <c r="J5" s="2301">
        <v>8</v>
      </c>
      <c r="K5" s="2301">
        <v>9</v>
      </c>
      <c r="L5" s="2301">
        <v>10</v>
      </c>
      <c r="M5" s="2301" t="s">
        <v>886</v>
      </c>
    </row>
    <row r="6" spans="1:13" ht="24" customHeight="1">
      <c r="A6" s="2147">
        <v>1</v>
      </c>
      <c r="B6" s="3753" t="s">
        <v>887</v>
      </c>
      <c r="C6" s="149"/>
      <c r="D6" s="149"/>
      <c r="E6" s="149"/>
      <c r="F6" s="151"/>
      <c r="G6" s="151"/>
      <c r="H6" s="151"/>
      <c r="I6" s="151"/>
      <c r="J6" s="151"/>
      <c r="K6" s="151"/>
      <c r="L6" s="151"/>
      <c r="M6" s="2296">
        <f>IF(K6+L6*50%&lt;0,0,K6+L6*50%)</f>
        <v>0</v>
      </c>
    </row>
    <row r="7" spans="1:13" ht="24" customHeight="1">
      <c r="A7" s="2147">
        <v>2</v>
      </c>
      <c r="B7" s="3754"/>
      <c r="C7" s="149"/>
      <c r="D7" s="149"/>
      <c r="E7" s="149"/>
      <c r="F7" s="151"/>
      <c r="G7" s="151"/>
      <c r="H7" s="151"/>
      <c r="I7" s="151"/>
      <c r="J7" s="151"/>
      <c r="K7" s="151"/>
      <c r="L7" s="151"/>
      <c r="M7" s="2296">
        <f t="shared" ref="M7:M14" si="0">IF(K7+L7*50%&lt;0,0,K7+L7*50%)</f>
        <v>0</v>
      </c>
    </row>
    <row r="8" spans="1:13" ht="24" customHeight="1">
      <c r="A8" s="2150">
        <v>3</v>
      </c>
      <c r="B8" s="3755"/>
      <c r="C8" s="2302" t="s">
        <v>895</v>
      </c>
      <c r="D8" s="2302" t="s">
        <v>133</v>
      </c>
      <c r="E8" s="2302" t="s">
        <v>133</v>
      </c>
      <c r="F8" s="2296">
        <f>ROUND(SUM(F6:F7),2)</f>
        <v>0</v>
      </c>
      <c r="G8" s="2296">
        <f t="shared" ref="G8:L8" si="1">ROUND(SUM(G6:G7),2)</f>
        <v>0</v>
      </c>
      <c r="H8" s="2296">
        <f t="shared" si="1"/>
        <v>0</v>
      </c>
      <c r="I8" s="2296">
        <f t="shared" si="1"/>
        <v>0</v>
      </c>
      <c r="J8" s="2296">
        <f t="shared" si="1"/>
        <v>0</v>
      </c>
      <c r="K8" s="2296">
        <f t="shared" si="1"/>
        <v>0</v>
      </c>
      <c r="L8" s="2296">
        <f t="shared" si="1"/>
        <v>0</v>
      </c>
      <c r="M8" s="2296">
        <f t="shared" si="0"/>
        <v>0</v>
      </c>
    </row>
    <row r="9" spans="1:13" ht="24" customHeight="1">
      <c r="A9" s="2147">
        <v>4</v>
      </c>
      <c r="B9" s="3753" t="s">
        <v>888</v>
      </c>
      <c r="C9" s="149"/>
      <c r="D9" s="149"/>
      <c r="E9" s="149"/>
      <c r="F9" s="151"/>
      <c r="G9" s="151"/>
      <c r="H9" s="151"/>
      <c r="I9" s="151"/>
      <c r="J9" s="151"/>
      <c r="K9" s="151"/>
      <c r="L9" s="151"/>
      <c r="M9" s="2296">
        <f t="shared" si="0"/>
        <v>0</v>
      </c>
    </row>
    <row r="10" spans="1:13" ht="24" customHeight="1">
      <c r="A10" s="2147">
        <v>5</v>
      </c>
      <c r="B10" s="3754"/>
      <c r="C10" s="149"/>
      <c r="D10" s="149"/>
      <c r="E10" s="149"/>
      <c r="F10" s="151"/>
      <c r="G10" s="151"/>
      <c r="H10" s="151"/>
      <c r="I10" s="151"/>
      <c r="J10" s="151"/>
      <c r="K10" s="151"/>
      <c r="L10" s="151"/>
      <c r="M10" s="2296">
        <f t="shared" si="0"/>
        <v>0</v>
      </c>
    </row>
    <row r="11" spans="1:13" ht="24" customHeight="1">
      <c r="A11" s="2147">
        <v>6</v>
      </c>
      <c r="B11" s="3755"/>
      <c r="C11" s="2302" t="s">
        <v>895</v>
      </c>
      <c r="D11" s="2302" t="s">
        <v>133</v>
      </c>
      <c r="E11" s="2302" t="s">
        <v>133</v>
      </c>
      <c r="F11" s="2296">
        <f>ROUND(SUM(F9:F10),2)</f>
        <v>0</v>
      </c>
      <c r="G11" s="2296">
        <f t="shared" ref="G11:L11" si="2">ROUND(SUM(G9:G10),2)</f>
        <v>0</v>
      </c>
      <c r="H11" s="2296">
        <f t="shared" si="2"/>
        <v>0</v>
      </c>
      <c r="I11" s="2296">
        <f t="shared" si="2"/>
        <v>0</v>
      </c>
      <c r="J11" s="2296">
        <f t="shared" si="2"/>
        <v>0</v>
      </c>
      <c r="K11" s="2296">
        <f t="shared" si="2"/>
        <v>0</v>
      </c>
      <c r="L11" s="2296">
        <f t="shared" si="2"/>
        <v>0</v>
      </c>
      <c r="M11" s="2296">
        <f t="shared" si="0"/>
        <v>0</v>
      </c>
    </row>
    <row r="12" spans="1:13" ht="24" customHeight="1">
      <c r="A12" s="2147">
        <v>7</v>
      </c>
      <c r="B12" s="3753" t="s">
        <v>889</v>
      </c>
      <c r="C12" s="149"/>
      <c r="D12" s="149"/>
      <c r="E12" s="149"/>
      <c r="F12" s="151"/>
      <c r="G12" s="151"/>
      <c r="H12" s="151"/>
      <c r="I12" s="151"/>
      <c r="J12" s="151"/>
      <c r="K12" s="151"/>
      <c r="L12" s="151"/>
      <c r="M12" s="2296">
        <f t="shared" si="0"/>
        <v>0</v>
      </c>
    </row>
    <row r="13" spans="1:13" ht="24" customHeight="1">
      <c r="A13" s="2147">
        <v>8</v>
      </c>
      <c r="B13" s="3754"/>
      <c r="C13" s="149"/>
      <c r="D13" s="149"/>
      <c r="E13" s="149"/>
      <c r="F13" s="151"/>
      <c r="G13" s="151"/>
      <c r="H13" s="151"/>
      <c r="I13" s="151"/>
      <c r="J13" s="151"/>
      <c r="K13" s="151"/>
      <c r="L13" s="151"/>
      <c r="M13" s="2296">
        <f t="shared" si="0"/>
        <v>0</v>
      </c>
    </row>
    <row r="14" spans="1:13" ht="24" customHeight="1">
      <c r="A14" s="2150">
        <v>9</v>
      </c>
      <c r="B14" s="3755"/>
      <c r="C14" s="2302" t="s">
        <v>895</v>
      </c>
      <c r="D14" s="2302" t="s">
        <v>133</v>
      </c>
      <c r="E14" s="2302" t="s">
        <v>133</v>
      </c>
      <c r="F14" s="2296">
        <f t="shared" ref="F14:L14" si="3">ROUND(SUM(F12:F13),2)</f>
        <v>0</v>
      </c>
      <c r="G14" s="2296">
        <f t="shared" si="3"/>
        <v>0</v>
      </c>
      <c r="H14" s="2296">
        <f t="shared" si="3"/>
        <v>0</v>
      </c>
      <c r="I14" s="2296">
        <f t="shared" si="3"/>
        <v>0</v>
      </c>
      <c r="J14" s="2296">
        <f t="shared" si="3"/>
        <v>0</v>
      </c>
      <c r="K14" s="2296">
        <f t="shared" si="3"/>
        <v>0</v>
      </c>
      <c r="L14" s="2296">
        <f t="shared" si="3"/>
        <v>0</v>
      </c>
      <c r="M14" s="2296">
        <f t="shared" si="0"/>
        <v>0</v>
      </c>
    </row>
    <row r="15" spans="1:13" ht="24" customHeight="1">
      <c r="A15" s="2147">
        <v>10</v>
      </c>
      <c r="B15" s="3753" t="s">
        <v>890</v>
      </c>
      <c r="C15" s="149"/>
      <c r="D15" s="2302" t="s">
        <v>133</v>
      </c>
      <c r="E15" s="2302" t="s">
        <v>133</v>
      </c>
      <c r="F15" s="151"/>
      <c r="G15" s="151"/>
      <c r="H15" s="151"/>
      <c r="I15" s="151"/>
      <c r="J15" s="151"/>
      <c r="K15" s="2302" t="s">
        <v>133</v>
      </c>
      <c r="L15" s="2302" t="s">
        <v>133</v>
      </c>
      <c r="M15" s="2302" t="s">
        <v>133</v>
      </c>
    </row>
    <row r="16" spans="1:13" ht="24" customHeight="1">
      <c r="A16" s="2147">
        <v>11</v>
      </c>
      <c r="B16" s="3754"/>
      <c r="C16" s="149"/>
      <c r="D16" s="2302" t="s">
        <v>133</v>
      </c>
      <c r="E16" s="2302" t="s">
        <v>133</v>
      </c>
      <c r="F16" s="151"/>
      <c r="G16" s="151"/>
      <c r="H16" s="151"/>
      <c r="I16" s="151"/>
      <c r="J16" s="151"/>
      <c r="K16" s="2302" t="s">
        <v>133</v>
      </c>
      <c r="L16" s="2302" t="s">
        <v>133</v>
      </c>
      <c r="M16" s="2302" t="s">
        <v>133</v>
      </c>
    </row>
    <row r="17" spans="1:13" ht="24" customHeight="1">
      <c r="A17" s="2147">
        <v>12</v>
      </c>
      <c r="B17" s="3755"/>
      <c r="C17" s="2302" t="s">
        <v>895</v>
      </c>
      <c r="D17" s="2302" t="s">
        <v>133</v>
      </c>
      <c r="E17" s="2302" t="s">
        <v>133</v>
      </c>
      <c r="F17" s="2296">
        <f>ROUND(SUM(F15:F16),2)</f>
        <v>0</v>
      </c>
      <c r="G17" s="2296">
        <f>ROUND(SUM(G15:G16),2)</f>
        <v>0</v>
      </c>
      <c r="H17" s="2296">
        <f>ROUND(SUM(H15:H16),2)</f>
        <v>0</v>
      </c>
      <c r="I17" s="2296">
        <f>ROUND(SUM(I15:I16),2)</f>
        <v>0</v>
      </c>
      <c r="J17" s="2296">
        <f>ROUND(SUM(J15:J16),2)</f>
        <v>0</v>
      </c>
      <c r="K17" s="2303">
        <f>MAX(0,MIN(F17-G17-H17-I17+J17,5000000))</f>
        <v>0</v>
      </c>
      <c r="L17" s="2303">
        <f>MAX(0,F17-G17-H17-I17+J17-5000000)</f>
        <v>0</v>
      </c>
      <c r="M17" s="2296">
        <f t="shared" ref="M17:M26" si="4">IF(K17+L17*50%&lt;0,0,K17+L17*50%)</f>
        <v>0</v>
      </c>
    </row>
    <row r="18" spans="1:13" ht="24" customHeight="1">
      <c r="A18" s="2147">
        <v>13</v>
      </c>
      <c r="B18" s="3753" t="s">
        <v>891</v>
      </c>
      <c r="C18" s="149"/>
      <c r="D18" s="149"/>
      <c r="E18" s="149"/>
      <c r="F18" s="151"/>
      <c r="G18" s="151"/>
      <c r="H18" s="151"/>
      <c r="I18" s="151"/>
      <c r="J18" s="151"/>
      <c r="K18" s="151"/>
      <c r="L18" s="151"/>
      <c r="M18" s="2296">
        <f t="shared" si="4"/>
        <v>0</v>
      </c>
    </row>
    <row r="19" spans="1:13" ht="24" customHeight="1">
      <c r="A19" s="2147">
        <v>14</v>
      </c>
      <c r="B19" s="3754"/>
      <c r="C19" s="149"/>
      <c r="D19" s="149"/>
      <c r="E19" s="149"/>
      <c r="F19" s="151"/>
      <c r="G19" s="151"/>
      <c r="H19" s="151"/>
      <c r="I19" s="151"/>
      <c r="J19" s="151"/>
      <c r="K19" s="151"/>
      <c r="L19" s="151"/>
      <c r="M19" s="2296">
        <f t="shared" si="4"/>
        <v>0</v>
      </c>
    </row>
    <row r="20" spans="1:13" ht="24" customHeight="1">
      <c r="A20" s="2147">
        <v>15</v>
      </c>
      <c r="B20" s="3755"/>
      <c r="C20" s="2302" t="s">
        <v>895</v>
      </c>
      <c r="D20" s="2302" t="s">
        <v>133</v>
      </c>
      <c r="E20" s="2302" t="s">
        <v>133</v>
      </c>
      <c r="F20" s="2296">
        <f>ROUND(SUM(F18:F19),2)</f>
        <v>0</v>
      </c>
      <c r="G20" s="2296">
        <f t="shared" ref="G20:L20" si="5">ROUND(SUM(G18:G19),2)</f>
        <v>0</v>
      </c>
      <c r="H20" s="2296">
        <f t="shared" si="5"/>
        <v>0</v>
      </c>
      <c r="I20" s="2296">
        <f t="shared" si="5"/>
        <v>0</v>
      </c>
      <c r="J20" s="2296">
        <f t="shared" si="5"/>
        <v>0</v>
      </c>
      <c r="K20" s="2296">
        <f t="shared" si="5"/>
        <v>0</v>
      </c>
      <c r="L20" s="2296">
        <f t="shared" si="5"/>
        <v>0</v>
      </c>
      <c r="M20" s="2296">
        <f t="shared" si="4"/>
        <v>0</v>
      </c>
    </row>
    <row r="21" spans="1:13" ht="24" customHeight="1">
      <c r="A21" s="2147">
        <v>16</v>
      </c>
      <c r="B21" s="3753" t="s">
        <v>892</v>
      </c>
      <c r="C21" s="149"/>
      <c r="D21" s="149"/>
      <c r="E21" s="149"/>
      <c r="F21" s="151"/>
      <c r="G21" s="151"/>
      <c r="H21" s="151"/>
      <c r="I21" s="151"/>
      <c r="J21" s="151"/>
      <c r="K21" s="151"/>
      <c r="L21" s="151"/>
      <c r="M21" s="2296">
        <f t="shared" si="4"/>
        <v>0</v>
      </c>
    </row>
    <row r="22" spans="1:13" ht="24" customHeight="1">
      <c r="A22" s="2147">
        <v>17</v>
      </c>
      <c r="B22" s="3754"/>
      <c r="C22" s="149"/>
      <c r="D22" s="149"/>
      <c r="E22" s="149"/>
      <c r="F22" s="151"/>
      <c r="G22" s="151"/>
      <c r="H22" s="151"/>
      <c r="I22" s="151"/>
      <c r="J22" s="151"/>
      <c r="K22" s="151"/>
      <c r="L22" s="151"/>
      <c r="M22" s="2296">
        <f t="shared" si="4"/>
        <v>0</v>
      </c>
    </row>
    <row r="23" spans="1:13" ht="24" customHeight="1">
      <c r="A23" s="2147">
        <v>18</v>
      </c>
      <c r="B23" s="3755"/>
      <c r="C23" s="2302" t="s">
        <v>895</v>
      </c>
      <c r="D23" s="2302" t="s">
        <v>133</v>
      </c>
      <c r="E23" s="2302" t="s">
        <v>133</v>
      </c>
      <c r="F23" s="2296">
        <f>ROUND(SUM(F21:F22),2)</f>
        <v>0</v>
      </c>
      <c r="G23" s="2296">
        <f t="shared" ref="G23:L23" si="6">ROUND(SUM(G21:G22),2)</f>
        <v>0</v>
      </c>
      <c r="H23" s="2296">
        <f t="shared" si="6"/>
        <v>0</v>
      </c>
      <c r="I23" s="2296">
        <f t="shared" si="6"/>
        <v>0</v>
      </c>
      <c r="J23" s="2296">
        <f t="shared" si="6"/>
        <v>0</v>
      </c>
      <c r="K23" s="2296">
        <f t="shared" si="6"/>
        <v>0</v>
      </c>
      <c r="L23" s="2296">
        <f t="shared" si="6"/>
        <v>0</v>
      </c>
      <c r="M23" s="2296">
        <f t="shared" si="4"/>
        <v>0</v>
      </c>
    </row>
    <row r="24" spans="1:13" ht="24" customHeight="1">
      <c r="A24" s="2147">
        <v>19</v>
      </c>
      <c r="B24" s="3753" t="s">
        <v>893</v>
      </c>
      <c r="C24" s="149"/>
      <c r="D24" s="149"/>
      <c r="E24" s="149"/>
      <c r="F24" s="151"/>
      <c r="G24" s="151"/>
      <c r="H24" s="151"/>
      <c r="I24" s="151"/>
      <c r="J24" s="151"/>
      <c r="K24" s="151"/>
      <c r="L24" s="151"/>
      <c r="M24" s="2296">
        <f t="shared" si="4"/>
        <v>0</v>
      </c>
    </row>
    <row r="25" spans="1:13" ht="24" customHeight="1">
      <c r="A25" s="2147">
        <v>20</v>
      </c>
      <c r="B25" s="3754"/>
      <c r="C25" s="149"/>
      <c r="D25" s="149"/>
      <c r="E25" s="149"/>
      <c r="F25" s="151"/>
      <c r="G25" s="151"/>
      <c r="H25" s="151"/>
      <c r="I25" s="151"/>
      <c r="J25" s="151"/>
      <c r="K25" s="151"/>
      <c r="L25" s="151"/>
      <c r="M25" s="2296">
        <f t="shared" si="4"/>
        <v>0</v>
      </c>
    </row>
    <row r="26" spans="1:13" ht="24" customHeight="1">
      <c r="A26" s="2147">
        <v>21</v>
      </c>
      <c r="B26" s="3755"/>
      <c r="C26" s="2302" t="s">
        <v>895</v>
      </c>
      <c r="D26" s="2302" t="s">
        <v>133</v>
      </c>
      <c r="E26" s="2302" t="s">
        <v>133</v>
      </c>
      <c r="F26" s="2296">
        <f>ROUND(SUM(F24:F25),2)</f>
        <v>0</v>
      </c>
      <c r="G26" s="2296">
        <f t="shared" ref="G26:L26" si="7">ROUND(SUM(G24:G25),2)</f>
        <v>0</v>
      </c>
      <c r="H26" s="2296">
        <f t="shared" si="7"/>
        <v>0</v>
      </c>
      <c r="I26" s="2296">
        <f t="shared" si="7"/>
        <v>0</v>
      </c>
      <c r="J26" s="2296">
        <f t="shared" si="7"/>
        <v>0</v>
      </c>
      <c r="K26" s="2296">
        <f t="shared" si="7"/>
        <v>0</v>
      </c>
      <c r="L26" s="2296">
        <f t="shared" si="7"/>
        <v>0</v>
      </c>
      <c r="M26" s="2296">
        <f t="shared" si="4"/>
        <v>0</v>
      </c>
    </row>
    <row r="27" spans="1:13" ht="24" customHeight="1">
      <c r="A27" s="2147">
        <v>22</v>
      </c>
      <c r="B27" s="2148" t="s">
        <v>894</v>
      </c>
      <c r="C27" s="2300" t="s">
        <v>133</v>
      </c>
      <c r="D27" s="2300" t="s">
        <v>133</v>
      </c>
      <c r="E27" s="2300" t="s">
        <v>133</v>
      </c>
      <c r="F27" s="2296">
        <f>ROUND(F8+F11+F14+F17+F20+F23+F26,2)</f>
        <v>0</v>
      </c>
      <c r="G27" s="2296">
        <f t="shared" ref="G27:L27" si="8">ROUND(G8+G11+G14+G17+G20+G23+G26,2)</f>
        <v>0</v>
      </c>
      <c r="H27" s="2296">
        <f t="shared" si="8"/>
        <v>0</v>
      </c>
      <c r="I27" s="2296">
        <f t="shared" si="8"/>
        <v>0</v>
      </c>
      <c r="J27" s="2296">
        <f t="shared" si="8"/>
        <v>0</v>
      </c>
      <c r="K27" s="2296">
        <f t="shared" si="8"/>
        <v>0</v>
      </c>
      <c r="L27" s="2296">
        <f t="shared" si="8"/>
        <v>0</v>
      </c>
      <c r="M27" s="2296">
        <f>ROUND(M8+M11+M14+M17+M20+M23+M26,2)</f>
        <v>0</v>
      </c>
    </row>
  </sheetData>
  <mergeCells count="22">
    <mergeCell ref="K1:M1"/>
    <mergeCell ref="K2:M2"/>
    <mergeCell ref="A1:J2"/>
    <mergeCell ref="B12:B14"/>
    <mergeCell ref="B15:B17"/>
    <mergeCell ref="M3:M4"/>
    <mergeCell ref="A3:A5"/>
    <mergeCell ref="B18:B20"/>
    <mergeCell ref="B21:B23"/>
    <mergeCell ref="B24:B26"/>
    <mergeCell ref="J3:J4"/>
    <mergeCell ref="K3:L3"/>
    <mergeCell ref="B6:B8"/>
    <mergeCell ref="B9:B11"/>
    <mergeCell ref="B3:B5"/>
    <mergeCell ref="C3:C4"/>
    <mergeCell ref="D3:D4"/>
    <mergeCell ref="E3:E4"/>
    <mergeCell ref="F3:F4"/>
    <mergeCell ref="G3:G4"/>
    <mergeCell ref="H3:H4"/>
    <mergeCell ref="I3:I4"/>
  </mergeCells>
  <phoneticPr fontId="135" type="noConversion"/>
  <printOptions horizontalCentered="1"/>
  <pageMargins left="0.59055118110236215" right="0.59055118110236215" top="0.39370078740157477" bottom="0.39370078740157477" header="0.511811023622047" footer="0.511811023622047"/>
  <pageSetup paperSize="9" orientation="landscape" r:id="rId1"/>
  <drawing r:id="rId2"/>
  <legacyDrawing r:id="rId3"/>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0">
    <tabColor rgb="FFFFFF00"/>
  </sheetPr>
  <dimension ref="A1:F27"/>
  <sheetViews>
    <sheetView workbookViewId="0">
      <selection activeCell="D3" sqref="D3"/>
    </sheetView>
  </sheetViews>
  <sheetFormatPr defaultRowHeight="14.25"/>
  <cols>
    <col min="1" max="1" width="5.25" style="577" customWidth="1"/>
    <col min="2" max="2" width="37.5" style="577" customWidth="1"/>
    <col min="3" max="5" width="15.75" style="577" customWidth="1"/>
    <col min="6" max="6" width="41.5" style="577" customWidth="1"/>
    <col min="7" max="256" width="9" style="577"/>
    <col min="257" max="257" width="5.25" style="577" customWidth="1"/>
    <col min="258" max="258" width="56.375" style="577" customWidth="1"/>
    <col min="259" max="259" width="19.25" style="577" customWidth="1"/>
    <col min="260" max="260" width="11.875" style="577" customWidth="1"/>
    <col min="261" max="261" width="9" style="577"/>
    <col min="262" max="262" width="41.5" style="577" customWidth="1"/>
    <col min="263" max="512" width="9" style="577"/>
    <col min="513" max="513" width="5.25" style="577" customWidth="1"/>
    <col min="514" max="514" width="56.375" style="577" customWidth="1"/>
    <col min="515" max="515" width="19.25" style="577" customWidth="1"/>
    <col min="516" max="516" width="11.875" style="577" customWidth="1"/>
    <col min="517" max="517" width="9" style="577"/>
    <col min="518" max="518" width="41.5" style="577" customWidth="1"/>
    <col min="519" max="768" width="9" style="577"/>
    <col min="769" max="769" width="5.25" style="577" customWidth="1"/>
    <col min="770" max="770" width="56.375" style="577" customWidth="1"/>
    <col min="771" max="771" width="19.25" style="577" customWidth="1"/>
    <col min="772" max="772" width="11.875" style="577" customWidth="1"/>
    <col min="773" max="773" width="9" style="577"/>
    <col min="774" max="774" width="41.5" style="577" customWidth="1"/>
    <col min="775" max="1024" width="9" style="577"/>
    <col min="1025" max="1025" width="5.25" style="577" customWidth="1"/>
    <col min="1026" max="1026" width="56.375" style="577" customWidth="1"/>
    <col min="1027" max="1027" width="19.25" style="577" customWidth="1"/>
    <col min="1028" max="1028" width="11.875" style="577" customWidth="1"/>
    <col min="1029" max="1029" width="9" style="577"/>
    <col min="1030" max="1030" width="41.5" style="577" customWidth="1"/>
    <col min="1031" max="1280" width="9" style="577"/>
    <col min="1281" max="1281" width="5.25" style="577" customWidth="1"/>
    <col min="1282" max="1282" width="56.375" style="577" customWidth="1"/>
    <col min="1283" max="1283" width="19.25" style="577" customWidth="1"/>
    <col min="1284" max="1284" width="11.875" style="577" customWidth="1"/>
    <col min="1285" max="1285" width="9" style="577"/>
    <col min="1286" max="1286" width="41.5" style="577" customWidth="1"/>
    <col min="1287" max="1536" width="9" style="577"/>
    <col min="1537" max="1537" width="5.25" style="577" customWidth="1"/>
    <col min="1538" max="1538" width="56.375" style="577" customWidth="1"/>
    <col min="1539" max="1539" width="19.25" style="577" customWidth="1"/>
    <col min="1540" max="1540" width="11.875" style="577" customWidth="1"/>
    <col min="1541" max="1541" width="9" style="577"/>
    <col min="1542" max="1542" width="41.5" style="577" customWidth="1"/>
    <col min="1543" max="1792" width="9" style="577"/>
    <col min="1793" max="1793" width="5.25" style="577" customWidth="1"/>
    <col min="1794" max="1794" width="56.375" style="577" customWidth="1"/>
    <col min="1795" max="1795" width="19.25" style="577" customWidth="1"/>
    <col min="1796" max="1796" width="11.875" style="577" customWidth="1"/>
    <col min="1797" max="1797" width="9" style="577"/>
    <col min="1798" max="1798" width="41.5" style="577" customWidth="1"/>
    <col min="1799" max="2048" width="9" style="577"/>
    <col min="2049" max="2049" width="5.25" style="577" customWidth="1"/>
    <col min="2050" max="2050" width="56.375" style="577" customWidth="1"/>
    <col min="2051" max="2051" width="19.25" style="577" customWidth="1"/>
    <col min="2052" max="2052" width="11.875" style="577" customWidth="1"/>
    <col min="2053" max="2053" width="9" style="577"/>
    <col min="2054" max="2054" width="41.5" style="577" customWidth="1"/>
    <col min="2055" max="2304" width="9" style="577"/>
    <col min="2305" max="2305" width="5.25" style="577" customWidth="1"/>
    <col min="2306" max="2306" width="56.375" style="577" customWidth="1"/>
    <col min="2307" max="2307" width="19.25" style="577" customWidth="1"/>
    <col min="2308" max="2308" width="11.875" style="577" customWidth="1"/>
    <col min="2309" max="2309" width="9" style="577"/>
    <col min="2310" max="2310" width="41.5" style="577" customWidth="1"/>
    <col min="2311" max="2560" width="9" style="577"/>
    <col min="2561" max="2561" width="5.25" style="577" customWidth="1"/>
    <col min="2562" max="2562" width="56.375" style="577" customWidth="1"/>
    <col min="2563" max="2563" width="19.25" style="577" customWidth="1"/>
    <col min="2564" max="2564" width="11.875" style="577" customWidth="1"/>
    <col min="2565" max="2565" width="9" style="577"/>
    <col min="2566" max="2566" width="41.5" style="577" customWidth="1"/>
    <col min="2567" max="2816" width="9" style="577"/>
    <col min="2817" max="2817" width="5.25" style="577" customWidth="1"/>
    <col min="2818" max="2818" width="56.375" style="577" customWidth="1"/>
    <col min="2819" max="2819" width="19.25" style="577" customWidth="1"/>
    <col min="2820" max="2820" width="11.875" style="577" customWidth="1"/>
    <col min="2821" max="2821" width="9" style="577"/>
    <col min="2822" max="2822" width="41.5" style="577" customWidth="1"/>
    <col min="2823" max="3072" width="9" style="577"/>
    <col min="3073" max="3073" width="5.25" style="577" customWidth="1"/>
    <col min="3074" max="3074" width="56.375" style="577" customWidth="1"/>
    <col min="3075" max="3075" width="19.25" style="577" customWidth="1"/>
    <col min="3076" max="3076" width="11.875" style="577" customWidth="1"/>
    <col min="3077" max="3077" width="9" style="577"/>
    <col min="3078" max="3078" width="41.5" style="577" customWidth="1"/>
    <col min="3079" max="3328" width="9" style="577"/>
    <col min="3329" max="3329" width="5.25" style="577" customWidth="1"/>
    <col min="3330" max="3330" width="56.375" style="577" customWidth="1"/>
    <col min="3331" max="3331" width="19.25" style="577" customWidth="1"/>
    <col min="3332" max="3332" width="11.875" style="577" customWidth="1"/>
    <col min="3333" max="3333" width="9" style="577"/>
    <col min="3334" max="3334" width="41.5" style="577" customWidth="1"/>
    <col min="3335" max="3584" width="9" style="577"/>
    <col min="3585" max="3585" width="5.25" style="577" customWidth="1"/>
    <col min="3586" max="3586" width="56.375" style="577" customWidth="1"/>
    <col min="3587" max="3587" width="19.25" style="577" customWidth="1"/>
    <col min="3588" max="3588" width="11.875" style="577" customWidth="1"/>
    <col min="3589" max="3589" width="9" style="577"/>
    <col min="3590" max="3590" width="41.5" style="577" customWidth="1"/>
    <col min="3591" max="3840" width="9" style="577"/>
    <col min="3841" max="3841" width="5.25" style="577" customWidth="1"/>
    <col min="3842" max="3842" width="56.375" style="577" customWidth="1"/>
    <col min="3843" max="3843" width="19.25" style="577" customWidth="1"/>
    <col min="3844" max="3844" width="11.875" style="577" customWidth="1"/>
    <col min="3845" max="3845" width="9" style="577"/>
    <col min="3846" max="3846" width="41.5" style="577" customWidth="1"/>
    <col min="3847" max="4096" width="9" style="577"/>
    <col min="4097" max="4097" width="5.25" style="577" customWidth="1"/>
    <col min="4098" max="4098" width="56.375" style="577" customWidth="1"/>
    <col min="4099" max="4099" width="19.25" style="577" customWidth="1"/>
    <col min="4100" max="4100" width="11.875" style="577" customWidth="1"/>
    <col min="4101" max="4101" width="9" style="577"/>
    <col min="4102" max="4102" width="41.5" style="577" customWidth="1"/>
    <col min="4103" max="4352" width="9" style="577"/>
    <col min="4353" max="4353" width="5.25" style="577" customWidth="1"/>
    <col min="4354" max="4354" width="56.375" style="577" customWidth="1"/>
    <col min="4355" max="4355" width="19.25" style="577" customWidth="1"/>
    <col min="4356" max="4356" width="11.875" style="577" customWidth="1"/>
    <col min="4357" max="4357" width="9" style="577"/>
    <col min="4358" max="4358" width="41.5" style="577" customWidth="1"/>
    <col min="4359" max="4608" width="9" style="577"/>
    <col min="4609" max="4609" width="5.25" style="577" customWidth="1"/>
    <col min="4610" max="4610" width="56.375" style="577" customWidth="1"/>
    <col min="4611" max="4611" width="19.25" style="577" customWidth="1"/>
    <col min="4612" max="4612" width="11.875" style="577" customWidth="1"/>
    <col min="4613" max="4613" width="9" style="577"/>
    <col min="4614" max="4614" width="41.5" style="577" customWidth="1"/>
    <col min="4615" max="4864" width="9" style="577"/>
    <col min="4865" max="4865" width="5.25" style="577" customWidth="1"/>
    <col min="4866" max="4866" width="56.375" style="577" customWidth="1"/>
    <col min="4867" max="4867" width="19.25" style="577" customWidth="1"/>
    <col min="4868" max="4868" width="11.875" style="577" customWidth="1"/>
    <col min="4869" max="4869" width="9" style="577"/>
    <col min="4870" max="4870" width="41.5" style="577" customWidth="1"/>
    <col min="4871" max="5120" width="9" style="577"/>
    <col min="5121" max="5121" width="5.25" style="577" customWidth="1"/>
    <col min="5122" max="5122" width="56.375" style="577" customWidth="1"/>
    <col min="5123" max="5123" width="19.25" style="577" customWidth="1"/>
    <col min="5124" max="5124" width="11.875" style="577" customWidth="1"/>
    <col min="5125" max="5125" width="9" style="577"/>
    <col min="5126" max="5126" width="41.5" style="577" customWidth="1"/>
    <col min="5127" max="5376" width="9" style="577"/>
    <col min="5377" max="5377" width="5.25" style="577" customWidth="1"/>
    <col min="5378" max="5378" width="56.375" style="577" customWidth="1"/>
    <col min="5379" max="5379" width="19.25" style="577" customWidth="1"/>
    <col min="5380" max="5380" width="11.875" style="577" customWidth="1"/>
    <col min="5381" max="5381" width="9" style="577"/>
    <col min="5382" max="5382" width="41.5" style="577" customWidth="1"/>
    <col min="5383" max="5632" width="9" style="577"/>
    <col min="5633" max="5633" width="5.25" style="577" customWidth="1"/>
    <col min="5634" max="5634" width="56.375" style="577" customWidth="1"/>
    <col min="5635" max="5635" width="19.25" style="577" customWidth="1"/>
    <col min="5636" max="5636" width="11.875" style="577" customWidth="1"/>
    <col min="5637" max="5637" width="9" style="577"/>
    <col min="5638" max="5638" width="41.5" style="577" customWidth="1"/>
    <col min="5639" max="5888" width="9" style="577"/>
    <col min="5889" max="5889" width="5.25" style="577" customWidth="1"/>
    <col min="5890" max="5890" width="56.375" style="577" customWidth="1"/>
    <col min="5891" max="5891" width="19.25" style="577" customWidth="1"/>
    <col min="5892" max="5892" width="11.875" style="577" customWidth="1"/>
    <col min="5893" max="5893" width="9" style="577"/>
    <col min="5894" max="5894" width="41.5" style="577" customWidth="1"/>
    <col min="5895" max="6144" width="9" style="577"/>
    <col min="6145" max="6145" width="5.25" style="577" customWidth="1"/>
    <col min="6146" max="6146" width="56.375" style="577" customWidth="1"/>
    <col min="6147" max="6147" width="19.25" style="577" customWidth="1"/>
    <col min="6148" max="6148" width="11.875" style="577" customWidth="1"/>
    <col min="6149" max="6149" width="9" style="577"/>
    <col min="6150" max="6150" width="41.5" style="577" customWidth="1"/>
    <col min="6151" max="6400" width="9" style="577"/>
    <col min="6401" max="6401" width="5.25" style="577" customWidth="1"/>
    <col min="6402" max="6402" width="56.375" style="577" customWidth="1"/>
    <col min="6403" max="6403" width="19.25" style="577" customWidth="1"/>
    <col min="6404" max="6404" width="11.875" style="577" customWidth="1"/>
    <col min="6405" max="6405" width="9" style="577"/>
    <col min="6406" max="6406" width="41.5" style="577" customWidth="1"/>
    <col min="6407" max="6656" width="9" style="577"/>
    <col min="6657" max="6657" width="5.25" style="577" customWidth="1"/>
    <col min="6658" max="6658" width="56.375" style="577" customWidth="1"/>
    <col min="6659" max="6659" width="19.25" style="577" customWidth="1"/>
    <col min="6660" max="6660" width="11.875" style="577" customWidth="1"/>
    <col min="6661" max="6661" width="9" style="577"/>
    <col min="6662" max="6662" width="41.5" style="577" customWidth="1"/>
    <col min="6663" max="6912" width="9" style="577"/>
    <col min="6913" max="6913" width="5.25" style="577" customWidth="1"/>
    <col min="6914" max="6914" width="56.375" style="577" customWidth="1"/>
    <col min="6915" max="6915" width="19.25" style="577" customWidth="1"/>
    <col min="6916" max="6916" width="11.875" style="577" customWidth="1"/>
    <col min="6917" max="6917" width="9" style="577"/>
    <col min="6918" max="6918" width="41.5" style="577" customWidth="1"/>
    <col min="6919" max="7168" width="9" style="577"/>
    <col min="7169" max="7169" width="5.25" style="577" customWidth="1"/>
    <col min="7170" max="7170" width="56.375" style="577" customWidth="1"/>
    <col min="7171" max="7171" width="19.25" style="577" customWidth="1"/>
    <col min="7172" max="7172" width="11.875" style="577" customWidth="1"/>
    <col min="7173" max="7173" width="9" style="577"/>
    <col min="7174" max="7174" width="41.5" style="577" customWidth="1"/>
    <col min="7175" max="7424" width="9" style="577"/>
    <col min="7425" max="7425" width="5.25" style="577" customWidth="1"/>
    <col min="7426" max="7426" width="56.375" style="577" customWidth="1"/>
    <col min="7427" max="7427" width="19.25" style="577" customWidth="1"/>
    <col min="7428" max="7428" width="11.875" style="577" customWidth="1"/>
    <col min="7429" max="7429" width="9" style="577"/>
    <col min="7430" max="7430" width="41.5" style="577" customWidth="1"/>
    <col min="7431" max="7680" width="9" style="577"/>
    <col min="7681" max="7681" width="5.25" style="577" customWidth="1"/>
    <col min="7682" max="7682" width="56.375" style="577" customWidth="1"/>
    <col min="7683" max="7683" width="19.25" style="577" customWidth="1"/>
    <col min="7684" max="7684" width="11.875" style="577" customWidth="1"/>
    <col min="7685" max="7685" width="9" style="577"/>
    <col min="7686" max="7686" width="41.5" style="577" customWidth="1"/>
    <col min="7687" max="7936" width="9" style="577"/>
    <col min="7937" max="7937" width="5.25" style="577" customWidth="1"/>
    <col min="7938" max="7938" width="56.375" style="577" customWidth="1"/>
    <col min="7939" max="7939" width="19.25" style="577" customWidth="1"/>
    <col min="7940" max="7940" width="11.875" style="577" customWidth="1"/>
    <col min="7941" max="7941" width="9" style="577"/>
    <col min="7942" max="7942" width="41.5" style="577" customWidth="1"/>
    <col min="7943" max="8192" width="9" style="577"/>
    <col min="8193" max="8193" width="5.25" style="577" customWidth="1"/>
    <col min="8194" max="8194" width="56.375" style="577" customWidth="1"/>
    <col min="8195" max="8195" width="19.25" style="577" customWidth="1"/>
    <col min="8196" max="8196" width="11.875" style="577" customWidth="1"/>
    <col min="8197" max="8197" width="9" style="577"/>
    <col min="8198" max="8198" width="41.5" style="577" customWidth="1"/>
    <col min="8199" max="8448" width="9" style="577"/>
    <col min="8449" max="8449" width="5.25" style="577" customWidth="1"/>
    <col min="8450" max="8450" width="56.375" style="577" customWidth="1"/>
    <col min="8451" max="8451" width="19.25" style="577" customWidth="1"/>
    <col min="8452" max="8452" width="11.875" style="577" customWidth="1"/>
    <col min="8453" max="8453" width="9" style="577"/>
    <col min="8454" max="8454" width="41.5" style="577" customWidth="1"/>
    <col min="8455" max="8704" width="9" style="577"/>
    <col min="8705" max="8705" width="5.25" style="577" customWidth="1"/>
    <col min="8706" max="8706" width="56.375" style="577" customWidth="1"/>
    <col min="8707" max="8707" width="19.25" style="577" customWidth="1"/>
    <col min="8708" max="8708" width="11.875" style="577" customWidth="1"/>
    <col min="8709" max="8709" width="9" style="577"/>
    <col min="8710" max="8710" width="41.5" style="577" customWidth="1"/>
    <col min="8711" max="8960" width="9" style="577"/>
    <col min="8961" max="8961" width="5.25" style="577" customWidth="1"/>
    <col min="8962" max="8962" width="56.375" style="577" customWidth="1"/>
    <col min="8963" max="8963" width="19.25" style="577" customWidth="1"/>
    <col min="8964" max="8964" width="11.875" style="577" customWidth="1"/>
    <col min="8965" max="8965" width="9" style="577"/>
    <col min="8966" max="8966" width="41.5" style="577" customWidth="1"/>
    <col min="8967" max="9216" width="9" style="577"/>
    <col min="9217" max="9217" width="5.25" style="577" customWidth="1"/>
    <col min="9218" max="9218" width="56.375" style="577" customWidth="1"/>
    <col min="9219" max="9219" width="19.25" style="577" customWidth="1"/>
    <col min="9220" max="9220" width="11.875" style="577" customWidth="1"/>
    <col min="9221" max="9221" width="9" style="577"/>
    <col min="9222" max="9222" width="41.5" style="577" customWidth="1"/>
    <col min="9223" max="9472" width="9" style="577"/>
    <col min="9473" max="9473" width="5.25" style="577" customWidth="1"/>
    <col min="9474" max="9474" width="56.375" style="577" customWidth="1"/>
    <col min="9475" max="9475" width="19.25" style="577" customWidth="1"/>
    <col min="9476" max="9476" width="11.875" style="577" customWidth="1"/>
    <col min="9477" max="9477" width="9" style="577"/>
    <col min="9478" max="9478" width="41.5" style="577" customWidth="1"/>
    <col min="9479" max="9728" width="9" style="577"/>
    <col min="9729" max="9729" width="5.25" style="577" customWidth="1"/>
    <col min="9730" max="9730" width="56.375" style="577" customWidth="1"/>
    <col min="9731" max="9731" width="19.25" style="577" customWidth="1"/>
    <col min="9732" max="9732" width="11.875" style="577" customWidth="1"/>
    <col min="9733" max="9733" width="9" style="577"/>
    <col min="9734" max="9734" width="41.5" style="577" customWidth="1"/>
    <col min="9735" max="9984" width="9" style="577"/>
    <col min="9985" max="9985" width="5.25" style="577" customWidth="1"/>
    <col min="9986" max="9986" width="56.375" style="577" customWidth="1"/>
    <col min="9987" max="9987" width="19.25" style="577" customWidth="1"/>
    <col min="9988" max="9988" width="11.875" style="577" customWidth="1"/>
    <col min="9989" max="9989" width="9" style="577"/>
    <col min="9990" max="9990" width="41.5" style="577" customWidth="1"/>
    <col min="9991" max="10240" width="9" style="577"/>
    <col min="10241" max="10241" width="5.25" style="577" customWidth="1"/>
    <col min="10242" max="10242" width="56.375" style="577" customWidth="1"/>
    <col min="10243" max="10243" width="19.25" style="577" customWidth="1"/>
    <col min="10244" max="10244" width="11.875" style="577" customWidth="1"/>
    <col min="10245" max="10245" width="9" style="577"/>
    <col min="10246" max="10246" width="41.5" style="577" customWidth="1"/>
    <col min="10247" max="10496" width="9" style="577"/>
    <col min="10497" max="10497" width="5.25" style="577" customWidth="1"/>
    <col min="10498" max="10498" width="56.375" style="577" customWidth="1"/>
    <col min="10499" max="10499" width="19.25" style="577" customWidth="1"/>
    <col min="10500" max="10500" width="11.875" style="577" customWidth="1"/>
    <col min="10501" max="10501" width="9" style="577"/>
    <col min="10502" max="10502" width="41.5" style="577" customWidth="1"/>
    <col min="10503" max="10752" width="9" style="577"/>
    <col min="10753" max="10753" width="5.25" style="577" customWidth="1"/>
    <col min="10754" max="10754" width="56.375" style="577" customWidth="1"/>
    <col min="10755" max="10755" width="19.25" style="577" customWidth="1"/>
    <col min="10756" max="10756" width="11.875" style="577" customWidth="1"/>
    <col min="10757" max="10757" width="9" style="577"/>
    <col min="10758" max="10758" width="41.5" style="577" customWidth="1"/>
    <col min="10759" max="11008" width="9" style="577"/>
    <col min="11009" max="11009" width="5.25" style="577" customWidth="1"/>
    <col min="11010" max="11010" width="56.375" style="577" customWidth="1"/>
    <col min="11011" max="11011" width="19.25" style="577" customWidth="1"/>
    <col min="11012" max="11012" width="11.875" style="577" customWidth="1"/>
    <col min="11013" max="11013" width="9" style="577"/>
    <col min="11014" max="11014" width="41.5" style="577" customWidth="1"/>
    <col min="11015" max="11264" width="9" style="577"/>
    <col min="11265" max="11265" width="5.25" style="577" customWidth="1"/>
    <col min="11266" max="11266" width="56.375" style="577" customWidth="1"/>
    <col min="11267" max="11267" width="19.25" style="577" customWidth="1"/>
    <col min="11268" max="11268" width="11.875" style="577" customWidth="1"/>
    <col min="11269" max="11269" width="9" style="577"/>
    <col min="11270" max="11270" width="41.5" style="577" customWidth="1"/>
    <col min="11271" max="11520" width="9" style="577"/>
    <col min="11521" max="11521" width="5.25" style="577" customWidth="1"/>
    <col min="11522" max="11522" width="56.375" style="577" customWidth="1"/>
    <col min="11523" max="11523" width="19.25" style="577" customWidth="1"/>
    <col min="11524" max="11524" width="11.875" style="577" customWidth="1"/>
    <col min="11525" max="11525" width="9" style="577"/>
    <col min="11526" max="11526" width="41.5" style="577" customWidth="1"/>
    <col min="11527" max="11776" width="9" style="577"/>
    <col min="11777" max="11777" width="5.25" style="577" customWidth="1"/>
    <col min="11778" max="11778" width="56.375" style="577" customWidth="1"/>
    <col min="11779" max="11779" width="19.25" style="577" customWidth="1"/>
    <col min="11780" max="11780" width="11.875" style="577" customWidth="1"/>
    <col min="11781" max="11781" width="9" style="577"/>
    <col min="11782" max="11782" width="41.5" style="577" customWidth="1"/>
    <col min="11783" max="12032" width="9" style="577"/>
    <col min="12033" max="12033" width="5.25" style="577" customWidth="1"/>
    <col min="12034" max="12034" width="56.375" style="577" customWidth="1"/>
    <col min="12035" max="12035" width="19.25" style="577" customWidth="1"/>
    <col min="12036" max="12036" width="11.875" style="577" customWidth="1"/>
    <col min="12037" max="12037" width="9" style="577"/>
    <col min="12038" max="12038" width="41.5" style="577" customWidth="1"/>
    <col min="12039" max="12288" width="9" style="577"/>
    <col min="12289" max="12289" width="5.25" style="577" customWidth="1"/>
    <col min="12290" max="12290" width="56.375" style="577" customWidth="1"/>
    <col min="12291" max="12291" width="19.25" style="577" customWidth="1"/>
    <col min="12292" max="12292" width="11.875" style="577" customWidth="1"/>
    <col min="12293" max="12293" width="9" style="577"/>
    <col min="12294" max="12294" width="41.5" style="577" customWidth="1"/>
    <col min="12295" max="12544" width="9" style="577"/>
    <col min="12545" max="12545" width="5.25" style="577" customWidth="1"/>
    <col min="12546" max="12546" width="56.375" style="577" customWidth="1"/>
    <col min="12547" max="12547" width="19.25" style="577" customWidth="1"/>
    <col min="12548" max="12548" width="11.875" style="577" customWidth="1"/>
    <col min="12549" max="12549" width="9" style="577"/>
    <col min="12550" max="12550" width="41.5" style="577" customWidth="1"/>
    <col min="12551" max="12800" width="9" style="577"/>
    <col min="12801" max="12801" width="5.25" style="577" customWidth="1"/>
    <col min="12802" max="12802" width="56.375" style="577" customWidth="1"/>
    <col min="12803" max="12803" width="19.25" style="577" customWidth="1"/>
    <col min="12804" max="12804" width="11.875" style="577" customWidth="1"/>
    <col min="12805" max="12805" width="9" style="577"/>
    <col min="12806" max="12806" width="41.5" style="577" customWidth="1"/>
    <col min="12807" max="13056" width="9" style="577"/>
    <col min="13057" max="13057" width="5.25" style="577" customWidth="1"/>
    <col min="13058" max="13058" width="56.375" style="577" customWidth="1"/>
    <col min="13059" max="13059" width="19.25" style="577" customWidth="1"/>
    <col min="13060" max="13060" width="11.875" style="577" customWidth="1"/>
    <col min="13061" max="13061" width="9" style="577"/>
    <col min="13062" max="13062" width="41.5" style="577" customWidth="1"/>
    <col min="13063" max="13312" width="9" style="577"/>
    <col min="13313" max="13313" width="5.25" style="577" customWidth="1"/>
    <col min="13314" max="13314" width="56.375" style="577" customWidth="1"/>
    <col min="13315" max="13315" width="19.25" style="577" customWidth="1"/>
    <col min="13316" max="13316" width="11.875" style="577" customWidth="1"/>
    <col min="13317" max="13317" width="9" style="577"/>
    <col min="13318" max="13318" width="41.5" style="577" customWidth="1"/>
    <col min="13319" max="13568" width="9" style="577"/>
    <col min="13569" max="13569" width="5.25" style="577" customWidth="1"/>
    <col min="13570" max="13570" width="56.375" style="577" customWidth="1"/>
    <col min="13571" max="13571" width="19.25" style="577" customWidth="1"/>
    <col min="13572" max="13572" width="11.875" style="577" customWidth="1"/>
    <col min="13573" max="13573" width="9" style="577"/>
    <col min="13574" max="13574" width="41.5" style="577" customWidth="1"/>
    <col min="13575" max="13824" width="9" style="577"/>
    <col min="13825" max="13825" width="5.25" style="577" customWidth="1"/>
    <col min="13826" max="13826" width="56.375" style="577" customWidth="1"/>
    <col min="13827" max="13827" width="19.25" style="577" customWidth="1"/>
    <col min="13828" max="13828" width="11.875" style="577" customWidth="1"/>
    <col min="13829" max="13829" width="9" style="577"/>
    <col min="13830" max="13830" width="41.5" style="577" customWidth="1"/>
    <col min="13831" max="14080" width="9" style="577"/>
    <col min="14081" max="14081" width="5.25" style="577" customWidth="1"/>
    <col min="14082" max="14082" width="56.375" style="577" customWidth="1"/>
    <col min="14083" max="14083" width="19.25" style="577" customWidth="1"/>
    <col min="14084" max="14084" width="11.875" style="577" customWidth="1"/>
    <col min="14085" max="14085" width="9" style="577"/>
    <col min="14086" max="14086" width="41.5" style="577" customWidth="1"/>
    <col min="14087" max="14336" width="9" style="577"/>
    <col min="14337" max="14337" width="5.25" style="577" customWidth="1"/>
    <col min="14338" max="14338" width="56.375" style="577" customWidth="1"/>
    <col min="14339" max="14339" width="19.25" style="577" customWidth="1"/>
    <col min="14340" max="14340" width="11.875" style="577" customWidth="1"/>
    <col min="14341" max="14341" width="9" style="577"/>
    <col min="14342" max="14342" width="41.5" style="577" customWidth="1"/>
    <col min="14343" max="14592" width="9" style="577"/>
    <col min="14593" max="14593" width="5.25" style="577" customWidth="1"/>
    <col min="14594" max="14594" width="56.375" style="577" customWidth="1"/>
    <col min="14595" max="14595" width="19.25" style="577" customWidth="1"/>
    <col min="14596" max="14596" width="11.875" style="577" customWidth="1"/>
    <col min="14597" max="14597" width="9" style="577"/>
    <col min="14598" max="14598" width="41.5" style="577" customWidth="1"/>
    <col min="14599" max="14848" width="9" style="577"/>
    <col min="14849" max="14849" width="5.25" style="577" customWidth="1"/>
    <col min="14850" max="14850" width="56.375" style="577" customWidth="1"/>
    <col min="14851" max="14851" width="19.25" style="577" customWidth="1"/>
    <col min="14852" max="14852" width="11.875" style="577" customWidth="1"/>
    <col min="14853" max="14853" width="9" style="577"/>
    <col min="14854" max="14854" width="41.5" style="577" customWidth="1"/>
    <col min="14855" max="15104" width="9" style="577"/>
    <col min="15105" max="15105" width="5.25" style="577" customWidth="1"/>
    <col min="15106" max="15106" width="56.375" style="577" customWidth="1"/>
    <col min="15107" max="15107" width="19.25" style="577" customWidth="1"/>
    <col min="15108" max="15108" width="11.875" style="577" customWidth="1"/>
    <col min="15109" max="15109" width="9" style="577"/>
    <col min="15110" max="15110" width="41.5" style="577" customWidth="1"/>
    <col min="15111" max="15360" width="9" style="577"/>
    <col min="15361" max="15361" width="5.25" style="577" customWidth="1"/>
    <col min="15362" max="15362" width="56.375" style="577" customWidth="1"/>
    <col min="15363" max="15363" width="19.25" style="577" customWidth="1"/>
    <col min="15364" max="15364" width="11.875" style="577" customWidth="1"/>
    <col min="15365" max="15365" width="9" style="577"/>
    <col min="15366" max="15366" width="41.5" style="577" customWidth="1"/>
    <col min="15367" max="15616" width="9" style="577"/>
    <col min="15617" max="15617" width="5.25" style="577" customWidth="1"/>
    <col min="15618" max="15618" width="56.375" style="577" customWidth="1"/>
    <col min="15619" max="15619" width="19.25" style="577" customWidth="1"/>
    <col min="15620" max="15620" width="11.875" style="577" customWidth="1"/>
    <col min="15621" max="15621" width="9" style="577"/>
    <col min="15622" max="15622" width="41.5" style="577" customWidth="1"/>
    <col min="15623" max="15872" width="9" style="577"/>
    <col min="15873" max="15873" width="5.25" style="577" customWidth="1"/>
    <col min="15874" max="15874" width="56.375" style="577" customWidth="1"/>
    <col min="15875" max="15875" width="19.25" style="577" customWidth="1"/>
    <col min="15876" max="15876" width="11.875" style="577" customWidth="1"/>
    <col min="15877" max="15877" width="9" style="577"/>
    <col min="15878" max="15878" width="41.5" style="577" customWidth="1"/>
    <col min="15879" max="16128" width="9" style="577"/>
    <col min="16129" max="16129" width="5.25" style="577" customWidth="1"/>
    <col min="16130" max="16130" width="56.375" style="577" customWidth="1"/>
    <col min="16131" max="16131" width="19.25" style="577" customWidth="1"/>
    <col min="16132" max="16132" width="11.875" style="577" customWidth="1"/>
    <col min="16133" max="16133" width="9" style="577"/>
    <col min="16134" max="16134" width="41.5" style="577" customWidth="1"/>
    <col min="16135" max="16384" width="9" style="577"/>
  </cols>
  <sheetData>
    <row r="1" spans="1:6" ht="25.9" customHeight="1">
      <c r="A1" s="3762" t="s">
        <v>5489</v>
      </c>
      <c r="B1" s="3762"/>
      <c r="C1" s="3762"/>
      <c r="D1" s="2754" t="str">
        <f>基本情况!$F$10</f>
        <v>厦中汇税审（2018）第DS0001号</v>
      </c>
      <c r="E1" s="2754"/>
    </row>
    <row r="2" spans="1:6" s="578" customFormat="1" ht="37.15" customHeight="1">
      <c r="A2" s="3763"/>
      <c r="B2" s="3763"/>
      <c r="C2" s="3763"/>
      <c r="D2" s="2755" t="str">
        <f>"底稿编号："&amp;开始!L23</f>
        <v>底稿编号：AD-21</v>
      </c>
      <c r="E2" s="2755"/>
    </row>
    <row r="3" spans="1:6" s="640" customFormat="1" ht="36" customHeight="1">
      <c r="A3" s="3764" t="s">
        <v>147</v>
      </c>
      <c r="B3" s="3764" t="s">
        <v>750</v>
      </c>
      <c r="C3" s="2292" t="s">
        <v>896</v>
      </c>
      <c r="D3" s="2292" t="s">
        <v>897</v>
      </c>
      <c r="E3" s="2292" t="s">
        <v>898</v>
      </c>
      <c r="F3" s="1601"/>
    </row>
    <row r="4" spans="1:6" s="640" customFormat="1" ht="18.75" customHeight="1">
      <c r="A4" s="3764"/>
      <c r="B4" s="3764"/>
      <c r="C4" s="2292" t="s">
        <v>899</v>
      </c>
      <c r="D4" s="2292">
        <v>2</v>
      </c>
      <c r="E4" s="2292">
        <v>3</v>
      </c>
      <c r="F4" s="1601"/>
    </row>
    <row r="5" spans="1:6" s="640" customFormat="1" ht="18.75" customHeight="1">
      <c r="A5" s="3761" t="s">
        <v>900</v>
      </c>
      <c r="B5" s="3761"/>
      <c r="C5" s="3761"/>
      <c r="D5" s="3761"/>
      <c r="E5" s="3761"/>
    </row>
    <row r="6" spans="1:6" s="640" customFormat="1" ht="18.75" customHeight="1">
      <c r="A6" s="2292">
        <v>1</v>
      </c>
      <c r="B6" s="2293" t="s">
        <v>901</v>
      </c>
      <c r="C6" s="2296">
        <f>ROUND(D6+E6,2)</f>
        <v>0</v>
      </c>
      <c r="D6" s="350"/>
      <c r="E6" s="350"/>
    </row>
    <row r="7" spans="1:6" s="640" customFormat="1" ht="18.75" customHeight="1">
      <c r="A7" s="2292">
        <v>2</v>
      </c>
      <c r="B7" s="2293" t="s">
        <v>902</v>
      </c>
      <c r="C7" s="2297">
        <v>0.7</v>
      </c>
      <c r="D7" s="2297">
        <v>0.7</v>
      </c>
      <c r="E7" s="2297">
        <v>0.7</v>
      </c>
    </row>
    <row r="8" spans="1:6" s="640" customFormat="1" ht="18.75" customHeight="1">
      <c r="A8" s="2292">
        <v>3</v>
      </c>
      <c r="B8" s="2293" t="s">
        <v>903</v>
      </c>
      <c r="C8" s="2296">
        <f>C6*C7</f>
        <v>0</v>
      </c>
      <c r="D8" s="2296">
        <f>D6*D7</f>
        <v>0</v>
      </c>
      <c r="E8" s="2296">
        <f>E6*E7</f>
        <v>0</v>
      </c>
    </row>
    <row r="9" spans="1:6" s="640" customFormat="1" ht="18.75" customHeight="1">
      <c r="A9" s="2292">
        <v>4</v>
      </c>
      <c r="B9" s="2293" t="s">
        <v>904</v>
      </c>
      <c r="C9" s="2274"/>
      <c r="D9" s="2294" t="s">
        <v>133</v>
      </c>
      <c r="E9" s="2294" t="s">
        <v>133</v>
      </c>
    </row>
    <row r="10" spans="1:6" s="640" customFormat="1" ht="18.75" customHeight="1">
      <c r="A10" s="2292">
        <v>5</v>
      </c>
      <c r="B10" s="2293" t="s">
        <v>905</v>
      </c>
      <c r="C10" s="2296">
        <f>ROUND(C8+C9,2)</f>
        <v>0</v>
      </c>
      <c r="D10" s="2294" t="s">
        <v>133</v>
      </c>
      <c r="E10" s="2294" t="s">
        <v>133</v>
      </c>
    </row>
    <row r="11" spans="1:6" s="640" customFormat="1" ht="18.75" customHeight="1">
      <c r="A11" s="2292">
        <v>6</v>
      </c>
      <c r="B11" s="2293" t="s">
        <v>906</v>
      </c>
      <c r="C11" s="2296">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0</v>
      </c>
      <c r="D11" s="2295" t="s">
        <v>133</v>
      </c>
      <c r="E11" s="2295" t="s">
        <v>133</v>
      </c>
    </row>
    <row r="12" spans="1:6" s="640" customFormat="1" ht="18.75" customHeight="1">
      <c r="A12" s="2292">
        <v>7</v>
      </c>
      <c r="B12" s="2293" t="s">
        <v>907</v>
      </c>
      <c r="C12" s="2296">
        <f>IF(C10&lt;=C11,C10,C11)</f>
        <v>0</v>
      </c>
      <c r="D12" s="350"/>
      <c r="E12" s="350"/>
    </row>
    <row r="13" spans="1:6" s="640" customFormat="1" ht="18.75" customHeight="1">
      <c r="A13" s="2292">
        <v>8</v>
      </c>
      <c r="B13" s="2293" t="s">
        <v>908</v>
      </c>
      <c r="C13" s="2296">
        <f>IF(C10&gt;C11,C10-C12,0)</f>
        <v>0</v>
      </c>
      <c r="D13" s="2294" t="s">
        <v>133</v>
      </c>
      <c r="E13" s="2294" t="s">
        <v>133</v>
      </c>
    </row>
    <row r="14" spans="1:6" s="640" customFormat="1" ht="18.75" customHeight="1">
      <c r="A14" s="3761" t="s">
        <v>909</v>
      </c>
      <c r="B14" s="3761"/>
      <c r="C14" s="3761"/>
      <c r="D14" s="3761"/>
      <c r="E14" s="3761"/>
    </row>
    <row r="15" spans="1:6" s="640" customFormat="1" ht="18.75" customHeight="1">
      <c r="A15" s="2292">
        <v>9</v>
      </c>
      <c r="B15" s="2293" t="s">
        <v>910</v>
      </c>
      <c r="C15" s="2296">
        <f>ROUND(D15+E15,2)</f>
        <v>0</v>
      </c>
      <c r="D15" s="350"/>
      <c r="E15" s="350"/>
    </row>
    <row r="16" spans="1:6" s="640" customFormat="1" ht="18.75" customHeight="1">
      <c r="A16" s="2292">
        <v>10</v>
      </c>
      <c r="B16" s="2293" t="s">
        <v>911</v>
      </c>
      <c r="C16" s="2296">
        <f>ROUND(D16+E16,2)</f>
        <v>0</v>
      </c>
      <c r="D16" s="350"/>
      <c r="E16" s="350"/>
    </row>
    <row r="17" spans="1:5" s="640" customFormat="1" ht="18.75" customHeight="1">
      <c r="A17" s="2292">
        <v>11</v>
      </c>
      <c r="B17" s="2293" t="s">
        <v>912</v>
      </c>
      <c r="C17" s="2274"/>
      <c r="D17" s="2294" t="s">
        <v>133</v>
      </c>
      <c r="E17" s="2294" t="s">
        <v>133</v>
      </c>
    </row>
    <row r="18" spans="1:5" s="640" customFormat="1" ht="18.75" customHeight="1">
      <c r="A18" s="2292">
        <v>12</v>
      </c>
      <c r="B18" s="2293" t="s">
        <v>913</v>
      </c>
      <c r="C18" s="2296">
        <f>ROUND(SUM(C16:C17),2)</f>
        <v>0</v>
      </c>
      <c r="D18" s="2294" t="s">
        <v>133</v>
      </c>
      <c r="E18" s="2294" t="s">
        <v>133</v>
      </c>
    </row>
    <row r="19" spans="1:5" s="640" customFormat="1" ht="18.75" customHeight="1">
      <c r="A19" s="2292">
        <v>13</v>
      </c>
      <c r="B19" s="2293" t="s">
        <v>914</v>
      </c>
      <c r="C19" s="2296">
        <f>ROUND(D19+E19,2)</f>
        <v>0</v>
      </c>
      <c r="D19" s="350"/>
      <c r="E19" s="350"/>
    </row>
    <row r="20" spans="1:5" s="640" customFormat="1" ht="18.75" customHeight="1">
      <c r="A20" s="2292">
        <v>14</v>
      </c>
      <c r="B20" s="2293" t="s">
        <v>915</v>
      </c>
      <c r="C20" s="2296">
        <f>ROUND(C18-C19,2)</f>
        <v>0</v>
      </c>
      <c r="D20" s="2294" t="s">
        <v>133</v>
      </c>
      <c r="E20" s="2294" t="s">
        <v>133</v>
      </c>
    </row>
    <row r="21" spans="1:5" s="640" customFormat="1" ht="18.75" customHeight="1">
      <c r="A21" s="3761" t="s">
        <v>916</v>
      </c>
      <c r="B21" s="3761"/>
      <c r="C21" s="3761"/>
      <c r="D21" s="3761"/>
      <c r="E21" s="3761"/>
    </row>
    <row r="22" spans="1:5" s="640" customFormat="1" ht="18.75" customHeight="1">
      <c r="A22" s="2292">
        <v>15</v>
      </c>
      <c r="B22" s="2293" t="s">
        <v>917</v>
      </c>
      <c r="C22" s="2296">
        <f>ROUND(C12+C19,2)</f>
        <v>0</v>
      </c>
      <c r="D22" s="2296">
        <f>ROUND(D12+D19,2)</f>
        <v>0</v>
      </c>
      <c r="E22" s="2296">
        <f>ROUND(E12+E19,2)</f>
        <v>0</v>
      </c>
    </row>
    <row r="23" spans="1:5">
      <c r="A23" s="1615"/>
      <c r="B23" s="1615"/>
      <c r="C23" s="1615"/>
      <c r="D23" s="1615"/>
    </row>
    <row r="24" spans="1:5">
      <c r="A24" s="1615"/>
      <c r="B24" s="1615"/>
      <c r="C24" s="1615"/>
      <c r="D24" s="1615"/>
    </row>
    <row r="25" spans="1:5">
      <c r="A25" s="1615"/>
      <c r="B25" s="1615"/>
      <c r="C25" s="1615"/>
      <c r="D25" s="1615"/>
    </row>
    <row r="26" spans="1:5">
      <c r="A26" s="1615"/>
      <c r="B26" s="1615"/>
      <c r="C26" s="1615"/>
      <c r="D26" s="1615"/>
    </row>
    <row r="27" spans="1:5">
      <c r="A27" s="1615"/>
      <c r="B27" s="1615"/>
      <c r="C27" s="1615"/>
      <c r="D27" s="1615"/>
    </row>
  </sheetData>
  <mergeCells count="8">
    <mergeCell ref="A5:E5"/>
    <mergeCell ref="A14:E14"/>
    <mergeCell ref="A21:E21"/>
    <mergeCell ref="D1:E1"/>
    <mergeCell ref="D2:E2"/>
    <mergeCell ref="A1:C2"/>
    <mergeCell ref="A3:A4"/>
    <mergeCell ref="B3:B4"/>
  </mergeCells>
  <phoneticPr fontId="135" type="noConversion"/>
  <printOptions horizontalCentered="1"/>
  <pageMargins left="0.59055118110236215" right="0.59055118110236215" top="0.39370078740157477" bottom="0.39370078740157477" header="0.511811023622047" footer="0.511811023622047"/>
  <pageSetup paperSize="9" orientation="landscape" r:id="rId1"/>
  <drawing r:id="rId2"/>
  <legacyDrawing r:id="rId3"/>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1">
    <tabColor rgb="FFFFFF00"/>
  </sheetPr>
  <dimension ref="A1:K53"/>
  <sheetViews>
    <sheetView workbookViewId="0">
      <selection activeCell="C3" sqref="C3"/>
    </sheetView>
  </sheetViews>
  <sheetFormatPr defaultRowHeight="14.25"/>
  <cols>
    <col min="1" max="1" width="5.25" style="1615" customWidth="1"/>
    <col min="2" max="2" width="61.625" style="1615" customWidth="1"/>
    <col min="3" max="3" width="12.375" style="1615" customWidth="1"/>
    <col min="4" max="4" width="20.25" style="1615" customWidth="1"/>
    <col min="5" max="5" width="9" style="1615"/>
    <col min="6" max="6" width="17.625" style="1615" customWidth="1"/>
    <col min="7" max="7" width="21.125" style="1615" customWidth="1"/>
    <col min="8" max="8" width="11.25" style="1615" customWidth="1"/>
    <col min="9" max="250" width="9" style="1615"/>
    <col min="251" max="251" width="5.25" style="1615" customWidth="1"/>
    <col min="252" max="252" width="48.125" style="1615" customWidth="1"/>
    <col min="253" max="253" width="7.875" style="1615" customWidth="1"/>
    <col min="254" max="254" width="20.25" style="1615" customWidth="1"/>
    <col min="255" max="255" width="9" style="1615"/>
    <col min="256" max="256" width="17.625" style="1615" customWidth="1"/>
    <col min="257" max="506" width="9" style="1615"/>
    <col min="507" max="507" width="5.25" style="1615" customWidth="1"/>
    <col min="508" max="508" width="48.125" style="1615" customWidth="1"/>
    <col min="509" max="509" width="7.875" style="1615" customWidth="1"/>
    <col min="510" max="510" width="20.25" style="1615" customWidth="1"/>
    <col min="511" max="511" width="9" style="1615"/>
    <col min="512" max="512" width="17.625" style="1615" customWidth="1"/>
    <col min="513" max="762" width="9" style="1615"/>
    <col min="763" max="763" width="5.25" style="1615" customWidth="1"/>
    <col min="764" max="764" width="48.125" style="1615" customWidth="1"/>
    <col min="765" max="765" width="7.875" style="1615" customWidth="1"/>
    <col min="766" max="766" width="20.25" style="1615" customWidth="1"/>
    <col min="767" max="767" width="9" style="1615"/>
    <col min="768" max="768" width="17.625" style="1615" customWidth="1"/>
    <col min="769" max="1018" width="9" style="1615"/>
    <col min="1019" max="1019" width="5.25" style="1615" customWidth="1"/>
    <col min="1020" max="1020" width="48.125" style="1615" customWidth="1"/>
    <col min="1021" max="1021" width="7.875" style="1615" customWidth="1"/>
    <col min="1022" max="1022" width="20.25" style="1615" customWidth="1"/>
    <col min="1023" max="1023" width="9" style="1615"/>
    <col min="1024" max="1024" width="17.625" style="1615" customWidth="1"/>
    <col min="1025" max="1274" width="9" style="1615"/>
    <col min="1275" max="1275" width="5.25" style="1615" customWidth="1"/>
    <col min="1276" max="1276" width="48.125" style="1615" customWidth="1"/>
    <col min="1277" max="1277" width="7.875" style="1615" customWidth="1"/>
    <col min="1278" max="1278" width="20.25" style="1615" customWidth="1"/>
    <col min="1279" max="1279" width="9" style="1615"/>
    <col min="1280" max="1280" width="17.625" style="1615" customWidth="1"/>
    <col min="1281" max="1530" width="9" style="1615"/>
    <col min="1531" max="1531" width="5.25" style="1615" customWidth="1"/>
    <col min="1532" max="1532" width="48.125" style="1615" customWidth="1"/>
    <col min="1533" max="1533" width="7.875" style="1615" customWidth="1"/>
    <col min="1534" max="1534" width="20.25" style="1615" customWidth="1"/>
    <col min="1535" max="1535" width="9" style="1615"/>
    <col min="1536" max="1536" width="17.625" style="1615" customWidth="1"/>
    <col min="1537" max="1786" width="9" style="1615"/>
    <col min="1787" max="1787" width="5.25" style="1615" customWidth="1"/>
    <col min="1788" max="1788" width="48.125" style="1615" customWidth="1"/>
    <col min="1789" max="1789" width="7.875" style="1615" customWidth="1"/>
    <col min="1790" max="1790" width="20.25" style="1615" customWidth="1"/>
    <col min="1791" max="1791" width="9" style="1615"/>
    <col min="1792" max="1792" width="17.625" style="1615" customWidth="1"/>
    <col min="1793" max="2042" width="9" style="1615"/>
    <col min="2043" max="2043" width="5.25" style="1615" customWidth="1"/>
    <col min="2044" max="2044" width="48.125" style="1615" customWidth="1"/>
    <col min="2045" max="2045" width="7.875" style="1615" customWidth="1"/>
    <col min="2046" max="2046" width="20.25" style="1615" customWidth="1"/>
    <col min="2047" max="2047" width="9" style="1615"/>
    <col min="2048" max="2048" width="17.625" style="1615" customWidth="1"/>
    <col min="2049" max="2298" width="9" style="1615"/>
    <col min="2299" max="2299" width="5.25" style="1615" customWidth="1"/>
    <col min="2300" max="2300" width="48.125" style="1615" customWidth="1"/>
    <col min="2301" max="2301" width="7.875" style="1615" customWidth="1"/>
    <col min="2302" max="2302" width="20.25" style="1615" customWidth="1"/>
    <col min="2303" max="2303" width="9" style="1615"/>
    <col min="2304" max="2304" width="17.625" style="1615" customWidth="1"/>
    <col min="2305" max="2554" width="9" style="1615"/>
    <col min="2555" max="2555" width="5.25" style="1615" customWidth="1"/>
    <col min="2556" max="2556" width="48.125" style="1615" customWidth="1"/>
    <col min="2557" max="2557" width="7.875" style="1615" customWidth="1"/>
    <col min="2558" max="2558" width="20.25" style="1615" customWidth="1"/>
    <col min="2559" max="2559" width="9" style="1615"/>
    <col min="2560" max="2560" width="17.625" style="1615" customWidth="1"/>
    <col min="2561" max="2810" width="9" style="1615"/>
    <col min="2811" max="2811" width="5.25" style="1615" customWidth="1"/>
    <col min="2812" max="2812" width="48.125" style="1615" customWidth="1"/>
    <col min="2813" max="2813" width="7.875" style="1615" customWidth="1"/>
    <col min="2814" max="2814" width="20.25" style="1615" customWidth="1"/>
    <col min="2815" max="2815" width="9" style="1615"/>
    <col min="2816" max="2816" width="17.625" style="1615" customWidth="1"/>
    <col min="2817" max="3066" width="9" style="1615"/>
    <col min="3067" max="3067" width="5.25" style="1615" customWidth="1"/>
    <col min="3068" max="3068" width="48.125" style="1615" customWidth="1"/>
    <col min="3069" max="3069" width="7.875" style="1615" customWidth="1"/>
    <col min="3070" max="3070" width="20.25" style="1615" customWidth="1"/>
    <col min="3071" max="3071" width="9" style="1615"/>
    <col min="3072" max="3072" width="17.625" style="1615" customWidth="1"/>
    <col min="3073" max="3322" width="9" style="1615"/>
    <col min="3323" max="3323" width="5.25" style="1615" customWidth="1"/>
    <col min="3324" max="3324" width="48.125" style="1615" customWidth="1"/>
    <col min="3325" max="3325" width="7.875" style="1615" customWidth="1"/>
    <col min="3326" max="3326" width="20.25" style="1615" customWidth="1"/>
    <col min="3327" max="3327" width="9" style="1615"/>
    <col min="3328" max="3328" width="17.625" style="1615" customWidth="1"/>
    <col min="3329" max="3578" width="9" style="1615"/>
    <col min="3579" max="3579" width="5.25" style="1615" customWidth="1"/>
    <col min="3580" max="3580" width="48.125" style="1615" customWidth="1"/>
    <col min="3581" max="3581" width="7.875" style="1615" customWidth="1"/>
    <col min="3582" max="3582" width="20.25" style="1615" customWidth="1"/>
    <col min="3583" max="3583" width="9" style="1615"/>
    <col min="3584" max="3584" width="17.625" style="1615" customWidth="1"/>
    <col min="3585" max="3834" width="9" style="1615"/>
    <col min="3835" max="3835" width="5.25" style="1615" customWidth="1"/>
    <col min="3836" max="3836" width="48.125" style="1615" customWidth="1"/>
    <col min="3837" max="3837" width="7.875" style="1615" customWidth="1"/>
    <col min="3838" max="3838" width="20.25" style="1615" customWidth="1"/>
    <col min="3839" max="3839" width="9" style="1615"/>
    <col min="3840" max="3840" width="17.625" style="1615" customWidth="1"/>
    <col min="3841" max="4090" width="9" style="1615"/>
    <col min="4091" max="4091" width="5.25" style="1615" customWidth="1"/>
    <col min="4092" max="4092" width="48.125" style="1615" customWidth="1"/>
    <col min="4093" max="4093" width="7.875" style="1615" customWidth="1"/>
    <col min="4094" max="4094" width="20.25" style="1615" customWidth="1"/>
    <col min="4095" max="4095" width="9" style="1615"/>
    <col min="4096" max="4096" width="17.625" style="1615" customWidth="1"/>
    <col min="4097" max="4346" width="9" style="1615"/>
    <col min="4347" max="4347" width="5.25" style="1615" customWidth="1"/>
    <col min="4348" max="4348" width="48.125" style="1615" customWidth="1"/>
    <col min="4349" max="4349" width="7.875" style="1615" customWidth="1"/>
    <col min="4350" max="4350" width="20.25" style="1615" customWidth="1"/>
    <col min="4351" max="4351" width="9" style="1615"/>
    <col min="4352" max="4352" width="17.625" style="1615" customWidth="1"/>
    <col min="4353" max="4602" width="9" style="1615"/>
    <col min="4603" max="4603" width="5.25" style="1615" customWidth="1"/>
    <col min="4604" max="4604" width="48.125" style="1615" customWidth="1"/>
    <col min="4605" max="4605" width="7.875" style="1615" customWidth="1"/>
    <col min="4606" max="4606" width="20.25" style="1615" customWidth="1"/>
    <col min="4607" max="4607" width="9" style="1615"/>
    <col min="4608" max="4608" width="17.625" style="1615" customWidth="1"/>
    <col min="4609" max="4858" width="9" style="1615"/>
    <col min="4859" max="4859" width="5.25" style="1615" customWidth="1"/>
    <col min="4860" max="4860" width="48.125" style="1615" customWidth="1"/>
    <col min="4861" max="4861" width="7.875" style="1615" customWidth="1"/>
    <col min="4862" max="4862" width="20.25" style="1615" customWidth="1"/>
    <col min="4863" max="4863" width="9" style="1615"/>
    <col min="4864" max="4864" width="17.625" style="1615" customWidth="1"/>
    <col min="4865" max="5114" width="9" style="1615"/>
    <col min="5115" max="5115" width="5.25" style="1615" customWidth="1"/>
    <col min="5116" max="5116" width="48.125" style="1615" customWidth="1"/>
    <col min="5117" max="5117" width="7.875" style="1615" customWidth="1"/>
    <col min="5118" max="5118" width="20.25" style="1615" customWidth="1"/>
    <col min="5119" max="5119" width="9" style="1615"/>
    <col min="5120" max="5120" width="17.625" style="1615" customWidth="1"/>
    <col min="5121" max="5370" width="9" style="1615"/>
    <col min="5371" max="5371" width="5.25" style="1615" customWidth="1"/>
    <col min="5372" max="5372" width="48.125" style="1615" customWidth="1"/>
    <col min="5373" max="5373" width="7.875" style="1615" customWidth="1"/>
    <col min="5374" max="5374" width="20.25" style="1615" customWidth="1"/>
    <col min="5375" max="5375" width="9" style="1615"/>
    <col min="5376" max="5376" width="17.625" style="1615" customWidth="1"/>
    <col min="5377" max="5626" width="9" style="1615"/>
    <col min="5627" max="5627" width="5.25" style="1615" customWidth="1"/>
    <col min="5628" max="5628" width="48.125" style="1615" customWidth="1"/>
    <col min="5629" max="5629" width="7.875" style="1615" customWidth="1"/>
    <col min="5630" max="5630" width="20.25" style="1615" customWidth="1"/>
    <col min="5631" max="5631" width="9" style="1615"/>
    <col min="5632" max="5632" width="17.625" style="1615" customWidth="1"/>
    <col min="5633" max="5882" width="9" style="1615"/>
    <col min="5883" max="5883" width="5.25" style="1615" customWidth="1"/>
    <col min="5884" max="5884" width="48.125" style="1615" customWidth="1"/>
    <col min="5885" max="5885" width="7.875" style="1615" customWidth="1"/>
    <col min="5886" max="5886" width="20.25" style="1615" customWidth="1"/>
    <col min="5887" max="5887" width="9" style="1615"/>
    <col min="5888" max="5888" width="17.625" style="1615" customWidth="1"/>
    <col min="5889" max="6138" width="9" style="1615"/>
    <col min="6139" max="6139" width="5.25" style="1615" customWidth="1"/>
    <col min="6140" max="6140" width="48.125" style="1615" customWidth="1"/>
    <col min="6141" max="6141" width="7.875" style="1615" customWidth="1"/>
    <col min="6142" max="6142" width="20.25" style="1615" customWidth="1"/>
    <col min="6143" max="6143" width="9" style="1615"/>
    <col min="6144" max="6144" width="17.625" style="1615" customWidth="1"/>
    <col min="6145" max="6394" width="9" style="1615"/>
    <col min="6395" max="6395" width="5.25" style="1615" customWidth="1"/>
    <col min="6396" max="6396" width="48.125" style="1615" customWidth="1"/>
    <col min="6397" max="6397" width="7.875" style="1615" customWidth="1"/>
    <col min="6398" max="6398" width="20.25" style="1615" customWidth="1"/>
    <col min="6399" max="6399" width="9" style="1615"/>
    <col min="6400" max="6400" width="17.625" style="1615" customWidth="1"/>
    <col min="6401" max="6650" width="9" style="1615"/>
    <col min="6651" max="6651" width="5.25" style="1615" customWidth="1"/>
    <col min="6652" max="6652" width="48.125" style="1615" customWidth="1"/>
    <col min="6653" max="6653" width="7.875" style="1615" customWidth="1"/>
    <col min="6654" max="6654" width="20.25" style="1615" customWidth="1"/>
    <col min="6655" max="6655" width="9" style="1615"/>
    <col min="6656" max="6656" width="17.625" style="1615" customWidth="1"/>
    <col min="6657" max="6906" width="9" style="1615"/>
    <col min="6907" max="6907" width="5.25" style="1615" customWidth="1"/>
    <col min="6908" max="6908" width="48.125" style="1615" customWidth="1"/>
    <col min="6909" max="6909" width="7.875" style="1615" customWidth="1"/>
    <col min="6910" max="6910" width="20.25" style="1615" customWidth="1"/>
    <col min="6911" max="6911" width="9" style="1615"/>
    <col min="6912" max="6912" width="17.625" style="1615" customWidth="1"/>
    <col min="6913" max="7162" width="9" style="1615"/>
    <col min="7163" max="7163" width="5.25" style="1615" customWidth="1"/>
    <col min="7164" max="7164" width="48.125" style="1615" customWidth="1"/>
    <col min="7165" max="7165" width="7.875" style="1615" customWidth="1"/>
    <col min="7166" max="7166" width="20.25" style="1615" customWidth="1"/>
    <col min="7167" max="7167" width="9" style="1615"/>
    <col min="7168" max="7168" width="17.625" style="1615" customWidth="1"/>
    <col min="7169" max="7418" width="9" style="1615"/>
    <col min="7419" max="7419" width="5.25" style="1615" customWidth="1"/>
    <col min="7420" max="7420" width="48.125" style="1615" customWidth="1"/>
    <col min="7421" max="7421" width="7.875" style="1615" customWidth="1"/>
    <col min="7422" max="7422" width="20.25" style="1615" customWidth="1"/>
    <col min="7423" max="7423" width="9" style="1615"/>
    <col min="7424" max="7424" width="17.625" style="1615" customWidth="1"/>
    <col min="7425" max="7674" width="9" style="1615"/>
    <col min="7675" max="7675" width="5.25" style="1615" customWidth="1"/>
    <col min="7676" max="7676" width="48.125" style="1615" customWidth="1"/>
    <col min="7677" max="7677" width="7.875" style="1615" customWidth="1"/>
    <col min="7678" max="7678" width="20.25" style="1615" customWidth="1"/>
    <col min="7679" max="7679" width="9" style="1615"/>
    <col min="7680" max="7680" width="17.625" style="1615" customWidth="1"/>
    <col min="7681" max="7930" width="9" style="1615"/>
    <col min="7931" max="7931" width="5.25" style="1615" customWidth="1"/>
    <col min="7932" max="7932" width="48.125" style="1615" customWidth="1"/>
    <col min="7933" max="7933" width="7.875" style="1615" customWidth="1"/>
    <col min="7934" max="7934" width="20.25" style="1615" customWidth="1"/>
    <col min="7935" max="7935" width="9" style="1615"/>
    <col min="7936" max="7936" width="17.625" style="1615" customWidth="1"/>
    <col min="7937" max="8186" width="9" style="1615"/>
    <col min="8187" max="8187" width="5.25" style="1615" customWidth="1"/>
    <col min="8188" max="8188" width="48.125" style="1615" customWidth="1"/>
    <col min="8189" max="8189" width="7.875" style="1615" customWidth="1"/>
    <col min="8190" max="8190" width="20.25" style="1615" customWidth="1"/>
    <col min="8191" max="8191" width="9" style="1615"/>
    <col min="8192" max="8192" width="17.625" style="1615" customWidth="1"/>
    <col min="8193" max="8442" width="9" style="1615"/>
    <col min="8443" max="8443" width="5.25" style="1615" customWidth="1"/>
    <col min="8444" max="8444" width="48.125" style="1615" customWidth="1"/>
    <col min="8445" max="8445" width="7.875" style="1615" customWidth="1"/>
    <col min="8446" max="8446" width="20.25" style="1615" customWidth="1"/>
    <col min="8447" max="8447" width="9" style="1615"/>
    <col min="8448" max="8448" width="17.625" style="1615" customWidth="1"/>
    <col min="8449" max="8698" width="9" style="1615"/>
    <col min="8699" max="8699" width="5.25" style="1615" customWidth="1"/>
    <col min="8700" max="8700" width="48.125" style="1615" customWidth="1"/>
    <col min="8701" max="8701" width="7.875" style="1615" customWidth="1"/>
    <col min="8702" max="8702" width="20.25" style="1615" customWidth="1"/>
    <col min="8703" max="8703" width="9" style="1615"/>
    <col min="8704" max="8704" width="17.625" style="1615" customWidth="1"/>
    <col min="8705" max="8954" width="9" style="1615"/>
    <col min="8955" max="8955" width="5.25" style="1615" customWidth="1"/>
    <col min="8956" max="8956" width="48.125" style="1615" customWidth="1"/>
    <col min="8957" max="8957" width="7.875" style="1615" customWidth="1"/>
    <col min="8958" max="8958" width="20.25" style="1615" customWidth="1"/>
    <col min="8959" max="8959" width="9" style="1615"/>
    <col min="8960" max="8960" width="17.625" style="1615" customWidth="1"/>
    <col min="8961" max="9210" width="9" style="1615"/>
    <col min="9211" max="9211" width="5.25" style="1615" customWidth="1"/>
    <col min="9212" max="9212" width="48.125" style="1615" customWidth="1"/>
    <col min="9213" max="9213" width="7.875" style="1615" customWidth="1"/>
    <col min="9214" max="9214" width="20.25" style="1615" customWidth="1"/>
    <col min="9215" max="9215" width="9" style="1615"/>
    <col min="9216" max="9216" width="17.625" style="1615" customWidth="1"/>
    <col min="9217" max="9466" width="9" style="1615"/>
    <col min="9467" max="9467" width="5.25" style="1615" customWidth="1"/>
    <col min="9468" max="9468" width="48.125" style="1615" customWidth="1"/>
    <col min="9469" max="9469" width="7.875" style="1615" customWidth="1"/>
    <col min="9470" max="9470" width="20.25" style="1615" customWidth="1"/>
    <col min="9471" max="9471" width="9" style="1615"/>
    <col min="9472" max="9472" width="17.625" style="1615" customWidth="1"/>
    <col min="9473" max="9722" width="9" style="1615"/>
    <col min="9723" max="9723" width="5.25" style="1615" customWidth="1"/>
    <col min="9724" max="9724" width="48.125" style="1615" customWidth="1"/>
    <col min="9725" max="9725" width="7.875" style="1615" customWidth="1"/>
    <col min="9726" max="9726" width="20.25" style="1615" customWidth="1"/>
    <col min="9727" max="9727" width="9" style="1615"/>
    <col min="9728" max="9728" width="17.625" style="1615" customWidth="1"/>
    <col min="9729" max="9978" width="9" style="1615"/>
    <col min="9979" max="9979" width="5.25" style="1615" customWidth="1"/>
    <col min="9980" max="9980" width="48.125" style="1615" customWidth="1"/>
    <col min="9981" max="9981" width="7.875" style="1615" customWidth="1"/>
    <col min="9982" max="9982" width="20.25" style="1615" customWidth="1"/>
    <col min="9983" max="9983" width="9" style="1615"/>
    <col min="9984" max="9984" width="17.625" style="1615" customWidth="1"/>
    <col min="9985" max="10234" width="9" style="1615"/>
    <col min="10235" max="10235" width="5.25" style="1615" customWidth="1"/>
    <col min="10236" max="10236" width="48.125" style="1615" customWidth="1"/>
    <col min="10237" max="10237" width="7.875" style="1615" customWidth="1"/>
    <col min="10238" max="10238" width="20.25" style="1615" customWidth="1"/>
    <col min="10239" max="10239" width="9" style="1615"/>
    <col min="10240" max="10240" width="17.625" style="1615" customWidth="1"/>
    <col min="10241" max="10490" width="9" style="1615"/>
    <col min="10491" max="10491" width="5.25" style="1615" customWidth="1"/>
    <col min="10492" max="10492" width="48.125" style="1615" customWidth="1"/>
    <col min="10493" max="10493" width="7.875" style="1615" customWidth="1"/>
    <col min="10494" max="10494" width="20.25" style="1615" customWidth="1"/>
    <col min="10495" max="10495" width="9" style="1615"/>
    <col min="10496" max="10496" width="17.625" style="1615" customWidth="1"/>
    <col min="10497" max="10746" width="9" style="1615"/>
    <col min="10747" max="10747" width="5.25" style="1615" customWidth="1"/>
    <col min="10748" max="10748" width="48.125" style="1615" customWidth="1"/>
    <col min="10749" max="10749" width="7.875" style="1615" customWidth="1"/>
    <col min="10750" max="10750" width="20.25" style="1615" customWidth="1"/>
    <col min="10751" max="10751" width="9" style="1615"/>
    <col min="10752" max="10752" width="17.625" style="1615" customWidth="1"/>
    <col min="10753" max="11002" width="9" style="1615"/>
    <col min="11003" max="11003" width="5.25" style="1615" customWidth="1"/>
    <col min="11004" max="11004" width="48.125" style="1615" customWidth="1"/>
    <col min="11005" max="11005" width="7.875" style="1615" customWidth="1"/>
    <col min="11006" max="11006" width="20.25" style="1615" customWidth="1"/>
    <col min="11007" max="11007" width="9" style="1615"/>
    <col min="11008" max="11008" width="17.625" style="1615" customWidth="1"/>
    <col min="11009" max="11258" width="9" style="1615"/>
    <col min="11259" max="11259" width="5.25" style="1615" customWidth="1"/>
    <col min="11260" max="11260" width="48.125" style="1615" customWidth="1"/>
    <col min="11261" max="11261" width="7.875" style="1615" customWidth="1"/>
    <col min="11262" max="11262" width="20.25" style="1615" customWidth="1"/>
    <col min="11263" max="11263" width="9" style="1615"/>
    <col min="11264" max="11264" width="17.625" style="1615" customWidth="1"/>
    <col min="11265" max="11514" width="9" style="1615"/>
    <col min="11515" max="11515" width="5.25" style="1615" customWidth="1"/>
    <col min="11516" max="11516" width="48.125" style="1615" customWidth="1"/>
    <col min="11517" max="11517" width="7.875" style="1615" customWidth="1"/>
    <col min="11518" max="11518" width="20.25" style="1615" customWidth="1"/>
    <col min="11519" max="11519" width="9" style="1615"/>
    <col min="11520" max="11520" width="17.625" style="1615" customWidth="1"/>
    <col min="11521" max="11770" width="9" style="1615"/>
    <col min="11771" max="11771" width="5.25" style="1615" customWidth="1"/>
    <col min="11772" max="11772" width="48.125" style="1615" customWidth="1"/>
    <col min="11773" max="11773" width="7.875" style="1615" customWidth="1"/>
    <col min="11774" max="11774" width="20.25" style="1615" customWidth="1"/>
    <col min="11775" max="11775" width="9" style="1615"/>
    <col min="11776" max="11776" width="17.625" style="1615" customWidth="1"/>
    <col min="11777" max="12026" width="9" style="1615"/>
    <col min="12027" max="12027" width="5.25" style="1615" customWidth="1"/>
    <col min="12028" max="12028" width="48.125" style="1615" customWidth="1"/>
    <col min="12029" max="12029" width="7.875" style="1615" customWidth="1"/>
    <col min="12030" max="12030" width="20.25" style="1615" customWidth="1"/>
    <col min="12031" max="12031" width="9" style="1615"/>
    <col min="12032" max="12032" width="17.625" style="1615" customWidth="1"/>
    <col min="12033" max="12282" width="9" style="1615"/>
    <col min="12283" max="12283" width="5.25" style="1615" customWidth="1"/>
    <col min="12284" max="12284" width="48.125" style="1615" customWidth="1"/>
    <col min="12285" max="12285" width="7.875" style="1615" customWidth="1"/>
    <col min="12286" max="12286" width="20.25" style="1615" customWidth="1"/>
    <col min="12287" max="12287" width="9" style="1615"/>
    <col min="12288" max="12288" width="17.625" style="1615" customWidth="1"/>
    <col min="12289" max="12538" width="9" style="1615"/>
    <col min="12539" max="12539" width="5.25" style="1615" customWidth="1"/>
    <col min="12540" max="12540" width="48.125" style="1615" customWidth="1"/>
    <col min="12541" max="12541" width="7.875" style="1615" customWidth="1"/>
    <col min="12542" max="12542" width="20.25" style="1615" customWidth="1"/>
    <col min="12543" max="12543" width="9" style="1615"/>
    <col min="12544" max="12544" width="17.625" style="1615" customWidth="1"/>
    <col min="12545" max="12794" width="9" style="1615"/>
    <col min="12795" max="12795" width="5.25" style="1615" customWidth="1"/>
    <col min="12796" max="12796" width="48.125" style="1615" customWidth="1"/>
    <col min="12797" max="12797" width="7.875" style="1615" customWidth="1"/>
    <col min="12798" max="12798" width="20.25" style="1615" customWidth="1"/>
    <col min="12799" max="12799" width="9" style="1615"/>
    <col min="12800" max="12800" width="17.625" style="1615" customWidth="1"/>
    <col min="12801" max="13050" width="9" style="1615"/>
    <col min="13051" max="13051" width="5.25" style="1615" customWidth="1"/>
    <col min="13052" max="13052" width="48.125" style="1615" customWidth="1"/>
    <col min="13053" max="13053" width="7.875" style="1615" customWidth="1"/>
    <col min="13054" max="13054" width="20.25" style="1615" customWidth="1"/>
    <col min="13055" max="13055" width="9" style="1615"/>
    <col min="13056" max="13056" width="17.625" style="1615" customWidth="1"/>
    <col min="13057" max="13306" width="9" style="1615"/>
    <col min="13307" max="13307" width="5.25" style="1615" customWidth="1"/>
    <col min="13308" max="13308" width="48.125" style="1615" customWidth="1"/>
    <col min="13309" max="13309" width="7.875" style="1615" customWidth="1"/>
    <col min="13310" max="13310" width="20.25" style="1615" customWidth="1"/>
    <col min="13311" max="13311" width="9" style="1615"/>
    <col min="13312" max="13312" width="17.625" style="1615" customWidth="1"/>
    <col min="13313" max="13562" width="9" style="1615"/>
    <col min="13563" max="13563" width="5.25" style="1615" customWidth="1"/>
    <col min="13564" max="13564" width="48.125" style="1615" customWidth="1"/>
    <col min="13565" max="13565" width="7.875" style="1615" customWidth="1"/>
    <col min="13566" max="13566" width="20.25" style="1615" customWidth="1"/>
    <col min="13567" max="13567" width="9" style="1615"/>
    <col min="13568" max="13568" width="17.625" style="1615" customWidth="1"/>
    <col min="13569" max="13818" width="9" style="1615"/>
    <col min="13819" max="13819" width="5.25" style="1615" customWidth="1"/>
    <col min="13820" max="13820" width="48.125" style="1615" customWidth="1"/>
    <col min="13821" max="13821" width="7.875" style="1615" customWidth="1"/>
    <col min="13822" max="13822" width="20.25" style="1615" customWidth="1"/>
    <col min="13823" max="13823" width="9" style="1615"/>
    <col min="13824" max="13824" width="17.625" style="1615" customWidth="1"/>
    <col min="13825" max="14074" width="9" style="1615"/>
    <col min="14075" max="14075" width="5.25" style="1615" customWidth="1"/>
    <col min="14076" max="14076" width="48.125" style="1615" customWidth="1"/>
    <col min="14077" max="14077" width="7.875" style="1615" customWidth="1"/>
    <col min="14078" max="14078" width="20.25" style="1615" customWidth="1"/>
    <col min="14079" max="14079" width="9" style="1615"/>
    <col min="14080" max="14080" width="17.625" style="1615" customWidth="1"/>
    <col min="14081" max="14330" width="9" style="1615"/>
    <col min="14331" max="14331" width="5.25" style="1615" customWidth="1"/>
    <col min="14332" max="14332" width="48.125" style="1615" customWidth="1"/>
    <col min="14333" max="14333" width="7.875" style="1615" customWidth="1"/>
    <col min="14334" max="14334" width="20.25" style="1615" customWidth="1"/>
    <col min="14335" max="14335" width="9" style="1615"/>
    <col min="14336" max="14336" width="17.625" style="1615" customWidth="1"/>
    <col min="14337" max="14586" width="9" style="1615"/>
    <col min="14587" max="14587" width="5.25" style="1615" customWidth="1"/>
    <col min="14588" max="14588" width="48.125" style="1615" customWidth="1"/>
    <col min="14589" max="14589" width="7.875" style="1615" customWidth="1"/>
    <col min="14590" max="14590" width="20.25" style="1615" customWidth="1"/>
    <col min="14591" max="14591" width="9" style="1615"/>
    <col min="14592" max="14592" width="17.625" style="1615" customWidth="1"/>
    <col min="14593" max="14842" width="9" style="1615"/>
    <col min="14843" max="14843" width="5.25" style="1615" customWidth="1"/>
    <col min="14844" max="14844" width="48.125" style="1615" customWidth="1"/>
    <col min="14845" max="14845" width="7.875" style="1615" customWidth="1"/>
    <col min="14846" max="14846" width="20.25" style="1615" customWidth="1"/>
    <col min="14847" max="14847" width="9" style="1615"/>
    <col min="14848" max="14848" width="17.625" style="1615" customWidth="1"/>
    <col min="14849" max="15098" width="9" style="1615"/>
    <col min="15099" max="15099" width="5.25" style="1615" customWidth="1"/>
    <col min="15100" max="15100" width="48.125" style="1615" customWidth="1"/>
    <col min="15101" max="15101" width="7.875" style="1615" customWidth="1"/>
    <col min="15102" max="15102" width="20.25" style="1615" customWidth="1"/>
    <col min="15103" max="15103" width="9" style="1615"/>
    <col min="15104" max="15104" width="17.625" style="1615" customWidth="1"/>
    <col min="15105" max="15354" width="9" style="1615"/>
    <col min="15355" max="15355" width="5.25" style="1615" customWidth="1"/>
    <col min="15356" max="15356" width="48.125" style="1615" customWidth="1"/>
    <col min="15357" max="15357" width="7.875" style="1615" customWidth="1"/>
    <col min="15358" max="15358" width="20.25" style="1615" customWidth="1"/>
    <col min="15359" max="15359" width="9" style="1615"/>
    <col min="15360" max="15360" width="17.625" style="1615" customWidth="1"/>
    <col min="15361" max="15610" width="9" style="1615"/>
    <col min="15611" max="15611" width="5.25" style="1615" customWidth="1"/>
    <col min="15612" max="15612" width="48.125" style="1615" customWidth="1"/>
    <col min="15613" max="15613" width="7.875" style="1615" customWidth="1"/>
    <col min="15614" max="15614" width="20.25" style="1615" customWidth="1"/>
    <col min="15615" max="15615" width="9" style="1615"/>
    <col min="15616" max="15616" width="17.625" style="1615" customWidth="1"/>
    <col min="15617" max="15866" width="9" style="1615"/>
    <col min="15867" max="15867" width="5.25" style="1615" customWidth="1"/>
    <col min="15868" max="15868" width="48.125" style="1615" customWidth="1"/>
    <col min="15869" max="15869" width="7.875" style="1615" customWidth="1"/>
    <col min="15870" max="15870" width="20.25" style="1615" customWidth="1"/>
    <col min="15871" max="15871" width="9" style="1615"/>
    <col min="15872" max="15872" width="17.625" style="1615" customWidth="1"/>
    <col min="15873" max="16122" width="9" style="1615"/>
    <col min="16123" max="16123" width="5.25" style="1615" customWidth="1"/>
    <col min="16124" max="16124" width="48.125" style="1615" customWidth="1"/>
    <col min="16125" max="16125" width="7.875" style="1615" customWidth="1"/>
    <col min="16126" max="16126" width="20.25" style="1615" customWidth="1"/>
    <col min="16127" max="16127" width="9" style="1615"/>
    <col min="16128" max="16128" width="17.625" style="1615" customWidth="1"/>
    <col min="16129" max="16384" width="9" style="1615"/>
  </cols>
  <sheetData>
    <row r="1" spans="1:11" s="1614" customFormat="1" ht="25.9" customHeight="1">
      <c r="A1" s="3768" t="s">
        <v>5490</v>
      </c>
      <c r="B1" s="3768"/>
      <c r="C1" s="2754" t="str">
        <f>基本情况!$F$10</f>
        <v>厦中汇税审（2018）第DS0001号</v>
      </c>
      <c r="D1" s="2754"/>
      <c r="F1" s="2275" t="s">
        <v>6508</v>
      </c>
      <c r="G1" s="2277" t="str">
        <f>基本情况!C6</f>
        <v>否</v>
      </c>
      <c r="H1" s="1623"/>
    </row>
    <row r="2" spans="1:11" s="1618" customFormat="1" ht="37.15" customHeight="1">
      <c r="A2" s="3769"/>
      <c r="B2" s="3769"/>
      <c r="C2" s="2755" t="str">
        <f>"底稿编号："&amp;开始!L24</f>
        <v>底稿编号：AD-22</v>
      </c>
      <c r="D2" s="2755"/>
      <c r="F2" s="2275" t="s">
        <v>6509</v>
      </c>
      <c r="G2" s="2278" t="str">
        <f>IF(AND(LEFT(基本情况!C23,2)&gt;"05",LEFT(基本情况!C23,2)&lt;"47"),"工业企业",IF(OR(LEFT(基本情况!C23,2)&gt;"50",LEFT(基本情况!C23,2)&lt;"06"),"其他企业",""))</f>
        <v>其他企业</v>
      </c>
      <c r="H2" s="2214"/>
    </row>
    <row r="3" spans="1:11" s="1623" customFormat="1" ht="14.25" customHeight="1">
      <c r="A3" s="1551" t="s">
        <v>5347</v>
      </c>
      <c r="B3" s="1551" t="s">
        <v>761</v>
      </c>
      <c r="C3" s="1551" t="s">
        <v>5480</v>
      </c>
      <c r="D3" s="1551" t="s">
        <v>5448</v>
      </c>
      <c r="F3" s="2275" t="s">
        <v>6510</v>
      </c>
      <c r="G3" s="2277">
        <f ca="1">'A000000 企业基础信息表'!$D$6</f>
        <v>0</v>
      </c>
      <c r="H3" s="1623" t="str">
        <f>IF(基本情况!C6="否",IF(AND(LEFT(基本情况!C23,2)&gt;"05",LEFT(基本情况!C23,2)&lt;"47",G2&lt;=100,H2&lt;=30000000),"工业企业",IF(OR(LEFT(基本情况!C23,2)&gt;"50",LEFT(基本情况!C23,2)&lt;"06"),IF(AND(G2&lt;=80,H2&lt;=10000000),"其他企业",""),"")),"")</f>
        <v/>
      </c>
    </row>
    <row r="4" spans="1:11" s="1623" customFormat="1" ht="14.25" customHeight="1">
      <c r="A4" s="2256">
        <v>1</v>
      </c>
      <c r="B4" s="1613" t="s">
        <v>5491</v>
      </c>
      <c r="C4" s="1554"/>
      <c r="D4" s="1573"/>
      <c r="F4" s="2276" t="s">
        <v>6511</v>
      </c>
      <c r="G4" s="2279">
        <f>资产负债表!M10</f>
        <v>0</v>
      </c>
      <c r="H4"/>
      <c r="I4" s="1621"/>
      <c r="J4" s="1621"/>
      <c r="K4" s="1621"/>
    </row>
    <row r="5" spans="1:11" s="1623" customFormat="1" ht="24">
      <c r="A5" s="2147">
        <v>2</v>
      </c>
      <c r="B5" s="2148" t="s">
        <v>919</v>
      </c>
      <c r="C5" s="345">
        <f>'A107041 高新技术企业优惠情况及明细表'!I37</f>
        <v>0</v>
      </c>
      <c r="D5" s="1613"/>
      <c r="F5" s="2276" t="s">
        <v>6512</v>
      </c>
      <c r="G5" s="2280">
        <f>'A100000 中华人民共和国企业所得税年度纳税申报表（A类）'!D26</f>
        <v>0</v>
      </c>
      <c r="H5"/>
      <c r="I5" s="1621"/>
      <c r="J5" s="1621"/>
      <c r="K5" s="1621"/>
    </row>
    <row r="6" spans="1:11" s="1623" customFormat="1" ht="24">
      <c r="A6" s="2147">
        <v>3</v>
      </c>
      <c r="B6" s="2148" t="s">
        <v>920</v>
      </c>
      <c r="C6" s="345">
        <f>'A107041 高新技术企业优惠情况及明细表'!I38</f>
        <v>0</v>
      </c>
      <c r="D6" s="1613"/>
      <c r="F6" s="2276" t="s">
        <v>6513</v>
      </c>
      <c r="G6" s="2280">
        <f ca="1">IF(OR(AND(G2="其他企业",G3&lt;=80,G4&lt;=10000000,G5&lt;=500000),AND(G2="工业企业",G3&lt;=100,G4&lt;=30000000,G5&lt;=500000)),ROUND(G5*0.15,2),"不符合小微企业优惠条件")</f>
        <v>0</v>
      </c>
    </row>
    <row r="7" spans="1:11" s="1623" customFormat="1" ht="12">
      <c r="A7" s="2147">
        <v>4</v>
      </c>
      <c r="B7" s="2148" t="s">
        <v>921</v>
      </c>
      <c r="C7" s="345">
        <f>ROUND(SUM(C8:C9),2)</f>
        <v>0</v>
      </c>
      <c r="D7" s="1625"/>
    </row>
    <row r="8" spans="1:11" s="1623" customFormat="1" ht="12">
      <c r="A8" s="2147">
        <v>4.0999999999999996</v>
      </c>
      <c r="B8" s="2148" t="s">
        <v>950</v>
      </c>
      <c r="C8" s="151"/>
      <c r="D8" s="1625"/>
    </row>
    <row r="9" spans="1:11" s="1623" customFormat="1" ht="12">
      <c r="A9" s="2147">
        <v>4.2</v>
      </c>
      <c r="B9" s="2149" t="s">
        <v>951</v>
      </c>
      <c r="C9" s="151"/>
      <c r="D9" s="1613"/>
      <c r="F9" s="3766" t="s">
        <v>6514</v>
      </c>
      <c r="G9" s="3766"/>
      <c r="H9" s="3766"/>
    </row>
    <row r="10" spans="1:11" s="1623" customFormat="1" ht="12">
      <c r="A10" s="2150">
        <v>5</v>
      </c>
      <c r="B10" s="2149" t="s">
        <v>922</v>
      </c>
      <c r="C10" s="151"/>
      <c r="D10" s="1613"/>
      <c r="F10" s="3766"/>
      <c r="G10" s="3766"/>
      <c r="H10" s="3766"/>
    </row>
    <row r="11" spans="1:11" s="1623" customFormat="1" ht="12">
      <c r="A11" s="2147">
        <v>6</v>
      </c>
      <c r="B11" s="2151" t="s">
        <v>923</v>
      </c>
      <c r="C11" s="151"/>
      <c r="D11" s="1613"/>
    </row>
    <row r="12" spans="1:11" s="1623" customFormat="1" ht="24">
      <c r="A12" s="2147">
        <v>7</v>
      </c>
      <c r="B12" s="2151" t="s">
        <v>924</v>
      </c>
      <c r="C12" s="151"/>
      <c r="D12" s="1613"/>
    </row>
    <row r="13" spans="1:11" s="1623" customFormat="1" ht="24">
      <c r="A13" s="2147">
        <v>8</v>
      </c>
      <c r="B13" s="2148" t="s">
        <v>925</v>
      </c>
      <c r="C13" s="151"/>
      <c r="D13" s="1613"/>
    </row>
    <row r="14" spans="1:11" s="1623" customFormat="1" ht="12">
      <c r="A14" s="2147">
        <v>9</v>
      </c>
      <c r="B14" s="2149" t="s">
        <v>926</v>
      </c>
      <c r="C14" s="151"/>
      <c r="D14" s="1613"/>
    </row>
    <row r="15" spans="1:11" s="1623" customFormat="1" ht="12">
      <c r="A15" s="2147">
        <v>10</v>
      </c>
      <c r="B15" s="2151" t="s">
        <v>927</v>
      </c>
      <c r="C15" s="151"/>
      <c r="D15" s="1613"/>
    </row>
    <row r="16" spans="1:11" s="1623" customFormat="1" ht="12">
      <c r="A16" s="2147">
        <v>11</v>
      </c>
      <c r="B16" s="2151" t="s">
        <v>928</v>
      </c>
      <c r="C16" s="151"/>
      <c r="D16" s="1613"/>
    </row>
    <row r="17" spans="1:4" s="1623" customFormat="1" ht="24">
      <c r="A17" s="2147">
        <v>12</v>
      </c>
      <c r="B17" s="2148" t="s">
        <v>929</v>
      </c>
      <c r="C17" s="151"/>
      <c r="D17" s="1613"/>
    </row>
    <row r="18" spans="1:4" s="1623" customFormat="1" ht="12">
      <c r="A18" s="2147">
        <v>13</v>
      </c>
      <c r="B18" s="2149" t="s">
        <v>930</v>
      </c>
      <c r="C18" s="151"/>
      <c r="D18" s="1613"/>
    </row>
    <row r="19" spans="1:4" s="1623" customFormat="1" ht="24">
      <c r="A19" s="2147">
        <v>14</v>
      </c>
      <c r="B19" s="2151" t="s">
        <v>931</v>
      </c>
      <c r="C19" s="151"/>
      <c r="D19" s="1613"/>
    </row>
    <row r="20" spans="1:4" s="1623" customFormat="1" ht="12">
      <c r="A20" s="2147">
        <v>15</v>
      </c>
      <c r="B20" s="2151" t="s">
        <v>932</v>
      </c>
      <c r="C20" s="151"/>
      <c r="D20" s="1613"/>
    </row>
    <row r="21" spans="1:4" s="1623" customFormat="1" ht="24">
      <c r="A21" s="2147">
        <v>16</v>
      </c>
      <c r="B21" s="2148" t="s">
        <v>933</v>
      </c>
      <c r="C21" s="151"/>
      <c r="D21" s="1613"/>
    </row>
    <row r="22" spans="1:4" s="1623" customFormat="1" ht="12">
      <c r="A22" s="2147">
        <v>17</v>
      </c>
      <c r="B22" s="2148" t="s">
        <v>934</v>
      </c>
      <c r="C22" s="151"/>
      <c r="D22" s="1613"/>
    </row>
    <row r="23" spans="1:4" s="1623" customFormat="1" ht="12">
      <c r="A23" s="2147">
        <v>18</v>
      </c>
      <c r="B23" s="2148" t="s">
        <v>935</v>
      </c>
      <c r="C23" s="151"/>
      <c r="D23" s="1613"/>
    </row>
    <row r="24" spans="1:4" s="1623" customFormat="1" ht="12">
      <c r="A24" s="2147">
        <v>19</v>
      </c>
      <c r="B24" s="2148" t="s">
        <v>936</v>
      </c>
      <c r="C24" s="151"/>
      <c r="D24" s="1613"/>
    </row>
    <row r="25" spans="1:4" s="1623" customFormat="1" ht="24">
      <c r="A25" s="2147">
        <v>20</v>
      </c>
      <c r="B25" s="2148" t="s">
        <v>937</v>
      </c>
      <c r="C25" s="151"/>
      <c r="D25" s="1613"/>
    </row>
    <row r="26" spans="1:4" s="1623" customFormat="1" ht="12">
      <c r="A26" s="2147">
        <v>21</v>
      </c>
      <c r="B26" s="2148" t="s">
        <v>938</v>
      </c>
      <c r="C26" s="151"/>
      <c r="D26" s="1613"/>
    </row>
    <row r="27" spans="1:4" s="1623" customFormat="1" ht="12">
      <c r="A27" s="2147">
        <v>22</v>
      </c>
      <c r="B27" s="2148" t="s">
        <v>939</v>
      </c>
      <c r="C27" s="151"/>
      <c r="D27" s="1613"/>
    </row>
    <row r="28" spans="1:4" s="1623" customFormat="1" ht="12">
      <c r="A28" s="2147">
        <v>23</v>
      </c>
      <c r="B28" s="2148" t="s">
        <v>940</v>
      </c>
      <c r="C28" s="151"/>
      <c r="D28" s="1613"/>
    </row>
    <row r="29" spans="1:4" s="1623" customFormat="1" ht="24">
      <c r="A29" s="2147">
        <v>24</v>
      </c>
      <c r="B29" s="2148" t="s">
        <v>941</v>
      </c>
      <c r="C29" s="151"/>
      <c r="D29" s="1613"/>
    </row>
    <row r="30" spans="1:4" s="1623" customFormat="1" ht="12">
      <c r="A30" s="2147">
        <v>25</v>
      </c>
      <c r="B30" s="2148" t="s">
        <v>942</v>
      </c>
      <c r="C30" s="151"/>
      <c r="D30" s="1613"/>
    </row>
    <row r="31" spans="1:4" s="1623" customFormat="1" ht="12">
      <c r="A31" s="2147">
        <v>26</v>
      </c>
      <c r="B31" s="2148" t="s">
        <v>943</v>
      </c>
      <c r="C31" s="151"/>
      <c r="D31" s="1613"/>
    </row>
    <row r="32" spans="1:4" s="1623" customFormat="1" ht="12">
      <c r="A32" s="2150">
        <v>27</v>
      </c>
      <c r="B32" s="2152" t="s">
        <v>944</v>
      </c>
      <c r="C32" s="151"/>
      <c r="D32" s="1613"/>
    </row>
    <row r="33" spans="1:4" s="1623" customFormat="1" ht="12">
      <c r="A33" s="2147">
        <v>28</v>
      </c>
      <c r="B33" s="2148" t="s">
        <v>945</v>
      </c>
      <c r="C33" s="151"/>
      <c r="D33" s="1613"/>
    </row>
    <row r="34" spans="1:4" s="1623" customFormat="1" ht="12">
      <c r="A34" s="2147">
        <v>29</v>
      </c>
      <c r="B34" s="2148" t="s">
        <v>946</v>
      </c>
      <c r="C34" s="345">
        <f>ROUND(SUM(C35:C36),2)</f>
        <v>0</v>
      </c>
      <c r="D34" s="1613"/>
    </row>
    <row r="35" spans="1:4" s="1623" customFormat="1" ht="12">
      <c r="A35" s="2147">
        <v>29.1</v>
      </c>
      <c r="B35" s="2148" t="s">
        <v>952</v>
      </c>
      <c r="C35" s="151"/>
      <c r="D35" s="1613"/>
    </row>
    <row r="36" spans="1:4" s="1623" customFormat="1" ht="12">
      <c r="A36" s="2147">
        <v>29.2</v>
      </c>
      <c r="B36" s="2148" t="s">
        <v>953</v>
      </c>
      <c r="C36" s="151"/>
      <c r="D36" s="1613"/>
    </row>
    <row r="37" spans="1:4" s="1623" customFormat="1" ht="12">
      <c r="A37" s="2147">
        <v>30</v>
      </c>
      <c r="B37" s="2148" t="s">
        <v>947</v>
      </c>
      <c r="C37" s="151"/>
      <c r="D37" s="1613"/>
    </row>
    <row r="38" spans="1:4" s="1623" customFormat="1" ht="24">
      <c r="A38" s="2147">
        <v>31</v>
      </c>
      <c r="B38" s="2148" t="s">
        <v>949</v>
      </c>
      <c r="C38" s="151"/>
      <c r="D38" s="1613"/>
    </row>
    <row r="39" spans="1:4" s="1623" customFormat="1" ht="12">
      <c r="A39" s="2147">
        <v>32</v>
      </c>
      <c r="B39" s="2148" t="s">
        <v>948</v>
      </c>
      <c r="C39" s="345">
        <f>ROUND(C4+C5+C6+C7+C10+C11+C12+C13+C14+C15+C16+C17+C18+C19+C20+C21+C22+C23+C24+C25+C26+C27+C28+C29+C30+C31+C32-C33+C34+C37+C38,2)</f>
        <v>0</v>
      </c>
      <c r="D39" s="1613"/>
    </row>
    <row r="40" spans="1:4">
      <c r="A40" s="3767"/>
      <c r="B40" s="3767"/>
      <c r="C40" s="3767"/>
      <c r="D40" s="1626"/>
    </row>
    <row r="42" spans="1:4">
      <c r="A42" s="3765" t="s">
        <v>6507</v>
      </c>
      <c r="B42" s="3765"/>
      <c r="C42" s="3765"/>
      <c r="D42" s="3765"/>
    </row>
    <row r="43" spans="1:4">
      <c r="A43" s="3765"/>
      <c r="B43" s="3765"/>
      <c r="C43" s="3765"/>
      <c r="D43" s="3765"/>
    </row>
    <row r="44" spans="1:4">
      <c r="A44" s="3765"/>
      <c r="B44" s="3765"/>
      <c r="C44" s="3765"/>
      <c r="D44" s="3765"/>
    </row>
    <row r="45" spans="1:4">
      <c r="A45" s="3765"/>
      <c r="B45" s="3765"/>
      <c r="C45" s="3765"/>
      <c r="D45" s="3765"/>
    </row>
    <row r="46" spans="1:4">
      <c r="A46" s="3765"/>
      <c r="B46" s="3765"/>
      <c r="C46" s="3765"/>
      <c r="D46" s="3765"/>
    </row>
    <row r="47" spans="1:4">
      <c r="A47" s="3765"/>
      <c r="B47" s="3765"/>
      <c r="C47" s="3765"/>
      <c r="D47" s="3765"/>
    </row>
    <row r="48" spans="1:4">
      <c r="A48" s="3765"/>
      <c r="B48" s="3765"/>
      <c r="C48" s="3765"/>
      <c r="D48" s="3765"/>
    </row>
    <row r="49" spans="1:4">
      <c r="A49" s="3765"/>
      <c r="B49" s="3765"/>
      <c r="C49" s="3765"/>
      <c r="D49" s="3765"/>
    </row>
    <row r="50" spans="1:4">
      <c r="A50" s="3765"/>
      <c r="B50" s="3765"/>
      <c r="C50" s="3765"/>
      <c r="D50" s="3765"/>
    </row>
    <row r="51" spans="1:4">
      <c r="A51" s="3765"/>
      <c r="B51" s="3765"/>
      <c r="C51" s="3765"/>
      <c r="D51" s="3765"/>
    </row>
    <row r="52" spans="1:4">
      <c r="A52" s="3765"/>
      <c r="B52" s="3765"/>
      <c r="C52" s="3765"/>
      <c r="D52" s="3765"/>
    </row>
    <row r="53" spans="1:4">
      <c r="A53" s="3765"/>
      <c r="B53" s="3765"/>
      <c r="C53" s="3765"/>
      <c r="D53" s="3765"/>
    </row>
  </sheetData>
  <mergeCells count="6">
    <mergeCell ref="A42:D53"/>
    <mergeCell ref="F9:H10"/>
    <mergeCell ref="A40:C40"/>
    <mergeCell ref="C1:D1"/>
    <mergeCell ref="C2:D2"/>
    <mergeCell ref="A1:B2"/>
  </mergeCells>
  <phoneticPr fontId="135" type="noConversion"/>
  <printOptions horizontalCentered="1"/>
  <pageMargins left="0.39370078740157477" right="0.39370078740157477" top="0.59055118110236215" bottom="0.59055118110236215" header="0.511811023622047" footer="0.511811023622047"/>
  <pageSetup paperSize="9" orientation="portrait" r:id="rId1"/>
  <drawing r:id="rId2"/>
  <legacyDrawing r:id="rId3"/>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2">
    <tabColor theme="9" tint="0.39997558519241921"/>
    <pageSetUpPr fitToPage="1"/>
  </sheetPr>
  <dimension ref="A1:I38"/>
  <sheetViews>
    <sheetView workbookViewId="0">
      <selection activeCell="A3" sqref="A3:I3"/>
    </sheetView>
  </sheetViews>
  <sheetFormatPr defaultColWidth="22.875" defaultRowHeight="14.25"/>
  <cols>
    <col min="1" max="1" width="5.25" style="1570" customWidth="1"/>
    <col min="2" max="2" width="5.25" style="575" customWidth="1"/>
    <col min="3" max="3" width="17.75" style="575" customWidth="1"/>
    <col min="4" max="4" width="13" style="575" customWidth="1"/>
    <col min="5" max="5" width="8" style="575" customWidth="1"/>
    <col min="6" max="6" width="15.75" style="575" customWidth="1"/>
    <col min="7" max="7" width="17.625" style="575" customWidth="1"/>
    <col min="8" max="8" width="17.25" style="575" customWidth="1"/>
    <col min="9" max="9" width="18.75" style="575" customWidth="1"/>
    <col min="10" max="256" width="22.875" style="575"/>
    <col min="257" max="258" width="5.25" style="575" customWidth="1"/>
    <col min="259" max="259" width="50.375" style="575" customWidth="1"/>
    <col min="260" max="261" width="26.25" style="575" customWidth="1"/>
    <col min="262" max="512" width="22.875" style="575"/>
    <col min="513" max="514" width="5.25" style="575" customWidth="1"/>
    <col min="515" max="515" width="50.375" style="575" customWidth="1"/>
    <col min="516" max="517" width="26.25" style="575" customWidth="1"/>
    <col min="518" max="768" width="22.875" style="575"/>
    <col min="769" max="770" width="5.25" style="575" customWidth="1"/>
    <col min="771" max="771" width="50.375" style="575" customWidth="1"/>
    <col min="772" max="773" width="26.25" style="575" customWidth="1"/>
    <col min="774" max="1024" width="22.875" style="575"/>
    <col min="1025" max="1026" width="5.25" style="575" customWidth="1"/>
    <col min="1027" max="1027" width="50.375" style="575" customWidth="1"/>
    <col min="1028" max="1029" width="26.25" style="575" customWidth="1"/>
    <col min="1030" max="1280" width="22.875" style="575"/>
    <col min="1281" max="1282" width="5.25" style="575" customWidth="1"/>
    <col min="1283" max="1283" width="50.375" style="575" customWidth="1"/>
    <col min="1284" max="1285" width="26.25" style="575" customWidth="1"/>
    <col min="1286" max="1536" width="22.875" style="575"/>
    <col min="1537" max="1538" width="5.25" style="575" customWidth="1"/>
    <col min="1539" max="1539" width="50.375" style="575" customWidth="1"/>
    <col min="1540" max="1541" width="26.25" style="575" customWidth="1"/>
    <col min="1542" max="1792" width="22.875" style="575"/>
    <col min="1793" max="1794" width="5.25" style="575" customWidth="1"/>
    <col min="1795" max="1795" width="50.375" style="575" customWidth="1"/>
    <col min="1796" max="1797" width="26.25" style="575" customWidth="1"/>
    <col min="1798" max="2048" width="22.875" style="575"/>
    <col min="2049" max="2050" width="5.25" style="575" customWidth="1"/>
    <col min="2051" max="2051" width="50.375" style="575" customWidth="1"/>
    <col min="2052" max="2053" width="26.25" style="575" customWidth="1"/>
    <col min="2054" max="2304" width="22.875" style="575"/>
    <col min="2305" max="2306" width="5.25" style="575" customWidth="1"/>
    <col min="2307" max="2307" width="50.375" style="575" customWidth="1"/>
    <col min="2308" max="2309" width="26.25" style="575" customWidth="1"/>
    <col min="2310" max="2560" width="22.875" style="575"/>
    <col min="2561" max="2562" width="5.25" style="575" customWidth="1"/>
    <col min="2563" max="2563" width="50.375" style="575" customWidth="1"/>
    <col min="2564" max="2565" width="26.25" style="575" customWidth="1"/>
    <col min="2566" max="2816" width="22.875" style="575"/>
    <col min="2817" max="2818" width="5.25" style="575" customWidth="1"/>
    <col min="2819" max="2819" width="50.375" style="575" customWidth="1"/>
    <col min="2820" max="2821" width="26.25" style="575" customWidth="1"/>
    <col min="2822" max="3072" width="22.875" style="575"/>
    <col min="3073" max="3074" width="5.25" style="575" customWidth="1"/>
    <col min="3075" max="3075" width="50.375" style="575" customWidth="1"/>
    <col min="3076" max="3077" width="26.25" style="575" customWidth="1"/>
    <col min="3078" max="3328" width="22.875" style="575"/>
    <col min="3329" max="3330" width="5.25" style="575" customWidth="1"/>
    <col min="3331" max="3331" width="50.375" style="575" customWidth="1"/>
    <col min="3332" max="3333" width="26.25" style="575" customWidth="1"/>
    <col min="3334" max="3584" width="22.875" style="575"/>
    <col min="3585" max="3586" width="5.25" style="575" customWidth="1"/>
    <col min="3587" max="3587" width="50.375" style="575" customWidth="1"/>
    <col min="3588" max="3589" width="26.25" style="575" customWidth="1"/>
    <col min="3590" max="3840" width="22.875" style="575"/>
    <col min="3841" max="3842" width="5.25" style="575" customWidth="1"/>
    <col min="3843" max="3843" width="50.375" style="575" customWidth="1"/>
    <col min="3844" max="3845" width="26.25" style="575" customWidth="1"/>
    <col min="3846" max="4096" width="22.875" style="575"/>
    <col min="4097" max="4098" width="5.25" style="575" customWidth="1"/>
    <col min="4099" max="4099" width="50.375" style="575" customWidth="1"/>
    <col min="4100" max="4101" width="26.25" style="575" customWidth="1"/>
    <col min="4102" max="4352" width="22.875" style="575"/>
    <col min="4353" max="4354" width="5.25" style="575" customWidth="1"/>
    <col min="4355" max="4355" width="50.375" style="575" customWidth="1"/>
    <col min="4356" max="4357" width="26.25" style="575" customWidth="1"/>
    <col min="4358" max="4608" width="22.875" style="575"/>
    <col min="4609" max="4610" width="5.25" style="575" customWidth="1"/>
    <col min="4611" max="4611" width="50.375" style="575" customWidth="1"/>
    <col min="4612" max="4613" width="26.25" style="575" customWidth="1"/>
    <col min="4614" max="4864" width="22.875" style="575"/>
    <col min="4865" max="4866" width="5.25" style="575" customWidth="1"/>
    <col min="4867" max="4867" width="50.375" style="575" customWidth="1"/>
    <col min="4868" max="4869" width="26.25" style="575" customWidth="1"/>
    <col min="4870" max="5120" width="22.875" style="575"/>
    <col min="5121" max="5122" width="5.25" style="575" customWidth="1"/>
    <col min="5123" max="5123" width="50.375" style="575" customWidth="1"/>
    <col min="5124" max="5125" width="26.25" style="575" customWidth="1"/>
    <col min="5126" max="5376" width="22.875" style="575"/>
    <col min="5377" max="5378" width="5.25" style="575" customWidth="1"/>
    <col min="5379" max="5379" width="50.375" style="575" customWidth="1"/>
    <col min="5380" max="5381" width="26.25" style="575" customWidth="1"/>
    <col min="5382" max="5632" width="22.875" style="575"/>
    <col min="5633" max="5634" width="5.25" style="575" customWidth="1"/>
    <col min="5635" max="5635" width="50.375" style="575" customWidth="1"/>
    <col min="5636" max="5637" width="26.25" style="575" customWidth="1"/>
    <col min="5638" max="5888" width="22.875" style="575"/>
    <col min="5889" max="5890" width="5.25" style="575" customWidth="1"/>
    <col min="5891" max="5891" width="50.375" style="575" customWidth="1"/>
    <col min="5892" max="5893" width="26.25" style="575" customWidth="1"/>
    <col min="5894" max="6144" width="22.875" style="575"/>
    <col min="6145" max="6146" width="5.25" style="575" customWidth="1"/>
    <col min="6147" max="6147" width="50.375" style="575" customWidth="1"/>
    <col min="6148" max="6149" width="26.25" style="575" customWidth="1"/>
    <col min="6150" max="6400" width="22.875" style="575"/>
    <col min="6401" max="6402" width="5.25" style="575" customWidth="1"/>
    <col min="6403" max="6403" width="50.375" style="575" customWidth="1"/>
    <col min="6404" max="6405" width="26.25" style="575" customWidth="1"/>
    <col min="6406" max="6656" width="22.875" style="575"/>
    <col min="6657" max="6658" width="5.25" style="575" customWidth="1"/>
    <col min="6659" max="6659" width="50.375" style="575" customWidth="1"/>
    <col min="6660" max="6661" width="26.25" style="575" customWidth="1"/>
    <col min="6662" max="6912" width="22.875" style="575"/>
    <col min="6913" max="6914" width="5.25" style="575" customWidth="1"/>
    <col min="6915" max="6915" width="50.375" style="575" customWidth="1"/>
    <col min="6916" max="6917" width="26.25" style="575" customWidth="1"/>
    <col min="6918" max="7168" width="22.875" style="575"/>
    <col min="7169" max="7170" width="5.25" style="575" customWidth="1"/>
    <col min="7171" max="7171" width="50.375" style="575" customWidth="1"/>
    <col min="7172" max="7173" width="26.25" style="575" customWidth="1"/>
    <col min="7174" max="7424" width="22.875" style="575"/>
    <col min="7425" max="7426" width="5.25" style="575" customWidth="1"/>
    <col min="7427" max="7427" width="50.375" style="575" customWidth="1"/>
    <col min="7428" max="7429" width="26.25" style="575" customWidth="1"/>
    <col min="7430" max="7680" width="22.875" style="575"/>
    <col min="7681" max="7682" width="5.25" style="575" customWidth="1"/>
    <col min="7683" max="7683" width="50.375" style="575" customWidth="1"/>
    <col min="7684" max="7685" width="26.25" style="575" customWidth="1"/>
    <col min="7686" max="7936" width="22.875" style="575"/>
    <col min="7937" max="7938" width="5.25" style="575" customWidth="1"/>
    <col min="7939" max="7939" width="50.375" style="575" customWidth="1"/>
    <col min="7940" max="7941" width="26.25" style="575" customWidth="1"/>
    <col min="7942" max="8192" width="22.875" style="575"/>
    <col min="8193" max="8194" width="5.25" style="575" customWidth="1"/>
    <col min="8195" max="8195" width="50.375" style="575" customWidth="1"/>
    <col min="8196" max="8197" width="26.25" style="575" customWidth="1"/>
    <col min="8198" max="8448" width="22.875" style="575"/>
    <col min="8449" max="8450" width="5.25" style="575" customWidth="1"/>
    <col min="8451" max="8451" width="50.375" style="575" customWidth="1"/>
    <col min="8452" max="8453" width="26.25" style="575" customWidth="1"/>
    <col min="8454" max="8704" width="22.875" style="575"/>
    <col min="8705" max="8706" width="5.25" style="575" customWidth="1"/>
    <col min="8707" max="8707" width="50.375" style="575" customWidth="1"/>
    <col min="8708" max="8709" width="26.25" style="575" customWidth="1"/>
    <col min="8710" max="8960" width="22.875" style="575"/>
    <col min="8961" max="8962" width="5.25" style="575" customWidth="1"/>
    <col min="8963" max="8963" width="50.375" style="575" customWidth="1"/>
    <col min="8964" max="8965" width="26.25" style="575" customWidth="1"/>
    <col min="8966" max="9216" width="22.875" style="575"/>
    <col min="9217" max="9218" width="5.25" style="575" customWidth="1"/>
    <col min="9219" max="9219" width="50.375" style="575" customWidth="1"/>
    <col min="9220" max="9221" width="26.25" style="575" customWidth="1"/>
    <col min="9222" max="9472" width="22.875" style="575"/>
    <col min="9473" max="9474" width="5.25" style="575" customWidth="1"/>
    <col min="9475" max="9475" width="50.375" style="575" customWidth="1"/>
    <col min="9476" max="9477" width="26.25" style="575" customWidth="1"/>
    <col min="9478" max="9728" width="22.875" style="575"/>
    <col min="9729" max="9730" width="5.25" style="575" customWidth="1"/>
    <col min="9731" max="9731" width="50.375" style="575" customWidth="1"/>
    <col min="9732" max="9733" width="26.25" style="575" customWidth="1"/>
    <col min="9734" max="9984" width="22.875" style="575"/>
    <col min="9985" max="9986" width="5.25" style="575" customWidth="1"/>
    <col min="9987" max="9987" width="50.375" style="575" customWidth="1"/>
    <col min="9988" max="9989" width="26.25" style="575" customWidth="1"/>
    <col min="9990" max="10240" width="22.875" style="575"/>
    <col min="10241" max="10242" width="5.25" style="575" customWidth="1"/>
    <col min="10243" max="10243" width="50.375" style="575" customWidth="1"/>
    <col min="10244" max="10245" width="26.25" style="575" customWidth="1"/>
    <col min="10246" max="10496" width="22.875" style="575"/>
    <col min="10497" max="10498" width="5.25" style="575" customWidth="1"/>
    <col min="10499" max="10499" width="50.375" style="575" customWidth="1"/>
    <col min="10500" max="10501" width="26.25" style="575" customWidth="1"/>
    <col min="10502" max="10752" width="22.875" style="575"/>
    <col min="10753" max="10754" width="5.25" style="575" customWidth="1"/>
    <col min="10755" max="10755" width="50.375" style="575" customWidth="1"/>
    <col min="10756" max="10757" width="26.25" style="575" customWidth="1"/>
    <col min="10758" max="11008" width="22.875" style="575"/>
    <col min="11009" max="11010" width="5.25" style="575" customWidth="1"/>
    <col min="11011" max="11011" width="50.375" style="575" customWidth="1"/>
    <col min="11012" max="11013" width="26.25" style="575" customWidth="1"/>
    <col min="11014" max="11264" width="22.875" style="575"/>
    <col min="11265" max="11266" width="5.25" style="575" customWidth="1"/>
    <col min="11267" max="11267" width="50.375" style="575" customWidth="1"/>
    <col min="11268" max="11269" width="26.25" style="575" customWidth="1"/>
    <col min="11270" max="11520" width="22.875" style="575"/>
    <col min="11521" max="11522" width="5.25" style="575" customWidth="1"/>
    <col min="11523" max="11523" width="50.375" style="575" customWidth="1"/>
    <col min="11524" max="11525" width="26.25" style="575" customWidth="1"/>
    <col min="11526" max="11776" width="22.875" style="575"/>
    <col min="11777" max="11778" width="5.25" style="575" customWidth="1"/>
    <col min="11779" max="11779" width="50.375" style="575" customWidth="1"/>
    <col min="11780" max="11781" width="26.25" style="575" customWidth="1"/>
    <col min="11782" max="12032" width="22.875" style="575"/>
    <col min="12033" max="12034" width="5.25" style="575" customWidth="1"/>
    <col min="12035" max="12035" width="50.375" style="575" customWidth="1"/>
    <col min="12036" max="12037" width="26.25" style="575" customWidth="1"/>
    <col min="12038" max="12288" width="22.875" style="575"/>
    <col min="12289" max="12290" width="5.25" style="575" customWidth="1"/>
    <col min="12291" max="12291" width="50.375" style="575" customWidth="1"/>
    <col min="12292" max="12293" width="26.25" style="575" customWidth="1"/>
    <col min="12294" max="12544" width="22.875" style="575"/>
    <col min="12545" max="12546" width="5.25" style="575" customWidth="1"/>
    <col min="12547" max="12547" width="50.375" style="575" customWidth="1"/>
    <col min="12548" max="12549" width="26.25" style="575" customWidth="1"/>
    <col min="12550" max="12800" width="22.875" style="575"/>
    <col min="12801" max="12802" width="5.25" style="575" customWidth="1"/>
    <col min="12803" max="12803" width="50.375" style="575" customWidth="1"/>
    <col min="12804" max="12805" width="26.25" style="575" customWidth="1"/>
    <col min="12806" max="13056" width="22.875" style="575"/>
    <col min="13057" max="13058" width="5.25" style="575" customWidth="1"/>
    <col min="13059" max="13059" width="50.375" style="575" customWidth="1"/>
    <col min="13060" max="13061" width="26.25" style="575" customWidth="1"/>
    <col min="13062" max="13312" width="22.875" style="575"/>
    <col min="13313" max="13314" width="5.25" style="575" customWidth="1"/>
    <col min="13315" max="13315" width="50.375" style="575" customWidth="1"/>
    <col min="13316" max="13317" width="26.25" style="575" customWidth="1"/>
    <col min="13318" max="13568" width="22.875" style="575"/>
    <col min="13569" max="13570" width="5.25" style="575" customWidth="1"/>
    <col min="13571" max="13571" width="50.375" style="575" customWidth="1"/>
    <col min="13572" max="13573" width="26.25" style="575" customWidth="1"/>
    <col min="13574" max="13824" width="22.875" style="575"/>
    <col min="13825" max="13826" width="5.25" style="575" customWidth="1"/>
    <col min="13827" max="13827" width="50.375" style="575" customWidth="1"/>
    <col min="13828" max="13829" width="26.25" style="575" customWidth="1"/>
    <col min="13830" max="14080" width="22.875" style="575"/>
    <col min="14081" max="14082" width="5.25" style="575" customWidth="1"/>
    <col min="14083" max="14083" width="50.375" style="575" customWidth="1"/>
    <col min="14084" max="14085" width="26.25" style="575" customWidth="1"/>
    <col min="14086" max="14336" width="22.875" style="575"/>
    <col min="14337" max="14338" width="5.25" style="575" customWidth="1"/>
    <col min="14339" max="14339" width="50.375" style="575" customWidth="1"/>
    <col min="14340" max="14341" width="26.25" style="575" customWidth="1"/>
    <col min="14342" max="14592" width="22.875" style="575"/>
    <col min="14593" max="14594" width="5.25" style="575" customWidth="1"/>
    <col min="14595" max="14595" width="50.375" style="575" customWidth="1"/>
    <col min="14596" max="14597" width="26.25" style="575" customWidth="1"/>
    <col min="14598" max="14848" width="22.875" style="575"/>
    <col min="14849" max="14850" width="5.25" style="575" customWidth="1"/>
    <col min="14851" max="14851" width="50.375" style="575" customWidth="1"/>
    <col min="14852" max="14853" width="26.25" style="575" customWidth="1"/>
    <col min="14854" max="15104" width="22.875" style="575"/>
    <col min="15105" max="15106" width="5.25" style="575" customWidth="1"/>
    <col min="15107" max="15107" width="50.375" style="575" customWidth="1"/>
    <col min="15108" max="15109" width="26.25" style="575" customWidth="1"/>
    <col min="15110" max="15360" width="22.875" style="575"/>
    <col min="15361" max="15362" width="5.25" style="575" customWidth="1"/>
    <col min="15363" max="15363" width="50.375" style="575" customWidth="1"/>
    <col min="15364" max="15365" width="26.25" style="575" customWidth="1"/>
    <col min="15366" max="15616" width="22.875" style="575"/>
    <col min="15617" max="15618" width="5.25" style="575" customWidth="1"/>
    <col min="15619" max="15619" width="50.375" style="575" customWidth="1"/>
    <col min="15620" max="15621" width="26.25" style="575" customWidth="1"/>
    <col min="15622" max="15872" width="22.875" style="575"/>
    <col min="15873" max="15874" width="5.25" style="575" customWidth="1"/>
    <col min="15875" max="15875" width="50.375" style="575" customWidth="1"/>
    <col min="15876" max="15877" width="26.25" style="575" customWidth="1"/>
    <col min="15878" max="16128" width="22.875" style="575"/>
    <col min="16129" max="16130" width="5.25" style="575" customWidth="1"/>
    <col min="16131" max="16131" width="50.375" style="575" customWidth="1"/>
    <col min="16132" max="16133" width="26.25" style="575" customWidth="1"/>
    <col min="16134" max="16384" width="22.875" style="575"/>
  </cols>
  <sheetData>
    <row r="1" spans="1:9" ht="25.9" customHeight="1">
      <c r="A1" s="3780" t="s">
        <v>5493</v>
      </c>
      <c r="B1" s="3780"/>
      <c r="C1" s="3780"/>
      <c r="D1" s="3780"/>
      <c r="E1" s="3780"/>
      <c r="F1" s="3780"/>
      <c r="G1" s="3780"/>
      <c r="H1" s="2754" t="str">
        <f>基本情况!$F$10</f>
        <v>厦中汇税审（2018）第DS0001号</v>
      </c>
      <c r="I1" s="2754"/>
    </row>
    <row r="2" spans="1:9" ht="37.15" customHeight="1">
      <c r="A2" s="3781"/>
      <c r="B2" s="3781"/>
      <c r="C2" s="3781"/>
      <c r="D2" s="3781"/>
      <c r="E2" s="3781"/>
      <c r="F2" s="3781"/>
      <c r="G2" s="3781"/>
      <c r="H2" s="3023" t="str">
        <f>"底稿编号："&amp;开始!L25</f>
        <v>底稿编号：AD-23</v>
      </c>
      <c r="I2" s="3595"/>
    </row>
    <row r="3" spans="1:9" ht="14.25" customHeight="1">
      <c r="A3" s="3777" t="s">
        <v>820</v>
      </c>
      <c r="B3" s="3777"/>
      <c r="C3" s="3777"/>
      <c r="D3" s="3777"/>
      <c r="E3" s="3777"/>
      <c r="F3" s="3777"/>
      <c r="G3" s="3777"/>
      <c r="H3" s="3777"/>
      <c r="I3" s="3777"/>
    </row>
    <row r="4" spans="1:9" ht="15" customHeight="1">
      <c r="A4" s="2282">
        <v>1</v>
      </c>
      <c r="B4" s="3770" t="s">
        <v>954</v>
      </c>
      <c r="C4" s="3770"/>
      <c r="D4" s="2257"/>
      <c r="E4" s="3770" t="s">
        <v>955</v>
      </c>
      <c r="F4" s="3770"/>
      <c r="G4" s="3770"/>
      <c r="H4" s="3770"/>
      <c r="I4" s="360"/>
    </row>
    <row r="5" spans="1:9" ht="19.5" customHeight="1">
      <c r="A5" s="3776">
        <v>2</v>
      </c>
      <c r="B5" s="3770" t="s">
        <v>956</v>
      </c>
      <c r="C5" s="3770"/>
      <c r="D5" s="3771" t="s">
        <v>957</v>
      </c>
      <c r="E5" s="3771"/>
      <c r="F5" s="3771"/>
      <c r="G5" s="3771"/>
      <c r="H5" s="3771"/>
      <c r="I5" s="3771"/>
    </row>
    <row r="6" spans="1:9" ht="27" customHeight="1">
      <c r="A6" s="3776"/>
      <c r="B6" s="3770"/>
      <c r="C6" s="3770"/>
      <c r="D6" s="2283" t="s">
        <v>958</v>
      </c>
      <c r="E6" s="3776" t="s">
        <v>959</v>
      </c>
      <c r="F6" s="3776"/>
      <c r="G6" s="3776" t="s">
        <v>960</v>
      </c>
      <c r="H6" s="3776"/>
      <c r="I6" s="3776"/>
    </row>
    <row r="7" spans="1:9" ht="18" customHeight="1">
      <c r="A7" s="3776"/>
      <c r="B7" s="3770"/>
      <c r="C7" s="3770"/>
      <c r="D7" s="2257"/>
      <c r="E7" s="3782"/>
      <c r="F7" s="3782"/>
      <c r="G7" s="3782"/>
      <c r="H7" s="3782"/>
      <c r="I7" s="3782"/>
    </row>
    <row r="8" spans="1:9" ht="18.75" customHeight="1">
      <c r="A8" s="2282">
        <v>3</v>
      </c>
      <c r="B8" s="3777" t="s">
        <v>961</v>
      </c>
      <c r="C8" s="3777"/>
      <c r="D8" s="3777"/>
      <c r="E8" s="3777"/>
      <c r="F8" s="3777"/>
      <c r="G8" s="3777"/>
      <c r="H8" s="3777"/>
      <c r="I8" s="3777"/>
    </row>
    <row r="9" spans="1:9" ht="18" customHeight="1">
      <c r="A9" s="2282">
        <v>4</v>
      </c>
      <c r="B9" s="3771" t="s">
        <v>962</v>
      </c>
      <c r="C9" s="3772" t="s">
        <v>963</v>
      </c>
      <c r="D9" s="3772"/>
      <c r="E9" s="3772"/>
      <c r="F9" s="3772"/>
      <c r="G9" s="3772"/>
      <c r="H9" s="3772"/>
      <c r="I9" s="2286">
        <f>ROUND(SUM(I10:I11),2)</f>
        <v>0</v>
      </c>
    </row>
    <row r="10" spans="1:9" ht="14.25" customHeight="1">
      <c r="A10" s="2282">
        <v>5</v>
      </c>
      <c r="B10" s="3771"/>
      <c r="C10" s="3778" t="s">
        <v>964</v>
      </c>
      <c r="D10" s="3778"/>
      <c r="E10" s="3778"/>
      <c r="F10" s="3778"/>
      <c r="G10" s="3778"/>
      <c r="H10" s="3778"/>
      <c r="I10" s="2258"/>
    </row>
    <row r="11" spans="1:9" ht="14.25" customHeight="1">
      <c r="A11" s="2282">
        <v>6</v>
      </c>
      <c r="B11" s="3771"/>
      <c r="C11" s="3779" t="s">
        <v>965</v>
      </c>
      <c r="D11" s="3779"/>
      <c r="E11" s="3779"/>
      <c r="F11" s="3779"/>
      <c r="G11" s="3779"/>
      <c r="H11" s="3779"/>
      <c r="I11" s="2258"/>
    </row>
    <row r="12" spans="1:9" ht="14.25" customHeight="1">
      <c r="A12" s="2282">
        <v>7</v>
      </c>
      <c r="B12" s="3771"/>
      <c r="C12" s="3772" t="s">
        <v>966</v>
      </c>
      <c r="D12" s="3772"/>
      <c r="E12" s="3772"/>
      <c r="F12" s="3772"/>
      <c r="G12" s="3772"/>
      <c r="H12" s="3772"/>
      <c r="I12" s="2286">
        <f>I13-I14</f>
        <v>0</v>
      </c>
    </row>
    <row r="13" spans="1:9" ht="14.25" customHeight="1">
      <c r="A13" s="2282">
        <v>8</v>
      </c>
      <c r="B13" s="3771"/>
      <c r="C13" s="3778" t="s">
        <v>967</v>
      </c>
      <c r="D13" s="3778"/>
      <c r="E13" s="3778"/>
      <c r="F13" s="3778"/>
      <c r="G13" s="3778"/>
      <c r="H13" s="3778"/>
      <c r="I13" s="2258"/>
    </row>
    <row r="14" spans="1:9" ht="23.25" customHeight="1">
      <c r="A14" s="2282">
        <v>9</v>
      </c>
      <c r="B14" s="3771"/>
      <c r="C14" s="3779" t="s">
        <v>968</v>
      </c>
      <c r="D14" s="3779"/>
      <c r="E14" s="3779"/>
      <c r="F14" s="3779"/>
      <c r="G14" s="3779"/>
      <c r="H14" s="3779"/>
      <c r="I14" s="2258"/>
    </row>
    <row r="15" spans="1:9" ht="14.25" customHeight="1">
      <c r="A15" s="2282">
        <v>10</v>
      </c>
      <c r="B15" s="3771"/>
      <c r="C15" s="3770" t="s">
        <v>969</v>
      </c>
      <c r="D15" s="3770"/>
      <c r="E15" s="3770"/>
      <c r="F15" s="3770"/>
      <c r="G15" s="3770"/>
      <c r="H15" s="3770"/>
      <c r="I15" s="2289">
        <f>IFERROR(ROUND(I9/I12,4),0)</f>
        <v>0</v>
      </c>
    </row>
    <row r="16" spans="1:9" ht="14.25" customHeight="1">
      <c r="A16" s="2282">
        <v>11</v>
      </c>
      <c r="B16" s="3771" t="s">
        <v>970</v>
      </c>
      <c r="C16" s="3770" t="s">
        <v>971</v>
      </c>
      <c r="D16" s="3770"/>
      <c r="E16" s="3770"/>
      <c r="F16" s="3770"/>
      <c r="G16" s="3770"/>
      <c r="H16" s="3770"/>
      <c r="I16" s="2258"/>
    </row>
    <row r="17" spans="1:9" ht="14.25" customHeight="1">
      <c r="A17" s="2282">
        <v>12</v>
      </c>
      <c r="B17" s="3771"/>
      <c r="C17" s="3772" t="s">
        <v>972</v>
      </c>
      <c r="D17" s="3772"/>
      <c r="E17" s="3772"/>
      <c r="F17" s="3772"/>
      <c r="G17" s="3772"/>
      <c r="H17" s="3772"/>
      <c r="I17" s="2258"/>
    </row>
    <row r="18" spans="1:9" ht="24" customHeight="1">
      <c r="A18" s="2282">
        <v>13</v>
      </c>
      <c r="B18" s="3771"/>
      <c r="C18" s="3770" t="s">
        <v>973</v>
      </c>
      <c r="D18" s="3770"/>
      <c r="E18" s="3770"/>
      <c r="F18" s="3770"/>
      <c r="G18" s="3770"/>
      <c r="H18" s="3770"/>
      <c r="I18" s="2289">
        <f>IFERROR(ROUND(I16/I17,4),0)</f>
        <v>0</v>
      </c>
    </row>
    <row r="19" spans="1:9" ht="14.25" customHeight="1">
      <c r="A19" s="3776">
        <v>14</v>
      </c>
      <c r="B19" s="3771" t="s">
        <v>974</v>
      </c>
      <c r="C19" s="3771" t="s">
        <v>975</v>
      </c>
      <c r="D19" s="3771"/>
      <c r="E19" s="3771"/>
      <c r="F19" s="2283" t="s">
        <v>758</v>
      </c>
      <c r="G19" s="2284" t="s">
        <v>492</v>
      </c>
      <c r="H19" s="2284" t="s">
        <v>491</v>
      </c>
      <c r="I19" s="2282" t="s">
        <v>757</v>
      </c>
    </row>
    <row r="20" spans="1:9" ht="14.25" customHeight="1">
      <c r="A20" s="3776"/>
      <c r="B20" s="3771"/>
      <c r="C20" s="3771"/>
      <c r="D20" s="3771"/>
      <c r="E20" s="3771"/>
      <c r="F20" s="2283">
        <v>1</v>
      </c>
      <c r="G20" s="2285">
        <v>2</v>
      </c>
      <c r="H20" s="2284">
        <v>3</v>
      </c>
      <c r="I20" s="2282">
        <v>4</v>
      </c>
    </row>
    <row r="21" spans="1:9" ht="14.25" customHeight="1">
      <c r="A21" s="2282">
        <v>15</v>
      </c>
      <c r="B21" s="3771"/>
      <c r="C21" s="3770" t="s">
        <v>976</v>
      </c>
      <c r="D21" s="3770"/>
      <c r="E21" s="3770"/>
      <c r="F21" s="2286">
        <f>ROUND(F22+F31,2)</f>
        <v>0</v>
      </c>
      <c r="G21" s="2286">
        <f>ROUND(G22+G31,2)</f>
        <v>0</v>
      </c>
      <c r="H21" s="2286">
        <f>ROUND(H22+H31,2)</f>
        <v>0</v>
      </c>
      <c r="I21" s="2287">
        <f>SUM(F21:H21)</f>
        <v>0</v>
      </c>
    </row>
    <row r="22" spans="1:9" ht="14.25" customHeight="1">
      <c r="A22" s="2282">
        <v>16</v>
      </c>
      <c r="B22" s="3771"/>
      <c r="C22" s="3774" t="s">
        <v>977</v>
      </c>
      <c r="D22" s="3774"/>
      <c r="E22" s="3774"/>
      <c r="F22" s="2286">
        <f>ROUND(SUM(F23:F28)+F30,2)</f>
        <v>0</v>
      </c>
      <c r="G22" s="2286">
        <f>ROUND(SUM(G23:G28)+G30,2)</f>
        <v>0</v>
      </c>
      <c r="H22" s="2286">
        <f>ROUND(SUM(H23:H28)+H30,2)</f>
        <v>0</v>
      </c>
      <c r="I22" s="2287">
        <f t="shared" ref="I22:I35" si="0">SUM(F22:H22)</f>
        <v>0</v>
      </c>
    </row>
    <row r="23" spans="1:9" ht="14.25" customHeight="1">
      <c r="A23" s="2282">
        <v>17</v>
      </c>
      <c r="B23" s="3771"/>
      <c r="C23" s="3775" t="s">
        <v>978</v>
      </c>
      <c r="D23" s="3775"/>
      <c r="E23" s="3775"/>
      <c r="F23" s="364"/>
      <c r="G23" s="365"/>
      <c r="H23" s="357"/>
      <c r="I23" s="2287">
        <f t="shared" si="0"/>
        <v>0</v>
      </c>
    </row>
    <row r="24" spans="1:9" ht="14.25" customHeight="1">
      <c r="A24" s="2282">
        <v>18</v>
      </c>
      <c r="B24" s="3771"/>
      <c r="C24" s="3775" t="s">
        <v>979</v>
      </c>
      <c r="D24" s="3775"/>
      <c r="E24" s="3775"/>
      <c r="F24" s="364"/>
      <c r="G24" s="365"/>
      <c r="H24" s="366"/>
      <c r="I24" s="2287">
        <f t="shared" si="0"/>
        <v>0</v>
      </c>
    </row>
    <row r="25" spans="1:9" ht="14.25" customHeight="1">
      <c r="A25" s="2282">
        <v>19</v>
      </c>
      <c r="B25" s="3771"/>
      <c r="C25" s="3775" t="s">
        <v>980</v>
      </c>
      <c r="D25" s="3775"/>
      <c r="E25" s="3775"/>
      <c r="F25" s="364"/>
      <c r="G25" s="365"/>
      <c r="H25" s="366"/>
      <c r="I25" s="2287">
        <f t="shared" si="0"/>
        <v>0</v>
      </c>
    </row>
    <row r="26" spans="1:9" ht="14.25" customHeight="1">
      <c r="A26" s="2282">
        <v>20</v>
      </c>
      <c r="B26" s="3771"/>
      <c r="C26" s="3775" t="s">
        <v>981</v>
      </c>
      <c r="D26" s="3775"/>
      <c r="E26" s="3775"/>
      <c r="F26" s="364"/>
      <c r="G26" s="365"/>
      <c r="H26" s="366"/>
      <c r="I26" s="2287">
        <f t="shared" si="0"/>
        <v>0</v>
      </c>
    </row>
    <row r="27" spans="1:9" ht="14.25" customHeight="1">
      <c r="A27" s="2282">
        <v>21</v>
      </c>
      <c r="B27" s="3771"/>
      <c r="C27" s="3775" t="s">
        <v>982</v>
      </c>
      <c r="D27" s="3775"/>
      <c r="E27" s="3775"/>
      <c r="F27" s="364"/>
      <c r="G27" s="365"/>
      <c r="H27" s="366"/>
      <c r="I27" s="2287">
        <f t="shared" si="0"/>
        <v>0</v>
      </c>
    </row>
    <row r="28" spans="1:9" ht="14.25" customHeight="1">
      <c r="A28" s="2282">
        <v>22</v>
      </c>
      <c r="B28" s="3771"/>
      <c r="C28" s="3775" t="s">
        <v>983</v>
      </c>
      <c r="D28" s="3775"/>
      <c r="E28" s="3775"/>
      <c r="F28" s="364"/>
      <c r="G28" s="365"/>
      <c r="H28" s="366"/>
      <c r="I28" s="2287">
        <f t="shared" si="0"/>
        <v>0</v>
      </c>
    </row>
    <row r="29" spans="1:9" ht="14.25" customHeight="1">
      <c r="A29" s="2282">
        <v>23</v>
      </c>
      <c r="B29" s="3771"/>
      <c r="C29" s="3775" t="s">
        <v>984</v>
      </c>
      <c r="D29" s="3775"/>
      <c r="E29" s="3775"/>
      <c r="F29" s="364"/>
      <c r="G29" s="365"/>
      <c r="H29" s="366"/>
      <c r="I29" s="2287">
        <f t="shared" si="0"/>
        <v>0</v>
      </c>
    </row>
    <row r="30" spans="1:9" ht="14.25" customHeight="1">
      <c r="A30" s="2282">
        <v>24</v>
      </c>
      <c r="B30" s="3771"/>
      <c r="C30" s="3773" t="s">
        <v>985</v>
      </c>
      <c r="D30" s="3773"/>
      <c r="E30" s="3773"/>
      <c r="F30" s="2286">
        <f>MIN(SUM(F23:F28)*20%/(1-20%),F29)</f>
        <v>0</v>
      </c>
      <c r="G30" s="2286">
        <f>MIN(SUM(G23:G28)*20%/(1-20%),G29)</f>
        <v>0</v>
      </c>
      <c r="H30" s="2286">
        <f>MIN(SUM(H23:H28)*20%/(1-20%),H29)</f>
        <v>0</v>
      </c>
      <c r="I30" s="2287">
        <f t="shared" si="0"/>
        <v>0</v>
      </c>
    </row>
    <row r="31" spans="1:9" ht="14.25" customHeight="1">
      <c r="A31" s="2282">
        <v>25</v>
      </c>
      <c r="B31" s="3771"/>
      <c r="C31" s="3774" t="s">
        <v>986</v>
      </c>
      <c r="D31" s="3774"/>
      <c r="E31" s="3774"/>
      <c r="F31" s="2286">
        <f>ROUND((F32+F34)*80%,2)</f>
        <v>0</v>
      </c>
      <c r="G31" s="2286">
        <f>ROUND((G32+G34)*80%,2)</f>
        <v>0</v>
      </c>
      <c r="H31" s="2286">
        <f>ROUND((H32+H34)*80%,2)</f>
        <v>0</v>
      </c>
      <c r="I31" s="2287">
        <f t="shared" si="0"/>
        <v>0</v>
      </c>
    </row>
    <row r="32" spans="1:9" ht="14.25" customHeight="1">
      <c r="A32" s="2282">
        <v>26</v>
      </c>
      <c r="B32" s="3771"/>
      <c r="C32" s="3775" t="s">
        <v>987</v>
      </c>
      <c r="D32" s="3775"/>
      <c r="E32" s="3775"/>
      <c r="F32" s="364"/>
      <c r="G32" s="365"/>
      <c r="H32" s="366"/>
      <c r="I32" s="2287">
        <f t="shared" si="0"/>
        <v>0</v>
      </c>
    </row>
    <row r="33" spans="1:9" ht="14.25" customHeight="1">
      <c r="A33" s="2282">
        <v>27</v>
      </c>
      <c r="B33" s="3771"/>
      <c r="C33" s="3775" t="s">
        <v>988</v>
      </c>
      <c r="D33" s="3775"/>
      <c r="E33" s="3775"/>
      <c r="F33" s="364"/>
      <c r="G33" s="365"/>
      <c r="H33" s="366"/>
      <c r="I33" s="2287">
        <f t="shared" si="0"/>
        <v>0</v>
      </c>
    </row>
    <row r="34" spans="1:9">
      <c r="A34" s="2282">
        <v>28</v>
      </c>
      <c r="B34" s="3771"/>
      <c r="C34" s="3774" t="s">
        <v>989</v>
      </c>
      <c r="D34" s="3774"/>
      <c r="E34" s="3774"/>
      <c r="F34" s="2286">
        <f>MIN((SUM(F23:F29)+F32)*40%/(1-40%),F33)</f>
        <v>0</v>
      </c>
      <c r="G34" s="2286">
        <f>MIN((SUM(G23:G29)+G32)*40%/(1-40%),G33)</f>
        <v>0</v>
      </c>
      <c r="H34" s="2286">
        <f>MIN((SUM(H23:H29)+H32)*40%/(1-40%),H33)</f>
        <v>0</v>
      </c>
      <c r="I34" s="2287">
        <f t="shared" si="0"/>
        <v>0</v>
      </c>
    </row>
    <row r="35" spans="1:9">
      <c r="A35" s="2282">
        <v>29</v>
      </c>
      <c r="B35" s="3771"/>
      <c r="C35" s="3770" t="s">
        <v>990</v>
      </c>
      <c r="D35" s="3770"/>
      <c r="E35" s="3770"/>
      <c r="F35" s="364"/>
      <c r="G35" s="365"/>
      <c r="H35" s="366"/>
      <c r="I35" s="2287">
        <f t="shared" si="0"/>
        <v>0</v>
      </c>
    </row>
    <row r="36" spans="1:9">
      <c r="A36" s="2282">
        <v>30</v>
      </c>
      <c r="B36" s="3771"/>
      <c r="C36" s="3770" t="s">
        <v>991</v>
      </c>
      <c r="D36" s="3770"/>
      <c r="E36" s="3770"/>
      <c r="F36" s="3770"/>
      <c r="G36" s="3770"/>
      <c r="H36" s="3770"/>
      <c r="I36" s="2288">
        <f>IFERROR(ROUND(I21/I35,4),0)</f>
        <v>0</v>
      </c>
    </row>
    <row r="37" spans="1:9">
      <c r="A37" s="2282">
        <v>31</v>
      </c>
      <c r="B37" s="3771" t="s">
        <v>992</v>
      </c>
      <c r="C37" s="3772" t="s">
        <v>993</v>
      </c>
      <c r="D37" s="3772"/>
      <c r="E37" s="3772"/>
      <c r="F37" s="3772"/>
      <c r="G37" s="3772"/>
      <c r="H37" s="3772"/>
      <c r="I37" s="364"/>
    </row>
    <row r="38" spans="1:9">
      <c r="A38" s="2282">
        <v>32</v>
      </c>
      <c r="B38" s="3771"/>
      <c r="C38" s="3770" t="s">
        <v>994</v>
      </c>
      <c r="D38" s="3770"/>
      <c r="E38" s="3770"/>
      <c r="F38" s="3770"/>
      <c r="G38" s="3770"/>
      <c r="H38" s="3770"/>
      <c r="I38" s="364"/>
    </row>
  </sheetData>
  <mergeCells count="48">
    <mergeCell ref="A5:A7"/>
    <mergeCell ref="B5:C7"/>
    <mergeCell ref="D5:I5"/>
    <mergeCell ref="E6:F6"/>
    <mergeCell ref="G6:I6"/>
    <mergeCell ref="E7:F7"/>
    <mergeCell ref="G7:I7"/>
    <mergeCell ref="A3:I3"/>
    <mergeCell ref="B4:C4"/>
    <mergeCell ref="E4:H4"/>
    <mergeCell ref="H1:I1"/>
    <mergeCell ref="H2:I2"/>
    <mergeCell ref="A1:G2"/>
    <mergeCell ref="B8:I8"/>
    <mergeCell ref="B9:B15"/>
    <mergeCell ref="C9:H9"/>
    <mergeCell ref="C10:H10"/>
    <mergeCell ref="C11:H11"/>
    <mergeCell ref="C12:H12"/>
    <mergeCell ref="C13:H13"/>
    <mergeCell ref="C14:H14"/>
    <mergeCell ref="C15:H15"/>
    <mergeCell ref="B16:B18"/>
    <mergeCell ref="C16:H16"/>
    <mergeCell ref="C17:H17"/>
    <mergeCell ref="C18:H18"/>
    <mergeCell ref="A19:A20"/>
    <mergeCell ref="B19:B36"/>
    <mergeCell ref="C19:E20"/>
    <mergeCell ref="C21:E21"/>
    <mergeCell ref="C22:E22"/>
    <mergeCell ref="C23:E23"/>
    <mergeCell ref="C24:E24"/>
    <mergeCell ref="C25:E25"/>
    <mergeCell ref="C26:E26"/>
    <mergeCell ref="C27:E27"/>
    <mergeCell ref="C28:E28"/>
    <mergeCell ref="C29:E29"/>
    <mergeCell ref="C30:E30"/>
    <mergeCell ref="C31:E31"/>
    <mergeCell ref="C32:E32"/>
    <mergeCell ref="C33:E33"/>
    <mergeCell ref="C34:E34"/>
    <mergeCell ref="C35:E35"/>
    <mergeCell ref="C36:H36"/>
    <mergeCell ref="B37:B38"/>
    <mergeCell ref="C37:H37"/>
    <mergeCell ref="C38:H38"/>
  </mergeCells>
  <phoneticPr fontId="135"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formula1>"是,否"</formula1>
    </dataValidation>
  </dataValidations>
  <printOptions horizontalCentered="1"/>
  <pageMargins left="0.39370078740157477" right="0.39370078740157477" top="0.59055118110236215" bottom="0.59055118110236215" header="0.511811023622047" footer="0.511811023622047"/>
  <pageSetup paperSize="9" scale="77" fitToHeight="0" orientation="portrait" r:id="rId1"/>
  <drawing r:id="rId2"/>
  <legacyDrawing r:id="rId3"/>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3">
    <tabColor theme="9" tint="0.39997558519241921"/>
    <pageSetUpPr fitToPage="1"/>
  </sheetPr>
  <dimension ref="A1:E30"/>
  <sheetViews>
    <sheetView workbookViewId="0">
      <selection activeCell="A3" sqref="A3:E3"/>
    </sheetView>
  </sheetViews>
  <sheetFormatPr defaultRowHeight="14.25"/>
  <cols>
    <col min="1" max="1" width="4.75" style="575" customWidth="1"/>
    <col min="2" max="2" width="11.375" style="1570" bestFit="1" customWidth="1"/>
    <col min="3" max="3" width="19" style="575" customWidth="1"/>
    <col min="4" max="4" width="32.875" style="575" customWidth="1"/>
    <col min="5" max="5" width="30.875" style="575" customWidth="1"/>
    <col min="6" max="253" width="9" style="575"/>
    <col min="254" max="254" width="4.75" style="575" customWidth="1"/>
    <col min="255" max="255" width="5.25" style="575" customWidth="1"/>
    <col min="256" max="256" width="5.75" style="575" customWidth="1"/>
    <col min="257" max="257" width="79.875" style="575" customWidth="1"/>
    <col min="258" max="258" width="16.25" style="575" customWidth="1"/>
    <col min="259" max="259" width="13.375" style="575" customWidth="1"/>
    <col min="260" max="509" width="9" style="575"/>
    <col min="510" max="510" width="4.75" style="575" customWidth="1"/>
    <col min="511" max="511" width="5.25" style="575" customWidth="1"/>
    <col min="512" max="512" width="5.75" style="575" customWidth="1"/>
    <col min="513" max="513" width="79.875" style="575" customWidth="1"/>
    <col min="514" max="514" width="16.25" style="575" customWidth="1"/>
    <col min="515" max="515" width="13.375" style="575" customWidth="1"/>
    <col min="516" max="765" width="9" style="575"/>
    <col min="766" max="766" width="4.75" style="575" customWidth="1"/>
    <col min="767" max="767" width="5.25" style="575" customWidth="1"/>
    <col min="768" max="768" width="5.75" style="575" customWidth="1"/>
    <col min="769" max="769" width="79.875" style="575" customWidth="1"/>
    <col min="770" max="770" width="16.25" style="575" customWidth="1"/>
    <col min="771" max="771" width="13.375" style="575" customWidth="1"/>
    <col min="772" max="1021" width="9" style="575"/>
    <col min="1022" max="1022" width="4.75" style="575" customWidth="1"/>
    <col min="1023" max="1023" width="5.25" style="575" customWidth="1"/>
    <col min="1024" max="1024" width="5.75" style="575" customWidth="1"/>
    <col min="1025" max="1025" width="79.875" style="575" customWidth="1"/>
    <col min="1026" max="1026" width="16.25" style="575" customWidth="1"/>
    <col min="1027" max="1027" width="13.375" style="575" customWidth="1"/>
    <col min="1028" max="1277" width="9" style="575"/>
    <col min="1278" max="1278" width="4.75" style="575" customWidth="1"/>
    <col min="1279" max="1279" width="5.25" style="575" customWidth="1"/>
    <col min="1280" max="1280" width="5.75" style="575" customWidth="1"/>
    <col min="1281" max="1281" width="79.875" style="575" customWidth="1"/>
    <col min="1282" max="1282" width="16.25" style="575" customWidth="1"/>
    <col min="1283" max="1283" width="13.375" style="575" customWidth="1"/>
    <col min="1284" max="1533" width="9" style="575"/>
    <col min="1534" max="1534" width="4.75" style="575" customWidth="1"/>
    <col min="1535" max="1535" width="5.25" style="575" customWidth="1"/>
    <col min="1536" max="1536" width="5.75" style="575" customWidth="1"/>
    <col min="1537" max="1537" width="79.875" style="575" customWidth="1"/>
    <col min="1538" max="1538" width="16.25" style="575" customWidth="1"/>
    <col min="1539" max="1539" width="13.375" style="575" customWidth="1"/>
    <col min="1540" max="1789" width="9" style="575"/>
    <col min="1790" max="1790" width="4.75" style="575" customWidth="1"/>
    <col min="1791" max="1791" width="5.25" style="575" customWidth="1"/>
    <col min="1792" max="1792" width="5.75" style="575" customWidth="1"/>
    <col min="1793" max="1793" width="79.875" style="575" customWidth="1"/>
    <col min="1794" max="1794" width="16.25" style="575" customWidth="1"/>
    <col min="1795" max="1795" width="13.375" style="575" customWidth="1"/>
    <col min="1796" max="2045" width="9" style="575"/>
    <col min="2046" max="2046" width="4.75" style="575" customWidth="1"/>
    <col min="2047" max="2047" width="5.25" style="575" customWidth="1"/>
    <col min="2048" max="2048" width="5.75" style="575" customWidth="1"/>
    <col min="2049" max="2049" width="79.875" style="575" customWidth="1"/>
    <col min="2050" max="2050" width="16.25" style="575" customWidth="1"/>
    <col min="2051" max="2051" width="13.375" style="575" customWidth="1"/>
    <col min="2052" max="2301" width="9" style="575"/>
    <col min="2302" max="2302" width="4.75" style="575" customWidth="1"/>
    <col min="2303" max="2303" width="5.25" style="575" customWidth="1"/>
    <col min="2304" max="2304" width="5.75" style="575" customWidth="1"/>
    <col min="2305" max="2305" width="79.875" style="575" customWidth="1"/>
    <col min="2306" max="2306" width="16.25" style="575" customWidth="1"/>
    <col min="2307" max="2307" width="13.375" style="575" customWidth="1"/>
    <col min="2308" max="2557" width="9" style="575"/>
    <col min="2558" max="2558" width="4.75" style="575" customWidth="1"/>
    <col min="2559" max="2559" width="5.25" style="575" customWidth="1"/>
    <col min="2560" max="2560" width="5.75" style="575" customWidth="1"/>
    <col min="2561" max="2561" width="79.875" style="575" customWidth="1"/>
    <col min="2562" max="2562" width="16.25" style="575" customWidth="1"/>
    <col min="2563" max="2563" width="13.375" style="575" customWidth="1"/>
    <col min="2564" max="2813" width="9" style="575"/>
    <col min="2814" max="2814" width="4.75" style="575" customWidth="1"/>
    <col min="2815" max="2815" width="5.25" style="575" customWidth="1"/>
    <col min="2816" max="2816" width="5.75" style="575" customWidth="1"/>
    <col min="2817" max="2817" width="79.875" style="575" customWidth="1"/>
    <col min="2818" max="2818" width="16.25" style="575" customWidth="1"/>
    <col min="2819" max="2819" width="13.375" style="575" customWidth="1"/>
    <col min="2820" max="3069" width="9" style="575"/>
    <col min="3070" max="3070" width="4.75" style="575" customWidth="1"/>
    <col min="3071" max="3071" width="5.25" style="575" customWidth="1"/>
    <col min="3072" max="3072" width="5.75" style="575" customWidth="1"/>
    <col min="3073" max="3073" width="79.875" style="575" customWidth="1"/>
    <col min="3074" max="3074" width="16.25" style="575" customWidth="1"/>
    <col min="3075" max="3075" width="13.375" style="575" customWidth="1"/>
    <col min="3076" max="3325" width="9" style="575"/>
    <col min="3326" max="3326" width="4.75" style="575" customWidth="1"/>
    <col min="3327" max="3327" width="5.25" style="575" customWidth="1"/>
    <col min="3328" max="3328" width="5.75" style="575" customWidth="1"/>
    <col min="3329" max="3329" width="79.875" style="575" customWidth="1"/>
    <col min="3330" max="3330" width="16.25" style="575" customWidth="1"/>
    <col min="3331" max="3331" width="13.375" style="575" customWidth="1"/>
    <col min="3332" max="3581" width="9" style="575"/>
    <col min="3582" max="3582" width="4.75" style="575" customWidth="1"/>
    <col min="3583" max="3583" width="5.25" style="575" customWidth="1"/>
    <col min="3584" max="3584" width="5.75" style="575" customWidth="1"/>
    <col min="3585" max="3585" width="79.875" style="575" customWidth="1"/>
    <col min="3586" max="3586" width="16.25" style="575" customWidth="1"/>
    <col min="3587" max="3587" width="13.375" style="575" customWidth="1"/>
    <col min="3588" max="3837" width="9" style="575"/>
    <col min="3838" max="3838" width="4.75" style="575" customWidth="1"/>
    <col min="3839" max="3839" width="5.25" style="575" customWidth="1"/>
    <col min="3840" max="3840" width="5.75" style="575" customWidth="1"/>
    <col min="3841" max="3841" width="79.875" style="575" customWidth="1"/>
    <col min="3842" max="3842" width="16.25" style="575" customWidth="1"/>
    <col min="3843" max="3843" width="13.375" style="575" customWidth="1"/>
    <col min="3844" max="4093" width="9" style="575"/>
    <col min="4094" max="4094" width="4.75" style="575" customWidth="1"/>
    <col min="4095" max="4095" width="5.25" style="575" customWidth="1"/>
    <col min="4096" max="4096" width="5.75" style="575" customWidth="1"/>
    <col min="4097" max="4097" width="79.875" style="575" customWidth="1"/>
    <col min="4098" max="4098" width="16.25" style="575" customWidth="1"/>
    <col min="4099" max="4099" width="13.375" style="575" customWidth="1"/>
    <col min="4100" max="4349" width="9" style="575"/>
    <col min="4350" max="4350" width="4.75" style="575" customWidth="1"/>
    <col min="4351" max="4351" width="5.25" style="575" customWidth="1"/>
    <col min="4352" max="4352" width="5.75" style="575" customWidth="1"/>
    <col min="4353" max="4353" width="79.875" style="575" customWidth="1"/>
    <col min="4354" max="4354" width="16.25" style="575" customWidth="1"/>
    <col min="4355" max="4355" width="13.375" style="575" customWidth="1"/>
    <col min="4356" max="4605" width="9" style="575"/>
    <col min="4606" max="4606" width="4.75" style="575" customWidth="1"/>
    <col min="4607" max="4607" width="5.25" style="575" customWidth="1"/>
    <col min="4608" max="4608" width="5.75" style="575" customWidth="1"/>
    <col min="4609" max="4609" width="79.875" style="575" customWidth="1"/>
    <col min="4610" max="4610" width="16.25" style="575" customWidth="1"/>
    <col min="4611" max="4611" width="13.375" style="575" customWidth="1"/>
    <col min="4612" max="4861" width="9" style="575"/>
    <col min="4862" max="4862" width="4.75" style="575" customWidth="1"/>
    <col min="4863" max="4863" width="5.25" style="575" customWidth="1"/>
    <col min="4864" max="4864" width="5.75" style="575" customWidth="1"/>
    <col min="4865" max="4865" width="79.875" style="575" customWidth="1"/>
    <col min="4866" max="4866" width="16.25" style="575" customWidth="1"/>
    <col min="4867" max="4867" width="13.375" style="575" customWidth="1"/>
    <col min="4868" max="5117" width="9" style="575"/>
    <col min="5118" max="5118" width="4.75" style="575" customWidth="1"/>
    <col min="5119" max="5119" width="5.25" style="575" customWidth="1"/>
    <col min="5120" max="5120" width="5.75" style="575" customWidth="1"/>
    <col min="5121" max="5121" width="79.875" style="575" customWidth="1"/>
    <col min="5122" max="5122" width="16.25" style="575" customWidth="1"/>
    <col min="5123" max="5123" width="13.375" style="575" customWidth="1"/>
    <col min="5124" max="5373" width="9" style="575"/>
    <col min="5374" max="5374" width="4.75" style="575" customWidth="1"/>
    <col min="5375" max="5375" width="5.25" style="575" customWidth="1"/>
    <col min="5376" max="5376" width="5.75" style="575" customWidth="1"/>
    <col min="5377" max="5377" width="79.875" style="575" customWidth="1"/>
    <col min="5378" max="5378" width="16.25" style="575" customWidth="1"/>
    <col min="5379" max="5379" width="13.375" style="575" customWidth="1"/>
    <col min="5380" max="5629" width="9" style="575"/>
    <col min="5630" max="5630" width="4.75" style="575" customWidth="1"/>
    <col min="5631" max="5631" width="5.25" style="575" customWidth="1"/>
    <col min="5632" max="5632" width="5.75" style="575" customWidth="1"/>
    <col min="5633" max="5633" width="79.875" style="575" customWidth="1"/>
    <col min="5634" max="5634" width="16.25" style="575" customWidth="1"/>
    <col min="5635" max="5635" width="13.375" style="575" customWidth="1"/>
    <col min="5636" max="5885" width="9" style="575"/>
    <col min="5886" max="5886" width="4.75" style="575" customWidth="1"/>
    <col min="5887" max="5887" width="5.25" style="575" customWidth="1"/>
    <col min="5888" max="5888" width="5.75" style="575" customWidth="1"/>
    <col min="5889" max="5889" width="79.875" style="575" customWidth="1"/>
    <col min="5890" max="5890" width="16.25" style="575" customWidth="1"/>
    <col min="5891" max="5891" width="13.375" style="575" customWidth="1"/>
    <col min="5892" max="6141" width="9" style="575"/>
    <col min="6142" max="6142" width="4.75" style="575" customWidth="1"/>
    <col min="6143" max="6143" width="5.25" style="575" customWidth="1"/>
    <col min="6144" max="6144" width="5.75" style="575" customWidth="1"/>
    <col min="6145" max="6145" width="79.875" style="575" customWidth="1"/>
    <col min="6146" max="6146" width="16.25" style="575" customWidth="1"/>
    <col min="6147" max="6147" width="13.375" style="575" customWidth="1"/>
    <col min="6148" max="6397" width="9" style="575"/>
    <col min="6398" max="6398" width="4.75" style="575" customWidth="1"/>
    <col min="6399" max="6399" width="5.25" style="575" customWidth="1"/>
    <col min="6400" max="6400" width="5.75" style="575" customWidth="1"/>
    <col min="6401" max="6401" width="79.875" style="575" customWidth="1"/>
    <col min="6402" max="6402" width="16.25" style="575" customWidth="1"/>
    <col min="6403" max="6403" width="13.375" style="575" customWidth="1"/>
    <col min="6404" max="6653" width="9" style="575"/>
    <col min="6654" max="6654" width="4.75" style="575" customWidth="1"/>
    <col min="6655" max="6655" width="5.25" style="575" customWidth="1"/>
    <col min="6656" max="6656" width="5.75" style="575" customWidth="1"/>
    <col min="6657" max="6657" width="79.875" style="575" customWidth="1"/>
    <col min="6658" max="6658" width="16.25" style="575" customWidth="1"/>
    <col min="6659" max="6659" width="13.375" style="575" customWidth="1"/>
    <col min="6660" max="6909" width="9" style="575"/>
    <col min="6910" max="6910" width="4.75" style="575" customWidth="1"/>
    <col min="6911" max="6911" width="5.25" style="575" customWidth="1"/>
    <col min="6912" max="6912" width="5.75" style="575" customWidth="1"/>
    <col min="6913" max="6913" width="79.875" style="575" customWidth="1"/>
    <col min="6914" max="6914" width="16.25" style="575" customWidth="1"/>
    <col min="6915" max="6915" width="13.375" style="575" customWidth="1"/>
    <col min="6916" max="7165" width="9" style="575"/>
    <col min="7166" max="7166" width="4.75" style="575" customWidth="1"/>
    <col min="7167" max="7167" width="5.25" style="575" customWidth="1"/>
    <col min="7168" max="7168" width="5.75" style="575" customWidth="1"/>
    <col min="7169" max="7169" width="79.875" style="575" customWidth="1"/>
    <col min="7170" max="7170" width="16.25" style="575" customWidth="1"/>
    <col min="7171" max="7171" width="13.375" style="575" customWidth="1"/>
    <col min="7172" max="7421" width="9" style="575"/>
    <col min="7422" max="7422" width="4.75" style="575" customWidth="1"/>
    <col min="7423" max="7423" width="5.25" style="575" customWidth="1"/>
    <col min="7424" max="7424" width="5.75" style="575" customWidth="1"/>
    <col min="7425" max="7425" width="79.875" style="575" customWidth="1"/>
    <col min="7426" max="7426" width="16.25" style="575" customWidth="1"/>
    <col min="7427" max="7427" width="13.375" style="575" customWidth="1"/>
    <col min="7428" max="7677" width="9" style="575"/>
    <col min="7678" max="7678" width="4.75" style="575" customWidth="1"/>
    <col min="7679" max="7679" width="5.25" style="575" customWidth="1"/>
    <col min="7680" max="7680" width="5.75" style="575" customWidth="1"/>
    <col min="7681" max="7681" width="79.875" style="575" customWidth="1"/>
    <col min="7682" max="7682" width="16.25" style="575" customWidth="1"/>
    <col min="7683" max="7683" width="13.375" style="575" customWidth="1"/>
    <col min="7684" max="7933" width="9" style="575"/>
    <col min="7934" max="7934" width="4.75" style="575" customWidth="1"/>
    <col min="7935" max="7935" width="5.25" style="575" customWidth="1"/>
    <col min="7936" max="7936" width="5.75" style="575" customWidth="1"/>
    <col min="7937" max="7937" width="79.875" style="575" customWidth="1"/>
    <col min="7938" max="7938" width="16.25" style="575" customWidth="1"/>
    <col min="7939" max="7939" width="13.375" style="575" customWidth="1"/>
    <col min="7940" max="8189" width="9" style="575"/>
    <col min="8190" max="8190" width="4.75" style="575" customWidth="1"/>
    <col min="8191" max="8191" width="5.25" style="575" customWidth="1"/>
    <col min="8192" max="8192" width="5.75" style="575" customWidth="1"/>
    <col min="8193" max="8193" width="79.875" style="575" customWidth="1"/>
    <col min="8194" max="8194" width="16.25" style="575" customWidth="1"/>
    <col min="8195" max="8195" width="13.375" style="575" customWidth="1"/>
    <col min="8196" max="8445" width="9" style="575"/>
    <col min="8446" max="8446" width="4.75" style="575" customWidth="1"/>
    <col min="8447" max="8447" width="5.25" style="575" customWidth="1"/>
    <col min="8448" max="8448" width="5.75" style="575" customWidth="1"/>
    <col min="8449" max="8449" width="79.875" style="575" customWidth="1"/>
    <col min="8450" max="8450" width="16.25" style="575" customWidth="1"/>
    <col min="8451" max="8451" width="13.375" style="575" customWidth="1"/>
    <col min="8452" max="8701" width="9" style="575"/>
    <col min="8702" max="8702" width="4.75" style="575" customWidth="1"/>
    <col min="8703" max="8703" width="5.25" style="575" customWidth="1"/>
    <col min="8704" max="8704" width="5.75" style="575" customWidth="1"/>
    <col min="8705" max="8705" width="79.875" style="575" customWidth="1"/>
    <col min="8706" max="8706" width="16.25" style="575" customWidth="1"/>
    <col min="8707" max="8707" width="13.375" style="575" customWidth="1"/>
    <col min="8708" max="8957" width="9" style="575"/>
    <col min="8958" max="8958" width="4.75" style="575" customWidth="1"/>
    <col min="8959" max="8959" width="5.25" style="575" customWidth="1"/>
    <col min="8960" max="8960" width="5.75" style="575" customWidth="1"/>
    <col min="8961" max="8961" width="79.875" style="575" customWidth="1"/>
    <col min="8962" max="8962" width="16.25" style="575" customWidth="1"/>
    <col min="8963" max="8963" width="13.375" style="575" customWidth="1"/>
    <col min="8964" max="9213" width="9" style="575"/>
    <col min="9214" max="9214" width="4.75" style="575" customWidth="1"/>
    <col min="9215" max="9215" width="5.25" style="575" customWidth="1"/>
    <col min="9216" max="9216" width="5.75" style="575" customWidth="1"/>
    <col min="9217" max="9217" width="79.875" style="575" customWidth="1"/>
    <col min="9218" max="9218" width="16.25" style="575" customWidth="1"/>
    <col min="9219" max="9219" width="13.375" style="575" customWidth="1"/>
    <col min="9220" max="9469" width="9" style="575"/>
    <col min="9470" max="9470" width="4.75" style="575" customWidth="1"/>
    <col min="9471" max="9471" width="5.25" style="575" customWidth="1"/>
    <col min="9472" max="9472" width="5.75" style="575" customWidth="1"/>
    <col min="9473" max="9473" width="79.875" style="575" customWidth="1"/>
    <col min="9474" max="9474" width="16.25" style="575" customWidth="1"/>
    <col min="9475" max="9475" width="13.375" style="575" customWidth="1"/>
    <col min="9476" max="9725" width="9" style="575"/>
    <col min="9726" max="9726" width="4.75" style="575" customWidth="1"/>
    <col min="9727" max="9727" width="5.25" style="575" customWidth="1"/>
    <col min="9728" max="9728" width="5.75" style="575" customWidth="1"/>
    <col min="9729" max="9729" width="79.875" style="575" customWidth="1"/>
    <col min="9730" max="9730" width="16.25" style="575" customWidth="1"/>
    <col min="9731" max="9731" width="13.375" style="575" customWidth="1"/>
    <col min="9732" max="9981" width="9" style="575"/>
    <col min="9982" max="9982" width="4.75" style="575" customWidth="1"/>
    <col min="9983" max="9983" width="5.25" style="575" customWidth="1"/>
    <col min="9984" max="9984" width="5.75" style="575" customWidth="1"/>
    <col min="9985" max="9985" width="79.875" style="575" customWidth="1"/>
    <col min="9986" max="9986" width="16.25" style="575" customWidth="1"/>
    <col min="9987" max="9987" width="13.375" style="575" customWidth="1"/>
    <col min="9988" max="10237" width="9" style="575"/>
    <col min="10238" max="10238" width="4.75" style="575" customWidth="1"/>
    <col min="10239" max="10239" width="5.25" style="575" customWidth="1"/>
    <col min="10240" max="10240" width="5.75" style="575" customWidth="1"/>
    <col min="10241" max="10241" width="79.875" style="575" customWidth="1"/>
    <col min="10242" max="10242" width="16.25" style="575" customWidth="1"/>
    <col min="10243" max="10243" width="13.375" style="575" customWidth="1"/>
    <col min="10244" max="10493" width="9" style="575"/>
    <col min="10494" max="10494" width="4.75" style="575" customWidth="1"/>
    <col min="10495" max="10495" width="5.25" style="575" customWidth="1"/>
    <col min="10496" max="10496" width="5.75" style="575" customWidth="1"/>
    <col min="10497" max="10497" width="79.875" style="575" customWidth="1"/>
    <col min="10498" max="10498" width="16.25" style="575" customWidth="1"/>
    <col min="10499" max="10499" width="13.375" style="575" customWidth="1"/>
    <col min="10500" max="10749" width="9" style="575"/>
    <col min="10750" max="10750" width="4.75" style="575" customWidth="1"/>
    <col min="10751" max="10751" width="5.25" style="575" customWidth="1"/>
    <col min="10752" max="10752" width="5.75" style="575" customWidth="1"/>
    <col min="10753" max="10753" width="79.875" style="575" customWidth="1"/>
    <col min="10754" max="10754" width="16.25" style="575" customWidth="1"/>
    <col min="10755" max="10755" width="13.375" style="575" customWidth="1"/>
    <col min="10756" max="11005" width="9" style="575"/>
    <col min="11006" max="11006" width="4.75" style="575" customWidth="1"/>
    <col min="11007" max="11007" width="5.25" style="575" customWidth="1"/>
    <col min="11008" max="11008" width="5.75" style="575" customWidth="1"/>
    <col min="11009" max="11009" width="79.875" style="575" customWidth="1"/>
    <col min="11010" max="11010" width="16.25" style="575" customWidth="1"/>
    <col min="11011" max="11011" width="13.375" style="575" customWidth="1"/>
    <col min="11012" max="11261" width="9" style="575"/>
    <col min="11262" max="11262" width="4.75" style="575" customWidth="1"/>
    <col min="11263" max="11263" width="5.25" style="575" customWidth="1"/>
    <col min="11264" max="11264" width="5.75" style="575" customWidth="1"/>
    <col min="11265" max="11265" width="79.875" style="575" customWidth="1"/>
    <col min="11266" max="11266" width="16.25" style="575" customWidth="1"/>
    <col min="11267" max="11267" width="13.375" style="575" customWidth="1"/>
    <col min="11268" max="11517" width="9" style="575"/>
    <col min="11518" max="11518" width="4.75" style="575" customWidth="1"/>
    <col min="11519" max="11519" width="5.25" style="575" customWidth="1"/>
    <col min="11520" max="11520" width="5.75" style="575" customWidth="1"/>
    <col min="11521" max="11521" width="79.875" style="575" customWidth="1"/>
    <col min="11522" max="11522" width="16.25" style="575" customWidth="1"/>
    <col min="11523" max="11523" width="13.375" style="575" customWidth="1"/>
    <col min="11524" max="11773" width="9" style="575"/>
    <col min="11774" max="11774" width="4.75" style="575" customWidth="1"/>
    <col min="11775" max="11775" width="5.25" style="575" customWidth="1"/>
    <col min="11776" max="11776" width="5.75" style="575" customWidth="1"/>
    <col min="11777" max="11777" width="79.875" style="575" customWidth="1"/>
    <col min="11778" max="11778" width="16.25" style="575" customWidth="1"/>
    <col min="11779" max="11779" width="13.375" style="575" customWidth="1"/>
    <col min="11780" max="12029" width="9" style="575"/>
    <col min="12030" max="12030" width="4.75" style="575" customWidth="1"/>
    <col min="12031" max="12031" width="5.25" style="575" customWidth="1"/>
    <col min="12032" max="12032" width="5.75" style="575" customWidth="1"/>
    <col min="12033" max="12033" width="79.875" style="575" customWidth="1"/>
    <col min="12034" max="12034" width="16.25" style="575" customWidth="1"/>
    <col min="12035" max="12035" width="13.375" style="575" customWidth="1"/>
    <col min="12036" max="12285" width="9" style="575"/>
    <col min="12286" max="12286" width="4.75" style="575" customWidth="1"/>
    <col min="12287" max="12287" width="5.25" style="575" customWidth="1"/>
    <col min="12288" max="12288" width="5.75" style="575" customWidth="1"/>
    <col min="12289" max="12289" width="79.875" style="575" customWidth="1"/>
    <col min="12290" max="12290" width="16.25" style="575" customWidth="1"/>
    <col min="12291" max="12291" width="13.375" style="575" customWidth="1"/>
    <col min="12292" max="12541" width="9" style="575"/>
    <col min="12542" max="12542" width="4.75" style="575" customWidth="1"/>
    <col min="12543" max="12543" width="5.25" style="575" customWidth="1"/>
    <col min="12544" max="12544" width="5.75" style="575" customWidth="1"/>
    <col min="12545" max="12545" width="79.875" style="575" customWidth="1"/>
    <col min="12546" max="12546" width="16.25" style="575" customWidth="1"/>
    <col min="12547" max="12547" width="13.375" style="575" customWidth="1"/>
    <col min="12548" max="12797" width="9" style="575"/>
    <col min="12798" max="12798" width="4.75" style="575" customWidth="1"/>
    <col min="12799" max="12799" width="5.25" style="575" customWidth="1"/>
    <col min="12800" max="12800" width="5.75" style="575" customWidth="1"/>
    <col min="12801" max="12801" width="79.875" style="575" customWidth="1"/>
    <col min="12802" max="12802" width="16.25" style="575" customWidth="1"/>
    <col min="12803" max="12803" width="13.375" style="575" customWidth="1"/>
    <col min="12804" max="13053" width="9" style="575"/>
    <col min="13054" max="13054" width="4.75" style="575" customWidth="1"/>
    <col min="13055" max="13055" width="5.25" style="575" customWidth="1"/>
    <col min="13056" max="13056" width="5.75" style="575" customWidth="1"/>
    <col min="13057" max="13057" width="79.875" style="575" customWidth="1"/>
    <col min="13058" max="13058" width="16.25" style="575" customWidth="1"/>
    <col min="13059" max="13059" width="13.375" style="575" customWidth="1"/>
    <col min="13060" max="13309" width="9" style="575"/>
    <col min="13310" max="13310" width="4.75" style="575" customWidth="1"/>
    <col min="13311" max="13311" width="5.25" style="575" customWidth="1"/>
    <col min="13312" max="13312" width="5.75" style="575" customWidth="1"/>
    <col min="13313" max="13313" width="79.875" style="575" customWidth="1"/>
    <col min="13314" max="13314" width="16.25" style="575" customWidth="1"/>
    <col min="13315" max="13315" width="13.375" style="575" customWidth="1"/>
    <col min="13316" max="13565" width="9" style="575"/>
    <col min="13566" max="13566" width="4.75" style="575" customWidth="1"/>
    <col min="13567" max="13567" width="5.25" style="575" customWidth="1"/>
    <col min="13568" max="13568" width="5.75" style="575" customWidth="1"/>
    <col min="13569" max="13569" width="79.875" style="575" customWidth="1"/>
    <col min="13570" max="13570" width="16.25" style="575" customWidth="1"/>
    <col min="13571" max="13571" width="13.375" style="575" customWidth="1"/>
    <col min="13572" max="13821" width="9" style="575"/>
    <col min="13822" max="13822" width="4.75" style="575" customWidth="1"/>
    <col min="13823" max="13823" width="5.25" style="575" customWidth="1"/>
    <col min="13824" max="13824" width="5.75" style="575" customWidth="1"/>
    <col min="13825" max="13825" width="79.875" style="575" customWidth="1"/>
    <col min="13826" max="13826" width="16.25" style="575" customWidth="1"/>
    <col min="13827" max="13827" width="13.375" style="575" customWidth="1"/>
    <col min="13828" max="14077" width="9" style="575"/>
    <col min="14078" max="14078" width="4.75" style="575" customWidth="1"/>
    <col min="14079" max="14079" width="5.25" style="575" customWidth="1"/>
    <col min="14080" max="14080" width="5.75" style="575" customWidth="1"/>
    <col min="14081" max="14081" width="79.875" style="575" customWidth="1"/>
    <col min="14082" max="14082" width="16.25" style="575" customWidth="1"/>
    <col min="14083" max="14083" width="13.375" style="575" customWidth="1"/>
    <col min="14084" max="14333" width="9" style="575"/>
    <col min="14334" max="14334" width="4.75" style="575" customWidth="1"/>
    <col min="14335" max="14335" width="5.25" style="575" customWidth="1"/>
    <col min="14336" max="14336" width="5.75" style="575" customWidth="1"/>
    <col min="14337" max="14337" width="79.875" style="575" customWidth="1"/>
    <col min="14338" max="14338" width="16.25" style="575" customWidth="1"/>
    <col min="14339" max="14339" width="13.375" style="575" customWidth="1"/>
    <col min="14340" max="14589" width="9" style="575"/>
    <col min="14590" max="14590" width="4.75" style="575" customWidth="1"/>
    <col min="14591" max="14591" width="5.25" style="575" customWidth="1"/>
    <col min="14592" max="14592" width="5.75" style="575" customWidth="1"/>
    <col min="14593" max="14593" width="79.875" style="575" customWidth="1"/>
    <col min="14594" max="14594" width="16.25" style="575" customWidth="1"/>
    <col min="14595" max="14595" width="13.375" style="575" customWidth="1"/>
    <col min="14596" max="14845" width="9" style="575"/>
    <col min="14846" max="14846" width="4.75" style="575" customWidth="1"/>
    <col min="14847" max="14847" width="5.25" style="575" customWidth="1"/>
    <col min="14848" max="14848" width="5.75" style="575" customWidth="1"/>
    <col min="14849" max="14849" width="79.875" style="575" customWidth="1"/>
    <col min="14850" max="14850" width="16.25" style="575" customWidth="1"/>
    <col min="14851" max="14851" width="13.375" style="575" customWidth="1"/>
    <col min="14852" max="15101" width="9" style="575"/>
    <col min="15102" max="15102" width="4.75" style="575" customWidth="1"/>
    <col min="15103" max="15103" width="5.25" style="575" customWidth="1"/>
    <col min="15104" max="15104" width="5.75" style="575" customWidth="1"/>
    <col min="15105" max="15105" width="79.875" style="575" customWidth="1"/>
    <col min="15106" max="15106" width="16.25" style="575" customWidth="1"/>
    <col min="15107" max="15107" width="13.375" style="575" customWidth="1"/>
    <col min="15108" max="15357" width="9" style="575"/>
    <col min="15358" max="15358" width="4.75" style="575" customWidth="1"/>
    <col min="15359" max="15359" width="5.25" style="575" customWidth="1"/>
    <col min="15360" max="15360" width="5.75" style="575" customWidth="1"/>
    <col min="15361" max="15361" width="79.875" style="575" customWidth="1"/>
    <col min="15362" max="15362" width="16.25" style="575" customWidth="1"/>
    <col min="15363" max="15363" width="13.375" style="575" customWidth="1"/>
    <col min="15364" max="15613" width="9" style="575"/>
    <col min="15614" max="15614" width="4.75" style="575" customWidth="1"/>
    <col min="15615" max="15615" width="5.25" style="575" customWidth="1"/>
    <col min="15616" max="15616" width="5.75" style="575" customWidth="1"/>
    <col min="15617" max="15617" width="79.875" style="575" customWidth="1"/>
    <col min="15618" max="15618" width="16.25" style="575" customWidth="1"/>
    <col min="15619" max="15619" width="13.375" style="575" customWidth="1"/>
    <col min="15620" max="15869" width="9" style="575"/>
    <col min="15870" max="15870" width="4.75" style="575" customWidth="1"/>
    <col min="15871" max="15871" width="5.25" style="575" customWidth="1"/>
    <col min="15872" max="15872" width="5.75" style="575" customWidth="1"/>
    <col min="15873" max="15873" width="79.875" style="575" customWidth="1"/>
    <col min="15874" max="15874" width="16.25" style="575" customWidth="1"/>
    <col min="15875" max="15875" width="13.375" style="575" customWidth="1"/>
    <col min="15876" max="16125" width="9" style="575"/>
    <col min="16126" max="16126" width="4.75" style="575" customWidth="1"/>
    <col min="16127" max="16127" width="5.25" style="575" customWidth="1"/>
    <col min="16128" max="16128" width="5.75" style="575" customWidth="1"/>
    <col min="16129" max="16129" width="79.875" style="575" customWidth="1"/>
    <col min="16130" max="16130" width="16.25" style="575" customWidth="1"/>
    <col min="16131" max="16131" width="13.375" style="575" customWidth="1"/>
    <col min="16132" max="16384" width="9" style="575"/>
  </cols>
  <sheetData>
    <row r="1" spans="1:5" ht="25.9" customHeight="1">
      <c r="A1" s="3787" t="s">
        <v>6463</v>
      </c>
      <c r="B1" s="3787"/>
      <c r="C1" s="3787"/>
      <c r="D1" s="3787"/>
      <c r="E1" s="2215" t="str">
        <f>基本情况!$F$10</f>
        <v>厦中汇税审（2018）第DS0001号</v>
      </c>
    </row>
    <row r="2" spans="1:5" ht="37.15" customHeight="1">
      <c r="A2" s="3788"/>
      <c r="B2" s="3788"/>
      <c r="C2" s="3788"/>
      <c r="D2" s="3788"/>
      <c r="E2" s="2259" t="str">
        <f>"底稿编号："&amp;开始!L26</f>
        <v>底稿编号：AD-24</v>
      </c>
    </row>
    <row r="3" spans="1:5" ht="18.75" customHeight="1">
      <c r="A3" s="3786" t="s">
        <v>999</v>
      </c>
      <c r="B3" s="3786"/>
      <c r="C3" s="3786"/>
      <c r="D3" s="3786"/>
      <c r="E3" s="3786"/>
    </row>
    <row r="4" spans="1:5" ht="18.75" customHeight="1">
      <c r="A4" s="2260">
        <v>1</v>
      </c>
      <c r="B4" s="3790" t="s">
        <v>6445</v>
      </c>
      <c r="C4" s="3791"/>
      <c r="D4" s="3796" t="s">
        <v>6490</v>
      </c>
      <c r="E4" s="3797"/>
    </row>
    <row r="5" spans="1:5" ht="18.75" customHeight="1">
      <c r="A5" s="2260">
        <v>2</v>
      </c>
      <c r="B5" s="3792"/>
      <c r="C5" s="3793"/>
      <c r="D5" s="3796" t="s">
        <v>6491</v>
      </c>
      <c r="E5" s="3797"/>
    </row>
    <row r="6" spans="1:5" ht="18.75" customHeight="1">
      <c r="A6" s="2260">
        <v>3</v>
      </c>
      <c r="B6" s="3794" t="s">
        <v>6446</v>
      </c>
      <c r="C6" s="3795"/>
      <c r="D6" s="2264" t="str">
        <f>VLOOKUP($D$4&amp;$D$5,辅助表!K10:L26,2,0)&amp;""</f>
        <v>二免三减半</v>
      </c>
      <c r="E6" s="2261"/>
    </row>
    <row r="7" spans="1:5" ht="18.75" customHeight="1">
      <c r="A7" s="2260">
        <v>10</v>
      </c>
      <c r="B7" s="3783" t="s">
        <v>1010</v>
      </c>
      <c r="C7" s="3783"/>
      <c r="D7" s="3789"/>
      <c r="E7" s="3789"/>
    </row>
    <row r="8" spans="1:5" ht="18.75" customHeight="1">
      <c r="A8" s="3786" t="s">
        <v>961</v>
      </c>
      <c r="B8" s="3786"/>
      <c r="C8" s="3786"/>
      <c r="D8" s="3786"/>
      <c r="E8" s="3786"/>
    </row>
    <row r="9" spans="1:5" ht="18.75" customHeight="1">
      <c r="A9" s="2260">
        <v>11</v>
      </c>
      <c r="B9" s="3784" t="s">
        <v>970</v>
      </c>
      <c r="C9" s="3785" t="s">
        <v>1011</v>
      </c>
      <c r="D9" s="3785"/>
      <c r="E9" s="2267"/>
    </row>
    <row r="10" spans="1:5" ht="18.75" customHeight="1">
      <c r="A10" s="2260">
        <v>12</v>
      </c>
      <c r="B10" s="3784"/>
      <c r="C10" s="3785" t="s">
        <v>1012</v>
      </c>
      <c r="D10" s="3785"/>
      <c r="E10" s="2267"/>
    </row>
    <row r="11" spans="1:5" ht="18.75" customHeight="1">
      <c r="A11" s="2260">
        <v>13</v>
      </c>
      <c r="B11" s="3784"/>
      <c r="C11" s="3785" t="s">
        <v>1013</v>
      </c>
      <c r="D11" s="3785"/>
      <c r="E11" s="2267"/>
    </row>
    <row r="12" spans="1:5" ht="18.75" customHeight="1">
      <c r="A12" s="2260">
        <v>14</v>
      </c>
      <c r="B12" s="3784"/>
      <c r="C12" s="3785" t="s">
        <v>1014</v>
      </c>
      <c r="D12" s="3785"/>
      <c r="E12" s="2266">
        <f>IFERROR(ROUND(E10/E9,10),0)</f>
        <v>0</v>
      </c>
    </row>
    <row r="13" spans="1:5" ht="18.75" customHeight="1">
      <c r="A13" s="2260">
        <v>15</v>
      </c>
      <c r="B13" s="3784"/>
      <c r="C13" s="3785" t="s">
        <v>1015</v>
      </c>
      <c r="D13" s="3785"/>
      <c r="E13" s="2266">
        <f>IFERROR(ROUND(E11/E9,10),0)</f>
        <v>0</v>
      </c>
    </row>
    <row r="14" spans="1:5" ht="18.75" customHeight="1">
      <c r="A14" s="2260">
        <v>16</v>
      </c>
      <c r="B14" s="3784" t="s">
        <v>974</v>
      </c>
      <c r="C14" s="3785" t="s">
        <v>1016</v>
      </c>
      <c r="D14" s="3785"/>
      <c r="E14" s="2268"/>
    </row>
    <row r="15" spans="1:5" ht="18.75" customHeight="1">
      <c r="A15" s="2260">
        <v>17</v>
      </c>
      <c r="B15" s="3784"/>
      <c r="C15" s="3785" t="s">
        <v>1017</v>
      </c>
      <c r="D15" s="3785"/>
      <c r="E15" s="2268"/>
    </row>
    <row r="16" spans="1:5" ht="18.75" customHeight="1">
      <c r="A16" s="2260">
        <v>18</v>
      </c>
      <c r="B16" s="3784"/>
      <c r="C16" s="3785" t="s">
        <v>1018</v>
      </c>
      <c r="D16" s="3785"/>
      <c r="E16" s="2266">
        <f>IFERROR(ROUND(E14/'A101010 一般企业收入明细表'!C4,10),0)</f>
        <v>0</v>
      </c>
    </row>
    <row r="17" spans="1:5" ht="18.75" customHeight="1">
      <c r="A17" s="2260">
        <v>19</v>
      </c>
      <c r="B17" s="3784"/>
      <c r="C17" s="3785" t="s">
        <v>1019</v>
      </c>
      <c r="D17" s="3785"/>
      <c r="E17" s="2266">
        <f>IFERROR(ROUND(E15/E14,10),0)</f>
        <v>0</v>
      </c>
    </row>
    <row r="18" spans="1:5" ht="18.75" customHeight="1">
      <c r="A18" s="2260">
        <v>20</v>
      </c>
      <c r="B18" s="3784" t="s">
        <v>962</v>
      </c>
      <c r="C18" s="3785" t="s">
        <v>1020</v>
      </c>
      <c r="D18" s="3785"/>
      <c r="E18" s="2268"/>
    </row>
    <row r="19" spans="1:5" ht="18.75" customHeight="1">
      <c r="A19" s="2260">
        <v>21</v>
      </c>
      <c r="B19" s="3784"/>
      <c r="C19" s="3785" t="s">
        <v>1021</v>
      </c>
      <c r="D19" s="3785"/>
      <c r="E19" s="2268"/>
    </row>
    <row r="20" spans="1:5" ht="18.75" customHeight="1">
      <c r="A20" s="2260">
        <v>22</v>
      </c>
      <c r="B20" s="3784"/>
      <c r="C20" s="3785" t="s">
        <v>1022</v>
      </c>
      <c r="D20" s="3785"/>
      <c r="E20" s="2266">
        <f>IFERROR(ROUND(E19/E18,10),0)</f>
        <v>0</v>
      </c>
    </row>
    <row r="21" spans="1:5" ht="18.75" customHeight="1">
      <c r="A21" s="2260">
        <v>23</v>
      </c>
      <c r="B21" s="3784"/>
      <c r="C21" s="3785" t="s">
        <v>1023</v>
      </c>
      <c r="D21" s="2263" t="s">
        <v>1024</v>
      </c>
      <c r="E21" s="2268"/>
    </row>
    <row r="22" spans="1:5" ht="33" customHeight="1">
      <c r="A22" s="2260">
        <v>24</v>
      </c>
      <c r="B22" s="3784"/>
      <c r="C22" s="3785"/>
      <c r="D22" s="2263" t="s">
        <v>1025</v>
      </c>
      <c r="E22" s="2266">
        <f>IFERROR(ROUND(E21/E18,10),0)</f>
        <v>0</v>
      </c>
    </row>
    <row r="23" spans="1:5" ht="18.75" customHeight="1">
      <c r="A23" s="2260">
        <v>25</v>
      </c>
      <c r="B23" s="3784"/>
      <c r="C23" s="3785" t="s">
        <v>1026</v>
      </c>
      <c r="D23" s="2263" t="s">
        <v>1027</v>
      </c>
      <c r="E23" s="2262"/>
    </row>
    <row r="24" spans="1:5" ht="18.75" customHeight="1">
      <c r="A24" s="2260">
        <v>26</v>
      </c>
      <c r="B24" s="3784"/>
      <c r="C24" s="3785"/>
      <c r="D24" s="2263" t="s">
        <v>1028</v>
      </c>
      <c r="E24" s="2268"/>
    </row>
    <row r="25" spans="1:5" ht="33" customHeight="1">
      <c r="A25" s="2260">
        <v>27</v>
      </c>
      <c r="B25" s="3784"/>
      <c r="C25" s="3785"/>
      <c r="D25" s="2263" t="s">
        <v>1029</v>
      </c>
      <c r="E25" s="2266">
        <f>IFERROR(ROUND(E24/E19,10),0)</f>
        <v>0</v>
      </c>
    </row>
    <row r="26" spans="1:5" ht="18.75" customHeight="1">
      <c r="A26" s="2260">
        <v>28</v>
      </c>
      <c r="B26" s="3784"/>
      <c r="C26" s="3785" t="s">
        <v>1030</v>
      </c>
      <c r="D26" s="2263" t="s">
        <v>1031</v>
      </c>
      <c r="E26" s="2268"/>
    </row>
    <row r="27" spans="1:5" ht="18.75" customHeight="1">
      <c r="A27" s="2260">
        <v>29</v>
      </c>
      <c r="B27" s="3784"/>
      <c r="C27" s="3785"/>
      <c r="D27" s="2263" t="s">
        <v>1032</v>
      </c>
      <c r="E27" s="2268"/>
    </row>
    <row r="28" spans="1:5" ht="38.25" customHeight="1">
      <c r="A28" s="2260">
        <v>30</v>
      </c>
      <c r="B28" s="3784"/>
      <c r="C28" s="3785"/>
      <c r="D28" s="2263" t="s">
        <v>1033</v>
      </c>
      <c r="E28" s="2266">
        <f>IFERROR(ROUND(E27/E18,10),0)</f>
        <v>0</v>
      </c>
    </row>
    <row r="29" spans="1:5" ht="48" customHeight="1">
      <c r="A29" s="2260">
        <v>31</v>
      </c>
      <c r="B29" s="3784"/>
      <c r="C29" s="2263" t="s">
        <v>1034</v>
      </c>
      <c r="D29" s="2263" t="s">
        <v>1035</v>
      </c>
      <c r="E29" s="2262"/>
    </row>
    <row r="30" spans="1:5" ht="18.75" customHeight="1">
      <c r="A30" s="2260">
        <v>32</v>
      </c>
      <c r="B30" s="3785" t="s">
        <v>992</v>
      </c>
      <c r="C30" s="3785"/>
      <c r="D30" s="3785"/>
      <c r="E30" s="2268">
        <f ca="1">OFFSET(A107040减免所得税优惠明细表!C16,VLOOKUP(D4&amp;D5&amp;IF(D6="",E6,D6),辅助表!K28:L46,2,0)-11,0)</f>
        <v>0</v>
      </c>
    </row>
  </sheetData>
  <mergeCells count="28">
    <mergeCell ref="B30:D30"/>
    <mergeCell ref="A3:E3"/>
    <mergeCell ref="A1:D2"/>
    <mergeCell ref="D7:E7"/>
    <mergeCell ref="A8:E8"/>
    <mergeCell ref="B18:B29"/>
    <mergeCell ref="C18:D18"/>
    <mergeCell ref="C19:D19"/>
    <mergeCell ref="C20:D20"/>
    <mergeCell ref="C21:C22"/>
    <mergeCell ref="C23:C25"/>
    <mergeCell ref="C26:C28"/>
    <mergeCell ref="B4:C5"/>
    <mergeCell ref="B6:C6"/>
    <mergeCell ref="D5:E5"/>
    <mergeCell ref="D4:E4"/>
    <mergeCell ref="B14:B17"/>
    <mergeCell ref="C14:D14"/>
    <mergeCell ref="C15:D15"/>
    <mergeCell ref="C16:D16"/>
    <mergeCell ref="C17:D17"/>
    <mergeCell ref="B7:C7"/>
    <mergeCell ref="B9:B13"/>
    <mergeCell ref="C9:D9"/>
    <mergeCell ref="C10:D10"/>
    <mergeCell ref="C11:D11"/>
    <mergeCell ref="C12:D12"/>
    <mergeCell ref="C13:D13"/>
  </mergeCells>
  <phoneticPr fontId="135" type="noConversion"/>
  <conditionalFormatting sqref="E6">
    <cfRule type="expression" dxfId="0" priority="1">
      <formula>NOT(AND($D$4="集成电路生产企业",OR($D$5="线宽小于0.25微米",$D$5="投资额超过80亿元")))</formula>
    </cfRule>
  </conditionalFormatting>
  <dataValidations count="2">
    <dataValidation type="list" allowBlank="1" showInputMessage="1" showErrorMessage="1" sqref="D4">
      <formula1>软件企业类型</formula1>
    </dataValidation>
    <dataValidation type="list" allowBlank="1" showInputMessage="1" showErrorMessage="1" sqref="D5">
      <formula1>INDIRECT($D$4)</formula1>
    </dataValidation>
  </dataValidations>
  <printOptions horizontalCentered="1"/>
  <pageMargins left="0.39370078740157477" right="0.39370078740157477" top="0.59055118110236215" bottom="0.59055118110236215" header="0.511811023622047" footer="0.511811023622047"/>
  <pageSetup paperSize="9" scale="93" fitToHeight="0" orientation="portrait" blackAndWhite="1"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14:formula1>
            <xm:f>IF(AND($D$4="集成电路生产企业",OR($D$5="线宽小于0.25微米",$D$5="投资额超过80亿元")),辅助表!$M$12:$N$12,"")</xm:f>
          </x14:formula1>
          <xm:sqref>E6</xm:sqref>
        </x14:dataValidation>
      </x14:dataValidations>
    </ext>
  </extLst>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4">
    <tabColor rgb="FFFFFF00"/>
  </sheetPr>
  <dimension ref="A1:R22"/>
  <sheetViews>
    <sheetView topLeftCell="F1" workbookViewId="0">
      <selection activeCell="G3" sqref="G3:L3"/>
    </sheetView>
  </sheetViews>
  <sheetFormatPr defaultRowHeight="14.25"/>
  <cols>
    <col min="1" max="1" width="3.375" style="577" customWidth="1"/>
    <col min="2" max="2" width="7.625" style="577" customWidth="1"/>
    <col min="3" max="3" width="4.75" style="577" customWidth="1"/>
    <col min="4" max="14" width="11.5" style="577" customWidth="1"/>
    <col min="15" max="17" width="9" style="577"/>
    <col min="18" max="18" width="33.25" style="577" customWidth="1"/>
    <col min="19" max="255" width="9" style="577"/>
    <col min="256" max="256" width="5.25" style="577" customWidth="1"/>
    <col min="257" max="257" width="8.875" style="577" customWidth="1"/>
    <col min="258" max="258" width="7.125" style="577" customWidth="1"/>
    <col min="259" max="259" width="7.75" style="577" customWidth="1"/>
    <col min="260" max="260" width="8.875" style="577" customWidth="1"/>
    <col min="261" max="261" width="8.125" style="577" customWidth="1"/>
    <col min="262" max="262" width="7.875" style="577" customWidth="1"/>
    <col min="263" max="263" width="8" style="577" customWidth="1"/>
    <col min="264" max="264" width="8.125" style="577" customWidth="1"/>
    <col min="265" max="265" width="8" style="577" customWidth="1"/>
    <col min="266" max="266" width="7.25" style="577" customWidth="1"/>
    <col min="267" max="267" width="8.375" style="577" customWidth="1"/>
    <col min="268" max="268" width="17.375" style="577" customWidth="1"/>
    <col min="269" max="269" width="8.875" style="577" customWidth="1"/>
    <col min="270" max="273" width="9" style="577"/>
    <col min="274" max="274" width="33.25" style="577" customWidth="1"/>
    <col min="275" max="511" width="9" style="577"/>
    <col min="512" max="512" width="5.25" style="577" customWidth="1"/>
    <col min="513" max="513" width="8.875" style="577" customWidth="1"/>
    <col min="514" max="514" width="7.125" style="577" customWidth="1"/>
    <col min="515" max="515" width="7.75" style="577" customWidth="1"/>
    <col min="516" max="516" width="8.875" style="577" customWidth="1"/>
    <col min="517" max="517" width="8.125" style="577" customWidth="1"/>
    <col min="518" max="518" width="7.875" style="577" customWidth="1"/>
    <col min="519" max="519" width="8" style="577" customWidth="1"/>
    <col min="520" max="520" width="8.125" style="577" customWidth="1"/>
    <col min="521" max="521" width="8" style="577" customWidth="1"/>
    <col min="522" max="522" width="7.25" style="577" customWidth="1"/>
    <col min="523" max="523" width="8.375" style="577" customWidth="1"/>
    <col min="524" max="524" width="17.375" style="577" customWidth="1"/>
    <col min="525" max="525" width="8.875" style="577" customWidth="1"/>
    <col min="526" max="529" width="9" style="577"/>
    <col min="530" max="530" width="33.25" style="577" customWidth="1"/>
    <col min="531" max="767" width="9" style="577"/>
    <col min="768" max="768" width="5.25" style="577" customWidth="1"/>
    <col min="769" max="769" width="8.875" style="577" customWidth="1"/>
    <col min="770" max="770" width="7.125" style="577" customWidth="1"/>
    <col min="771" max="771" width="7.75" style="577" customWidth="1"/>
    <col min="772" max="772" width="8.875" style="577" customWidth="1"/>
    <col min="773" max="773" width="8.125" style="577" customWidth="1"/>
    <col min="774" max="774" width="7.875" style="577" customWidth="1"/>
    <col min="775" max="775" width="8" style="577" customWidth="1"/>
    <col min="776" max="776" width="8.125" style="577" customWidth="1"/>
    <col min="777" max="777" width="8" style="577" customWidth="1"/>
    <col min="778" max="778" width="7.25" style="577" customWidth="1"/>
    <col min="779" max="779" width="8.375" style="577" customWidth="1"/>
    <col min="780" max="780" width="17.375" style="577" customWidth="1"/>
    <col min="781" max="781" width="8.875" style="577" customWidth="1"/>
    <col min="782" max="785" width="9" style="577"/>
    <col min="786" max="786" width="33.25" style="577" customWidth="1"/>
    <col min="787" max="1023" width="9" style="577"/>
    <col min="1024" max="1024" width="5.25" style="577" customWidth="1"/>
    <col min="1025" max="1025" width="8.875" style="577" customWidth="1"/>
    <col min="1026" max="1026" width="7.125" style="577" customWidth="1"/>
    <col min="1027" max="1027" width="7.75" style="577" customWidth="1"/>
    <col min="1028" max="1028" width="8.875" style="577" customWidth="1"/>
    <col min="1029" max="1029" width="8.125" style="577" customWidth="1"/>
    <col min="1030" max="1030" width="7.875" style="577" customWidth="1"/>
    <col min="1031" max="1031" width="8" style="577" customWidth="1"/>
    <col min="1032" max="1032" width="8.125" style="577" customWidth="1"/>
    <col min="1033" max="1033" width="8" style="577" customWidth="1"/>
    <col min="1034" max="1034" width="7.25" style="577" customWidth="1"/>
    <col min="1035" max="1035" width="8.375" style="577" customWidth="1"/>
    <col min="1036" max="1036" width="17.375" style="577" customWidth="1"/>
    <col min="1037" max="1037" width="8.875" style="577" customWidth="1"/>
    <col min="1038" max="1041" width="9" style="577"/>
    <col min="1042" max="1042" width="33.25" style="577" customWidth="1"/>
    <col min="1043" max="1279" width="9" style="577"/>
    <col min="1280" max="1280" width="5.25" style="577" customWidth="1"/>
    <col min="1281" max="1281" width="8.875" style="577" customWidth="1"/>
    <col min="1282" max="1282" width="7.125" style="577" customWidth="1"/>
    <col min="1283" max="1283" width="7.75" style="577" customWidth="1"/>
    <col min="1284" max="1284" width="8.875" style="577" customWidth="1"/>
    <col min="1285" max="1285" width="8.125" style="577" customWidth="1"/>
    <col min="1286" max="1286" width="7.875" style="577" customWidth="1"/>
    <col min="1287" max="1287" width="8" style="577" customWidth="1"/>
    <col min="1288" max="1288" width="8.125" style="577" customWidth="1"/>
    <col min="1289" max="1289" width="8" style="577" customWidth="1"/>
    <col min="1290" max="1290" width="7.25" style="577" customWidth="1"/>
    <col min="1291" max="1291" width="8.375" style="577" customWidth="1"/>
    <col min="1292" max="1292" width="17.375" style="577" customWidth="1"/>
    <col min="1293" max="1293" width="8.875" style="577" customWidth="1"/>
    <col min="1294" max="1297" width="9" style="577"/>
    <col min="1298" max="1298" width="33.25" style="577" customWidth="1"/>
    <col min="1299" max="1535" width="9" style="577"/>
    <col min="1536" max="1536" width="5.25" style="577" customWidth="1"/>
    <col min="1537" max="1537" width="8.875" style="577" customWidth="1"/>
    <col min="1538" max="1538" width="7.125" style="577" customWidth="1"/>
    <col min="1539" max="1539" width="7.75" style="577" customWidth="1"/>
    <col min="1540" max="1540" width="8.875" style="577" customWidth="1"/>
    <col min="1541" max="1541" width="8.125" style="577" customWidth="1"/>
    <col min="1542" max="1542" width="7.875" style="577" customWidth="1"/>
    <col min="1543" max="1543" width="8" style="577" customWidth="1"/>
    <col min="1544" max="1544" width="8.125" style="577" customWidth="1"/>
    <col min="1545" max="1545" width="8" style="577" customWidth="1"/>
    <col min="1546" max="1546" width="7.25" style="577" customWidth="1"/>
    <col min="1547" max="1547" width="8.375" style="577" customWidth="1"/>
    <col min="1548" max="1548" width="17.375" style="577" customWidth="1"/>
    <col min="1549" max="1549" width="8.875" style="577" customWidth="1"/>
    <col min="1550" max="1553" width="9" style="577"/>
    <col min="1554" max="1554" width="33.25" style="577" customWidth="1"/>
    <col min="1555" max="1791" width="9" style="577"/>
    <col min="1792" max="1792" width="5.25" style="577" customWidth="1"/>
    <col min="1793" max="1793" width="8.875" style="577" customWidth="1"/>
    <col min="1794" max="1794" width="7.125" style="577" customWidth="1"/>
    <col min="1795" max="1795" width="7.75" style="577" customWidth="1"/>
    <col min="1796" max="1796" width="8.875" style="577" customWidth="1"/>
    <col min="1797" max="1797" width="8.125" style="577" customWidth="1"/>
    <col min="1798" max="1798" width="7.875" style="577" customWidth="1"/>
    <col min="1799" max="1799" width="8" style="577" customWidth="1"/>
    <col min="1800" max="1800" width="8.125" style="577" customWidth="1"/>
    <col min="1801" max="1801" width="8" style="577" customWidth="1"/>
    <col min="1802" max="1802" width="7.25" style="577" customWidth="1"/>
    <col min="1803" max="1803" width="8.375" style="577" customWidth="1"/>
    <col min="1804" max="1804" width="17.375" style="577" customWidth="1"/>
    <col min="1805" max="1805" width="8.875" style="577" customWidth="1"/>
    <col min="1806" max="1809" width="9" style="577"/>
    <col min="1810" max="1810" width="33.25" style="577" customWidth="1"/>
    <col min="1811" max="2047" width="9" style="577"/>
    <col min="2048" max="2048" width="5.25" style="577" customWidth="1"/>
    <col min="2049" max="2049" width="8.875" style="577" customWidth="1"/>
    <col min="2050" max="2050" width="7.125" style="577" customWidth="1"/>
    <col min="2051" max="2051" width="7.75" style="577" customWidth="1"/>
    <col min="2052" max="2052" width="8.875" style="577" customWidth="1"/>
    <col min="2053" max="2053" width="8.125" style="577" customWidth="1"/>
    <col min="2054" max="2054" width="7.875" style="577" customWidth="1"/>
    <col min="2055" max="2055" width="8" style="577" customWidth="1"/>
    <col min="2056" max="2056" width="8.125" style="577" customWidth="1"/>
    <col min="2057" max="2057" width="8" style="577" customWidth="1"/>
    <col min="2058" max="2058" width="7.25" style="577" customWidth="1"/>
    <col min="2059" max="2059" width="8.375" style="577" customWidth="1"/>
    <col min="2060" max="2060" width="17.375" style="577" customWidth="1"/>
    <col min="2061" max="2061" width="8.875" style="577" customWidth="1"/>
    <col min="2062" max="2065" width="9" style="577"/>
    <col min="2066" max="2066" width="33.25" style="577" customWidth="1"/>
    <col min="2067" max="2303" width="9" style="577"/>
    <col min="2304" max="2304" width="5.25" style="577" customWidth="1"/>
    <col min="2305" max="2305" width="8.875" style="577" customWidth="1"/>
    <col min="2306" max="2306" width="7.125" style="577" customWidth="1"/>
    <col min="2307" max="2307" width="7.75" style="577" customWidth="1"/>
    <col min="2308" max="2308" width="8.875" style="577" customWidth="1"/>
    <col min="2309" max="2309" width="8.125" style="577" customWidth="1"/>
    <col min="2310" max="2310" width="7.875" style="577" customWidth="1"/>
    <col min="2311" max="2311" width="8" style="577" customWidth="1"/>
    <col min="2312" max="2312" width="8.125" style="577" customWidth="1"/>
    <col min="2313" max="2313" width="8" style="577" customWidth="1"/>
    <col min="2314" max="2314" width="7.25" style="577" customWidth="1"/>
    <col min="2315" max="2315" width="8.375" style="577" customWidth="1"/>
    <col min="2316" max="2316" width="17.375" style="577" customWidth="1"/>
    <col min="2317" max="2317" width="8.875" style="577" customWidth="1"/>
    <col min="2318" max="2321" width="9" style="577"/>
    <col min="2322" max="2322" width="33.25" style="577" customWidth="1"/>
    <col min="2323" max="2559" width="9" style="577"/>
    <col min="2560" max="2560" width="5.25" style="577" customWidth="1"/>
    <col min="2561" max="2561" width="8.875" style="577" customWidth="1"/>
    <col min="2562" max="2562" width="7.125" style="577" customWidth="1"/>
    <col min="2563" max="2563" width="7.75" style="577" customWidth="1"/>
    <col min="2564" max="2564" width="8.875" style="577" customWidth="1"/>
    <col min="2565" max="2565" width="8.125" style="577" customWidth="1"/>
    <col min="2566" max="2566" width="7.875" style="577" customWidth="1"/>
    <col min="2567" max="2567" width="8" style="577" customWidth="1"/>
    <col min="2568" max="2568" width="8.125" style="577" customWidth="1"/>
    <col min="2569" max="2569" width="8" style="577" customWidth="1"/>
    <col min="2570" max="2570" width="7.25" style="577" customWidth="1"/>
    <col min="2571" max="2571" width="8.375" style="577" customWidth="1"/>
    <col min="2572" max="2572" width="17.375" style="577" customWidth="1"/>
    <col min="2573" max="2573" width="8.875" style="577" customWidth="1"/>
    <col min="2574" max="2577" width="9" style="577"/>
    <col min="2578" max="2578" width="33.25" style="577" customWidth="1"/>
    <col min="2579" max="2815" width="9" style="577"/>
    <col min="2816" max="2816" width="5.25" style="577" customWidth="1"/>
    <col min="2817" max="2817" width="8.875" style="577" customWidth="1"/>
    <col min="2818" max="2818" width="7.125" style="577" customWidth="1"/>
    <col min="2819" max="2819" width="7.75" style="577" customWidth="1"/>
    <col min="2820" max="2820" width="8.875" style="577" customWidth="1"/>
    <col min="2821" max="2821" width="8.125" style="577" customWidth="1"/>
    <col min="2822" max="2822" width="7.875" style="577" customWidth="1"/>
    <col min="2823" max="2823" width="8" style="577" customWidth="1"/>
    <col min="2824" max="2824" width="8.125" style="577" customWidth="1"/>
    <col min="2825" max="2825" width="8" style="577" customWidth="1"/>
    <col min="2826" max="2826" width="7.25" style="577" customWidth="1"/>
    <col min="2827" max="2827" width="8.375" style="577" customWidth="1"/>
    <col min="2828" max="2828" width="17.375" style="577" customWidth="1"/>
    <col min="2829" max="2829" width="8.875" style="577" customWidth="1"/>
    <col min="2830" max="2833" width="9" style="577"/>
    <col min="2834" max="2834" width="33.25" style="577" customWidth="1"/>
    <col min="2835" max="3071" width="9" style="577"/>
    <col min="3072" max="3072" width="5.25" style="577" customWidth="1"/>
    <col min="3073" max="3073" width="8.875" style="577" customWidth="1"/>
    <col min="3074" max="3074" width="7.125" style="577" customWidth="1"/>
    <col min="3075" max="3075" width="7.75" style="577" customWidth="1"/>
    <col min="3076" max="3076" width="8.875" style="577" customWidth="1"/>
    <col min="3077" max="3077" width="8.125" style="577" customWidth="1"/>
    <col min="3078" max="3078" width="7.875" style="577" customWidth="1"/>
    <col min="3079" max="3079" width="8" style="577" customWidth="1"/>
    <col min="3080" max="3080" width="8.125" style="577" customWidth="1"/>
    <col min="3081" max="3081" width="8" style="577" customWidth="1"/>
    <col min="3082" max="3082" width="7.25" style="577" customWidth="1"/>
    <col min="3083" max="3083" width="8.375" style="577" customWidth="1"/>
    <col min="3084" max="3084" width="17.375" style="577" customWidth="1"/>
    <col min="3085" max="3085" width="8.875" style="577" customWidth="1"/>
    <col min="3086" max="3089" width="9" style="577"/>
    <col min="3090" max="3090" width="33.25" style="577" customWidth="1"/>
    <col min="3091" max="3327" width="9" style="577"/>
    <col min="3328" max="3328" width="5.25" style="577" customWidth="1"/>
    <col min="3329" max="3329" width="8.875" style="577" customWidth="1"/>
    <col min="3330" max="3330" width="7.125" style="577" customWidth="1"/>
    <col min="3331" max="3331" width="7.75" style="577" customWidth="1"/>
    <col min="3332" max="3332" width="8.875" style="577" customWidth="1"/>
    <col min="3333" max="3333" width="8.125" style="577" customWidth="1"/>
    <col min="3334" max="3334" width="7.875" style="577" customWidth="1"/>
    <col min="3335" max="3335" width="8" style="577" customWidth="1"/>
    <col min="3336" max="3336" width="8.125" style="577" customWidth="1"/>
    <col min="3337" max="3337" width="8" style="577" customWidth="1"/>
    <col min="3338" max="3338" width="7.25" style="577" customWidth="1"/>
    <col min="3339" max="3339" width="8.375" style="577" customWidth="1"/>
    <col min="3340" max="3340" width="17.375" style="577" customWidth="1"/>
    <col min="3341" max="3341" width="8.875" style="577" customWidth="1"/>
    <col min="3342" max="3345" width="9" style="577"/>
    <col min="3346" max="3346" width="33.25" style="577" customWidth="1"/>
    <col min="3347" max="3583" width="9" style="577"/>
    <col min="3584" max="3584" width="5.25" style="577" customWidth="1"/>
    <col min="3585" max="3585" width="8.875" style="577" customWidth="1"/>
    <col min="3586" max="3586" width="7.125" style="577" customWidth="1"/>
    <col min="3587" max="3587" width="7.75" style="577" customWidth="1"/>
    <col min="3588" max="3588" width="8.875" style="577" customWidth="1"/>
    <col min="3589" max="3589" width="8.125" style="577" customWidth="1"/>
    <col min="3590" max="3590" width="7.875" style="577" customWidth="1"/>
    <col min="3591" max="3591" width="8" style="577" customWidth="1"/>
    <col min="3592" max="3592" width="8.125" style="577" customWidth="1"/>
    <col min="3593" max="3593" width="8" style="577" customWidth="1"/>
    <col min="3594" max="3594" width="7.25" style="577" customWidth="1"/>
    <col min="3595" max="3595" width="8.375" style="577" customWidth="1"/>
    <col min="3596" max="3596" width="17.375" style="577" customWidth="1"/>
    <col min="3597" max="3597" width="8.875" style="577" customWidth="1"/>
    <col min="3598" max="3601" width="9" style="577"/>
    <col min="3602" max="3602" width="33.25" style="577" customWidth="1"/>
    <col min="3603" max="3839" width="9" style="577"/>
    <col min="3840" max="3840" width="5.25" style="577" customWidth="1"/>
    <col min="3841" max="3841" width="8.875" style="577" customWidth="1"/>
    <col min="3842" max="3842" width="7.125" style="577" customWidth="1"/>
    <col min="3843" max="3843" width="7.75" style="577" customWidth="1"/>
    <col min="3844" max="3844" width="8.875" style="577" customWidth="1"/>
    <col min="3845" max="3845" width="8.125" style="577" customWidth="1"/>
    <col min="3846" max="3846" width="7.875" style="577" customWidth="1"/>
    <col min="3847" max="3847" width="8" style="577" customWidth="1"/>
    <col min="3848" max="3848" width="8.125" style="577" customWidth="1"/>
    <col min="3849" max="3849" width="8" style="577" customWidth="1"/>
    <col min="3850" max="3850" width="7.25" style="577" customWidth="1"/>
    <col min="3851" max="3851" width="8.375" style="577" customWidth="1"/>
    <col min="3852" max="3852" width="17.375" style="577" customWidth="1"/>
    <col min="3853" max="3853" width="8.875" style="577" customWidth="1"/>
    <col min="3854" max="3857" width="9" style="577"/>
    <col min="3858" max="3858" width="33.25" style="577" customWidth="1"/>
    <col min="3859" max="4095" width="9" style="577"/>
    <col min="4096" max="4096" width="5.25" style="577" customWidth="1"/>
    <col min="4097" max="4097" width="8.875" style="577" customWidth="1"/>
    <col min="4098" max="4098" width="7.125" style="577" customWidth="1"/>
    <col min="4099" max="4099" width="7.75" style="577" customWidth="1"/>
    <col min="4100" max="4100" width="8.875" style="577" customWidth="1"/>
    <col min="4101" max="4101" width="8.125" style="577" customWidth="1"/>
    <col min="4102" max="4102" width="7.875" style="577" customWidth="1"/>
    <col min="4103" max="4103" width="8" style="577" customWidth="1"/>
    <col min="4104" max="4104" width="8.125" style="577" customWidth="1"/>
    <col min="4105" max="4105" width="8" style="577" customWidth="1"/>
    <col min="4106" max="4106" width="7.25" style="577" customWidth="1"/>
    <col min="4107" max="4107" width="8.375" style="577" customWidth="1"/>
    <col min="4108" max="4108" width="17.375" style="577" customWidth="1"/>
    <col min="4109" max="4109" width="8.875" style="577" customWidth="1"/>
    <col min="4110" max="4113" width="9" style="577"/>
    <col min="4114" max="4114" width="33.25" style="577" customWidth="1"/>
    <col min="4115" max="4351" width="9" style="577"/>
    <col min="4352" max="4352" width="5.25" style="577" customWidth="1"/>
    <col min="4353" max="4353" width="8.875" style="577" customWidth="1"/>
    <col min="4354" max="4354" width="7.125" style="577" customWidth="1"/>
    <col min="4355" max="4355" width="7.75" style="577" customWidth="1"/>
    <col min="4356" max="4356" width="8.875" style="577" customWidth="1"/>
    <col min="4357" max="4357" width="8.125" style="577" customWidth="1"/>
    <col min="4358" max="4358" width="7.875" style="577" customWidth="1"/>
    <col min="4359" max="4359" width="8" style="577" customWidth="1"/>
    <col min="4360" max="4360" width="8.125" style="577" customWidth="1"/>
    <col min="4361" max="4361" width="8" style="577" customWidth="1"/>
    <col min="4362" max="4362" width="7.25" style="577" customWidth="1"/>
    <col min="4363" max="4363" width="8.375" style="577" customWidth="1"/>
    <col min="4364" max="4364" width="17.375" style="577" customWidth="1"/>
    <col min="4365" max="4365" width="8.875" style="577" customWidth="1"/>
    <col min="4366" max="4369" width="9" style="577"/>
    <col min="4370" max="4370" width="33.25" style="577" customWidth="1"/>
    <col min="4371" max="4607" width="9" style="577"/>
    <col min="4608" max="4608" width="5.25" style="577" customWidth="1"/>
    <col min="4609" max="4609" width="8.875" style="577" customWidth="1"/>
    <col min="4610" max="4610" width="7.125" style="577" customWidth="1"/>
    <col min="4611" max="4611" width="7.75" style="577" customWidth="1"/>
    <col min="4612" max="4612" width="8.875" style="577" customWidth="1"/>
    <col min="4613" max="4613" width="8.125" style="577" customWidth="1"/>
    <col min="4614" max="4614" width="7.875" style="577" customWidth="1"/>
    <col min="4615" max="4615" width="8" style="577" customWidth="1"/>
    <col min="4616" max="4616" width="8.125" style="577" customWidth="1"/>
    <col min="4617" max="4617" width="8" style="577" customWidth="1"/>
    <col min="4618" max="4618" width="7.25" style="577" customWidth="1"/>
    <col min="4619" max="4619" width="8.375" style="577" customWidth="1"/>
    <col min="4620" max="4620" width="17.375" style="577" customWidth="1"/>
    <col min="4621" max="4621" width="8.875" style="577" customWidth="1"/>
    <col min="4622" max="4625" width="9" style="577"/>
    <col min="4626" max="4626" width="33.25" style="577" customWidth="1"/>
    <col min="4627" max="4863" width="9" style="577"/>
    <col min="4864" max="4864" width="5.25" style="577" customWidth="1"/>
    <col min="4865" max="4865" width="8.875" style="577" customWidth="1"/>
    <col min="4866" max="4866" width="7.125" style="577" customWidth="1"/>
    <col min="4867" max="4867" width="7.75" style="577" customWidth="1"/>
    <col min="4868" max="4868" width="8.875" style="577" customWidth="1"/>
    <col min="4869" max="4869" width="8.125" style="577" customWidth="1"/>
    <col min="4870" max="4870" width="7.875" style="577" customWidth="1"/>
    <col min="4871" max="4871" width="8" style="577" customWidth="1"/>
    <col min="4872" max="4872" width="8.125" style="577" customWidth="1"/>
    <col min="4873" max="4873" width="8" style="577" customWidth="1"/>
    <col min="4874" max="4874" width="7.25" style="577" customWidth="1"/>
    <col min="4875" max="4875" width="8.375" style="577" customWidth="1"/>
    <col min="4876" max="4876" width="17.375" style="577" customWidth="1"/>
    <col min="4877" max="4877" width="8.875" style="577" customWidth="1"/>
    <col min="4878" max="4881" width="9" style="577"/>
    <col min="4882" max="4882" width="33.25" style="577" customWidth="1"/>
    <col min="4883" max="5119" width="9" style="577"/>
    <col min="5120" max="5120" width="5.25" style="577" customWidth="1"/>
    <col min="5121" max="5121" width="8.875" style="577" customWidth="1"/>
    <col min="5122" max="5122" width="7.125" style="577" customWidth="1"/>
    <col min="5123" max="5123" width="7.75" style="577" customWidth="1"/>
    <col min="5124" max="5124" width="8.875" style="577" customWidth="1"/>
    <col min="5125" max="5125" width="8.125" style="577" customWidth="1"/>
    <col min="5126" max="5126" width="7.875" style="577" customWidth="1"/>
    <col min="5127" max="5127" width="8" style="577" customWidth="1"/>
    <col min="5128" max="5128" width="8.125" style="577" customWidth="1"/>
    <col min="5129" max="5129" width="8" style="577" customWidth="1"/>
    <col min="5130" max="5130" width="7.25" style="577" customWidth="1"/>
    <col min="5131" max="5131" width="8.375" style="577" customWidth="1"/>
    <col min="5132" max="5132" width="17.375" style="577" customWidth="1"/>
    <col min="5133" max="5133" width="8.875" style="577" customWidth="1"/>
    <col min="5134" max="5137" width="9" style="577"/>
    <col min="5138" max="5138" width="33.25" style="577" customWidth="1"/>
    <col min="5139" max="5375" width="9" style="577"/>
    <col min="5376" max="5376" width="5.25" style="577" customWidth="1"/>
    <col min="5377" max="5377" width="8.875" style="577" customWidth="1"/>
    <col min="5378" max="5378" width="7.125" style="577" customWidth="1"/>
    <col min="5379" max="5379" width="7.75" style="577" customWidth="1"/>
    <col min="5380" max="5380" width="8.875" style="577" customWidth="1"/>
    <col min="5381" max="5381" width="8.125" style="577" customWidth="1"/>
    <col min="5382" max="5382" width="7.875" style="577" customWidth="1"/>
    <col min="5383" max="5383" width="8" style="577" customWidth="1"/>
    <col min="5384" max="5384" width="8.125" style="577" customWidth="1"/>
    <col min="5385" max="5385" width="8" style="577" customWidth="1"/>
    <col min="5386" max="5386" width="7.25" style="577" customWidth="1"/>
    <col min="5387" max="5387" width="8.375" style="577" customWidth="1"/>
    <col min="5388" max="5388" width="17.375" style="577" customWidth="1"/>
    <col min="5389" max="5389" width="8.875" style="577" customWidth="1"/>
    <col min="5390" max="5393" width="9" style="577"/>
    <col min="5394" max="5394" width="33.25" style="577" customWidth="1"/>
    <col min="5395" max="5631" width="9" style="577"/>
    <col min="5632" max="5632" width="5.25" style="577" customWidth="1"/>
    <col min="5633" max="5633" width="8.875" style="577" customWidth="1"/>
    <col min="5634" max="5634" width="7.125" style="577" customWidth="1"/>
    <col min="5635" max="5635" width="7.75" style="577" customWidth="1"/>
    <col min="5636" max="5636" width="8.875" style="577" customWidth="1"/>
    <col min="5637" max="5637" width="8.125" style="577" customWidth="1"/>
    <col min="5638" max="5638" width="7.875" style="577" customWidth="1"/>
    <col min="5639" max="5639" width="8" style="577" customWidth="1"/>
    <col min="5640" max="5640" width="8.125" style="577" customWidth="1"/>
    <col min="5641" max="5641" width="8" style="577" customWidth="1"/>
    <col min="5642" max="5642" width="7.25" style="577" customWidth="1"/>
    <col min="5643" max="5643" width="8.375" style="577" customWidth="1"/>
    <col min="5644" max="5644" width="17.375" style="577" customWidth="1"/>
    <col min="5645" max="5645" width="8.875" style="577" customWidth="1"/>
    <col min="5646" max="5649" width="9" style="577"/>
    <col min="5650" max="5650" width="33.25" style="577" customWidth="1"/>
    <col min="5651" max="5887" width="9" style="577"/>
    <col min="5888" max="5888" width="5.25" style="577" customWidth="1"/>
    <col min="5889" max="5889" width="8.875" style="577" customWidth="1"/>
    <col min="5890" max="5890" width="7.125" style="577" customWidth="1"/>
    <col min="5891" max="5891" width="7.75" style="577" customWidth="1"/>
    <col min="5892" max="5892" width="8.875" style="577" customWidth="1"/>
    <col min="5893" max="5893" width="8.125" style="577" customWidth="1"/>
    <col min="5894" max="5894" width="7.875" style="577" customWidth="1"/>
    <col min="5895" max="5895" width="8" style="577" customWidth="1"/>
    <col min="5896" max="5896" width="8.125" style="577" customWidth="1"/>
    <col min="5897" max="5897" width="8" style="577" customWidth="1"/>
    <col min="5898" max="5898" width="7.25" style="577" customWidth="1"/>
    <col min="5899" max="5899" width="8.375" style="577" customWidth="1"/>
    <col min="5900" max="5900" width="17.375" style="577" customWidth="1"/>
    <col min="5901" max="5901" width="8.875" style="577" customWidth="1"/>
    <col min="5902" max="5905" width="9" style="577"/>
    <col min="5906" max="5906" width="33.25" style="577" customWidth="1"/>
    <col min="5907" max="6143" width="9" style="577"/>
    <col min="6144" max="6144" width="5.25" style="577" customWidth="1"/>
    <col min="6145" max="6145" width="8.875" style="577" customWidth="1"/>
    <col min="6146" max="6146" width="7.125" style="577" customWidth="1"/>
    <col min="6147" max="6147" width="7.75" style="577" customWidth="1"/>
    <col min="6148" max="6148" width="8.875" style="577" customWidth="1"/>
    <col min="6149" max="6149" width="8.125" style="577" customWidth="1"/>
    <col min="6150" max="6150" width="7.875" style="577" customWidth="1"/>
    <col min="6151" max="6151" width="8" style="577" customWidth="1"/>
    <col min="6152" max="6152" width="8.125" style="577" customWidth="1"/>
    <col min="6153" max="6153" width="8" style="577" customWidth="1"/>
    <col min="6154" max="6154" width="7.25" style="577" customWidth="1"/>
    <col min="6155" max="6155" width="8.375" style="577" customWidth="1"/>
    <col min="6156" max="6156" width="17.375" style="577" customWidth="1"/>
    <col min="6157" max="6157" width="8.875" style="577" customWidth="1"/>
    <col min="6158" max="6161" width="9" style="577"/>
    <col min="6162" max="6162" width="33.25" style="577" customWidth="1"/>
    <col min="6163" max="6399" width="9" style="577"/>
    <col min="6400" max="6400" width="5.25" style="577" customWidth="1"/>
    <col min="6401" max="6401" width="8.875" style="577" customWidth="1"/>
    <col min="6402" max="6402" width="7.125" style="577" customWidth="1"/>
    <col min="6403" max="6403" width="7.75" style="577" customWidth="1"/>
    <col min="6404" max="6404" width="8.875" style="577" customWidth="1"/>
    <col min="6405" max="6405" width="8.125" style="577" customWidth="1"/>
    <col min="6406" max="6406" width="7.875" style="577" customWidth="1"/>
    <col min="6407" max="6407" width="8" style="577" customWidth="1"/>
    <col min="6408" max="6408" width="8.125" style="577" customWidth="1"/>
    <col min="6409" max="6409" width="8" style="577" customWidth="1"/>
    <col min="6410" max="6410" width="7.25" style="577" customWidth="1"/>
    <col min="6411" max="6411" width="8.375" style="577" customWidth="1"/>
    <col min="6412" max="6412" width="17.375" style="577" customWidth="1"/>
    <col min="6413" max="6413" width="8.875" style="577" customWidth="1"/>
    <col min="6414" max="6417" width="9" style="577"/>
    <col min="6418" max="6418" width="33.25" style="577" customWidth="1"/>
    <col min="6419" max="6655" width="9" style="577"/>
    <col min="6656" max="6656" width="5.25" style="577" customWidth="1"/>
    <col min="6657" max="6657" width="8.875" style="577" customWidth="1"/>
    <col min="6658" max="6658" width="7.125" style="577" customWidth="1"/>
    <col min="6659" max="6659" width="7.75" style="577" customWidth="1"/>
    <col min="6660" max="6660" width="8.875" style="577" customWidth="1"/>
    <col min="6661" max="6661" width="8.125" style="577" customWidth="1"/>
    <col min="6662" max="6662" width="7.875" style="577" customWidth="1"/>
    <col min="6663" max="6663" width="8" style="577" customWidth="1"/>
    <col min="6664" max="6664" width="8.125" style="577" customWidth="1"/>
    <col min="6665" max="6665" width="8" style="577" customWidth="1"/>
    <col min="6666" max="6666" width="7.25" style="577" customWidth="1"/>
    <col min="6667" max="6667" width="8.375" style="577" customWidth="1"/>
    <col min="6668" max="6668" width="17.375" style="577" customWidth="1"/>
    <col min="6669" max="6669" width="8.875" style="577" customWidth="1"/>
    <col min="6670" max="6673" width="9" style="577"/>
    <col min="6674" max="6674" width="33.25" style="577" customWidth="1"/>
    <col min="6675" max="6911" width="9" style="577"/>
    <col min="6912" max="6912" width="5.25" style="577" customWidth="1"/>
    <col min="6913" max="6913" width="8.875" style="577" customWidth="1"/>
    <col min="6914" max="6914" width="7.125" style="577" customWidth="1"/>
    <col min="6915" max="6915" width="7.75" style="577" customWidth="1"/>
    <col min="6916" max="6916" width="8.875" style="577" customWidth="1"/>
    <col min="6917" max="6917" width="8.125" style="577" customWidth="1"/>
    <col min="6918" max="6918" width="7.875" style="577" customWidth="1"/>
    <col min="6919" max="6919" width="8" style="577" customWidth="1"/>
    <col min="6920" max="6920" width="8.125" style="577" customWidth="1"/>
    <col min="6921" max="6921" width="8" style="577" customWidth="1"/>
    <col min="6922" max="6922" width="7.25" style="577" customWidth="1"/>
    <col min="6923" max="6923" width="8.375" style="577" customWidth="1"/>
    <col min="6924" max="6924" width="17.375" style="577" customWidth="1"/>
    <col min="6925" max="6925" width="8.875" style="577" customWidth="1"/>
    <col min="6926" max="6929" width="9" style="577"/>
    <col min="6930" max="6930" width="33.25" style="577" customWidth="1"/>
    <col min="6931" max="7167" width="9" style="577"/>
    <col min="7168" max="7168" width="5.25" style="577" customWidth="1"/>
    <col min="7169" max="7169" width="8.875" style="577" customWidth="1"/>
    <col min="7170" max="7170" width="7.125" style="577" customWidth="1"/>
    <col min="7171" max="7171" width="7.75" style="577" customWidth="1"/>
    <col min="7172" max="7172" width="8.875" style="577" customWidth="1"/>
    <col min="7173" max="7173" width="8.125" style="577" customWidth="1"/>
    <col min="7174" max="7174" width="7.875" style="577" customWidth="1"/>
    <col min="7175" max="7175" width="8" style="577" customWidth="1"/>
    <col min="7176" max="7176" width="8.125" style="577" customWidth="1"/>
    <col min="7177" max="7177" width="8" style="577" customWidth="1"/>
    <col min="7178" max="7178" width="7.25" style="577" customWidth="1"/>
    <col min="7179" max="7179" width="8.375" style="577" customWidth="1"/>
    <col min="7180" max="7180" width="17.375" style="577" customWidth="1"/>
    <col min="7181" max="7181" width="8.875" style="577" customWidth="1"/>
    <col min="7182" max="7185" width="9" style="577"/>
    <col min="7186" max="7186" width="33.25" style="577" customWidth="1"/>
    <col min="7187" max="7423" width="9" style="577"/>
    <col min="7424" max="7424" width="5.25" style="577" customWidth="1"/>
    <col min="7425" max="7425" width="8.875" style="577" customWidth="1"/>
    <col min="7426" max="7426" width="7.125" style="577" customWidth="1"/>
    <col min="7427" max="7427" width="7.75" style="577" customWidth="1"/>
    <col min="7428" max="7428" width="8.875" style="577" customWidth="1"/>
    <col min="7429" max="7429" width="8.125" style="577" customWidth="1"/>
    <col min="7430" max="7430" width="7.875" style="577" customWidth="1"/>
    <col min="7431" max="7431" width="8" style="577" customWidth="1"/>
    <col min="7432" max="7432" width="8.125" style="577" customWidth="1"/>
    <col min="7433" max="7433" width="8" style="577" customWidth="1"/>
    <col min="7434" max="7434" width="7.25" style="577" customWidth="1"/>
    <col min="7435" max="7435" width="8.375" style="577" customWidth="1"/>
    <col min="7436" max="7436" width="17.375" style="577" customWidth="1"/>
    <col min="7437" max="7437" width="8.875" style="577" customWidth="1"/>
    <col min="7438" max="7441" width="9" style="577"/>
    <col min="7442" max="7442" width="33.25" style="577" customWidth="1"/>
    <col min="7443" max="7679" width="9" style="577"/>
    <col min="7680" max="7680" width="5.25" style="577" customWidth="1"/>
    <col min="7681" max="7681" width="8.875" style="577" customWidth="1"/>
    <col min="7682" max="7682" width="7.125" style="577" customWidth="1"/>
    <col min="7683" max="7683" width="7.75" style="577" customWidth="1"/>
    <col min="7684" max="7684" width="8.875" style="577" customWidth="1"/>
    <col min="7685" max="7685" width="8.125" style="577" customWidth="1"/>
    <col min="7686" max="7686" width="7.875" style="577" customWidth="1"/>
    <col min="7687" max="7687" width="8" style="577" customWidth="1"/>
    <col min="7688" max="7688" width="8.125" style="577" customWidth="1"/>
    <col min="7689" max="7689" width="8" style="577" customWidth="1"/>
    <col min="7690" max="7690" width="7.25" style="577" customWidth="1"/>
    <col min="7691" max="7691" width="8.375" style="577" customWidth="1"/>
    <col min="7692" max="7692" width="17.375" style="577" customWidth="1"/>
    <col min="7693" max="7693" width="8.875" style="577" customWidth="1"/>
    <col min="7694" max="7697" width="9" style="577"/>
    <col min="7698" max="7698" width="33.25" style="577" customWidth="1"/>
    <col min="7699" max="7935" width="9" style="577"/>
    <col min="7936" max="7936" width="5.25" style="577" customWidth="1"/>
    <col min="7937" max="7937" width="8.875" style="577" customWidth="1"/>
    <col min="7938" max="7938" width="7.125" style="577" customWidth="1"/>
    <col min="7939" max="7939" width="7.75" style="577" customWidth="1"/>
    <col min="7940" max="7940" width="8.875" style="577" customWidth="1"/>
    <col min="7941" max="7941" width="8.125" style="577" customWidth="1"/>
    <col min="7942" max="7942" width="7.875" style="577" customWidth="1"/>
    <col min="7943" max="7943" width="8" style="577" customWidth="1"/>
    <col min="7944" max="7944" width="8.125" style="577" customWidth="1"/>
    <col min="7945" max="7945" width="8" style="577" customWidth="1"/>
    <col min="7946" max="7946" width="7.25" style="577" customWidth="1"/>
    <col min="7947" max="7947" width="8.375" style="577" customWidth="1"/>
    <col min="7948" max="7948" width="17.375" style="577" customWidth="1"/>
    <col min="7949" max="7949" width="8.875" style="577" customWidth="1"/>
    <col min="7950" max="7953" width="9" style="577"/>
    <col min="7954" max="7954" width="33.25" style="577" customWidth="1"/>
    <col min="7955" max="8191" width="9" style="577"/>
    <col min="8192" max="8192" width="5.25" style="577" customWidth="1"/>
    <col min="8193" max="8193" width="8.875" style="577" customWidth="1"/>
    <col min="8194" max="8194" width="7.125" style="577" customWidth="1"/>
    <col min="8195" max="8195" width="7.75" style="577" customWidth="1"/>
    <col min="8196" max="8196" width="8.875" style="577" customWidth="1"/>
    <col min="8197" max="8197" width="8.125" style="577" customWidth="1"/>
    <col min="8198" max="8198" width="7.875" style="577" customWidth="1"/>
    <col min="8199" max="8199" width="8" style="577" customWidth="1"/>
    <col min="8200" max="8200" width="8.125" style="577" customWidth="1"/>
    <col min="8201" max="8201" width="8" style="577" customWidth="1"/>
    <col min="8202" max="8202" width="7.25" style="577" customWidth="1"/>
    <col min="8203" max="8203" width="8.375" style="577" customWidth="1"/>
    <col min="8204" max="8204" width="17.375" style="577" customWidth="1"/>
    <col min="8205" max="8205" width="8.875" style="577" customWidth="1"/>
    <col min="8206" max="8209" width="9" style="577"/>
    <col min="8210" max="8210" width="33.25" style="577" customWidth="1"/>
    <col min="8211" max="8447" width="9" style="577"/>
    <col min="8448" max="8448" width="5.25" style="577" customWidth="1"/>
    <col min="8449" max="8449" width="8.875" style="577" customWidth="1"/>
    <col min="8450" max="8450" width="7.125" style="577" customWidth="1"/>
    <col min="8451" max="8451" width="7.75" style="577" customWidth="1"/>
    <col min="8452" max="8452" width="8.875" style="577" customWidth="1"/>
    <col min="8453" max="8453" width="8.125" style="577" customWidth="1"/>
    <col min="8454" max="8454" width="7.875" style="577" customWidth="1"/>
    <col min="8455" max="8455" width="8" style="577" customWidth="1"/>
    <col min="8456" max="8456" width="8.125" style="577" customWidth="1"/>
    <col min="8457" max="8457" width="8" style="577" customWidth="1"/>
    <col min="8458" max="8458" width="7.25" style="577" customWidth="1"/>
    <col min="8459" max="8459" width="8.375" style="577" customWidth="1"/>
    <col min="8460" max="8460" width="17.375" style="577" customWidth="1"/>
    <col min="8461" max="8461" width="8.875" style="577" customWidth="1"/>
    <col min="8462" max="8465" width="9" style="577"/>
    <col min="8466" max="8466" width="33.25" style="577" customWidth="1"/>
    <col min="8467" max="8703" width="9" style="577"/>
    <col min="8704" max="8704" width="5.25" style="577" customWidth="1"/>
    <col min="8705" max="8705" width="8.875" style="577" customWidth="1"/>
    <col min="8706" max="8706" width="7.125" style="577" customWidth="1"/>
    <col min="8707" max="8707" width="7.75" style="577" customWidth="1"/>
    <col min="8708" max="8708" width="8.875" style="577" customWidth="1"/>
    <col min="8709" max="8709" width="8.125" style="577" customWidth="1"/>
    <col min="8710" max="8710" width="7.875" style="577" customWidth="1"/>
    <col min="8711" max="8711" width="8" style="577" customWidth="1"/>
    <col min="8712" max="8712" width="8.125" style="577" customWidth="1"/>
    <col min="8713" max="8713" width="8" style="577" customWidth="1"/>
    <col min="8714" max="8714" width="7.25" style="577" customWidth="1"/>
    <col min="8715" max="8715" width="8.375" style="577" customWidth="1"/>
    <col min="8716" max="8716" width="17.375" style="577" customWidth="1"/>
    <col min="8717" max="8717" width="8.875" style="577" customWidth="1"/>
    <col min="8718" max="8721" width="9" style="577"/>
    <col min="8722" max="8722" width="33.25" style="577" customWidth="1"/>
    <col min="8723" max="8959" width="9" style="577"/>
    <col min="8960" max="8960" width="5.25" style="577" customWidth="1"/>
    <col min="8961" max="8961" width="8.875" style="577" customWidth="1"/>
    <col min="8962" max="8962" width="7.125" style="577" customWidth="1"/>
    <col min="8963" max="8963" width="7.75" style="577" customWidth="1"/>
    <col min="8964" max="8964" width="8.875" style="577" customWidth="1"/>
    <col min="8965" max="8965" width="8.125" style="577" customWidth="1"/>
    <col min="8966" max="8966" width="7.875" style="577" customWidth="1"/>
    <col min="8967" max="8967" width="8" style="577" customWidth="1"/>
    <col min="8968" max="8968" width="8.125" style="577" customWidth="1"/>
    <col min="8969" max="8969" width="8" style="577" customWidth="1"/>
    <col min="8970" max="8970" width="7.25" style="577" customWidth="1"/>
    <col min="8971" max="8971" width="8.375" style="577" customWidth="1"/>
    <col min="8972" max="8972" width="17.375" style="577" customWidth="1"/>
    <col min="8973" max="8973" width="8.875" style="577" customWidth="1"/>
    <col min="8974" max="8977" width="9" style="577"/>
    <col min="8978" max="8978" width="33.25" style="577" customWidth="1"/>
    <col min="8979" max="9215" width="9" style="577"/>
    <col min="9216" max="9216" width="5.25" style="577" customWidth="1"/>
    <col min="9217" max="9217" width="8.875" style="577" customWidth="1"/>
    <col min="9218" max="9218" width="7.125" style="577" customWidth="1"/>
    <col min="9219" max="9219" width="7.75" style="577" customWidth="1"/>
    <col min="9220" max="9220" width="8.875" style="577" customWidth="1"/>
    <col min="9221" max="9221" width="8.125" style="577" customWidth="1"/>
    <col min="9222" max="9222" width="7.875" style="577" customWidth="1"/>
    <col min="9223" max="9223" width="8" style="577" customWidth="1"/>
    <col min="9224" max="9224" width="8.125" style="577" customWidth="1"/>
    <col min="9225" max="9225" width="8" style="577" customWidth="1"/>
    <col min="9226" max="9226" width="7.25" style="577" customWidth="1"/>
    <col min="9227" max="9227" width="8.375" style="577" customWidth="1"/>
    <col min="9228" max="9228" width="17.375" style="577" customWidth="1"/>
    <col min="9229" max="9229" width="8.875" style="577" customWidth="1"/>
    <col min="9230" max="9233" width="9" style="577"/>
    <col min="9234" max="9234" width="33.25" style="577" customWidth="1"/>
    <col min="9235" max="9471" width="9" style="577"/>
    <col min="9472" max="9472" width="5.25" style="577" customWidth="1"/>
    <col min="9473" max="9473" width="8.875" style="577" customWidth="1"/>
    <col min="9474" max="9474" width="7.125" style="577" customWidth="1"/>
    <col min="9475" max="9475" width="7.75" style="577" customWidth="1"/>
    <col min="9476" max="9476" width="8.875" style="577" customWidth="1"/>
    <col min="9477" max="9477" width="8.125" style="577" customWidth="1"/>
    <col min="9478" max="9478" width="7.875" style="577" customWidth="1"/>
    <col min="9479" max="9479" width="8" style="577" customWidth="1"/>
    <col min="9480" max="9480" width="8.125" style="577" customWidth="1"/>
    <col min="9481" max="9481" width="8" style="577" customWidth="1"/>
    <col min="9482" max="9482" width="7.25" style="577" customWidth="1"/>
    <col min="9483" max="9483" width="8.375" style="577" customWidth="1"/>
    <col min="9484" max="9484" width="17.375" style="577" customWidth="1"/>
    <col min="9485" max="9485" width="8.875" style="577" customWidth="1"/>
    <col min="9486" max="9489" width="9" style="577"/>
    <col min="9490" max="9490" width="33.25" style="577" customWidth="1"/>
    <col min="9491" max="9727" width="9" style="577"/>
    <col min="9728" max="9728" width="5.25" style="577" customWidth="1"/>
    <col min="9729" max="9729" width="8.875" style="577" customWidth="1"/>
    <col min="9730" max="9730" width="7.125" style="577" customWidth="1"/>
    <col min="9731" max="9731" width="7.75" style="577" customWidth="1"/>
    <col min="9732" max="9732" width="8.875" style="577" customWidth="1"/>
    <col min="9733" max="9733" width="8.125" style="577" customWidth="1"/>
    <col min="9734" max="9734" width="7.875" style="577" customWidth="1"/>
    <col min="9735" max="9735" width="8" style="577" customWidth="1"/>
    <col min="9736" max="9736" width="8.125" style="577" customWidth="1"/>
    <col min="9737" max="9737" width="8" style="577" customWidth="1"/>
    <col min="9738" max="9738" width="7.25" style="577" customWidth="1"/>
    <col min="9739" max="9739" width="8.375" style="577" customWidth="1"/>
    <col min="9740" max="9740" width="17.375" style="577" customWidth="1"/>
    <col min="9741" max="9741" width="8.875" style="577" customWidth="1"/>
    <col min="9742" max="9745" width="9" style="577"/>
    <col min="9746" max="9746" width="33.25" style="577" customWidth="1"/>
    <col min="9747" max="9983" width="9" style="577"/>
    <col min="9984" max="9984" width="5.25" style="577" customWidth="1"/>
    <col min="9985" max="9985" width="8.875" style="577" customWidth="1"/>
    <col min="9986" max="9986" width="7.125" style="577" customWidth="1"/>
    <col min="9987" max="9987" width="7.75" style="577" customWidth="1"/>
    <col min="9988" max="9988" width="8.875" style="577" customWidth="1"/>
    <col min="9989" max="9989" width="8.125" style="577" customWidth="1"/>
    <col min="9990" max="9990" width="7.875" style="577" customWidth="1"/>
    <col min="9991" max="9991" width="8" style="577" customWidth="1"/>
    <col min="9992" max="9992" width="8.125" style="577" customWidth="1"/>
    <col min="9993" max="9993" width="8" style="577" customWidth="1"/>
    <col min="9994" max="9994" width="7.25" style="577" customWidth="1"/>
    <col min="9995" max="9995" width="8.375" style="577" customWidth="1"/>
    <col min="9996" max="9996" width="17.375" style="577" customWidth="1"/>
    <col min="9997" max="9997" width="8.875" style="577" customWidth="1"/>
    <col min="9998" max="10001" width="9" style="577"/>
    <col min="10002" max="10002" width="33.25" style="577" customWidth="1"/>
    <col min="10003" max="10239" width="9" style="577"/>
    <col min="10240" max="10240" width="5.25" style="577" customWidth="1"/>
    <col min="10241" max="10241" width="8.875" style="577" customWidth="1"/>
    <col min="10242" max="10242" width="7.125" style="577" customWidth="1"/>
    <col min="10243" max="10243" width="7.75" style="577" customWidth="1"/>
    <col min="10244" max="10244" width="8.875" style="577" customWidth="1"/>
    <col min="10245" max="10245" width="8.125" style="577" customWidth="1"/>
    <col min="10246" max="10246" width="7.875" style="577" customWidth="1"/>
    <col min="10247" max="10247" width="8" style="577" customWidth="1"/>
    <col min="10248" max="10248" width="8.125" style="577" customWidth="1"/>
    <col min="10249" max="10249" width="8" style="577" customWidth="1"/>
    <col min="10250" max="10250" width="7.25" style="577" customWidth="1"/>
    <col min="10251" max="10251" width="8.375" style="577" customWidth="1"/>
    <col min="10252" max="10252" width="17.375" style="577" customWidth="1"/>
    <col min="10253" max="10253" width="8.875" style="577" customWidth="1"/>
    <col min="10254" max="10257" width="9" style="577"/>
    <col min="10258" max="10258" width="33.25" style="577" customWidth="1"/>
    <col min="10259" max="10495" width="9" style="577"/>
    <col min="10496" max="10496" width="5.25" style="577" customWidth="1"/>
    <col min="10497" max="10497" width="8.875" style="577" customWidth="1"/>
    <col min="10498" max="10498" width="7.125" style="577" customWidth="1"/>
    <col min="10499" max="10499" width="7.75" style="577" customWidth="1"/>
    <col min="10500" max="10500" width="8.875" style="577" customWidth="1"/>
    <col min="10501" max="10501" width="8.125" style="577" customWidth="1"/>
    <col min="10502" max="10502" width="7.875" style="577" customWidth="1"/>
    <col min="10503" max="10503" width="8" style="577" customWidth="1"/>
    <col min="10504" max="10504" width="8.125" style="577" customWidth="1"/>
    <col min="10505" max="10505" width="8" style="577" customWidth="1"/>
    <col min="10506" max="10506" width="7.25" style="577" customWidth="1"/>
    <col min="10507" max="10507" width="8.375" style="577" customWidth="1"/>
    <col min="10508" max="10508" width="17.375" style="577" customWidth="1"/>
    <col min="10509" max="10509" width="8.875" style="577" customWidth="1"/>
    <col min="10510" max="10513" width="9" style="577"/>
    <col min="10514" max="10514" width="33.25" style="577" customWidth="1"/>
    <col min="10515" max="10751" width="9" style="577"/>
    <col min="10752" max="10752" width="5.25" style="577" customWidth="1"/>
    <col min="10753" max="10753" width="8.875" style="577" customWidth="1"/>
    <col min="10754" max="10754" width="7.125" style="577" customWidth="1"/>
    <col min="10755" max="10755" width="7.75" style="577" customWidth="1"/>
    <col min="10756" max="10756" width="8.875" style="577" customWidth="1"/>
    <col min="10757" max="10757" width="8.125" style="577" customWidth="1"/>
    <col min="10758" max="10758" width="7.875" style="577" customWidth="1"/>
    <col min="10759" max="10759" width="8" style="577" customWidth="1"/>
    <col min="10760" max="10760" width="8.125" style="577" customWidth="1"/>
    <col min="10761" max="10761" width="8" style="577" customWidth="1"/>
    <col min="10762" max="10762" width="7.25" style="577" customWidth="1"/>
    <col min="10763" max="10763" width="8.375" style="577" customWidth="1"/>
    <col min="10764" max="10764" width="17.375" style="577" customWidth="1"/>
    <col min="10765" max="10765" width="8.875" style="577" customWidth="1"/>
    <col min="10766" max="10769" width="9" style="577"/>
    <col min="10770" max="10770" width="33.25" style="577" customWidth="1"/>
    <col min="10771" max="11007" width="9" style="577"/>
    <col min="11008" max="11008" width="5.25" style="577" customWidth="1"/>
    <col min="11009" max="11009" width="8.875" style="577" customWidth="1"/>
    <col min="11010" max="11010" width="7.125" style="577" customWidth="1"/>
    <col min="11011" max="11011" width="7.75" style="577" customWidth="1"/>
    <col min="11012" max="11012" width="8.875" style="577" customWidth="1"/>
    <col min="11013" max="11013" width="8.125" style="577" customWidth="1"/>
    <col min="11014" max="11014" width="7.875" style="577" customWidth="1"/>
    <col min="11015" max="11015" width="8" style="577" customWidth="1"/>
    <col min="11016" max="11016" width="8.125" style="577" customWidth="1"/>
    <col min="11017" max="11017" width="8" style="577" customWidth="1"/>
    <col min="11018" max="11018" width="7.25" style="577" customWidth="1"/>
    <col min="11019" max="11019" width="8.375" style="577" customWidth="1"/>
    <col min="11020" max="11020" width="17.375" style="577" customWidth="1"/>
    <col min="11021" max="11021" width="8.875" style="577" customWidth="1"/>
    <col min="11022" max="11025" width="9" style="577"/>
    <col min="11026" max="11026" width="33.25" style="577" customWidth="1"/>
    <col min="11027" max="11263" width="9" style="577"/>
    <col min="11264" max="11264" width="5.25" style="577" customWidth="1"/>
    <col min="11265" max="11265" width="8.875" style="577" customWidth="1"/>
    <col min="11266" max="11266" width="7.125" style="577" customWidth="1"/>
    <col min="11267" max="11267" width="7.75" style="577" customWidth="1"/>
    <col min="11268" max="11268" width="8.875" style="577" customWidth="1"/>
    <col min="11269" max="11269" width="8.125" style="577" customWidth="1"/>
    <col min="11270" max="11270" width="7.875" style="577" customWidth="1"/>
    <col min="11271" max="11271" width="8" style="577" customWidth="1"/>
    <col min="11272" max="11272" width="8.125" style="577" customWidth="1"/>
    <col min="11273" max="11273" width="8" style="577" customWidth="1"/>
    <col min="11274" max="11274" width="7.25" style="577" customWidth="1"/>
    <col min="11275" max="11275" width="8.375" style="577" customWidth="1"/>
    <col min="11276" max="11276" width="17.375" style="577" customWidth="1"/>
    <col min="11277" max="11277" width="8.875" style="577" customWidth="1"/>
    <col min="11278" max="11281" width="9" style="577"/>
    <col min="11282" max="11282" width="33.25" style="577" customWidth="1"/>
    <col min="11283" max="11519" width="9" style="577"/>
    <col min="11520" max="11520" width="5.25" style="577" customWidth="1"/>
    <col min="11521" max="11521" width="8.875" style="577" customWidth="1"/>
    <col min="11522" max="11522" width="7.125" style="577" customWidth="1"/>
    <col min="11523" max="11523" width="7.75" style="577" customWidth="1"/>
    <col min="11524" max="11524" width="8.875" style="577" customWidth="1"/>
    <col min="11525" max="11525" width="8.125" style="577" customWidth="1"/>
    <col min="11526" max="11526" width="7.875" style="577" customWidth="1"/>
    <col min="11527" max="11527" width="8" style="577" customWidth="1"/>
    <col min="11528" max="11528" width="8.125" style="577" customWidth="1"/>
    <col min="11529" max="11529" width="8" style="577" customWidth="1"/>
    <col min="11530" max="11530" width="7.25" style="577" customWidth="1"/>
    <col min="11531" max="11531" width="8.375" style="577" customWidth="1"/>
    <col min="11532" max="11532" width="17.375" style="577" customWidth="1"/>
    <col min="11533" max="11533" width="8.875" style="577" customWidth="1"/>
    <col min="11534" max="11537" width="9" style="577"/>
    <col min="11538" max="11538" width="33.25" style="577" customWidth="1"/>
    <col min="11539" max="11775" width="9" style="577"/>
    <col min="11776" max="11776" width="5.25" style="577" customWidth="1"/>
    <col min="11777" max="11777" width="8.875" style="577" customWidth="1"/>
    <col min="11778" max="11778" width="7.125" style="577" customWidth="1"/>
    <col min="11779" max="11779" width="7.75" style="577" customWidth="1"/>
    <col min="11780" max="11780" width="8.875" style="577" customWidth="1"/>
    <col min="11781" max="11781" width="8.125" style="577" customWidth="1"/>
    <col min="11782" max="11782" width="7.875" style="577" customWidth="1"/>
    <col min="11783" max="11783" width="8" style="577" customWidth="1"/>
    <col min="11784" max="11784" width="8.125" style="577" customWidth="1"/>
    <col min="11785" max="11785" width="8" style="577" customWidth="1"/>
    <col min="11786" max="11786" width="7.25" style="577" customWidth="1"/>
    <col min="11787" max="11787" width="8.375" style="577" customWidth="1"/>
    <col min="11788" max="11788" width="17.375" style="577" customWidth="1"/>
    <col min="11789" max="11789" width="8.875" style="577" customWidth="1"/>
    <col min="11790" max="11793" width="9" style="577"/>
    <col min="11794" max="11794" width="33.25" style="577" customWidth="1"/>
    <col min="11795" max="12031" width="9" style="577"/>
    <col min="12032" max="12032" width="5.25" style="577" customWidth="1"/>
    <col min="12033" max="12033" width="8.875" style="577" customWidth="1"/>
    <col min="12034" max="12034" width="7.125" style="577" customWidth="1"/>
    <col min="12035" max="12035" width="7.75" style="577" customWidth="1"/>
    <col min="12036" max="12036" width="8.875" style="577" customWidth="1"/>
    <col min="12037" max="12037" width="8.125" style="577" customWidth="1"/>
    <col min="12038" max="12038" width="7.875" style="577" customWidth="1"/>
    <col min="12039" max="12039" width="8" style="577" customWidth="1"/>
    <col min="12040" max="12040" width="8.125" style="577" customWidth="1"/>
    <col min="12041" max="12041" width="8" style="577" customWidth="1"/>
    <col min="12042" max="12042" width="7.25" style="577" customWidth="1"/>
    <col min="12043" max="12043" width="8.375" style="577" customWidth="1"/>
    <col min="12044" max="12044" width="17.375" style="577" customWidth="1"/>
    <col min="12045" max="12045" width="8.875" style="577" customWidth="1"/>
    <col min="12046" max="12049" width="9" style="577"/>
    <col min="12050" max="12050" width="33.25" style="577" customWidth="1"/>
    <col min="12051" max="12287" width="9" style="577"/>
    <col min="12288" max="12288" width="5.25" style="577" customWidth="1"/>
    <col min="12289" max="12289" width="8.875" style="577" customWidth="1"/>
    <col min="12290" max="12290" width="7.125" style="577" customWidth="1"/>
    <col min="12291" max="12291" width="7.75" style="577" customWidth="1"/>
    <col min="12292" max="12292" width="8.875" style="577" customWidth="1"/>
    <col min="12293" max="12293" width="8.125" style="577" customWidth="1"/>
    <col min="12294" max="12294" width="7.875" style="577" customWidth="1"/>
    <col min="12295" max="12295" width="8" style="577" customWidth="1"/>
    <col min="12296" max="12296" width="8.125" style="577" customWidth="1"/>
    <col min="12297" max="12297" width="8" style="577" customWidth="1"/>
    <col min="12298" max="12298" width="7.25" style="577" customWidth="1"/>
    <col min="12299" max="12299" width="8.375" style="577" customWidth="1"/>
    <col min="12300" max="12300" width="17.375" style="577" customWidth="1"/>
    <col min="12301" max="12301" width="8.875" style="577" customWidth="1"/>
    <col min="12302" max="12305" width="9" style="577"/>
    <col min="12306" max="12306" width="33.25" style="577" customWidth="1"/>
    <col min="12307" max="12543" width="9" style="577"/>
    <col min="12544" max="12544" width="5.25" style="577" customWidth="1"/>
    <col min="12545" max="12545" width="8.875" style="577" customWidth="1"/>
    <col min="12546" max="12546" width="7.125" style="577" customWidth="1"/>
    <col min="12547" max="12547" width="7.75" style="577" customWidth="1"/>
    <col min="12548" max="12548" width="8.875" style="577" customWidth="1"/>
    <col min="12549" max="12549" width="8.125" style="577" customWidth="1"/>
    <col min="12550" max="12550" width="7.875" style="577" customWidth="1"/>
    <col min="12551" max="12551" width="8" style="577" customWidth="1"/>
    <col min="12552" max="12552" width="8.125" style="577" customWidth="1"/>
    <col min="12553" max="12553" width="8" style="577" customWidth="1"/>
    <col min="12554" max="12554" width="7.25" style="577" customWidth="1"/>
    <col min="12555" max="12555" width="8.375" style="577" customWidth="1"/>
    <col min="12556" max="12556" width="17.375" style="577" customWidth="1"/>
    <col min="12557" max="12557" width="8.875" style="577" customWidth="1"/>
    <col min="12558" max="12561" width="9" style="577"/>
    <col min="12562" max="12562" width="33.25" style="577" customWidth="1"/>
    <col min="12563" max="12799" width="9" style="577"/>
    <col min="12800" max="12800" width="5.25" style="577" customWidth="1"/>
    <col min="12801" max="12801" width="8.875" style="577" customWidth="1"/>
    <col min="12802" max="12802" width="7.125" style="577" customWidth="1"/>
    <col min="12803" max="12803" width="7.75" style="577" customWidth="1"/>
    <col min="12804" max="12804" width="8.875" style="577" customWidth="1"/>
    <col min="12805" max="12805" width="8.125" style="577" customWidth="1"/>
    <col min="12806" max="12806" width="7.875" style="577" customWidth="1"/>
    <col min="12807" max="12807" width="8" style="577" customWidth="1"/>
    <col min="12808" max="12808" width="8.125" style="577" customWidth="1"/>
    <col min="12809" max="12809" width="8" style="577" customWidth="1"/>
    <col min="12810" max="12810" width="7.25" style="577" customWidth="1"/>
    <col min="12811" max="12811" width="8.375" style="577" customWidth="1"/>
    <col min="12812" max="12812" width="17.375" style="577" customWidth="1"/>
    <col min="12813" max="12813" width="8.875" style="577" customWidth="1"/>
    <col min="12814" max="12817" width="9" style="577"/>
    <col min="12818" max="12818" width="33.25" style="577" customWidth="1"/>
    <col min="12819" max="13055" width="9" style="577"/>
    <col min="13056" max="13056" width="5.25" style="577" customWidth="1"/>
    <col min="13057" max="13057" width="8.875" style="577" customWidth="1"/>
    <col min="13058" max="13058" width="7.125" style="577" customWidth="1"/>
    <col min="13059" max="13059" width="7.75" style="577" customWidth="1"/>
    <col min="13060" max="13060" width="8.875" style="577" customWidth="1"/>
    <col min="13061" max="13061" width="8.125" style="577" customWidth="1"/>
    <col min="13062" max="13062" width="7.875" style="577" customWidth="1"/>
    <col min="13063" max="13063" width="8" style="577" customWidth="1"/>
    <col min="13064" max="13064" width="8.125" style="577" customWidth="1"/>
    <col min="13065" max="13065" width="8" style="577" customWidth="1"/>
    <col min="13066" max="13066" width="7.25" style="577" customWidth="1"/>
    <col min="13067" max="13067" width="8.375" style="577" customWidth="1"/>
    <col min="13068" max="13068" width="17.375" style="577" customWidth="1"/>
    <col min="13069" max="13069" width="8.875" style="577" customWidth="1"/>
    <col min="13070" max="13073" width="9" style="577"/>
    <col min="13074" max="13074" width="33.25" style="577" customWidth="1"/>
    <col min="13075" max="13311" width="9" style="577"/>
    <col min="13312" max="13312" width="5.25" style="577" customWidth="1"/>
    <col min="13313" max="13313" width="8.875" style="577" customWidth="1"/>
    <col min="13314" max="13314" width="7.125" style="577" customWidth="1"/>
    <col min="13315" max="13315" width="7.75" style="577" customWidth="1"/>
    <col min="13316" max="13316" width="8.875" style="577" customWidth="1"/>
    <col min="13317" max="13317" width="8.125" style="577" customWidth="1"/>
    <col min="13318" max="13318" width="7.875" style="577" customWidth="1"/>
    <col min="13319" max="13319" width="8" style="577" customWidth="1"/>
    <col min="13320" max="13320" width="8.125" style="577" customWidth="1"/>
    <col min="13321" max="13321" width="8" style="577" customWidth="1"/>
    <col min="13322" max="13322" width="7.25" style="577" customWidth="1"/>
    <col min="13323" max="13323" width="8.375" style="577" customWidth="1"/>
    <col min="13324" max="13324" width="17.375" style="577" customWidth="1"/>
    <col min="13325" max="13325" width="8.875" style="577" customWidth="1"/>
    <col min="13326" max="13329" width="9" style="577"/>
    <col min="13330" max="13330" width="33.25" style="577" customWidth="1"/>
    <col min="13331" max="13567" width="9" style="577"/>
    <col min="13568" max="13568" width="5.25" style="577" customWidth="1"/>
    <col min="13569" max="13569" width="8.875" style="577" customWidth="1"/>
    <col min="13570" max="13570" width="7.125" style="577" customWidth="1"/>
    <col min="13571" max="13571" width="7.75" style="577" customWidth="1"/>
    <col min="13572" max="13572" width="8.875" style="577" customWidth="1"/>
    <col min="13573" max="13573" width="8.125" style="577" customWidth="1"/>
    <col min="13574" max="13574" width="7.875" style="577" customWidth="1"/>
    <col min="13575" max="13575" width="8" style="577" customWidth="1"/>
    <col min="13576" max="13576" width="8.125" style="577" customWidth="1"/>
    <col min="13577" max="13577" width="8" style="577" customWidth="1"/>
    <col min="13578" max="13578" width="7.25" style="577" customWidth="1"/>
    <col min="13579" max="13579" width="8.375" style="577" customWidth="1"/>
    <col min="13580" max="13580" width="17.375" style="577" customWidth="1"/>
    <col min="13581" max="13581" width="8.875" style="577" customWidth="1"/>
    <col min="13582" max="13585" width="9" style="577"/>
    <col min="13586" max="13586" width="33.25" style="577" customWidth="1"/>
    <col min="13587" max="13823" width="9" style="577"/>
    <col min="13824" max="13824" width="5.25" style="577" customWidth="1"/>
    <col min="13825" max="13825" width="8.875" style="577" customWidth="1"/>
    <col min="13826" max="13826" width="7.125" style="577" customWidth="1"/>
    <col min="13827" max="13827" width="7.75" style="577" customWidth="1"/>
    <col min="13828" max="13828" width="8.875" style="577" customWidth="1"/>
    <col min="13829" max="13829" width="8.125" style="577" customWidth="1"/>
    <col min="13830" max="13830" width="7.875" style="577" customWidth="1"/>
    <col min="13831" max="13831" width="8" style="577" customWidth="1"/>
    <col min="13832" max="13832" width="8.125" style="577" customWidth="1"/>
    <col min="13833" max="13833" width="8" style="577" customWidth="1"/>
    <col min="13834" max="13834" width="7.25" style="577" customWidth="1"/>
    <col min="13835" max="13835" width="8.375" style="577" customWidth="1"/>
    <col min="13836" max="13836" width="17.375" style="577" customWidth="1"/>
    <col min="13837" max="13837" width="8.875" style="577" customWidth="1"/>
    <col min="13838" max="13841" width="9" style="577"/>
    <col min="13842" max="13842" width="33.25" style="577" customWidth="1"/>
    <col min="13843" max="14079" width="9" style="577"/>
    <col min="14080" max="14080" width="5.25" style="577" customWidth="1"/>
    <col min="14081" max="14081" width="8.875" style="577" customWidth="1"/>
    <col min="14082" max="14082" width="7.125" style="577" customWidth="1"/>
    <col min="14083" max="14083" width="7.75" style="577" customWidth="1"/>
    <col min="14084" max="14084" width="8.875" style="577" customWidth="1"/>
    <col min="14085" max="14085" width="8.125" style="577" customWidth="1"/>
    <col min="14086" max="14086" width="7.875" style="577" customWidth="1"/>
    <col min="14087" max="14087" width="8" style="577" customWidth="1"/>
    <col min="14088" max="14088" width="8.125" style="577" customWidth="1"/>
    <col min="14089" max="14089" width="8" style="577" customWidth="1"/>
    <col min="14090" max="14090" width="7.25" style="577" customWidth="1"/>
    <col min="14091" max="14091" width="8.375" style="577" customWidth="1"/>
    <col min="14092" max="14092" width="17.375" style="577" customWidth="1"/>
    <col min="14093" max="14093" width="8.875" style="577" customWidth="1"/>
    <col min="14094" max="14097" width="9" style="577"/>
    <col min="14098" max="14098" width="33.25" style="577" customWidth="1"/>
    <col min="14099" max="14335" width="9" style="577"/>
    <col min="14336" max="14336" width="5.25" style="577" customWidth="1"/>
    <col min="14337" max="14337" width="8.875" style="577" customWidth="1"/>
    <col min="14338" max="14338" width="7.125" style="577" customWidth="1"/>
    <col min="14339" max="14339" width="7.75" style="577" customWidth="1"/>
    <col min="14340" max="14340" width="8.875" style="577" customWidth="1"/>
    <col min="14341" max="14341" width="8.125" style="577" customWidth="1"/>
    <col min="14342" max="14342" width="7.875" style="577" customWidth="1"/>
    <col min="14343" max="14343" width="8" style="577" customWidth="1"/>
    <col min="14344" max="14344" width="8.125" style="577" customWidth="1"/>
    <col min="14345" max="14345" width="8" style="577" customWidth="1"/>
    <col min="14346" max="14346" width="7.25" style="577" customWidth="1"/>
    <col min="14347" max="14347" width="8.375" style="577" customWidth="1"/>
    <col min="14348" max="14348" width="17.375" style="577" customWidth="1"/>
    <col min="14349" max="14349" width="8.875" style="577" customWidth="1"/>
    <col min="14350" max="14353" width="9" style="577"/>
    <col min="14354" max="14354" width="33.25" style="577" customWidth="1"/>
    <col min="14355" max="14591" width="9" style="577"/>
    <col min="14592" max="14592" width="5.25" style="577" customWidth="1"/>
    <col min="14593" max="14593" width="8.875" style="577" customWidth="1"/>
    <col min="14594" max="14594" width="7.125" style="577" customWidth="1"/>
    <col min="14595" max="14595" width="7.75" style="577" customWidth="1"/>
    <col min="14596" max="14596" width="8.875" style="577" customWidth="1"/>
    <col min="14597" max="14597" width="8.125" style="577" customWidth="1"/>
    <col min="14598" max="14598" width="7.875" style="577" customWidth="1"/>
    <col min="14599" max="14599" width="8" style="577" customWidth="1"/>
    <col min="14600" max="14600" width="8.125" style="577" customWidth="1"/>
    <col min="14601" max="14601" width="8" style="577" customWidth="1"/>
    <col min="14602" max="14602" width="7.25" style="577" customWidth="1"/>
    <col min="14603" max="14603" width="8.375" style="577" customWidth="1"/>
    <col min="14604" max="14604" width="17.375" style="577" customWidth="1"/>
    <col min="14605" max="14605" width="8.875" style="577" customWidth="1"/>
    <col min="14606" max="14609" width="9" style="577"/>
    <col min="14610" max="14610" width="33.25" style="577" customWidth="1"/>
    <col min="14611" max="14847" width="9" style="577"/>
    <col min="14848" max="14848" width="5.25" style="577" customWidth="1"/>
    <col min="14849" max="14849" width="8.875" style="577" customWidth="1"/>
    <col min="14850" max="14850" width="7.125" style="577" customWidth="1"/>
    <col min="14851" max="14851" width="7.75" style="577" customWidth="1"/>
    <col min="14852" max="14852" width="8.875" style="577" customWidth="1"/>
    <col min="14853" max="14853" width="8.125" style="577" customWidth="1"/>
    <col min="14854" max="14854" width="7.875" style="577" customWidth="1"/>
    <col min="14855" max="14855" width="8" style="577" customWidth="1"/>
    <col min="14856" max="14856" width="8.125" style="577" customWidth="1"/>
    <col min="14857" max="14857" width="8" style="577" customWidth="1"/>
    <col min="14858" max="14858" width="7.25" style="577" customWidth="1"/>
    <col min="14859" max="14859" width="8.375" style="577" customWidth="1"/>
    <col min="14860" max="14860" width="17.375" style="577" customWidth="1"/>
    <col min="14861" max="14861" width="8.875" style="577" customWidth="1"/>
    <col min="14862" max="14865" width="9" style="577"/>
    <col min="14866" max="14866" width="33.25" style="577" customWidth="1"/>
    <col min="14867" max="15103" width="9" style="577"/>
    <col min="15104" max="15104" width="5.25" style="577" customWidth="1"/>
    <col min="15105" max="15105" width="8.875" style="577" customWidth="1"/>
    <col min="15106" max="15106" width="7.125" style="577" customWidth="1"/>
    <col min="15107" max="15107" width="7.75" style="577" customWidth="1"/>
    <col min="15108" max="15108" width="8.875" style="577" customWidth="1"/>
    <col min="15109" max="15109" width="8.125" style="577" customWidth="1"/>
    <col min="15110" max="15110" width="7.875" style="577" customWidth="1"/>
    <col min="15111" max="15111" width="8" style="577" customWidth="1"/>
    <col min="15112" max="15112" width="8.125" style="577" customWidth="1"/>
    <col min="15113" max="15113" width="8" style="577" customWidth="1"/>
    <col min="15114" max="15114" width="7.25" style="577" customWidth="1"/>
    <col min="15115" max="15115" width="8.375" style="577" customWidth="1"/>
    <col min="15116" max="15116" width="17.375" style="577" customWidth="1"/>
    <col min="15117" max="15117" width="8.875" style="577" customWidth="1"/>
    <col min="15118" max="15121" width="9" style="577"/>
    <col min="15122" max="15122" width="33.25" style="577" customWidth="1"/>
    <col min="15123" max="15359" width="9" style="577"/>
    <col min="15360" max="15360" width="5.25" style="577" customWidth="1"/>
    <col min="15361" max="15361" width="8.875" style="577" customWidth="1"/>
    <col min="15362" max="15362" width="7.125" style="577" customWidth="1"/>
    <col min="15363" max="15363" width="7.75" style="577" customWidth="1"/>
    <col min="15364" max="15364" width="8.875" style="577" customWidth="1"/>
    <col min="15365" max="15365" width="8.125" style="577" customWidth="1"/>
    <col min="15366" max="15366" width="7.875" style="577" customWidth="1"/>
    <col min="15367" max="15367" width="8" style="577" customWidth="1"/>
    <col min="15368" max="15368" width="8.125" style="577" customWidth="1"/>
    <col min="15369" max="15369" width="8" style="577" customWidth="1"/>
    <col min="15370" max="15370" width="7.25" style="577" customWidth="1"/>
    <col min="15371" max="15371" width="8.375" style="577" customWidth="1"/>
    <col min="15372" max="15372" width="17.375" style="577" customWidth="1"/>
    <col min="15373" max="15373" width="8.875" style="577" customWidth="1"/>
    <col min="15374" max="15377" width="9" style="577"/>
    <col min="15378" max="15378" width="33.25" style="577" customWidth="1"/>
    <col min="15379" max="15615" width="9" style="577"/>
    <col min="15616" max="15616" width="5.25" style="577" customWidth="1"/>
    <col min="15617" max="15617" width="8.875" style="577" customWidth="1"/>
    <col min="15618" max="15618" width="7.125" style="577" customWidth="1"/>
    <col min="15619" max="15619" width="7.75" style="577" customWidth="1"/>
    <col min="15620" max="15620" width="8.875" style="577" customWidth="1"/>
    <col min="15621" max="15621" width="8.125" style="577" customWidth="1"/>
    <col min="15622" max="15622" width="7.875" style="577" customWidth="1"/>
    <col min="15623" max="15623" width="8" style="577" customWidth="1"/>
    <col min="15624" max="15624" width="8.125" style="577" customWidth="1"/>
    <col min="15625" max="15625" width="8" style="577" customWidth="1"/>
    <col min="15626" max="15626" width="7.25" style="577" customWidth="1"/>
    <col min="15627" max="15627" width="8.375" style="577" customWidth="1"/>
    <col min="15628" max="15628" width="17.375" style="577" customWidth="1"/>
    <col min="15629" max="15629" width="8.875" style="577" customWidth="1"/>
    <col min="15630" max="15633" width="9" style="577"/>
    <col min="15634" max="15634" width="33.25" style="577" customWidth="1"/>
    <col min="15635" max="15871" width="9" style="577"/>
    <col min="15872" max="15872" width="5.25" style="577" customWidth="1"/>
    <col min="15873" max="15873" width="8.875" style="577" customWidth="1"/>
    <col min="15874" max="15874" width="7.125" style="577" customWidth="1"/>
    <col min="15875" max="15875" width="7.75" style="577" customWidth="1"/>
    <col min="15876" max="15876" width="8.875" style="577" customWidth="1"/>
    <col min="15877" max="15877" width="8.125" style="577" customWidth="1"/>
    <col min="15878" max="15878" width="7.875" style="577" customWidth="1"/>
    <col min="15879" max="15879" width="8" style="577" customWidth="1"/>
    <col min="15880" max="15880" width="8.125" style="577" customWidth="1"/>
    <col min="15881" max="15881" width="8" style="577" customWidth="1"/>
    <col min="15882" max="15882" width="7.25" style="577" customWidth="1"/>
    <col min="15883" max="15883" width="8.375" style="577" customWidth="1"/>
    <col min="15884" max="15884" width="17.375" style="577" customWidth="1"/>
    <col min="15885" max="15885" width="8.875" style="577" customWidth="1"/>
    <col min="15886" max="15889" width="9" style="577"/>
    <col min="15890" max="15890" width="33.25" style="577" customWidth="1"/>
    <col min="15891" max="16127" width="9" style="577"/>
    <col min="16128" max="16128" width="5.25" style="577" customWidth="1"/>
    <col min="16129" max="16129" width="8.875" style="577" customWidth="1"/>
    <col min="16130" max="16130" width="7.125" style="577" customWidth="1"/>
    <col min="16131" max="16131" width="7.75" style="577" customWidth="1"/>
    <col min="16132" max="16132" width="8.875" style="577" customWidth="1"/>
    <col min="16133" max="16133" width="8.125" style="577" customWidth="1"/>
    <col min="16134" max="16134" width="7.875" style="577" customWidth="1"/>
    <col min="16135" max="16135" width="8" style="577" customWidth="1"/>
    <col min="16136" max="16136" width="8.125" style="577" customWidth="1"/>
    <col min="16137" max="16137" width="8" style="577" customWidth="1"/>
    <col min="16138" max="16138" width="7.25" style="577" customWidth="1"/>
    <col min="16139" max="16139" width="8.375" style="577" customWidth="1"/>
    <col min="16140" max="16140" width="17.375" style="577" customWidth="1"/>
    <col min="16141" max="16141" width="8.875" style="577" customWidth="1"/>
    <col min="16142" max="16145" width="9" style="577"/>
    <col min="16146" max="16146" width="33.25" style="577" customWidth="1"/>
    <col min="16147" max="16384" width="9" style="577"/>
  </cols>
  <sheetData>
    <row r="1" spans="1:18" ht="25.9" customHeight="1">
      <c r="A1" s="3798" t="s">
        <v>5495</v>
      </c>
      <c r="B1" s="3798"/>
      <c r="C1" s="3798"/>
      <c r="D1" s="3798"/>
      <c r="E1" s="3798"/>
      <c r="F1" s="3798"/>
      <c r="G1" s="3798"/>
      <c r="H1" s="3798"/>
      <c r="I1" s="3798"/>
      <c r="J1" s="3798"/>
      <c r="K1" s="3798"/>
      <c r="L1" s="2754" t="str">
        <f>基本情况!$F$10</f>
        <v>厦中汇税审（2018）第DS0001号</v>
      </c>
      <c r="M1" s="2754"/>
      <c r="N1" s="2754"/>
    </row>
    <row r="2" spans="1:18" ht="37.15" customHeight="1">
      <c r="A2" s="3799"/>
      <c r="B2" s="3799"/>
      <c r="C2" s="3799"/>
      <c r="D2" s="3799"/>
      <c r="E2" s="3799"/>
      <c r="F2" s="3799"/>
      <c r="G2" s="3799"/>
      <c r="H2" s="3799"/>
      <c r="I2" s="3799"/>
      <c r="J2" s="3799"/>
      <c r="K2" s="3799"/>
      <c r="L2" s="3023" t="str">
        <f>"底稿编号："&amp;开始!L27</f>
        <v>底稿编号：AD-25</v>
      </c>
      <c r="M2" s="3023"/>
      <c r="N2" s="3595"/>
    </row>
    <row r="3" spans="1:18" ht="33.75" customHeight="1">
      <c r="A3" s="3571" t="s">
        <v>5496</v>
      </c>
      <c r="B3" s="3571" t="s">
        <v>750</v>
      </c>
      <c r="C3" s="3571" t="s">
        <v>751</v>
      </c>
      <c r="D3" s="3585" t="s">
        <v>5497</v>
      </c>
      <c r="E3" s="3585" t="s">
        <v>5498</v>
      </c>
      <c r="F3" s="3585" t="s">
        <v>5499</v>
      </c>
      <c r="G3" s="3571" t="s">
        <v>5500</v>
      </c>
      <c r="H3" s="3571"/>
      <c r="I3" s="3571"/>
      <c r="J3" s="3571"/>
      <c r="K3" s="3571"/>
      <c r="L3" s="3571"/>
      <c r="M3" s="3585" t="s">
        <v>1056</v>
      </c>
      <c r="N3" s="3585" t="s">
        <v>5501</v>
      </c>
    </row>
    <row r="4" spans="1:18">
      <c r="A4" s="3571"/>
      <c r="B4" s="3571"/>
      <c r="C4" s="3571"/>
      <c r="D4" s="3585"/>
      <c r="E4" s="3585"/>
      <c r="F4" s="3585"/>
      <c r="G4" s="1567" t="s">
        <v>489</v>
      </c>
      <c r="H4" s="1551" t="s">
        <v>490</v>
      </c>
      <c r="I4" s="1551" t="s">
        <v>491</v>
      </c>
      <c r="J4" s="1551" t="s">
        <v>492</v>
      </c>
      <c r="K4" s="1551" t="s">
        <v>493</v>
      </c>
      <c r="L4" s="1551" t="s">
        <v>895</v>
      </c>
      <c r="M4" s="3803"/>
      <c r="N4" s="3803"/>
    </row>
    <row r="5" spans="1:18" ht="63" customHeight="1">
      <c r="A5" s="3571"/>
      <c r="B5" s="3571"/>
      <c r="C5" s="1559">
        <v>1</v>
      </c>
      <c r="D5" s="1559">
        <v>2</v>
      </c>
      <c r="E5" s="1559">
        <v>3</v>
      </c>
      <c r="F5" s="1559" t="s">
        <v>5502</v>
      </c>
      <c r="G5" s="1559">
        <v>5</v>
      </c>
      <c r="H5" s="1559">
        <v>6</v>
      </c>
      <c r="I5" s="1559">
        <v>7</v>
      </c>
      <c r="J5" s="1559">
        <v>8</v>
      </c>
      <c r="K5" s="1559">
        <v>9</v>
      </c>
      <c r="L5" s="1566" t="s">
        <v>5503</v>
      </c>
      <c r="M5" s="1600">
        <v>11</v>
      </c>
      <c r="N5" s="1566" t="s">
        <v>5504</v>
      </c>
    </row>
    <row r="6" spans="1:18" ht="54.75" customHeight="1">
      <c r="A6" s="1551">
        <v>1</v>
      </c>
      <c r="B6" s="1551" t="s">
        <v>5505</v>
      </c>
      <c r="C6" s="1551">
        <f>C7-1</f>
        <v>2012</v>
      </c>
      <c r="D6" s="1554"/>
      <c r="E6" s="1554"/>
      <c r="F6" s="1553">
        <f t="shared" ref="F6:F11" si="0">ROUND(E6*0.1,2)</f>
        <v>0</v>
      </c>
      <c r="G6" s="1554"/>
      <c r="H6" s="1554"/>
      <c r="I6" s="1554"/>
      <c r="J6" s="1554"/>
      <c r="K6" s="1554"/>
      <c r="L6" s="1553">
        <f>G6+H6+I6+J6+K6</f>
        <v>0</v>
      </c>
      <c r="M6" s="2202"/>
      <c r="N6" s="1551" t="s">
        <v>5444</v>
      </c>
      <c r="R6" s="1603"/>
    </row>
    <row r="7" spans="1:18" ht="16.5">
      <c r="A7" s="1551">
        <v>2</v>
      </c>
      <c r="B7" s="1551" t="s">
        <v>490</v>
      </c>
      <c r="C7" s="1551">
        <f>C8-1</f>
        <v>2013</v>
      </c>
      <c r="D7" s="1554"/>
      <c r="E7" s="1554"/>
      <c r="F7" s="1553">
        <f t="shared" si="0"/>
        <v>0</v>
      </c>
      <c r="G7" s="1551" t="s">
        <v>5444</v>
      </c>
      <c r="H7" s="1554"/>
      <c r="I7" s="1554"/>
      <c r="J7" s="1554"/>
      <c r="K7" s="1554"/>
      <c r="L7" s="1553">
        <f>H7+I7+J7+K7</f>
        <v>0</v>
      </c>
      <c r="M7" s="2202"/>
      <c r="N7" s="1553">
        <f>F7-L7-M7</f>
        <v>0</v>
      </c>
      <c r="O7" s="1555" t="s">
        <v>5506</v>
      </c>
    </row>
    <row r="8" spans="1:18">
      <c r="A8" s="1551">
        <v>3</v>
      </c>
      <c r="B8" s="1551" t="s">
        <v>491</v>
      </c>
      <c r="C8" s="1551">
        <f>C9-1</f>
        <v>2014</v>
      </c>
      <c r="D8" s="1554"/>
      <c r="E8" s="1554"/>
      <c r="F8" s="1553">
        <f t="shared" si="0"/>
        <v>0</v>
      </c>
      <c r="G8" s="1551" t="s">
        <v>5444</v>
      </c>
      <c r="H8" s="1551" t="s">
        <v>5444</v>
      </c>
      <c r="I8" s="1554"/>
      <c r="J8" s="1554"/>
      <c r="K8" s="1554"/>
      <c r="L8" s="1553">
        <f>I8+J8+K8</f>
        <v>0</v>
      </c>
      <c r="M8" s="2202"/>
      <c r="N8" s="1553">
        <f>F8-L8-M8</f>
        <v>0</v>
      </c>
    </row>
    <row r="9" spans="1:18">
      <c r="A9" s="1551">
        <v>4</v>
      </c>
      <c r="B9" s="1551" t="s">
        <v>492</v>
      </c>
      <c r="C9" s="1551">
        <f>C10-1</f>
        <v>2015</v>
      </c>
      <c r="D9" s="1554"/>
      <c r="E9" s="1554"/>
      <c r="F9" s="1553">
        <f t="shared" si="0"/>
        <v>0</v>
      </c>
      <c r="G9" s="1551" t="s">
        <v>5444</v>
      </c>
      <c r="H9" s="1551" t="s">
        <v>5444</v>
      </c>
      <c r="I9" s="1551" t="s">
        <v>5444</v>
      </c>
      <c r="J9" s="1554"/>
      <c r="K9" s="1554"/>
      <c r="L9" s="1553">
        <f>J9+K9</f>
        <v>0</v>
      </c>
      <c r="M9" s="2202"/>
      <c r="N9" s="1553">
        <f>F9-L9-M9</f>
        <v>0</v>
      </c>
    </row>
    <row r="10" spans="1:18">
      <c r="A10" s="1551">
        <v>5</v>
      </c>
      <c r="B10" s="1551" t="s">
        <v>493</v>
      </c>
      <c r="C10" s="1551">
        <f>C11-1</f>
        <v>2016</v>
      </c>
      <c r="D10" s="1554"/>
      <c r="E10" s="1554"/>
      <c r="F10" s="1553">
        <f t="shared" si="0"/>
        <v>0</v>
      </c>
      <c r="G10" s="1551" t="s">
        <v>5444</v>
      </c>
      <c r="H10" s="1551" t="s">
        <v>5444</v>
      </c>
      <c r="I10" s="1551" t="s">
        <v>5444</v>
      </c>
      <c r="J10" s="1551" t="s">
        <v>5444</v>
      </c>
      <c r="K10" s="1554"/>
      <c r="L10" s="1553">
        <f>K10</f>
        <v>0</v>
      </c>
      <c r="M10" s="2202"/>
      <c r="N10" s="1553">
        <f>F10-L10-M10</f>
        <v>0</v>
      </c>
    </row>
    <row r="11" spans="1:18">
      <c r="A11" s="1551">
        <v>6</v>
      </c>
      <c r="B11" s="1551" t="s">
        <v>758</v>
      </c>
      <c r="C11" s="1551">
        <f>基本情况!$F$6</f>
        <v>2017</v>
      </c>
      <c r="D11" s="1553">
        <f>'A100000 中华人民共和国企业所得税年度纳税申报表（A类）'!D28-'A100000 中华人民共和国企业所得税年度纳税申报表（A类）'!D29</f>
        <v>0</v>
      </c>
      <c r="E11" s="1554"/>
      <c r="F11" s="1553">
        <f t="shared" si="0"/>
        <v>0</v>
      </c>
      <c r="G11" s="1551" t="s">
        <v>5444</v>
      </c>
      <c r="H11" s="1551" t="s">
        <v>5444</v>
      </c>
      <c r="I11" s="1551" t="s">
        <v>5444</v>
      </c>
      <c r="J11" s="1551" t="s">
        <v>5444</v>
      </c>
      <c r="K11" s="1551" t="s">
        <v>5444</v>
      </c>
      <c r="L11" s="1551" t="s">
        <v>5484</v>
      </c>
      <c r="M11" s="2202"/>
      <c r="N11" s="1553">
        <f>F11-M11</f>
        <v>0</v>
      </c>
    </row>
    <row r="12" spans="1:18">
      <c r="A12" s="1551">
        <v>7</v>
      </c>
      <c r="B12" s="3800" t="s">
        <v>5507</v>
      </c>
      <c r="C12" s="3800"/>
      <c r="D12" s="3800"/>
      <c r="E12" s="3800"/>
      <c r="F12" s="3800"/>
      <c r="G12" s="3800"/>
      <c r="H12" s="3800"/>
      <c r="I12" s="3800"/>
      <c r="J12" s="3800"/>
      <c r="K12" s="3800"/>
      <c r="L12" s="3800"/>
      <c r="M12" s="1553">
        <f>SUM(M6:M11)</f>
        <v>0</v>
      </c>
      <c r="N12" s="1551" t="s">
        <v>5444</v>
      </c>
    </row>
    <row r="13" spans="1:18">
      <c r="A13" s="1551">
        <v>8</v>
      </c>
      <c r="B13" s="3800" t="s">
        <v>5508</v>
      </c>
      <c r="C13" s="3800"/>
      <c r="D13" s="3800"/>
      <c r="E13" s="3800"/>
      <c r="F13" s="3800"/>
      <c r="G13" s="3800"/>
      <c r="H13" s="3800"/>
      <c r="I13" s="3800"/>
      <c r="J13" s="3800"/>
      <c r="K13" s="3800"/>
      <c r="L13" s="3800"/>
      <c r="M13" s="3800"/>
      <c r="N13" s="1553">
        <f>SUM(N7:N11)</f>
        <v>0</v>
      </c>
    </row>
    <row r="14" spans="1:18">
      <c r="A14" s="1551">
        <v>9</v>
      </c>
      <c r="B14" s="3585" t="s">
        <v>5509</v>
      </c>
      <c r="C14" s="3801" t="s">
        <v>5510</v>
      </c>
      <c r="D14" s="3801"/>
      <c r="E14" s="3801"/>
      <c r="F14" s="3801"/>
      <c r="G14" s="3801"/>
      <c r="H14" s="3801"/>
      <c r="I14" s="3801"/>
      <c r="J14" s="3801"/>
      <c r="K14" s="3802"/>
      <c r="L14" s="3802"/>
      <c r="M14" s="3802"/>
      <c r="N14" s="3802"/>
    </row>
    <row r="15" spans="1:18">
      <c r="A15" s="1551">
        <v>10</v>
      </c>
      <c r="B15" s="3571"/>
      <c r="C15" s="3801" t="s">
        <v>5511</v>
      </c>
      <c r="D15" s="3801"/>
      <c r="E15" s="3801"/>
      <c r="F15" s="3801"/>
      <c r="G15" s="3801"/>
      <c r="H15" s="3801"/>
      <c r="I15" s="3801"/>
      <c r="J15" s="3801"/>
      <c r="K15" s="3802"/>
      <c r="L15" s="3802"/>
      <c r="M15" s="3802"/>
      <c r="N15" s="3802"/>
    </row>
    <row r="16" spans="1:18">
      <c r="A16" s="1551">
        <v>11</v>
      </c>
      <c r="B16" s="3571"/>
      <c r="C16" s="3801" t="s">
        <v>5512</v>
      </c>
      <c r="D16" s="3801"/>
      <c r="E16" s="3801"/>
      <c r="F16" s="3801"/>
      <c r="G16" s="3801"/>
      <c r="H16" s="3801"/>
      <c r="I16" s="3801"/>
      <c r="J16" s="3801"/>
      <c r="K16" s="3802"/>
      <c r="L16" s="3802"/>
      <c r="M16" s="3802"/>
      <c r="N16" s="3802"/>
    </row>
    <row r="17" spans="1:14">
      <c r="A17" s="3696"/>
      <c r="B17" s="3696"/>
      <c r="C17" s="3696"/>
      <c r="D17" s="3696"/>
      <c r="E17" s="3696"/>
      <c r="F17" s="3696"/>
      <c r="G17" s="3696"/>
      <c r="H17" s="3696"/>
      <c r="I17" s="3696"/>
      <c r="J17" s="3696"/>
      <c r="K17" s="3696"/>
      <c r="L17" s="3696"/>
      <c r="M17" s="3696"/>
      <c r="N17" s="3696"/>
    </row>
    <row r="18" spans="1:14">
      <c r="A18" s="3696"/>
      <c r="B18" s="3696"/>
      <c r="C18" s="3696"/>
      <c r="D18" s="3696"/>
      <c r="E18" s="3696"/>
      <c r="F18" s="3696"/>
      <c r="G18" s="3696"/>
      <c r="H18" s="3696"/>
      <c r="I18" s="3696"/>
      <c r="J18" s="3696"/>
      <c r="K18" s="3696"/>
      <c r="L18" s="3696"/>
      <c r="M18" s="3696"/>
      <c r="N18" s="3696"/>
    </row>
    <row r="19" spans="1:14">
      <c r="A19" s="3696"/>
      <c r="B19" s="3696"/>
      <c r="C19" s="3696"/>
      <c r="D19" s="3696"/>
      <c r="E19" s="3696"/>
      <c r="F19" s="3696"/>
      <c r="G19" s="3696"/>
      <c r="H19" s="3696"/>
      <c r="I19" s="3696"/>
      <c r="J19" s="3696"/>
      <c r="K19" s="3696"/>
      <c r="L19" s="3696"/>
      <c r="M19" s="3696"/>
      <c r="N19" s="3696"/>
    </row>
    <row r="20" spans="1:14">
      <c r="A20" s="3696"/>
      <c r="B20" s="3696"/>
      <c r="C20" s="3696"/>
      <c r="D20" s="3696"/>
      <c r="E20" s="3696"/>
      <c r="F20" s="3696"/>
      <c r="G20" s="3696"/>
      <c r="H20" s="3696"/>
      <c r="I20" s="3696"/>
      <c r="J20" s="3696"/>
      <c r="K20" s="3696"/>
      <c r="L20" s="3696"/>
      <c r="M20" s="3696"/>
      <c r="N20" s="3696"/>
    </row>
    <row r="21" spans="1:14">
      <c r="A21" s="3696"/>
      <c r="B21" s="3696"/>
      <c r="C21" s="3696"/>
      <c r="D21" s="3696"/>
      <c r="E21" s="3696"/>
      <c r="F21" s="3696"/>
      <c r="G21" s="3696"/>
      <c r="H21" s="3696"/>
      <c r="I21" s="3696"/>
      <c r="J21" s="3696"/>
      <c r="K21" s="3696"/>
      <c r="L21" s="3696"/>
      <c r="M21" s="3696"/>
      <c r="N21" s="3696"/>
    </row>
    <row r="22" spans="1:14">
      <c r="A22" s="3696"/>
      <c r="B22" s="3696"/>
      <c r="C22" s="3696"/>
      <c r="D22" s="3696"/>
      <c r="E22" s="3696"/>
      <c r="F22" s="3696"/>
      <c r="G22" s="3696"/>
      <c r="H22" s="3696"/>
      <c r="I22" s="3696"/>
      <c r="J22" s="3696"/>
      <c r="K22" s="3696"/>
      <c r="L22" s="3696"/>
      <c r="M22" s="3696"/>
      <c r="N22" s="3696"/>
    </row>
  </sheetData>
  <mergeCells count="27">
    <mergeCell ref="A20:N20"/>
    <mergeCell ref="A21:N21"/>
    <mergeCell ref="A3:A5"/>
    <mergeCell ref="B3:B5"/>
    <mergeCell ref="C3:C4"/>
    <mergeCell ref="D3:D4"/>
    <mergeCell ref="E3:E4"/>
    <mergeCell ref="F3:F4"/>
    <mergeCell ref="G3:L3"/>
    <mergeCell ref="M3:M4"/>
    <mergeCell ref="N3:N4"/>
    <mergeCell ref="L1:N1"/>
    <mergeCell ref="L2:N2"/>
    <mergeCell ref="A1:K2"/>
    <mergeCell ref="A22:N22"/>
    <mergeCell ref="B12:L12"/>
    <mergeCell ref="B13:M13"/>
    <mergeCell ref="B14:B16"/>
    <mergeCell ref="C14:J14"/>
    <mergeCell ref="K14:N14"/>
    <mergeCell ref="C15:J15"/>
    <mergeCell ref="K15:N15"/>
    <mergeCell ref="C16:J16"/>
    <mergeCell ref="K16:N16"/>
    <mergeCell ref="A17:N17"/>
    <mergeCell ref="A18:N18"/>
    <mergeCell ref="A19:N19"/>
  </mergeCells>
  <phoneticPr fontId="135" type="noConversion"/>
  <hyperlinks>
    <hyperlink ref="O7" location="A107050税额抵免优惠明细表!A1" display="A107050税额抵免优惠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drawing r:id="rId2"/>
  <legacyDrawing r:id="rId3"/>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5">
    <tabColor rgb="FFFFFF00"/>
    <pageSetUpPr fitToPage="1"/>
  </sheetPr>
  <dimension ref="A1:U63"/>
  <sheetViews>
    <sheetView topLeftCell="J1" workbookViewId="0">
      <selection activeCell="P3" sqref="P3:S3"/>
    </sheetView>
  </sheetViews>
  <sheetFormatPr defaultColWidth="8.75" defaultRowHeight="12.75"/>
  <cols>
    <col min="1" max="1" width="5.25" style="1627" customWidth="1"/>
    <col min="2" max="2" width="9.375" style="1627" customWidth="1"/>
    <col min="3" max="20" width="10.25" style="1627" customWidth="1"/>
    <col min="21" max="256" width="8.75" style="1627"/>
    <col min="257" max="257" width="5.25" style="1627" customWidth="1"/>
    <col min="258" max="258" width="11.875" style="1627" customWidth="1"/>
    <col min="259" max="259" width="5.25" style="1627" customWidth="1"/>
    <col min="260" max="260" width="5.875" style="1627" customWidth="1"/>
    <col min="261" max="261" width="6.25" style="1627" customWidth="1"/>
    <col min="262" max="263" width="5.25" style="1627" customWidth="1"/>
    <col min="264" max="264" width="6.125" style="1627" customWidth="1"/>
    <col min="265" max="268" width="5.25" style="1627" customWidth="1"/>
    <col min="269" max="269" width="8.125" style="1627" customWidth="1"/>
    <col min="270" max="272" width="6.125" style="1627" customWidth="1"/>
    <col min="273" max="274" width="5.25" style="1627" customWidth="1"/>
    <col min="275" max="275" width="6.625" style="1627" customWidth="1"/>
    <col min="276" max="276" width="6.125" style="1627" customWidth="1"/>
    <col min="277" max="512" width="8.75" style="1627"/>
    <col min="513" max="513" width="5.25" style="1627" customWidth="1"/>
    <col min="514" max="514" width="11.875" style="1627" customWidth="1"/>
    <col min="515" max="515" width="5.25" style="1627" customWidth="1"/>
    <col min="516" max="516" width="5.875" style="1627" customWidth="1"/>
    <col min="517" max="517" width="6.25" style="1627" customWidth="1"/>
    <col min="518" max="519" width="5.25" style="1627" customWidth="1"/>
    <col min="520" max="520" width="6.125" style="1627" customWidth="1"/>
    <col min="521" max="524" width="5.25" style="1627" customWidth="1"/>
    <col min="525" max="525" width="8.125" style="1627" customWidth="1"/>
    <col min="526" max="528" width="6.125" style="1627" customWidth="1"/>
    <col min="529" max="530" width="5.25" style="1627" customWidth="1"/>
    <col min="531" max="531" width="6.625" style="1627" customWidth="1"/>
    <col min="532" max="532" width="6.125" style="1627" customWidth="1"/>
    <col min="533" max="768" width="8.75" style="1627"/>
    <col min="769" max="769" width="5.25" style="1627" customWidth="1"/>
    <col min="770" max="770" width="11.875" style="1627" customWidth="1"/>
    <col min="771" max="771" width="5.25" style="1627" customWidth="1"/>
    <col min="772" max="772" width="5.875" style="1627" customWidth="1"/>
    <col min="773" max="773" width="6.25" style="1627" customWidth="1"/>
    <col min="774" max="775" width="5.25" style="1627" customWidth="1"/>
    <col min="776" max="776" width="6.125" style="1627" customWidth="1"/>
    <col min="777" max="780" width="5.25" style="1627" customWidth="1"/>
    <col min="781" max="781" width="8.125" style="1627" customWidth="1"/>
    <col min="782" max="784" width="6.125" style="1627" customWidth="1"/>
    <col min="785" max="786" width="5.25" style="1627" customWidth="1"/>
    <col min="787" max="787" width="6.625" style="1627" customWidth="1"/>
    <col min="788" max="788" width="6.125" style="1627" customWidth="1"/>
    <col min="789" max="1024" width="8.75" style="1627"/>
    <col min="1025" max="1025" width="5.25" style="1627" customWidth="1"/>
    <col min="1026" max="1026" width="11.875" style="1627" customWidth="1"/>
    <col min="1027" max="1027" width="5.25" style="1627" customWidth="1"/>
    <col min="1028" max="1028" width="5.875" style="1627" customWidth="1"/>
    <col min="1029" max="1029" width="6.25" style="1627" customWidth="1"/>
    <col min="1030" max="1031" width="5.25" style="1627" customWidth="1"/>
    <col min="1032" max="1032" width="6.125" style="1627" customWidth="1"/>
    <col min="1033" max="1036" width="5.25" style="1627" customWidth="1"/>
    <col min="1037" max="1037" width="8.125" style="1627" customWidth="1"/>
    <col min="1038" max="1040" width="6.125" style="1627" customWidth="1"/>
    <col min="1041" max="1042" width="5.25" style="1627" customWidth="1"/>
    <col min="1043" max="1043" width="6.625" style="1627" customWidth="1"/>
    <col min="1044" max="1044" width="6.125" style="1627" customWidth="1"/>
    <col min="1045" max="1280" width="8.75" style="1627"/>
    <col min="1281" max="1281" width="5.25" style="1627" customWidth="1"/>
    <col min="1282" max="1282" width="11.875" style="1627" customWidth="1"/>
    <col min="1283" max="1283" width="5.25" style="1627" customWidth="1"/>
    <col min="1284" max="1284" width="5.875" style="1627" customWidth="1"/>
    <col min="1285" max="1285" width="6.25" style="1627" customWidth="1"/>
    <col min="1286" max="1287" width="5.25" style="1627" customWidth="1"/>
    <col min="1288" max="1288" width="6.125" style="1627" customWidth="1"/>
    <col min="1289" max="1292" width="5.25" style="1627" customWidth="1"/>
    <col min="1293" max="1293" width="8.125" style="1627" customWidth="1"/>
    <col min="1294" max="1296" width="6.125" style="1627" customWidth="1"/>
    <col min="1297" max="1298" width="5.25" style="1627" customWidth="1"/>
    <col min="1299" max="1299" width="6.625" style="1627" customWidth="1"/>
    <col min="1300" max="1300" width="6.125" style="1627" customWidth="1"/>
    <col min="1301" max="1536" width="8.75" style="1627"/>
    <col min="1537" max="1537" width="5.25" style="1627" customWidth="1"/>
    <col min="1538" max="1538" width="11.875" style="1627" customWidth="1"/>
    <col min="1539" max="1539" width="5.25" style="1627" customWidth="1"/>
    <col min="1540" max="1540" width="5.875" style="1627" customWidth="1"/>
    <col min="1541" max="1541" width="6.25" style="1627" customWidth="1"/>
    <col min="1542" max="1543" width="5.25" style="1627" customWidth="1"/>
    <col min="1544" max="1544" width="6.125" style="1627" customWidth="1"/>
    <col min="1545" max="1548" width="5.25" style="1627" customWidth="1"/>
    <col min="1549" max="1549" width="8.125" style="1627" customWidth="1"/>
    <col min="1550" max="1552" width="6.125" style="1627" customWidth="1"/>
    <col min="1553" max="1554" width="5.25" style="1627" customWidth="1"/>
    <col min="1555" max="1555" width="6.625" style="1627" customWidth="1"/>
    <col min="1556" max="1556" width="6.125" style="1627" customWidth="1"/>
    <col min="1557" max="1792" width="8.75" style="1627"/>
    <col min="1793" max="1793" width="5.25" style="1627" customWidth="1"/>
    <col min="1794" max="1794" width="11.875" style="1627" customWidth="1"/>
    <col min="1795" max="1795" width="5.25" style="1627" customWidth="1"/>
    <col min="1796" max="1796" width="5.875" style="1627" customWidth="1"/>
    <col min="1797" max="1797" width="6.25" style="1627" customWidth="1"/>
    <col min="1798" max="1799" width="5.25" style="1627" customWidth="1"/>
    <col min="1800" max="1800" width="6.125" style="1627" customWidth="1"/>
    <col min="1801" max="1804" width="5.25" style="1627" customWidth="1"/>
    <col min="1805" max="1805" width="8.125" style="1627" customWidth="1"/>
    <col min="1806" max="1808" width="6.125" style="1627" customWidth="1"/>
    <col min="1809" max="1810" width="5.25" style="1627" customWidth="1"/>
    <col min="1811" max="1811" width="6.625" style="1627" customWidth="1"/>
    <col min="1812" max="1812" width="6.125" style="1627" customWidth="1"/>
    <col min="1813" max="2048" width="8.75" style="1627"/>
    <col min="2049" max="2049" width="5.25" style="1627" customWidth="1"/>
    <col min="2050" max="2050" width="11.875" style="1627" customWidth="1"/>
    <col min="2051" max="2051" width="5.25" style="1627" customWidth="1"/>
    <col min="2052" max="2052" width="5.875" style="1627" customWidth="1"/>
    <col min="2053" max="2053" width="6.25" style="1627" customWidth="1"/>
    <col min="2054" max="2055" width="5.25" style="1627" customWidth="1"/>
    <col min="2056" max="2056" width="6.125" style="1627" customWidth="1"/>
    <col min="2057" max="2060" width="5.25" style="1627" customWidth="1"/>
    <col min="2061" max="2061" width="8.125" style="1627" customWidth="1"/>
    <col min="2062" max="2064" width="6.125" style="1627" customWidth="1"/>
    <col min="2065" max="2066" width="5.25" style="1627" customWidth="1"/>
    <col min="2067" max="2067" width="6.625" style="1627" customWidth="1"/>
    <col min="2068" max="2068" width="6.125" style="1627" customWidth="1"/>
    <col min="2069" max="2304" width="8.75" style="1627"/>
    <col min="2305" max="2305" width="5.25" style="1627" customWidth="1"/>
    <col min="2306" max="2306" width="11.875" style="1627" customWidth="1"/>
    <col min="2307" max="2307" width="5.25" style="1627" customWidth="1"/>
    <col min="2308" max="2308" width="5.875" style="1627" customWidth="1"/>
    <col min="2309" max="2309" width="6.25" style="1627" customWidth="1"/>
    <col min="2310" max="2311" width="5.25" style="1627" customWidth="1"/>
    <col min="2312" max="2312" width="6.125" style="1627" customWidth="1"/>
    <col min="2313" max="2316" width="5.25" style="1627" customWidth="1"/>
    <col min="2317" max="2317" width="8.125" style="1627" customWidth="1"/>
    <col min="2318" max="2320" width="6.125" style="1627" customWidth="1"/>
    <col min="2321" max="2322" width="5.25" style="1627" customWidth="1"/>
    <col min="2323" max="2323" width="6.625" style="1627" customWidth="1"/>
    <col min="2324" max="2324" width="6.125" style="1627" customWidth="1"/>
    <col min="2325" max="2560" width="8.75" style="1627"/>
    <col min="2561" max="2561" width="5.25" style="1627" customWidth="1"/>
    <col min="2562" max="2562" width="11.875" style="1627" customWidth="1"/>
    <col min="2563" max="2563" width="5.25" style="1627" customWidth="1"/>
    <col min="2564" max="2564" width="5.875" style="1627" customWidth="1"/>
    <col min="2565" max="2565" width="6.25" style="1627" customWidth="1"/>
    <col min="2566" max="2567" width="5.25" style="1627" customWidth="1"/>
    <col min="2568" max="2568" width="6.125" style="1627" customWidth="1"/>
    <col min="2569" max="2572" width="5.25" style="1627" customWidth="1"/>
    <col min="2573" max="2573" width="8.125" style="1627" customWidth="1"/>
    <col min="2574" max="2576" width="6.125" style="1627" customWidth="1"/>
    <col min="2577" max="2578" width="5.25" style="1627" customWidth="1"/>
    <col min="2579" max="2579" width="6.625" style="1627" customWidth="1"/>
    <col min="2580" max="2580" width="6.125" style="1627" customWidth="1"/>
    <col min="2581" max="2816" width="8.75" style="1627"/>
    <col min="2817" max="2817" width="5.25" style="1627" customWidth="1"/>
    <col min="2818" max="2818" width="11.875" style="1627" customWidth="1"/>
    <col min="2819" max="2819" width="5.25" style="1627" customWidth="1"/>
    <col min="2820" max="2820" width="5.875" style="1627" customWidth="1"/>
    <col min="2821" max="2821" width="6.25" style="1627" customWidth="1"/>
    <col min="2822" max="2823" width="5.25" style="1627" customWidth="1"/>
    <col min="2824" max="2824" width="6.125" style="1627" customWidth="1"/>
    <col min="2825" max="2828" width="5.25" style="1627" customWidth="1"/>
    <col min="2829" max="2829" width="8.125" style="1627" customWidth="1"/>
    <col min="2830" max="2832" width="6.125" style="1627" customWidth="1"/>
    <col min="2833" max="2834" width="5.25" style="1627" customWidth="1"/>
    <col min="2835" max="2835" width="6.625" style="1627" customWidth="1"/>
    <col min="2836" max="2836" width="6.125" style="1627" customWidth="1"/>
    <col min="2837" max="3072" width="8.75" style="1627"/>
    <col min="3073" max="3073" width="5.25" style="1627" customWidth="1"/>
    <col min="3074" max="3074" width="11.875" style="1627" customWidth="1"/>
    <col min="3075" max="3075" width="5.25" style="1627" customWidth="1"/>
    <col min="3076" max="3076" width="5.875" style="1627" customWidth="1"/>
    <col min="3077" max="3077" width="6.25" style="1627" customWidth="1"/>
    <col min="3078" max="3079" width="5.25" style="1627" customWidth="1"/>
    <col min="3080" max="3080" width="6.125" style="1627" customWidth="1"/>
    <col min="3081" max="3084" width="5.25" style="1627" customWidth="1"/>
    <col min="3085" max="3085" width="8.125" style="1627" customWidth="1"/>
    <col min="3086" max="3088" width="6.125" style="1627" customWidth="1"/>
    <col min="3089" max="3090" width="5.25" style="1627" customWidth="1"/>
    <col min="3091" max="3091" width="6.625" style="1627" customWidth="1"/>
    <col min="3092" max="3092" width="6.125" style="1627" customWidth="1"/>
    <col min="3093" max="3328" width="8.75" style="1627"/>
    <col min="3329" max="3329" width="5.25" style="1627" customWidth="1"/>
    <col min="3330" max="3330" width="11.875" style="1627" customWidth="1"/>
    <col min="3331" max="3331" width="5.25" style="1627" customWidth="1"/>
    <col min="3332" max="3332" width="5.875" style="1627" customWidth="1"/>
    <col min="3333" max="3333" width="6.25" style="1627" customWidth="1"/>
    <col min="3334" max="3335" width="5.25" style="1627" customWidth="1"/>
    <col min="3336" max="3336" width="6.125" style="1627" customWidth="1"/>
    <col min="3337" max="3340" width="5.25" style="1627" customWidth="1"/>
    <col min="3341" max="3341" width="8.125" style="1627" customWidth="1"/>
    <col min="3342" max="3344" width="6.125" style="1627" customWidth="1"/>
    <col min="3345" max="3346" width="5.25" style="1627" customWidth="1"/>
    <col min="3347" max="3347" width="6.625" style="1627" customWidth="1"/>
    <col min="3348" max="3348" width="6.125" style="1627" customWidth="1"/>
    <col min="3349" max="3584" width="8.75" style="1627"/>
    <col min="3585" max="3585" width="5.25" style="1627" customWidth="1"/>
    <col min="3586" max="3586" width="11.875" style="1627" customWidth="1"/>
    <col min="3587" max="3587" width="5.25" style="1627" customWidth="1"/>
    <col min="3588" max="3588" width="5.875" style="1627" customWidth="1"/>
    <col min="3589" max="3589" width="6.25" style="1627" customWidth="1"/>
    <col min="3590" max="3591" width="5.25" style="1627" customWidth="1"/>
    <col min="3592" max="3592" width="6.125" style="1627" customWidth="1"/>
    <col min="3593" max="3596" width="5.25" style="1627" customWidth="1"/>
    <col min="3597" max="3597" width="8.125" style="1627" customWidth="1"/>
    <col min="3598" max="3600" width="6.125" style="1627" customWidth="1"/>
    <col min="3601" max="3602" width="5.25" style="1627" customWidth="1"/>
    <col min="3603" max="3603" width="6.625" style="1627" customWidth="1"/>
    <col min="3604" max="3604" width="6.125" style="1627" customWidth="1"/>
    <col min="3605" max="3840" width="8.75" style="1627"/>
    <col min="3841" max="3841" width="5.25" style="1627" customWidth="1"/>
    <col min="3842" max="3842" width="11.875" style="1627" customWidth="1"/>
    <col min="3843" max="3843" width="5.25" style="1627" customWidth="1"/>
    <col min="3844" max="3844" width="5.875" style="1627" customWidth="1"/>
    <col min="3845" max="3845" width="6.25" style="1627" customWidth="1"/>
    <col min="3846" max="3847" width="5.25" style="1627" customWidth="1"/>
    <col min="3848" max="3848" width="6.125" style="1627" customWidth="1"/>
    <col min="3849" max="3852" width="5.25" style="1627" customWidth="1"/>
    <col min="3853" max="3853" width="8.125" style="1627" customWidth="1"/>
    <col min="3854" max="3856" width="6.125" style="1627" customWidth="1"/>
    <col min="3857" max="3858" width="5.25" style="1627" customWidth="1"/>
    <col min="3859" max="3859" width="6.625" style="1627" customWidth="1"/>
    <col min="3860" max="3860" width="6.125" style="1627" customWidth="1"/>
    <col min="3861" max="4096" width="8.75" style="1627"/>
    <col min="4097" max="4097" width="5.25" style="1627" customWidth="1"/>
    <col min="4098" max="4098" width="11.875" style="1627" customWidth="1"/>
    <col min="4099" max="4099" width="5.25" style="1627" customWidth="1"/>
    <col min="4100" max="4100" width="5.875" style="1627" customWidth="1"/>
    <col min="4101" max="4101" width="6.25" style="1627" customWidth="1"/>
    <col min="4102" max="4103" width="5.25" style="1627" customWidth="1"/>
    <col min="4104" max="4104" width="6.125" style="1627" customWidth="1"/>
    <col min="4105" max="4108" width="5.25" style="1627" customWidth="1"/>
    <col min="4109" max="4109" width="8.125" style="1627" customWidth="1"/>
    <col min="4110" max="4112" width="6.125" style="1627" customWidth="1"/>
    <col min="4113" max="4114" width="5.25" style="1627" customWidth="1"/>
    <col min="4115" max="4115" width="6.625" style="1627" customWidth="1"/>
    <col min="4116" max="4116" width="6.125" style="1627" customWidth="1"/>
    <col min="4117" max="4352" width="8.75" style="1627"/>
    <col min="4353" max="4353" width="5.25" style="1627" customWidth="1"/>
    <col min="4354" max="4354" width="11.875" style="1627" customWidth="1"/>
    <col min="4355" max="4355" width="5.25" style="1627" customWidth="1"/>
    <col min="4356" max="4356" width="5.875" style="1627" customWidth="1"/>
    <col min="4357" max="4357" width="6.25" style="1627" customWidth="1"/>
    <col min="4358" max="4359" width="5.25" style="1627" customWidth="1"/>
    <col min="4360" max="4360" width="6.125" style="1627" customWidth="1"/>
    <col min="4361" max="4364" width="5.25" style="1627" customWidth="1"/>
    <col min="4365" max="4365" width="8.125" style="1627" customWidth="1"/>
    <col min="4366" max="4368" width="6.125" style="1627" customWidth="1"/>
    <col min="4369" max="4370" width="5.25" style="1627" customWidth="1"/>
    <col min="4371" max="4371" width="6.625" style="1627" customWidth="1"/>
    <col min="4372" max="4372" width="6.125" style="1627" customWidth="1"/>
    <col min="4373" max="4608" width="8.75" style="1627"/>
    <col min="4609" max="4609" width="5.25" style="1627" customWidth="1"/>
    <col min="4610" max="4610" width="11.875" style="1627" customWidth="1"/>
    <col min="4611" max="4611" width="5.25" style="1627" customWidth="1"/>
    <col min="4612" max="4612" width="5.875" style="1627" customWidth="1"/>
    <col min="4613" max="4613" width="6.25" style="1627" customWidth="1"/>
    <col min="4614" max="4615" width="5.25" style="1627" customWidth="1"/>
    <col min="4616" max="4616" width="6.125" style="1627" customWidth="1"/>
    <col min="4617" max="4620" width="5.25" style="1627" customWidth="1"/>
    <col min="4621" max="4621" width="8.125" style="1627" customWidth="1"/>
    <col min="4622" max="4624" width="6.125" style="1627" customWidth="1"/>
    <col min="4625" max="4626" width="5.25" style="1627" customWidth="1"/>
    <col min="4627" max="4627" width="6.625" style="1627" customWidth="1"/>
    <col min="4628" max="4628" width="6.125" style="1627" customWidth="1"/>
    <col min="4629" max="4864" width="8.75" style="1627"/>
    <col min="4865" max="4865" width="5.25" style="1627" customWidth="1"/>
    <col min="4866" max="4866" width="11.875" style="1627" customWidth="1"/>
    <col min="4867" max="4867" width="5.25" style="1627" customWidth="1"/>
    <col min="4868" max="4868" width="5.875" style="1627" customWidth="1"/>
    <col min="4869" max="4869" width="6.25" style="1627" customWidth="1"/>
    <col min="4870" max="4871" width="5.25" style="1627" customWidth="1"/>
    <col min="4872" max="4872" width="6.125" style="1627" customWidth="1"/>
    <col min="4873" max="4876" width="5.25" style="1627" customWidth="1"/>
    <col min="4877" max="4877" width="8.125" style="1627" customWidth="1"/>
    <col min="4878" max="4880" width="6.125" style="1627" customWidth="1"/>
    <col min="4881" max="4882" width="5.25" style="1627" customWidth="1"/>
    <col min="4883" max="4883" width="6.625" style="1627" customWidth="1"/>
    <col min="4884" max="4884" width="6.125" style="1627" customWidth="1"/>
    <col min="4885" max="5120" width="8.75" style="1627"/>
    <col min="5121" max="5121" width="5.25" style="1627" customWidth="1"/>
    <col min="5122" max="5122" width="11.875" style="1627" customWidth="1"/>
    <col min="5123" max="5123" width="5.25" style="1627" customWidth="1"/>
    <col min="5124" max="5124" width="5.875" style="1627" customWidth="1"/>
    <col min="5125" max="5125" width="6.25" style="1627" customWidth="1"/>
    <col min="5126" max="5127" width="5.25" style="1627" customWidth="1"/>
    <col min="5128" max="5128" width="6.125" style="1627" customWidth="1"/>
    <col min="5129" max="5132" width="5.25" style="1627" customWidth="1"/>
    <col min="5133" max="5133" width="8.125" style="1627" customWidth="1"/>
    <col min="5134" max="5136" width="6.125" style="1627" customWidth="1"/>
    <col min="5137" max="5138" width="5.25" style="1627" customWidth="1"/>
    <col min="5139" max="5139" width="6.625" style="1627" customWidth="1"/>
    <col min="5140" max="5140" width="6.125" style="1627" customWidth="1"/>
    <col min="5141" max="5376" width="8.75" style="1627"/>
    <col min="5377" max="5377" width="5.25" style="1627" customWidth="1"/>
    <col min="5378" max="5378" width="11.875" style="1627" customWidth="1"/>
    <col min="5379" max="5379" width="5.25" style="1627" customWidth="1"/>
    <col min="5380" max="5380" width="5.875" style="1627" customWidth="1"/>
    <col min="5381" max="5381" width="6.25" style="1627" customWidth="1"/>
    <col min="5382" max="5383" width="5.25" style="1627" customWidth="1"/>
    <col min="5384" max="5384" width="6.125" style="1627" customWidth="1"/>
    <col min="5385" max="5388" width="5.25" style="1627" customWidth="1"/>
    <col min="5389" max="5389" width="8.125" style="1627" customWidth="1"/>
    <col min="5390" max="5392" width="6.125" style="1627" customWidth="1"/>
    <col min="5393" max="5394" width="5.25" style="1627" customWidth="1"/>
    <col min="5395" max="5395" width="6.625" style="1627" customWidth="1"/>
    <col min="5396" max="5396" width="6.125" style="1627" customWidth="1"/>
    <col min="5397" max="5632" width="8.75" style="1627"/>
    <col min="5633" max="5633" width="5.25" style="1627" customWidth="1"/>
    <col min="5634" max="5634" width="11.875" style="1627" customWidth="1"/>
    <col min="5635" max="5635" width="5.25" style="1627" customWidth="1"/>
    <col min="5636" max="5636" width="5.875" style="1627" customWidth="1"/>
    <col min="5637" max="5637" width="6.25" style="1627" customWidth="1"/>
    <col min="5638" max="5639" width="5.25" style="1627" customWidth="1"/>
    <col min="5640" max="5640" width="6.125" style="1627" customWidth="1"/>
    <col min="5641" max="5644" width="5.25" style="1627" customWidth="1"/>
    <col min="5645" max="5645" width="8.125" style="1627" customWidth="1"/>
    <col min="5646" max="5648" width="6.125" style="1627" customWidth="1"/>
    <col min="5649" max="5650" width="5.25" style="1627" customWidth="1"/>
    <col min="5651" max="5651" width="6.625" style="1627" customWidth="1"/>
    <col min="5652" max="5652" width="6.125" style="1627" customWidth="1"/>
    <col min="5653" max="5888" width="8.75" style="1627"/>
    <col min="5889" max="5889" width="5.25" style="1627" customWidth="1"/>
    <col min="5890" max="5890" width="11.875" style="1627" customWidth="1"/>
    <col min="5891" max="5891" width="5.25" style="1627" customWidth="1"/>
    <col min="5892" max="5892" width="5.875" style="1627" customWidth="1"/>
    <col min="5893" max="5893" width="6.25" style="1627" customWidth="1"/>
    <col min="5894" max="5895" width="5.25" style="1627" customWidth="1"/>
    <col min="5896" max="5896" width="6.125" style="1627" customWidth="1"/>
    <col min="5897" max="5900" width="5.25" style="1627" customWidth="1"/>
    <col min="5901" max="5901" width="8.125" style="1627" customWidth="1"/>
    <col min="5902" max="5904" width="6.125" style="1627" customWidth="1"/>
    <col min="5905" max="5906" width="5.25" style="1627" customWidth="1"/>
    <col min="5907" max="5907" width="6.625" style="1627" customWidth="1"/>
    <col min="5908" max="5908" width="6.125" style="1627" customWidth="1"/>
    <col min="5909" max="6144" width="8.75" style="1627"/>
    <col min="6145" max="6145" width="5.25" style="1627" customWidth="1"/>
    <col min="6146" max="6146" width="11.875" style="1627" customWidth="1"/>
    <col min="6147" max="6147" width="5.25" style="1627" customWidth="1"/>
    <col min="6148" max="6148" width="5.875" style="1627" customWidth="1"/>
    <col min="6149" max="6149" width="6.25" style="1627" customWidth="1"/>
    <col min="6150" max="6151" width="5.25" style="1627" customWidth="1"/>
    <col min="6152" max="6152" width="6.125" style="1627" customWidth="1"/>
    <col min="6153" max="6156" width="5.25" style="1627" customWidth="1"/>
    <col min="6157" max="6157" width="8.125" style="1627" customWidth="1"/>
    <col min="6158" max="6160" width="6.125" style="1627" customWidth="1"/>
    <col min="6161" max="6162" width="5.25" style="1627" customWidth="1"/>
    <col min="6163" max="6163" width="6.625" style="1627" customWidth="1"/>
    <col min="6164" max="6164" width="6.125" style="1627" customWidth="1"/>
    <col min="6165" max="6400" width="8.75" style="1627"/>
    <col min="6401" max="6401" width="5.25" style="1627" customWidth="1"/>
    <col min="6402" max="6402" width="11.875" style="1627" customWidth="1"/>
    <col min="6403" max="6403" width="5.25" style="1627" customWidth="1"/>
    <col min="6404" max="6404" width="5.875" style="1627" customWidth="1"/>
    <col min="6405" max="6405" width="6.25" style="1627" customWidth="1"/>
    <col min="6406" max="6407" width="5.25" style="1627" customWidth="1"/>
    <col min="6408" max="6408" width="6.125" style="1627" customWidth="1"/>
    <col min="6409" max="6412" width="5.25" style="1627" customWidth="1"/>
    <col min="6413" max="6413" width="8.125" style="1627" customWidth="1"/>
    <col min="6414" max="6416" width="6.125" style="1627" customWidth="1"/>
    <col min="6417" max="6418" width="5.25" style="1627" customWidth="1"/>
    <col min="6419" max="6419" width="6.625" style="1627" customWidth="1"/>
    <col min="6420" max="6420" width="6.125" style="1627" customWidth="1"/>
    <col min="6421" max="6656" width="8.75" style="1627"/>
    <col min="6657" max="6657" width="5.25" style="1627" customWidth="1"/>
    <col min="6658" max="6658" width="11.875" style="1627" customWidth="1"/>
    <col min="6659" max="6659" width="5.25" style="1627" customWidth="1"/>
    <col min="6660" max="6660" width="5.875" style="1627" customWidth="1"/>
    <col min="6661" max="6661" width="6.25" style="1627" customWidth="1"/>
    <col min="6662" max="6663" width="5.25" style="1627" customWidth="1"/>
    <col min="6664" max="6664" width="6.125" style="1627" customWidth="1"/>
    <col min="6665" max="6668" width="5.25" style="1627" customWidth="1"/>
    <col min="6669" max="6669" width="8.125" style="1627" customWidth="1"/>
    <col min="6670" max="6672" width="6.125" style="1627" customWidth="1"/>
    <col min="6673" max="6674" width="5.25" style="1627" customWidth="1"/>
    <col min="6675" max="6675" width="6.625" style="1627" customWidth="1"/>
    <col min="6676" max="6676" width="6.125" style="1627" customWidth="1"/>
    <col min="6677" max="6912" width="8.75" style="1627"/>
    <col min="6913" max="6913" width="5.25" style="1627" customWidth="1"/>
    <col min="6914" max="6914" width="11.875" style="1627" customWidth="1"/>
    <col min="6915" max="6915" width="5.25" style="1627" customWidth="1"/>
    <col min="6916" max="6916" width="5.875" style="1627" customWidth="1"/>
    <col min="6917" max="6917" width="6.25" style="1627" customWidth="1"/>
    <col min="6918" max="6919" width="5.25" style="1627" customWidth="1"/>
    <col min="6920" max="6920" width="6.125" style="1627" customWidth="1"/>
    <col min="6921" max="6924" width="5.25" style="1627" customWidth="1"/>
    <col min="6925" max="6925" width="8.125" style="1627" customWidth="1"/>
    <col min="6926" max="6928" width="6.125" style="1627" customWidth="1"/>
    <col min="6929" max="6930" width="5.25" style="1627" customWidth="1"/>
    <col min="6931" max="6931" width="6.625" style="1627" customWidth="1"/>
    <col min="6932" max="6932" width="6.125" style="1627" customWidth="1"/>
    <col min="6933" max="7168" width="8.75" style="1627"/>
    <col min="7169" max="7169" width="5.25" style="1627" customWidth="1"/>
    <col min="7170" max="7170" width="11.875" style="1627" customWidth="1"/>
    <col min="7171" max="7171" width="5.25" style="1627" customWidth="1"/>
    <col min="7172" max="7172" width="5.875" style="1627" customWidth="1"/>
    <col min="7173" max="7173" width="6.25" style="1627" customWidth="1"/>
    <col min="7174" max="7175" width="5.25" style="1627" customWidth="1"/>
    <col min="7176" max="7176" width="6.125" style="1627" customWidth="1"/>
    <col min="7177" max="7180" width="5.25" style="1627" customWidth="1"/>
    <col min="7181" max="7181" width="8.125" style="1627" customWidth="1"/>
    <col min="7182" max="7184" width="6.125" style="1627" customWidth="1"/>
    <col min="7185" max="7186" width="5.25" style="1627" customWidth="1"/>
    <col min="7187" max="7187" width="6.625" style="1627" customWidth="1"/>
    <col min="7188" max="7188" width="6.125" style="1627" customWidth="1"/>
    <col min="7189" max="7424" width="8.75" style="1627"/>
    <col min="7425" max="7425" width="5.25" style="1627" customWidth="1"/>
    <col min="7426" max="7426" width="11.875" style="1627" customWidth="1"/>
    <col min="7427" max="7427" width="5.25" style="1627" customWidth="1"/>
    <col min="7428" max="7428" width="5.875" style="1627" customWidth="1"/>
    <col min="7429" max="7429" width="6.25" style="1627" customWidth="1"/>
    <col min="7430" max="7431" width="5.25" style="1627" customWidth="1"/>
    <col min="7432" max="7432" width="6.125" style="1627" customWidth="1"/>
    <col min="7433" max="7436" width="5.25" style="1627" customWidth="1"/>
    <col min="7437" max="7437" width="8.125" style="1627" customWidth="1"/>
    <col min="7438" max="7440" width="6.125" style="1627" customWidth="1"/>
    <col min="7441" max="7442" width="5.25" style="1627" customWidth="1"/>
    <col min="7443" max="7443" width="6.625" style="1627" customWidth="1"/>
    <col min="7444" max="7444" width="6.125" style="1627" customWidth="1"/>
    <col min="7445" max="7680" width="8.75" style="1627"/>
    <col min="7681" max="7681" width="5.25" style="1627" customWidth="1"/>
    <col min="7682" max="7682" width="11.875" style="1627" customWidth="1"/>
    <col min="7683" max="7683" width="5.25" style="1627" customWidth="1"/>
    <col min="7684" max="7684" width="5.875" style="1627" customWidth="1"/>
    <col min="7685" max="7685" width="6.25" style="1627" customWidth="1"/>
    <col min="7686" max="7687" width="5.25" style="1627" customWidth="1"/>
    <col min="7688" max="7688" width="6.125" style="1627" customWidth="1"/>
    <col min="7689" max="7692" width="5.25" style="1627" customWidth="1"/>
    <col min="7693" max="7693" width="8.125" style="1627" customWidth="1"/>
    <col min="7694" max="7696" width="6.125" style="1627" customWidth="1"/>
    <col min="7697" max="7698" width="5.25" style="1627" customWidth="1"/>
    <col min="7699" max="7699" width="6.625" style="1627" customWidth="1"/>
    <col min="7700" max="7700" width="6.125" style="1627" customWidth="1"/>
    <col min="7701" max="7936" width="8.75" style="1627"/>
    <col min="7937" max="7937" width="5.25" style="1627" customWidth="1"/>
    <col min="7938" max="7938" width="11.875" style="1627" customWidth="1"/>
    <col min="7939" max="7939" width="5.25" style="1627" customWidth="1"/>
    <col min="7940" max="7940" width="5.875" style="1627" customWidth="1"/>
    <col min="7941" max="7941" width="6.25" style="1627" customWidth="1"/>
    <col min="7942" max="7943" width="5.25" style="1627" customWidth="1"/>
    <col min="7944" max="7944" width="6.125" style="1627" customWidth="1"/>
    <col min="7945" max="7948" width="5.25" style="1627" customWidth="1"/>
    <col min="7949" max="7949" width="8.125" style="1627" customWidth="1"/>
    <col min="7950" max="7952" width="6.125" style="1627" customWidth="1"/>
    <col min="7953" max="7954" width="5.25" style="1627" customWidth="1"/>
    <col min="7955" max="7955" width="6.625" style="1627" customWidth="1"/>
    <col min="7956" max="7956" width="6.125" style="1627" customWidth="1"/>
    <col min="7957" max="8192" width="8.75" style="1627"/>
    <col min="8193" max="8193" width="5.25" style="1627" customWidth="1"/>
    <col min="8194" max="8194" width="11.875" style="1627" customWidth="1"/>
    <col min="8195" max="8195" width="5.25" style="1627" customWidth="1"/>
    <col min="8196" max="8196" width="5.875" style="1627" customWidth="1"/>
    <col min="8197" max="8197" width="6.25" style="1627" customWidth="1"/>
    <col min="8198" max="8199" width="5.25" style="1627" customWidth="1"/>
    <col min="8200" max="8200" width="6.125" style="1627" customWidth="1"/>
    <col min="8201" max="8204" width="5.25" style="1627" customWidth="1"/>
    <col min="8205" max="8205" width="8.125" style="1627" customWidth="1"/>
    <col min="8206" max="8208" width="6.125" style="1627" customWidth="1"/>
    <col min="8209" max="8210" width="5.25" style="1627" customWidth="1"/>
    <col min="8211" max="8211" width="6.625" style="1627" customWidth="1"/>
    <col min="8212" max="8212" width="6.125" style="1627" customWidth="1"/>
    <col min="8213" max="8448" width="8.75" style="1627"/>
    <col min="8449" max="8449" width="5.25" style="1627" customWidth="1"/>
    <col min="8450" max="8450" width="11.875" style="1627" customWidth="1"/>
    <col min="8451" max="8451" width="5.25" style="1627" customWidth="1"/>
    <col min="8452" max="8452" width="5.875" style="1627" customWidth="1"/>
    <col min="8453" max="8453" width="6.25" style="1627" customWidth="1"/>
    <col min="8454" max="8455" width="5.25" style="1627" customWidth="1"/>
    <col min="8456" max="8456" width="6.125" style="1627" customWidth="1"/>
    <col min="8457" max="8460" width="5.25" style="1627" customWidth="1"/>
    <col min="8461" max="8461" width="8.125" style="1627" customWidth="1"/>
    <col min="8462" max="8464" width="6.125" style="1627" customWidth="1"/>
    <col min="8465" max="8466" width="5.25" style="1627" customWidth="1"/>
    <col min="8467" max="8467" width="6.625" style="1627" customWidth="1"/>
    <col min="8468" max="8468" width="6.125" style="1627" customWidth="1"/>
    <col min="8469" max="8704" width="8.75" style="1627"/>
    <col min="8705" max="8705" width="5.25" style="1627" customWidth="1"/>
    <col min="8706" max="8706" width="11.875" style="1627" customWidth="1"/>
    <col min="8707" max="8707" width="5.25" style="1627" customWidth="1"/>
    <col min="8708" max="8708" width="5.875" style="1627" customWidth="1"/>
    <col min="8709" max="8709" width="6.25" style="1627" customWidth="1"/>
    <col min="8710" max="8711" width="5.25" style="1627" customWidth="1"/>
    <col min="8712" max="8712" width="6.125" style="1627" customWidth="1"/>
    <col min="8713" max="8716" width="5.25" style="1627" customWidth="1"/>
    <col min="8717" max="8717" width="8.125" style="1627" customWidth="1"/>
    <col min="8718" max="8720" width="6.125" style="1627" customWidth="1"/>
    <col min="8721" max="8722" width="5.25" style="1627" customWidth="1"/>
    <col min="8723" max="8723" width="6.625" style="1627" customWidth="1"/>
    <col min="8724" max="8724" width="6.125" style="1627" customWidth="1"/>
    <col min="8725" max="8960" width="8.75" style="1627"/>
    <col min="8961" max="8961" width="5.25" style="1627" customWidth="1"/>
    <col min="8962" max="8962" width="11.875" style="1627" customWidth="1"/>
    <col min="8963" max="8963" width="5.25" style="1627" customWidth="1"/>
    <col min="8964" max="8964" width="5.875" style="1627" customWidth="1"/>
    <col min="8965" max="8965" width="6.25" style="1627" customWidth="1"/>
    <col min="8966" max="8967" width="5.25" style="1627" customWidth="1"/>
    <col min="8968" max="8968" width="6.125" style="1627" customWidth="1"/>
    <col min="8969" max="8972" width="5.25" style="1627" customWidth="1"/>
    <col min="8973" max="8973" width="8.125" style="1627" customWidth="1"/>
    <col min="8974" max="8976" width="6.125" style="1627" customWidth="1"/>
    <col min="8977" max="8978" width="5.25" style="1627" customWidth="1"/>
    <col min="8979" max="8979" width="6.625" style="1627" customWidth="1"/>
    <col min="8980" max="8980" width="6.125" style="1627" customWidth="1"/>
    <col min="8981" max="9216" width="8.75" style="1627"/>
    <col min="9217" max="9217" width="5.25" style="1627" customWidth="1"/>
    <col min="9218" max="9218" width="11.875" style="1627" customWidth="1"/>
    <col min="9219" max="9219" width="5.25" style="1627" customWidth="1"/>
    <col min="9220" max="9220" width="5.875" style="1627" customWidth="1"/>
    <col min="9221" max="9221" width="6.25" style="1627" customWidth="1"/>
    <col min="9222" max="9223" width="5.25" style="1627" customWidth="1"/>
    <col min="9224" max="9224" width="6.125" style="1627" customWidth="1"/>
    <col min="9225" max="9228" width="5.25" style="1627" customWidth="1"/>
    <col min="9229" max="9229" width="8.125" style="1627" customWidth="1"/>
    <col min="9230" max="9232" width="6.125" style="1627" customWidth="1"/>
    <col min="9233" max="9234" width="5.25" style="1627" customWidth="1"/>
    <col min="9235" max="9235" width="6.625" style="1627" customWidth="1"/>
    <col min="9236" max="9236" width="6.125" style="1627" customWidth="1"/>
    <col min="9237" max="9472" width="8.75" style="1627"/>
    <col min="9473" max="9473" width="5.25" style="1627" customWidth="1"/>
    <col min="9474" max="9474" width="11.875" style="1627" customWidth="1"/>
    <col min="9475" max="9475" width="5.25" style="1627" customWidth="1"/>
    <col min="9476" max="9476" width="5.875" style="1627" customWidth="1"/>
    <col min="9477" max="9477" width="6.25" style="1627" customWidth="1"/>
    <col min="9478" max="9479" width="5.25" style="1627" customWidth="1"/>
    <col min="9480" max="9480" width="6.125" style="1627" customWidth="1"/>
    <col min="9481" max="9484" width="5.25" style="1627" customWidth="1"/>
    <col min="9485" max="9485" width="8.125" style="1627" customWidth="1"/>
    <col min="9486" max="9488" width="6.125" style="1627" customWidth="1"/>
    <col min="9489" max="9490" width="5.25" style="1627" customWidth="1"/>
    <col min="9491" max="9491" width="6.625" style="1627" customWidth="1"/>
    <col min="9492" max="9492" width="6.125" style="1627" customWidth="1"/>
    <col min="9493" max="9728" width="8.75" style="1627"/>
    <col min="9729" max="9729" width="5.25" style="1627" customWidth="1"/>
    <col min="9730" max="9730" width="11.875" style="1627" customWidth="1"/>
    <col min="9731" max="9731" width="5.25" style="1627" customWidth="1"/>
    <col min="9732" max="9732" width="5.875" style="1627" customWidth="1"/>
    <col min="9733" max="9733" width="6.25" style="1627" customWidth="1"/>
    <col min="9734" max="9735" width="5.25" style="1627" customWidth="1"/>
    <col min="9736" max="9736" width="6.125" style="1627" customWidth="1"/>
    <col min="9737" max="9740" width="5.25" style="1627" customWidth="1"/>
    <col min="9741" max="9741" width="8.125" style="1627" customWidth="1"/>
    <col min="9742" max="9744" width="6.125" style="1627" customWidth="1"/>
    <col min="9745" max="9746" width="5.25" style="1627" customWidth="1"/>
    <col min="9747" max="9747" width="6.625" style="1627" customWidth="1"/>
    <col min="9748" max="9748" width="6.125" style="1627" customWidth="1"/>
    <col min="9749" max="9984" width="8.75" style="1627"/>
    <col min="9985" max="9985" width="5.25" style="1627" customWidth="1"/>
    <col min="9986" max="9986" width="11.875" style="1627" customWidth="1"/>
    <col min="9987" max="9987" width="5.25" style="1627" customWidth="1"/>
    <col min="9988" max="9988" width="5.875" style="1627" customWidth="1"/>
    <col min="9989" max="9989" width="6.25" style="1627" customWidth="1"/>
    <col min="9990" max="9991" width="5.25" style="1627" customWidth="1"/>
    <col min="9992" max="9992" width="6.125" style="1627" customWidth="1"/>
    <col min="9993" max="9996" width="5.25" style="1627" customWidth="1"/>
    <col min="9997" max="9997" width="8.125" style="1627" customWidth="1"/>
    <col min="9998" max="10000" width="6.125" style="1627" customWidth="1"/>
    <col min="10001" max="10002" width="5.25" style="1627" customWidth="1"/>
    <col min="10003" max="10003" width="6.625" style="1627" customWidth="1"/>
    <col min="10004" max="10004" width="6.125" style="1627" customWidth="1"/>
    <col min="10005" max="10240" width="8.75" style="1627"/>
    <col min="10241" max="10241" width="5.25" style="1627" customWidth="1"/>
    <col min="10242" max="10242" width="11.875" style="1627" customWidth="1"/>
    <col min="10243" max="10243" width="5.25" style="1627" customWidth="1"/>
    <col min="10244" max="10244" width="5.875" style="1627" customWidth="1"/>
    <col min="10245" max="10245" width="6.25" style="1627" customWidth="1"/>
    <col min="10246" max="10247" width="5.25" style="1627" customWidth="1"/>
    <col min="10248" max="10248" width="6.125" style="1627" customWidth="1"/>
    <col min="10249" max="10252" width="5.25" style="1627" customWidth="1"/>
    <col min="10253" max="10253" width="8.125" style="1627" customWidth="1"/>
    <col min="10254" max="10256" width="6.125" style="1627" customWidth="1"/>
    <col min="10257" max="10258" width="5.25" style="1627" customWidth="1"/>
    <col min="10259" max="10259" width="6.625" style="1627" customWidth="1"/>
    <col min="10260" max="10260" width="6.125" style="1627" customWidth="1"/>
    <col min="10261" max="10496" width="8.75" style="1627"/>
    <col min="10497" max="10497" width="5.25" style="1627" customWidth="1"/>
    <col min="10498" max="10498" width="11.875" style="1627" customWidth="1"/>
    <col min="10499" max="10499" width="5.25" style="1627" customWidth="1"/>
    <col min="10500" max="10500" width="5.875" style="1627" customWidth="1"/>
    <col min="10501" max="10501" width="6.25" style="1627" customWidth="1"/>
    <col min="10502" max="10503" width="5.25" style="1627" customWidth="1"/>
    <col min="10504" max="10504" width="6.125" style="1627" customWidth="1"/>
    <col min="10505" max="10508" width="5.25" style="1627" customWidth="1"/>
    <col min="10509" max="10509" width="8.125" style="1627" customWidth="1"/>
    <col min="10510" max="10512" width="6.125" style="1627" customWidth="1"/>
    <col min="10513" max="10514" width="5.25" style="1627" customWidth="1"/>
    <col min="10515" max="10515" width="6.625" style="1627" customWidth="1"/>
    <col min="10516" max="10516" width="6.125" style="1627" customWidth="1"/>
    <col min="10517" max="10752" width="8.75" style="1627"/>
    <col min="10753" max="10753" width="5.25" style="1627" customWidth="1"/>
    <col min="10754" max="10754" width="11.875" style="1627" customWidth="1"/>
    <col min="10755" max="10755" width="5.25" style="1627" customWidth="1"/>
    <col min="10756" max="10756" width="5.875" style="1627" customWidth="1"/>
    <col min="10757" max="10757" width="6.25" style="1627" customWidth="1"/>
    <col min="10758" max="10759" width="5.25" style="1627" customWidth="1"/>
    <col min="10760" max="10760" width="6.125" style="1627" customWidth="1"/>
    <col min="10761" max="10764" width="5.25" style="1627" customWidth="1"/>
    <col min="10765" max="10765" width="8.125" style="1627" customWidth="1"/>
    <col min="10766" max="10768" width="6.125" style="1627" customWidth="1"/>
    <col min="10769" max="10770" width="5.25" style="1627" customWidth="1"/>
    <col min="10771" max="10771" width="6.625" style="1627" customWidth="1"/>
    <col min="10772" max="10772" width="6.125" style="1627" customWidth="1"/>
    <col min="10773" max="11008" width="8.75" style="1627"/>
    <col min="11009" max="11009" width="5.25" style="1627" customWidth="1"/>
    <col min="11010" max="11010" width="11.875" style="1627" customWidth="1"/>
    <col min="11011" max="11011" width="5.25" style="1627" customWidth="1"/>
    <col min="11012" max="11012" width="5.875" style="1627" customWidth="1"/>
    <col min="11013" max="11013" width="6.25" style="1627" customWidth="1"/>
    <col min="11014" max="11015" width="5.25" style="1627" customWidth="1"/>
    <col min="11016" max="11016" width="6.125" style="1627" customWidth="1"/>
    <col min="11017" max="11020" width="5.25" style="1627" customWidth="1"/>
    <col min="11021" max="11021" width="8.125" style="1627" customWidth="1"/>
    <col min="11022" max="11024" width="6.125" style="1627" customWidth="1"/>
    <col min="11025" max="11026" width="5.25" style="1627" customWidth="1"/>
    <col min="11027" max="11027" width="6.625" style="1627" customWidth="1"/>
    <col min="11028" max="11028" width="6.125" style="1627" customWidth="1"/>
    <col min="11029" max="11264" width="8.75" style="1627"/>
    <col min="11265" max="11265" width="5.25" style="1627" customWidth="1"/>
    <col min="11266" max="11266" width="11.875" style="1627" customWidth="1"/>
    <col min="11267" max="11267" width="5.25" style="1627" customWidth="1"/>
    <col min="11268" max="11268" width="5.875" style="1627" customWidth="1"/>
    <col min="11269" max="11269" width="6.25" style="1627" customWidth="1"/>
    <col min="11270" max="11271" width="5.25" style="1627" customWidth="1"/>
    <col min="11272" max="11272" width="6.125" style="1627" customWidth="1"/>
    <col min="11273" max="11276" width="5.25" style="1627" customWidth="1"/>
    <col min="11277" max="11277" width="8.125" style="1627" customWidth="1"/>
    <col min="11278" max="11280" width="6.125" style="1627" customWidth="1"/>
    <col min="11281" max="11282" width="5.25" style="1627" customWidth="1"/>
    <col min="11283" max="11283" width="6.625" style="1627" customWidth="1"/>
    <col min="11284" max="11284" width="6.125" style="1627" customWidth="1"/>
    <col min="11285" max="11520" width="8.75" style="1627"/>
    <col min="11521" max="11521" width="5.25" style="1627" customWidth="1"/>
    <col min="11522" max="11522" width="11.875" style="1627" customWidth="1"/>
    <col min="11523" max="11523" width="5.25" style="1627" customWidth="1"/>
    <col min="11524" max="11524" width="5.875" style="1627" customWidth="1"/>
    <col min="11525" max="11525" width="6.25" style="1627" customWidth="1"/>
    <col min="11526" max="11527" width="5.25" style="1627" customWidth="1"/>
    <col min="11528" max="11528" width="6.125" style="1627" customWidth="1"/>
    <col min="11529" max="11532" width="5.25" style="1627" customWidth="1"/>
    <col min="11533" max="11533" width="8.125" style="1627" customWidth="1"/>
    <col min="11534" max="11536" width="6.125" style="1627" customWidth="1"/>
    <col min="11537" max="11538" width="5.25" style="1627" customWidth="1"/>
    <col min="11539" max="11539" width="6.625" style="1627" customWidth="1"/>
    <col min="11540" max="11540" width="6.125" style="1627" customWidth="1"/>
    <col min="11541" max="11776" width="8.75" style="1627"/>
    <col min="11777" max="11777" width="5.25" style="1627" customWidth="1"/>
    <col min="11778" max="11778" width="11.875" style="1627" customWidth="1"/>
    <col min="11779" max="11779" width="5.25" style="1627" customWidth="1"/>
    <col min="11780" max="11780" width="5.875" style="1627" customWidth="1"/>
    <col min="11781" max="11781" width="6.25" style="1627" customWidth="1"/>
    <col min="11782" max="11783" width="5.25" style="1627" customWidth="1"/>
    <col min="11784" max="11784" width="6.125" style="1627" customWidth="1"/>
    <col min="11785" max="11788" width="5.25" style="1627" customWidth="1"/>
    <col min="11789" max="11789" width="8.125" style="1627" customWidth="1"/>
    <col min="11790" max="11792" width="6.125" style="1627" customWidth="1"/>
    <col min="11793" max="11794" width="5.25" style="1627" customWidth="1"/>
    <col min="11795" max="11795" width="6.625" style="1627" customWidth="1"/>
    <col min="11796" max="11796" width="6.125" style="1627" customWidth="1"/>
    <col min="11797" max="12032" width="8.75" style="1627"/>
    <col min="12033" max="12033" width="5.25" style="1627" customWidth="1"/>
    <col min="12034" max="12034" width="11.875" style="1627" customWidth="1"/>
    <col min="12035" max="12035" width="5.25" style="1627" customWidth="1"/>
    <col min="12036" max="12036" width="5.875" style="1627" customWidth="1"/>
    <col min="12037" max="12037" width="6.25" style="1627" customWidth="1"/>
    <col min="12038" max="12039" width="5.25" style="1627" customWidth="1"/>
    <col min="12040" max="12040" width="6.125" style="1627" customWidth="1"/>
    <col min="12041" max="12044" width="5.25" style="1627" customWidth="1"/>
    <col min="12045" max="12045" width="8.125" style="1627" customWidth="1"/>
    <col min="12046" max="12048" width="6.125" style="1627" customWidth="1"/>
    <col min="12049" max="12050" width="5.25" style="1627" customWidth="1"/>
    <col min="12051" max="12051" width="6.625" style="1627" customWidth="1"/>
    <col min="12052" max="12052" width="6.125" style="1627" customWidth="1"/>
    <col min="12053" max="12288" width="8.75" style="1627"/>
    <col min="12289" max="12289" width="5.25" style="1627" customWidth="1"/>
    <col min="12290" max="12290" width="11.875" style="1627" customWidth="1"/>
    <col min="12291" max="12291" width="5.25" style="1627" customWidth="1"/>
    <col min="12292" max="12292" width="5.875" style="1627" customWidth="1"/>
    <col min="12293" max="12293" width="6.25" style="1627" customWidth="1"/>
    <col min="12294" max="12295" width="5.25" style="1627" customWidth="1"/>
    <col min="12296" max="12296" width="6.125" style="1627" customWidth="1"/>
    <col min="12297" max="12300" width="5.25" style="1627" customWidth="1"/>
    <col min="12301" max="12301" width="8.125" style="1627" customWidth="1"/>
    <col min="12302" max="12304" width="6.125" style="1627" customWidth="1"/>
    <col min="12305" max="12306" width="5.25" style="1627" customWidth="1"/>
    <col min="12307" max="12307" width="6.625" style="1627" customWidth="1"/>
    <col min="12308" max="12308" width="6.125" style="1627" customWidth="1"/>
    <col min="12309" max="12544" width="8.75" style="1627"/>
    <col min="12545" max="12545" width="5.25" style="1627" customWidth="1"/>
    <col min="12546" max="12546" width="11.875" style="1627" customWidth="1"/>
    <col min="12547" max="12547" width="5.25" style="1627" customWidth="1"/>
    <col min="12548" max="12548" width="5.875" style="1627" customWidth="1"/>
    <col min="12549" max="12549" width="6.25" style="1627" customWidth="1"/>
    <col min="12550" max="12551" width="5.25" style="1627" customWidth="1"/>
    <col min="12552" max="12552" width="6.125" style="1627" customWidth="1"/>
    <col min="12553" max="12556" width="5.25" style="1627" customWidth="1"/>
    <col min="12557" max="12557" width="8.125" style="1627" customWidth="1"/>
    <col min="12558" max="12560" width="6.125" style="1627" customWidth="1"/>
    <col min="12561" max="12562" width="5.25" style="1627" customWidth="1"/>
    <col min="12563" max="12563" width="6.625" style="1627" customWidth="1"/>
    <col min="12564" max="12564" width="6.125" style="1627" customWidth="1"/>
    <col min="12565" max="12800" width="8.75" style="1627"/>
    <col min="12801" max="12801" width="5.25" style="1627" customWidth="1"/>
    <col min="12802" max="12802" width="11.875" style="1627" customWidth="1"/>
    <col min="12803" max="12803" width="5.25" style="1627" customWidth="1"/>
    <col min="12804" max="12804" width="5.875" style="1627" customWidth="1"/>
    <col min="12805" max="12805" width="6.25" style="1627" customWidth="1"/>
    <col min="12806" max="12807" width="5.25" style="1627" customWidth="1"/>
    <col min="12808" max="12808" width="6.125" style="1627" customWidth="1"/>
    <col min="12809" max="12812" width="5.25" style="1627" customWidth="1"/>
    <col min="12813" max="12813" width="8.125" style="1627" customWidth="1"/>
    <col min="12814" max="12816" width="6.125" style="1627" customWidth="1"/>
    <col min="12817" max="12818" width="5.25" style="1627" customWidth="1"/>
    <col min="12819" max="12819" width="6.625" style="1627" customWidth="1"/>
    <col min="12820" max="12820" width="6.125" style="1627" customWidth="1"/>
    <col min="12821" max="13056" width="8.75" style="1627"/>
    <col min="13057" max="13057" width="5.25" style="1627" customWidth="1"/>
    <col min="13058" max="13058" width="11.875" style="1627" customWidth="1"/>
    <col min="13059" max="13059" width="5.25" style="1627" customWidth="1"/>
    <col min="13060" max="13060" width="5.875" style="1627" customWidth="1"/>
    <col min="13061" max="13061" width="6.25" style="1627" customWidth="1"/>
    <col min="13062" max="13063" width="5.25" style="1627" customWidth="1"/>
    <col min="13064" max="13064" width="6.125" style="1627" customWidth="1"/>
    <col min="13065" max="13068" width="5.25" style="1627" customWidth="1"/>
    <col min="13069" max="13069" width="8.125" style="1627" customWidth="1"/>
    <col min="13070" max="13072" width="6.125" style="1627" customWidth="1"/>
    <col min="13073" max="13074" width="5.25" style="1627" customWidth="1"/>
    <col min="13075" max="13075" width="6.625" style="1627" customWidth="1"/>
    <col min="13076" max="13076" width="6.125" style="1627" customWidth="1"/>
    <col min="13077" max="13312" width="8.75" style="1627"/>
    <col min="13313" max="13313" width="5.25" style="1627" customWidth="1"/>
    <col min="13314" max="13314" width="11.875" style="1627" customWidth="1"/>
    <col min="13315" max="13315" width="5.25" style="1627" customWidth="1"/>
    <col min="13316" max="13316" width="5.875" style="1627" customWidth="1"/>
    <col min="13317" max="13317" width="6.25" style="1627" customWidth="1"/>
    <col min="13318" max="13319" width="5.25" style="1627" customWidth="1"/>
    <col min="13320" max="13320" width="6.125" style="1627" customWidth="1"/>
    <col min="13321" max="13324" width="5.25" style="1627" customWidth="1"/>
    <col min="13325" max="13325" width="8.125" style="1627" customWidth="1"/>
    <col min="13326" max="13328" width="6.125" style="1627" customWidth="1"/>
    <col min="13329" max="13330" width="5.25" style="1627" customWidth="1"/>
    <col min="13331" max="13331" width="6.625" style="1627" customWidth="1"/>
    <col min="13332" max="13332" width="6.125" style="1627" customWidth="1"/>
    <col min="13333" max="13568" width="8.75" style="1627"/>
    <col min="13569" max="13569" width="5.25" style="1627" customWidth="1"/>
    <col min="13570" max="13570" width="11.875" style="1627" customWidth="1"/>
    <col min="13571" max="13571" width="5.25" style="1627" customWidth="1"/>
    <col min="13572" max="13572" width="5.875" style="1627" customWidth="1"/>
    <col min="13573" max="13573" width="6.25" style="1627" customWidth="1"/>
    <col min="13574" max="13575" width="5.25" style="1627" customWidth="1"/>
    <col min="13576" max="13576" width="6.125" style="1627" customWidth="1"/>
    <col min="13577" max="13580" width="5.25" style="1627" customWidth="1"/>
    <col min="13581" max="13581" width="8.125" style="1627" customWidth="1"/>
    <col min="13582" max="13584" width="6.125" style="1627" customWidth="1"/>
    <col min="13585" max="13586" width="5.25" style="1627" customWidth="1"/>
    <col min="13587" max="13587" width="6.625" style="1627" customWidth="1"/>
    <col min="13588" max="13588" width="6.125" style="1627" customWidth="1"/>
    <col min="13589" max="13824" width="8.75" style="1627"/>
    <col min="13825" max="13825" width="5.25" style="1627" customWidth="1"/>
    <col min="13826" max="13826" width="11.875" style="1627" customWidth="1"/>
    <col min="13827" max="13827" width="5.25" style="1627" customWidth="1"/>
    <col min="13828" max="13828" width="5.875" style="1627" customWidth="1"/>
    <col min="13829" max="13829" width="6.25" style="1627" customWidth="1"/>
    <col min="13830" max="13831" width="5.25" style="1627" customWidth="1"/>
    <col min="13832" max="13832" width="6.125" style="1627" customWidth="1"/>
    <col min="13833" max="13836" width="5.25" style="1627" customWidth="1"/>
    <col min="13837" max="13837" width="8.125" style="1627" customWidth="1"/>
    <col min="13838" max="13840" width="6.125" style="1627" customWidth="1"/>
    <col min="13841" max="13842" width="5.25" style="1627" customWidth="1"/>
    <col min="13843" max="13843" width="6.625" style="1627" customWidth="1"/>
    <col min="13844" max="13844" width="6.125" style="1627" customWidth="1"/>
    <col min="13845" max="14080" width="8.75" style="1627"/>
    <col min="14081" max="14081" width="5.25" style="1627" customWidth="1"/>
    <col min="14082" max="14082" width="11.875" style="1627" customWidth="1"/>
    <col min="14083" max="14083" width="5.25" style="1627" customWidth="1"/>
    <col min="14084" max="14084" width="5.875" style="1627" customWidth="1"/>
    <col min="14085" max="14085" width="6.25" style="1627" customWidth="1"/>
    <col min="14086" max="14087" width="5.25" style="1627" customWidth="1"/>
    <col min="14088" max="14088" width="6.125" style="1627" customWidth="1"/>
    <col min="14089" max="14092" width="5.25" style="1627" customWidth="1"/>
    <col min="14093" max="14093" width="8.125" style="1627" customWidth="1"/>
    <col min="14094" max="14096" width="6.125" style="1627" customWidth="1"/>
    <col min="14097" max="14098" width="5.25" style="1627" customWidth="1"/>
    <col min="14099" max="14099" width="6.625" style="1627" customWidth="1"/>
    <col min="14100" max="14100" width="6.125" style="1627" customWidth="1"/>
    <col min="14101" max="14336" width="8.75" style="1627"/>
    <col min="14337" max="14337" width="5.25" style="1627" customWidth="1"/>
    <col min="14338" max="14338" width="11.875" style="1627" customWidth="1"/>
    <col min="14339" max="14339" width="5.25" style="1627" customWidth="1"/>
    <col min="14340" max="14340" width="5.875" style="1627" customWidth="1"/>
    <col min="14341" max="14341" width="6.25" style="1627" customWidth="1"/>
    <col min="14342" max="14343" width="5.25" style="1627" customWidth="1"/>
    <col min="14344" max="14344" width="6.125" style="1627" customWidth="1"/>
    <col min="14345" max="14348" width="5.25" style="1627" customWidth="1"/>
    <col min="14349" max="14349" width="8.125" style="1627" customWidth="1"/>
    <col min="14350" max="14352" width="6.125" style="1627" customWidth="1"/>
    <col min="14353" max="14354" width="5.25" style="1627" customWidth="1"/>
    <col min="14355" max="14355" width="6.625" style="1627" customWidth="1"/>
    <col min="14356" max="14356" width="6.125" style="1627" customWidth="1"/>
    <col min="14357" max="14592" width="8.75" style="1627"/>
    <col min="14593" max="14593" width="5.25" style="1627" customWidth="1"/>
    <col min="14594" max="14594" width="11.875" style="1627" customWidth="1"/>
    <col min="14595" max="14595" width="5.25" style="1627" customWidth="1"/>
    <col min="14596" max="14596" width="5.875" style="1627" customWidth="1"/>
    <col min="14597" max="14597" width="6.25" style="1627" customWidth="1"/>
    <col min="14598" max="14599" width="5.25" style="1627" customWidth="1"/>
    <col min="14600" max="14600" width="6.125" style="1627" customWidth="1"/>
    <col min="14601" max="14604" width="5.25" style="1627" customWidth="1"/>
    <col min="14605" max="14605" width="8.125" style="1627" customWidth="1"/>
    <col min="14606" max="14608" width="6.125" style="1627" customWidth="1"/>
    <col min="14609" max="14610" width="5.25" style="1627" customWidth="1"/>
    <col min="14611" max="14611" width="6.625" style="1627" customWidth="1"/>
    <col min="14612" max="14612" width="6.125" style="1627" customWidth="1"/>
    <col min="14613" max="14848" width="8.75" style="1627"/>
    <col min="14849" max="14849" width="5.25" style="1627" customWidth="1"/>
    <col min="14850" max="14850" width="11.875" style="1627" customWidth="1"/>
    <col min="14851" max="14851" width="5.25" style="1627" customWidth="1"/>
    <col min="14852" max="14852" width="5.875" style="1627" customWidth="1"/>
    <col min="14853" max="14853" width="6.25" style="1627" customWidth="1"/>
    <col min="14854" max="14855" width="5.25" style="1627" customWidth="1"/>
    <col min="14856" max="14856" width="6.125" style="1627" customWidth="1"/>
    <col min="14857" max="14860" width="5.25" style="1627" customWidth="1"/>
    <col min="14861" max="14861" width="8.125" style="1627" customWidth="1"/>
    <col min="14862" max="14864" width="6.125" style="1627" customWidth="1"/>
    <col min="14865" max="14866" width="5.25" style="1627" customWidth="1"/>
    <col min="14867" max="14867" width="6.625" style="1627" customWidth="1"/>
    <col min="14868" max="14868" width="6.125" style="1627" customWidth="1"/>
    <col min="14869" max="15104" width="8.75" style="1627"/>
    <col min="15105" max="15105" width="5.25" style="1627" customWidth="1"/>
    <col min="15106" max="15106" width="11.875" style="1627" customWidth="1"/>
    <col min="15107" max="15107" width="5.25" style="1627" customWidth="1"/>
    <col min="15108" max="15108" width="5.875" style="1627" customWidth="1"/>
    <col min="15109" max="15109" width="6.25" style="1627" customWidth="1"/>
    <col min="15110" max="15111" width="5.25" style="1627" customWidth="1"/>
    <col min="15112" max="15112" width="6.125" style="1627" customWidth="1"/>
    <col min="15113" max="15116" width="5.25" style="1627" customWidth="1"/>
    <col min="15117" max="15117" width="8.125" style="1627" customWidth="1"/>
    <col min="15118" max="15120" width="6.125" style="1627" customWidth="1"/>
    <col min="15121" max="15122" width="5.25" style="1627" customWidth="1"/>
    <col min="15123" max="15123" width="6.625" style="1627" customWidth="1"/>
    <col min="15124" max="15124" width="6.125" style="1627" customWidth="1"/>
    <col min="15125" max="15360" width="8.75" style="1627"/>
    <col min="15361" max="15361" width="5.25" style="1627" customWidth="1"/>
    <col min="15362" max="15362" width="11.875" style="1627" customWidth="1"/>
    <col min="15363" max="15363" width="5.25" style="1627" customWidth="1"/>
    <col min="15364" max="15364" width="5.875" style="1627" customWidth="1"/>
    <col min="15365" max="15365" width="6.25" style="1627" customWidth="1"/>
    <col min="15366" max="15367" width="5.25" style="1627" customWidth="1"/>
    <col min="15368" max="15368" width="6.125" style="1627" customWidth="1"/>
    <col min="15369" max="15372" width="5.25" style="1627" customWidth="1"/>
    <col min="15373" max="15373" width="8.125" style="1627" customWidth="1"/>
    <col min="15374" max="15376" width="6.125" style="1627" customWidth="1"/>
    <col min="15377" max="15378" width="5.25" style="1627" customWidth="1"/>
    <col min="15379" max="15379" width="6.625" style="1627" customWidth="1"/>
    <col min="15380" max="15380" width="6.125" style="1627" customWidth="1"/>
    <col min="15381" max="15616" width="8.75" style="1627"/>
    <col min="15617" max="15617" width="5.25" style="1627" customWidth="1"/>
    <col min="15618" max="15618" width="11.875" style="1627" customWidth="1"/>
    <col min="15619" max="15619" width="5.25" style="1627" customWidth="1"/>
    <col min="15620" max="15620" width="5.875" style="1627" customWidth="1"/>
    <col min="15621" max="15621" width="6.25" style="1627" customWidth="1"/>
    <col min="15622" max="15623" width="5.25" style="1627" customWidth="1"/>
    <col min="15624" max="15624" width="6.125" style="1627" customWidth="1"/>
    <col min="15625" max="15628" width="5.25" style="1627" customWidth="1"/>
    <col min="15629" max="15629" width="8.125" style="1627" customWidth="1"/>
    <col min="15630" max="15632" width="6.125" style="1627" customWidth="1"/>
    <col min="15633" max="15634" width="5.25" style="1627" customWidth="1"/>
    <col min="15635" max="15635" width="6.625" style="1627" customWidth="1"/>
    <col min="15636" max="15636" width="6.125" style="1627" customWidth="1"/>
    <col min="15637" max="15872" width="8.75" style="1627"/>
    <col min="15873" max="15873" width="5.25" style="1627" customWidth="1"/>
    <col min="15874" max="15874" width="11.875" style="1627" customWidth="1"/>
    <col min="15875" max="15875" width="5.25" style="1627" customWidth="1"/>
    <col min="15876" max="15876" width="5.875" style="1627" customWidth="1"/>
    <col min="15877" max="15877" width="6.25" style="1627" customWidth="1"/>
    <col min="15878" max="15879" width="5.25" style="1627" customWidth="1"/>
    <col min="15880" max="15880" width="6.125" style="1627" customWidth="1"/>
    <col min="15881" max="15884" width="5.25" style="1627" customWidth="1"/>
    <col min="15885" max="15885" width="8.125" style="1627" customWidth="1"/>
    <col min="15886" max="15888" width="6.125" style="1627" customWidth="1"/>
    <col min="15889" max="15890" width="5.25" style="1627" customWidth="1"/>
    <col min="15891" max="15891" width="6.625" style="1627" customWidth="1"/>
    <col min="15892" max="15892" width="6.125" style="1627" customWidth="1"/>
    <col min="15893" max="16128" width="8.75" style="1627"/>
    <col min="16129" max="16129" width="5.25" style="1627" customWidth="1"/>
    <col min="16130" max="16130" width="11.875" style="1627" customWidth="1"/>
    <col min="16131" max="16131" width="5.25" style="1627" customWidth="1"/>
    <col min="16132" max="16132" width="5.875" style="1627" customWidth="1"/>
    <col min="16133" max="16133" width="6.25" style="1627" customWidth="1"/>
    <col min="16134" max="16135" width="5.25" style="1627" customWidth="1"/>
    <col min="16136" max="16136" width="6.125" style="1627" customWidth="1"/>
    <col min="16137" max="16140" width="5.25" style="1627" customWidth="1"/>
    <col min="16141" max="16141" width="8.125" style="1627" customWidth="1"/>
    <col min="16142" max="16144" width="6.125" style="1627" customWidth="1"/>
    <col min="16145" max="16146" width="5.25" style="1627" customWidth="1"/>
    <col min="16147" max="16147" width="6.625" style="1627" customWidth="1"/>
    <col min="16148" max="16148" width="6.125" style="1627" customWidth="1"/>
    <col min="16149" max="16384" width="8.75" style="1627"/>
  </cols>
  <sheetData>
    <row r="1" spans="1:21" s="1621" customFormat="1" ht="25.9" customHeight="1">
      <c r="A1" s="3805" t="s">
        <v>5513</v>
      </c>
      <c r="B1" s="3805"/>
      <c r="C1" s="3805"/>
      <c r="D1" s="3805"/>
      <c r="E1" s="3805"/>
      <c r="F1" s="3805"/>
      <c r="G1" s="3805"/>
      <c r="H1" s="3805"/>
      <c r="I1" s="3805"/>
      <c r="J1" s="3805"/>
      <c r="K1" s="3805"/>
      <c r="L1" s="3805"/>
      <c r="M1" s="3805"/>
      <c r="N1" s="3805"/>
      <c r="O1" s="3805"/>
      <c r="P1" s="3805"/>
      <c r="Q1" s="3805"/>
      <c r="R1" s="2754" t="str">
        <f>基本情况!$F$10</f>
        <v>厦中汇税审（2018）第DS0001号</v>
      </c>
      <c r="S1" s="2754"/>
      <c r="T1" s="2754"/>
    </row>
    <row r="2" spans="1:21" ht="37.15" customHeight="1">
      <c r="A2" s="3806"/>
      <c r="B2" s="3806"/>
      <c r="C2" s="3806"/>
      <c r="D2" s="3806"/>
      <c r="E2" s="3806"/>
      <c r="F2" s="3806"/>
      <c r="G2" s="3806"/>
      <c r="H2" s="3806"/>
      <c r="I2" s="3806"/>
      <c r="J2" s="3806"/>
      <c r="K2" s="3806"/>
      <c r="L2" s="3806"/>
      <c r="M2" s="3806"/>
      <c r="N2" s="3806"/>
      <c r="O2" s="3806"/>
      <c r="P2" s="3806"/>
      <c r="Q2" s="3806"/>
      <c r="R2" s="3023" t="str">
        <f>"底稿编号："&amp;开始!L28</f>
        <v>底稿编号：AD-26</v>
      </c>
      <c r="S2" s="3023"/>
      <c r="T2" s="3595"/>
    </row>
    <row r="3" spans="1:21" s="1628" customFormat="1" ht="14.25" customHeight="1">
      <c r="A3" s="3585" t="s">
        <v>5494</v>
      </c>
      <c r="B3" s="3576" t="s">
        <v>1058</v>
      </c>
      <c r="C3" s="3576" t="s">
        <v>5514</v>
      </c>
      <c r="D3" s="3576" t="s">
        <v>1104</v>
      </c>
      <c r="E3" s="3576" t="s">
        <v>1061</v>
      </c>
      <c r="F3" s="3576" t="s">
        <v>1062</v>
      </c>
      <c r="G3" s="3576" t="s">
        <v>5515</v>
      </c>
      <c r="H3" s="3576" t="s">
        <v>5516</v>
      </c>
      <c r="I3" s="3576" t="s">
        <v>1065</v>
      </c>
      <c r="J3" s="3576" t="s">
        <v>5517</v>
      </c>
      <c r="K3" s="3576" t="s">
        <v>1067</v>
      </c>
      <c r="L3" s="3576" t="s">
        <v>1068</v>
      </c>
      <c r="M3" s="3576" t="s">
        <v>5518</v>
      </c>
      <c r="N3" s="3576" t="s">
        <v>5519</v>
      </c>
      <c r="O3" s="3576" t="s">
        <v>5520</v>
      </c>
      <c r="P3" s="3807" t="s">
        <v>5521</v>
      </c>
      <c r="Q3" s="3808"/>
      <c r="R3" s="3808"/>
      <c r="S3" s="3808"/>
      <c r="T3" s="3585" t="s">
        <v>5522</v>
      </c>
    </row>
    <row r="4" spans="1:21" s="1628" customFormat="1" ht="77.25" customHeight="1">
      <c r="A4" s="3585"/>
      <c r="B4" s="3586"/>
      <c r="C4" s="3586"/>
      <c r="D4" s="3586"/>
      <c r="E4" s="3586"/>
      <c r="F4" s="3586"/>
      <c r="G4" s="3586"/>
      <c r="H4" s="3586"/>
      <c r="I4" s="3586"/>
      <c r="J4" s="3586"/>
      <c r="K4" s="3586"/>
      <c r="L4" s="3586"/>
      <c r="M4" s="3586"/>
      <c r="N4" s="3586"/>
      <c r="O4" s="3586"/>
      <c r="P4" s="1567" t="s">
        <v>1083</v>
      </c>
      <c r="Q4" s="1567" t="s">
        <v>5523</v>
      </c>
      <c r="R4" s="1567" t="s">
        <v>1082</v>
      </c>
      <c r="S4" s="1567" t="s">
        <v>895</v>
      </c>
      <c r="T4" s="3585"/>
    </row>
    <row r="5" spans="1:21" s="1628" customFormat="1" ht="27" customHeight="1">
      <c r="A5" s="3585"/>
      <c r="B5" s="1566">
        <v>1</v>
      </c>
      <c r="C5" s="1566">
        <v>2</v>
      </c>
      <c r="D5" s="1566">
        <v>3</v>
      </c>
      <c r="E5" s="1566">
        <v>4</v>
      </c>
      <c r="F5" s="1566" t="s">
        <v>5524</v>
      </c>
      <c r="G5" s="1566">
        <v>6</v>
      </c>
      <c r="H5" s="1566" t="s">
        <v>5525</v>
      </c>
      <c r="I5" s="1566">
        <v>8</v>
      </c>
      <c r="J5" s="1566" t="s">
        <v>5526</v>
      </c>
      <c r="K5" s="1566">
        <v>10</v>
      </c>
      <c r="L5" s="1566">
        <v>11</v>
      </c>
      <c r="M5" s="1600" t="s">
        <v>5527</v>
      </c>
      <c r="N5" s="1566" t="s">
        <v>5528</v>
      </c>
      <c r="O5" s="1600" t="s">
        <v>5529</v>
      </c>
      <c r="P5" s="1566">
        <v>15</v>
      </c>
      <c r="Q5" s="1566">
        <v>16</v>
      </c>
      <c r="R5" s="1566">
        <v>17</v>
      </c>
      <c r="S5" s="1566" t="s">
        <v>5530</v>
      </c>
      <c r="T5" s="1567" t="s">
        <v>5531</v>
      </c>
    </row>
    <row r="6" spans="1:21" s="1621" customFormat="1" ht="14.25" customHeight="1">
      <c r="A6" s="1567">
        <v>1</v>
      </c>
      <c r="B6" s="1629">
        <f>境外所得纳税调整后所得审核表!B6</f>
        <v>0</v>
      </c>
      <c r="C6" s="1553">
        <f>境外所得纳税调整后所得审核表!O6</f>
        <v>0</v>
      </c>
      <c r="D6" s="1553">
        <f>境外所得纳税调整后所得审核表!S6</f>
        <v>0</v>
      </c>
      <c r="E6" s="1553">
        <f>境外分支机构弥补亏损审核表!E9+境外分支机构弥补亏损审核表!N9</f>
        <v>0</v>
      </c>
      <c r="F6" s="1553">
        <f>D6-E6</f>
        <v>0</v>
      </c>
      <c r="G6" s="1554"/>
      <c r="H6" s="1553">
        <f>F6-G6</f>
        <v>0</v>
      </c>
      <c r="I6" s="1554"/>
      <c r="J6" s="1553">
        <f>ROUND(H6*I6,2)</f>
        <v>0</v>
      </c>
      <c r="K6" s="1553">
        <f>境外所得纳税调整后所得审核表!N6</f>
        <v>0</v>
      </c>
      <c r="L6" s="1554"/>
      <c r="M6" s="1553">
        <f>MIN(K6,L6)</f>
        <v>0</v>
      </c>
      <c r="N6" s="1553">
        <f>L6-M6</f>
        <v>0</v>
      </c>
      <c r="O6" s="1553">
        <f>MIN(N6,跨年度结转抵免境外所得税审核表!N6)</f>
        <v>0</v>
      </c>
      <c r="P6" s="1554"/>
      <c r="Q6" s="1554"/>
      <c r="R6" s="1554"/>
      <c r="S6" s="1553">
        <f>P6+Q6+R6</f>
        <v>0</v>
      </c>
      <c r="T6" s="1553">
        <f>M6+O6+S6</f>
        <v>0</v>
      </c>
    </row>
    <row r="7" spans="1:21" s="1621" customFormat="1" ht="14.25" customHeight="1">
      <c r="A7" s="1567">
        <v>2</v>
      </c>
      <c r="B7" s="1629">
        <f>境外所得纳税调整后所得审核表!B7</f>
        <v>0</v>
      </c>
      <c r="C7" s="1553">
        <f>境外所得纳税调整后所得审核表!O7</f>
        <v>0</v>
      </c>
      <c r="D7" s="1553">
        <f>境外所得纳税调整后所得审核表!S7</f>
        <v>0</v>
      </c>
      <c r="E7" s="1553">
        <f>境外分支机构弥补亏损审核表!E10+境外分支机构弥补亏损审核表!N10</f>
        <v>0</v>
      </c>
      <c r="F7" s="1553">
        <f t="shared" ref="F7:F14" si="0">D7-E7</f>
        <v>0</v>
      </c>
      <c r="G7" s="1554"/>
      <c r="H7" s="1553">
        <f t="shared" ref="H7:H14" si="1">F7-G7</f>
        <v>0</v>
      </c>
      <c r="I7" s="1554"/>
      <c r="J7" s="1553">
        <f t="shared" ref="J7:J14" si="2">ROUND(H7*I7,2)</f>
        <v>0</v>
      </c>
      <c r="K7" s="1553">
        <f>境外所得纳税调整后所得审核表!N7</f>
        <v>0</v>
      </c>
      <c r="L7" s="1554"/>
      <c r="M7" s="1553">
        <f t="shared" ref="M7:M14" si="3">MIN(K7,L7)</f>
        <v>0</v>
      </c>
      <c r="N7" s="1553">
        <f t="shared" ref="N7:N14" si="4">L7-M7</f>
        <v>0</v>
      </c>
      <c r="O7" s="1553">
        <f>MIN(N7,跨年度结转抵免境外所得税审核表!N7)</f>
        <v>0</v>
      </c>
      <c r="P7" s="1554"/>
      <c r="Q7" s="1554"/>
      <c r="R7" s="1554"/>
      <c r="S7" s="1553">
        <f t="shared" ref="S7:S14" si="5">P7+Q7+R7</f>
        <v>0</v>
      </c>
      <c r="T7" s="1553">
        <f t="shared" ref="T7:T14" si="6">M7+O7+S7</f>
        <v>0</v>
      </c>
    </row>
    <row r="8" spans="1:21" s="1621" customFormat="1" ht="14.25" customHeight="1">
      <c r="A8" s="1567">
        <v>3</v>
      </c>
      <c r="B8" s="1629">
        <f>境外所得纳税调整后所得审核表!B8</f>
        <v>0</v>
      </c>
      <c r="C8" s="1553">
        <f>境外所得纳税调整后所得审核表!O8</f>
        <v>0</v>
      </c>
      <c r="D8" s="1553">
        <f>境外所得纳税调整后所得审核表!S8</f>
        <v>0</v>
      </c>
      <c r="E8" s="1553">
        <f>境外分支机构弥补亏损审核表!E11+境外分支机构弥补亏损审核表!N11</f>
        <v>0</v>
      </c>
      <c r="F8" s="1553">
        <f t="shared" si="0"/>
        <v>0</v>
      </c>
      <c r="G8" s="1554"/>
      <c r="H8" s="1553">
        <f t="shared" si="1"/>
        <v>0</v>
      </c>
      <c r="I8" s="1554"/>
      <c r="J8" s="1553">
        <f t="shared" si="2"/>
        <v>0</v>
      </c>
      <c r="K8" s="1553">
        <f>境外所得纳税调整后所得审核表!N8</f>
        <v>0</v>
      </c>
      <c r="L8" s="1554"/>
      <c r="M8" s="1553">
        <f t="shared" si="3"/>
        <v>0</v>
      </c>
      <c r="N8" s="1553">
        <f t="shared" si="4"/>
        <v>0</v>
      </c>
      <c r="O8" s="1553">
        <f>MIN(N8,跨年度结转抵免境外所得税审核表!N8)</f>
        <v>0</v>
      </c>
      <c r="P8" s="1554"/>
      <c r="Q8" s="1554"/>
      <c r="R8" s="1554"/>
      <c r="S8" s="1553">
        <f t="shared" si="5"/>
        <v>0</v>
      </c>
      <c r="T8" s="1553">
        <f t="shared" si="6"/>
        <v>0</v>
      </c>
    </row>
    <row r="9" spans="1:21" s="1621" customFormat="1" ht="14.25" customHeight="1">
      <c r="A9" s="1567">
        <v>4</v>
      </c>
      <c r="B9" s="1629">
        <f>境外所得纳税调整后所得审核表!B9</f>
        <v>0</v>
      </c>
      <c r="C9" s="1553">
        <f>境外所得纳税调整后所得审核表!O9</f>
        <v>0</v>
      </c>
      <c r="D9" s="1553">
        <f>境外所得纳税调整后所得审核表!S9</f>
        <v>0</v>
      </c>
      <c r="E9" s="1553">
        <f>境外分支机构弥补亏损审核表!E12+境外分支机构弥补亏损审核表!N12</f>
        <v>0</v>
      </c>
      <c r="F9" s="1553">
        <f t="shared" si="0"/>
        <v>0</v>
      </c>
      <c r="G9" s="1554"/>
      <c r="H9" s="1553">
        <f t="shared" si="1"/>
        <v>0</v>
      </c>
      <c r="I9" s="1554"/>
      <c r="J9" s="1553">
        <f t="shared" si="2"/>
        <v>0</v>
      </c>
      <c r="K9" s="1553">
        <f>境外所得纳税调整后所得审核表!N9</f>
        <v>0</v>
      </c>
      <c r="L9" s="1554"/>
      <c r="M9" s="1553">
        <f t="shared" si="3"/>
        <v>0</v>
      </c>
      <c r="N9" s="1553">
        <f t="shared" si="4"/>
        <v>0</v>
      </c>
      <c r="O9" s="1553">
        <f>MIN(N9,跨年度结转抵免境外所得税审核表!N9)</f>
        <v>0</v>
      </c>
      <c r="P9" s="1554"/>
      <c r="Q9" s="1554"/>
      <c r="R9" s="1554"/>
      <c r="S9" s="1553">
        <f t="shared" si="5"/>
        <v>0</v>
      </c>
      <c r="T9" s="1553">
        <f t="shared" si="6"/>
        <v>0</v>
      </c>
    </row>
    <row r="10" spans="1:21" s="1621" customFormat="1" ht="14.25" customHeight="1">
      <c r="A10" s="1567">
        <v>5</v>
      </c>
      <c r="B10" s="1629">
        <f>境外所得纳税调整后所得审核表!B10</f>
        <v>0</v>
      </c>
      <c r="C10" s="1553">
        <f>境外所得纳税调整后所得审核表!O10</f>
        <v>0</v>
      </c>
      <c r="D10" s="1553">
        <f>境外所得纳税调整后所得审核表!S10</f>
        <v>0</v>
      </c>
      <c r="E10" s="1553">
        <f>境外分支机构弥补亏损审核表!E13+境外分支机构弥补亏损审核表!N13</f>
        <v>0</v>
      </c>
      <c r="F10" s="1553">
        <f t="shared" si="0"/>
        <v>0</v>
      </c>
      <c r="G10" s="1554"/>
      <c r="H10" s="1553">
        <f t="shared" si="1"/>
        <v>0</v>
      </c>
      <c r="I10" s="1554"/>
      <c r="J10" s="1553">
        <f t="shared" si="2"/>
        <v>0</v>
      </c>
      <c r="K10" s="1553">
        <f>境外所得纳税调整后所得审核表!N10</f>
        <v>0</v>
      </c>
      <c r="L10" s="1554"/>
      <c r="M10" s="1553">
        <f t="shared" si="3"/>
        <v>0</v>
      </c>
      <c r="N10" s="1553">
        <f t="shared" si="4"/>
        <v>0</v>
      </c>
      <c r="O10" s="1553">
        <f>MIN(N10,跨年度结转抵免境外所得税审核表!N10)</f>
        <v>0</v>
      </c>
      <c r="P10" s="1554"/>
      <c r="Q10" s="1554"/>
      <c r="R10" s="1554"/>
      <c r="S10" s="1553">
        <f t="shared" si="5"/>
        <v>0</v>
      </c>
      <c r="T10" s="1553">
        <f t="shared" si="6"/>
        <v>0</v>
      </c>
    </row>
    <row r="11" spans="1:21" s="1621" customFormat="1" ht="14.25" customHeight="1">
      <c r="A11" s="1567">
        <v>6</v>
      </c>
      <c r="B11" s="1629">
        <f>境外所得纳税调整后所得审核表!B11</f>
        <v>0</v>
      </c>
      <c r="C11" s="1553">
        <f>境外所得纳税调整后所得审核表!O11</f>
        <v>0</v>
      </c>
      <c r="D11" s="1553">
        <f>境外所得纳税调整后所得审核表!S11</f>
        <v>0</v>
      </c>
      <c r="E11" s="1553">
        <f>境外分支机构弥补亏损审核表!E14+境外分支机构弥补亏损审核表!N14</f>
        <v>0</v>
      </c>
      <c r="F11" s="1553">
        <f t="shared" si="0"/>
        <v>0</v>
      </c>
      <c r="G11" s="1554"/>
      <c r="H11" s="1553">
        <f t="shared" si="1"/>
        <v>0</v>
      </c>
      <c r="I11" s="1554"/>
      <c r="J11" s="1553">
        <f t="shared" si="2"/>
        <v>0</v>
      </c>
      <c r="K11" s="1553">
        <f>境外所得纳税调整后所得审核表!N11</f>
        <v>0</v>
      </c>
      <c r="L11" s="1554"/>
      <c r="M11" s="1553">
        <f t="shared" si="3"/>
        <v>0</v>
      </c>
      <c r="N11" s="1553">
        <f t="shared" si="4"/>
        <v>0</v>
      </c>
      <c r="O11" s="1553">
        <f>MIN(N11,跨年度结转抵免境外所得税审核表!N11)</f>
        <v>0</v>
      </c>
      <c r="P11" s="1554"/>
      <c r="Q11" s="1554"/>
      <c r="R11" s="1554"/>
      <c r="S11" s="1553">
        <f t="shared" si="5"/>
        <v>0</v>
      </c>
      <c r="T11" s="1553">
        <f t="shared" si="6"/>
        <v>0</v>
      </c>
    </row>
    <row r="12" spans="1:21" s="1621" customFormat="1" ht="14.25" customHeight="1">
      <c r="A12" s="1567">
        <v>7</v>
      </c>
      <c r="B12" s="1629">
        <f>境外所得纳税调整后所得审核表!B12</f>
        <v>0</v>
      </c>
      <c r="C12" s="1553">
        <f>境外所得纳税调整后所得审核表!O12</f>
        <v>0</v>
      </c>
      <c r="D12" s="1553">
        <f>境外所得纳税调整后所得审核表!S12</f>
        <v>0</v>
      </c>
      <c r="E12" s="1553">
        <f>境外分支机构弥补亏损审核表!E15+境外分支机构弥补亏损审核表!N15</f>
        <v>0</v>
      </c>
      <c r="F12" s="1553">
        <f t="shared" si="0"/>
        <v>0</v>
      </c>
      <c r="G12" s="1554"/>
      <c r="H12" s="1553">
        <f t="shared" si="1"/>
        <v>0</v>
      </c>
      <c r="I12" s="1554"/>
      <c r="J12" s="1553">
        <f t="shared" si="2"/>
        <v>0</v>
      </c>
      <c r="K12" s="1553">
        <f>境外所得纳税调整后所得审核表!N12</f>
        <v>0</v>
      </c>
      <c r="L12" s="1554"/>
      <c r="M12" s="1553">
        <f t="shared" si="3"/>
        <v>0</v>
      </c>
      <c r="N12" s="1553">
        <f t="shared" si="4"/>
        <v>0</v>
      </c>
      <c r="O12" s="1553">
        <f>MIN(N12,跨年度结转抵免境外所得税审核表!N12)</f>
        <v>0</v>
      </c>
      <c r="P12" s="1554"/>
      <c r="Q12" s="1554"/>
      <c r="R12" s="1554"/>
      <c r="S12" s="1553">
        <f t="shared" si="5"/>
        <v>0</v>
      </c>
      <c r="T12" s="1553">
        <f t="shared" si="6"/>
        <v>0</v>
      </c>
    </row>
    <row r="13" spans="1:21" s="1621" customFormat="1" ht="14.25" customHeight="1">
      <c r="A13" s="1567">
        <v>8</v>
      </c>
      <c r="B13" s="1629">
        <f>境外所得纳税调整后所得审核表!B13</f>
        <v>0</v>
      </c>
      <c r="C13" s="1553">
        <f>境外所得纳税调整后所得审核表!O13</f>
        <v>0</v>
      </c>
      <c r="D13" s="1553">
        <f>境外所得纳税调整后所得审核表!S13</f>
        <v>0</v>
      </c>
      <c r="E13" s="1553">
        <f>境外分支机构弥补亏损审核表!E16+境外分支机构弥补亏损审核表!N16</f>
        <v>0</v>
      </c>
      <c r="F13" s="1553">
        <f t="shared" si="0"/>
        <v>0</v>
      </c>
      <c r="G13" s="1554"/>
      <c r="H13" s="1553">
        <f t="shared" si="1"/>
        <v>0</v>
      </c>
      <c r="I13" s="1554"/>
      <c r="J13" s="1553">
        <f t="shared" si="2"/>
        <v>0</v>
      </c>
      <c r="K13" s="1553">
        <f>境外所得纳税调整后所得审核表!N13</f>
        <v>0</v>
      </c>
      <c r="L13" s="1554"/>
      <c r="M13" s="1553">
        <f t="shared" si="3"/>
        <v>0</v>
      </c>
      <c r="N13" s="1553">
        <f t="shared" si="4"/>
        <v>0</v>
      </c>
      <c r="O13" s="1553">
        <f>MIN(N13,跨年度结转抵免境外所得税审核表!N13)</f>
        <v>0</v>
      </c>
      <c r="P13" s="1554"/>
      <c r="Q13" s="1554"/>
      <c r="R13" s="1554"/>
      <c r="S13" s="1553">
        <f t="shared" si="5"/>
        <v>0</v>
      </c>
      <c r="T13" s="1553">
        <f t="shared" si="6"/>
        <v>0</v>
      </c>
    </row>
    <row r="14" spans="1:21" s="1621" customFormat="1" ht="14.25" customHeight="1">
      <c r="A14" s="1567">
        <v>9</v>
      </c>
      <c r="B14" s="1629">
        <f>境外所得纳税调整后所得审核表!B14</f>
        <v>0</v>
      </c>
      <c r="C14" s="1553">
        <f>境外所得纳税调整后所得审核表!O14</f>
        <v>0</v>
      </c>
      <c r="D14" s="1553">
        <f>境外所得纳税调整后所得审核表!S14</f>
        <v>0</v>
      </c>
      <c r="E14" s="1553">
        <f>境外分支机构弥补亏损审核表!E17+境外分支机构弥补亏损审核表!N17</f>
        <v>0</v>
      </c>
      <c r="F14" s="1553">
        <f t="shared" si="0"/>
        <v>0</v>
      </c>
      <c r="G14" s="1554"/>
      <c r="H14" s="1553">
        <f t="shared" si="1"/>
        <v>0</v>
      </c>
      <c r="I14" s="1554"/>
      <c r="J14" s="1553">
        <f t="shared" si="2"/>
        <v>0</v>
      </c>
      <c r="K14" s="1553">
        <f>境外所得纳税调整后所得审核表!N14</f>
        <v>0</v>
      </c>
      <c r="L14" s="1554"/>
      <c r="M14" s="1553">
        <f t="shared" si="3"/>
        <v>0</v>
      </c>
      <c r="N14" s="1553">
        <f t="shared" si="4"/>
        <v>0</v>
      </c>
      <c r="O14" s="1553">
        <f>MIN(N14,跨年度结转抵免境外所得税审核表!N14)</f>
        <v>0</v>
      </c>
      <c r="P14" s="1554"/>
      <c r="Q14" s="1554"/>
      <c r="R14" s="1554"/>
      <c r="S14" s="1553">
        <f t="shared" si="5"/>
        <v>0</v>
      </c>
      <c r="T14" s="1553">
        <f t="shared" si="6"/>
        <v>0</v>
      </c>
    </row>
    <row r="15" spans="1:21" s="1621" customFormat="1" ht="14.25" customHeight="1">
      <c r="A15" s="1567">
        <v>10</v>
      </c>
      <c r="B15" s="1567" t="s">
        <v>5483</v>
      </c>
      <c r="C15" s="1553">
        <f>SUM(C6:C14)</f>
        <v>0</v>
      </c>
      <c r="D15" s="1553">
        <f>SUM(D6:D14)</f>
        <v>0</v>
      </c>
      <c r="E15" s="1553">
        <f>SUM(E6:E14)</f>
        <v>0</v>
      </c>
      <c r="F15" s="1553">
        <f>SUM(F6:F14)</f>
        <v>0</v>
      </c>
      <c r="G15" s="1554"/>
      <c r="H15" s="1553">
        <f>SUM(H6:H14)</f>
        <v>0</v>
      </c>
      <c r="I15" s="1554"/>
      <c r="J15" s="1553">
        <f>SUM(J6:J14)</f>
        <v>0</v>
      </c>
      <c r="K15" s="1553">
        <f>SUM(K6:K14)</f>
        <v>0</v>
      </c>
      <c r="L15" s="1554"/>
      <c r="M15" s="1553">
        <f t="shared" ref="M15:T15" si="7">SUM(M6:M14)</f>
        <v>0</v>
      </c>
      <c r="N15" s="1553">
        <f t="shared" si="7"/>
        <v>0</v>
      </c>
      <c r="O15" s="1553">
        <f t="shared" si="7"/>
        <v>0</v>
      </c>
      <c r="P15" s="1553">
        <f t="shared" si="7"/>
        <v>0</v>
      </c>
      <c r="Q15" s="1553">
        <f t="shared" si="7"/>
        <v>0</v>
      </c>
      <c r="R15" s="1553">
        <f t="shared" si="7"/>
        <v>0</v>
      </c>
      <c r="S15" s="1553">
        <f t="shared" si="7"/>
        <v>0</v>
      </c>
      <c r="T15" s="1553">
        <f t="shared" si="7"/>
        <v>0</v>
      </c>
      <c r="U15" s="1617" t="s">
        <v>5532</v>
      </c>
    </row>
    <row r="16" spans="1:21" ht="100.5" customHeight="1">
      <c r="A16" s="1630"/>
      <c r="B16" s="1567" t="s">
        <v>5448</v>
      </c>
      <c r="C16" s="1630" t="s">
        <v>5533</v>
      </c>
      <c r="D16" s="1556" t="s">
        <v>5534</v>
      </c>
      <c r="E16" s="1556" t="s">
        <v>5535</v>
      </c>
      <c r="F16" s="1630"/>
      <c r="G16" s="1556" t="s">
        <v>5536</v>
      </c>
      <c r="H16" s="1630"/>
      <c r="I16" s="1630"/>
      <c r="J16" s="1556" t="s">
        <v>5537</v>
      </c>
      <c r="K16" s="1556" t="s">
        <v>5538</v>
      </c>
      <c r="L16" s="1630"/>
      <c r="M16" s="1630"/>
      <c r="N16" s="1630"/>
      <c r="O16" s="1556" t="s">
        <v>5539</v>
      </c>
      <c r="P16" s="1556"/>
      <c r="Q16" s="1630"/>
      <c r="R16" s="1630"/>
      <c r="S16" s="1630"/>
      <c r="T16" s="1556" t="s">
        <v>5540</v>
      </c>
    </row>
    <row r="17" spans="1:20">
      <c r="A17" s="3804"/>
      <c r="B17" s="3804"/>
      <c r="C17" s="3804"/>
      <c r="D17" s="3804"/>
      <c r="E17" s="3804"/>
      <c r="F17" s="3804"/>
      <c r="G17" s="3804"/>
      <c r="H17" s="3804"/>
      <c r="I17" s="3804"/>
      <c r="J17" s="3804"/>
      <c r="K17" s="3804"/>
      <c r="L17" s="3804"/>
      <c r="M17" s="3804"/>
      <c r="N17" s="3804"/>
      <c r="O17" s="3804"/>
      <c r="P17" s="3804"/>
      <c r="Q17" s="3804"/>
      <c r="R17" s="3804"/>
      <c r="S17" s="3804"/>
      <c r="T17" s="3804"/>
    </row>
    <row r="18" spans="1:20">
      <c r="A18" s="3804"/>
      <c r="B18" s="3804"/>
      <c r="C18" s="3804"/>
      <c r="D18" s="3804"/>
      <c r="E18" s="3804"/>
      <c r="F18" s="3804"/>
      <c r="G18" s="3804"/>
      <c r="H18" s="3804"/>
      <c r="I18" s="3804"/>
      <c r="J18" s="3804"/>
      <c r="K18" s="3804"/>
      <c r="L18" s="3804"/>
      <c r="M18" s="3804"/>
      <c r="N18" s="3804"/>
      <c r="O18" s="3804"/>
      <c r="P18" s="3804"/>
      <c r="Q18" s="3804"/>
      <c r="R18" s="3804"/>
      <c r="S18" s="3804"/>
      <c r="T18" s="3804"/>
    </row>
    <row r="19" spans="1:20">
      <c r="A19" s="3804"/>
      <c r="B19" s="3804"/>
      <c r="C19" s="3804"/>
      <c r="D19" s="3804"/>
      <c r="E19" s="3804"/>
      <c r="F19" s="3804"/>
      <c r="G19" s="3804"/>
      <c r="H19" s="3804"/>
      <c r="I19" s="3804"/>
      <c r="J19" s="3804"/>
      <c r="K19" s="3804"/>
      <c r="L19" s="3804"/>
      <c r="M19" s="3804"/>
      <c r="N19" s="3804"/>
      <c r="O19" s="3804"/>
      <c r="P19" s="3804"/>
      <c r="Q19" s="3804"/>
      <c r="R19" s="3804"/>
      <c r="S19" s="3804"/>
      <c r="T19" s="3804"/>
    </row>
    <row r="20" spans="1:20">
      <c r="A20" s="3804"/>
      <c r="B20" s="3804"/>
      <c r="C20" s="3804"/>
      <c r="D20" s="3804"/>
      <c r="E20" s="3804"/>
      <c r="F20" s="3804"/>
      <c r="G20" s="3804"/>
      <c r="H20" s="3804"/>
      <c r="I20" s="3804"/>
      <c r="J20" s="3804"/>
      <c r="K20" s="3804"/>
      <c r="L20" s="3804"/>
      <c r="M20" s="3804"/>
      <c r="N20" s="3804"/>
      <c r="O20" s="3804"/>
      <c r="P20" s="3804"/>
      <c r="Q20" s="3804"/>
      <c r="R20" s="3804"/>
      <c r="S20" s="3804"/>
      <c r="T20" s="3804"/>
    </row>
    <row r="21" spans="1:20">
      <c r="A21" s="3804"/>
      <c r="B21" s="3804"/>
      <c r="C21" s="3804"/>
      <c r="D21" s="3804"/>
      <c r="E21" s="3804"/>
      <c r="F21" s="3804"/>
      <c r="G21" s="3804"/>
      <c r="H21" s="3804"/>
      <c r="I21" s="3804"/>
      <c r="J21" s="3804"/>
      <c r="K21" s="3804"/>
      <c r="L21" s="3804"/>
      <c r="M21" s="3804"/>
      <c r="N21" s="3804"/>
      <c r="O21" s="3804"/>
      <c r="P21" s="3804"/>
      <c r="Q21" s="3804"/>
      <c r="R21" s="3804"/>
      <c r="S21" s="3804"/>
      <c r="T21" s="3804"/>
    </row>
    <row r="22" spans="1:20">
      <c r="A22" s="3804"/>
      <c r="B22" s="3804"/>
      <c r="C22" s="3804"/>
      <c r="D22" s="3804"/>
      <c r="E22" s="3804"/>
      <c r="F22" s="3804"/>
      <c r="G22" s="3804"/>
      <c r="H22" s="3804"/>
      <c r="I22" s="3804"/>
      <c r="J22" s="3804"/>
      <c r="K22" s="3804"/>
      <c r="L22" s="3804"/>
      <c r="M22" s="3804"/>
      <c r="N22" s="3804"/>
      <c r="O22" s="3804"/>
      <c r="P22" s="3804"/>
      <c r="Q22" s="3804"/>
      <c r="R22" s="3804"/>
      <c r="S22" s="3804"/>
      <c r="T22" s="3804"/>
    </row>
    <row r="23" spans="1:20">
      <c r="A23" s="3804"/>
      <c r="B23" s="3804"/>
      <c r="C23" s="3804"/>
      <c r="D23" s="3804"/>
      <c r="E23" s="3804"/>
      <c r="F23" s="3804"/>
      <c r="G23" s="3804"/>
      <c r="H23" s="3804"/>
      <c r="I23" s="3804"/>
      <c r="J23" s="3804"/>
      <c r="K23" s="3804"/>
      <c r="L23" s="3804"/>
      <c r="M23" s="3804"/>
      <c r="N23" s="3804"/>
      <c r="O23" s="3804"/>
      <c r="P23" s="3804"/>
      <c r="Q23" s="3804"/>
      <c r="R23" s="3804"/>
      <c r="S23" s="3804"/>
      <c r="T23" s="3804"/>
    </row>
    <row r="24" spans="1:20">
      <c r="A24" s="3804"/>
      <c r="B24" s="3804"/>
      <c r="C24" s="3804"/>
      <c r="D24" s="3804"/>
      <c r="E24" s="3804"/>
      <c r="F24" s="3804"/>
      <c r="G24" s="3804"/>
      <c r="H24" s="3804"/>
      <c r="I24" s="3804"/>
      <c r="J24" s="3804"/>
      <c r="K24" s="3804"/>
      <c r="L24" s="3804"/>
      <c r="M24" s="3804"/>
      <c r="N24" s="3804"/>
      <c r="O24" s="3804"/>
      <c r="P24" s="3804"/>
      <c r="Q24" s="3804"/>
      <c r="R24" s="3804"/>
      <c r="S24" s="3804"/>
      <c r="T24" s="3804"/>
    </row>
    <row r="25" spans="1:20">
      <c r="A25" s="3804"/>
      <c r="B25" s="3804"/>
      <c r="C25" s="3804"/>
      <c r="D25" s="3804"/>
      <c r="E25" s="3804"/>
      <c r="F25" s="3804"/>
      <c r="G25" s="3804"/>
      <c r="H25" s="3804"/>
      <c r="I25" s="3804"/>
      <c r="J25" s="3804"/>
      <c r="K25" s="3804"/>
      <c r="L25" s="3804"/>
      <c r="M25" s="3804"/>
      <c r="N25" s="3804"/>
      <c r="O25" s="3804"/>
      <c r="P25" s="3804"/>
      <c r="Q25" s="3804"/>
      <c r="R25" s="3804"/>
      <c r="S25" s="3804"/>
      <c r="T25" s="3804"/>
    </row>
    <row r="26" spans="1:20">
      <c r="A26" s="3804"/>
      <c r="B26" s="3804"/>
      <c r="C26" s="3804"/>
      <c r="D26" s="3804"/>
      <c r="E26" s="3804"/>
      <c r="F26" s="3804"/>
      <c r="G26" s="3804"/>
      <c r="H26" s="3804"/>
      <c r="I26" s="3804"/>
      <c r="J26" s="3804"/>
      <c r="K26" s="3804"/>
      <c r="L26" s="3804"/>
      <c r="M26" s="3804"/>
      <c r="N26" s="3804"/>
      <c r="O26" s="3804"/>
      <c r="P26" s="3804"/>
      <c r="Q26" s="3804"/>
      <c r="R26" s="3804"/>
      <c r="S26" s="3804"/>
      <c r="T26" s="3804"/>
    </row>
    <row r="27" spans="1:20">
      <c r="A27" s="3804"/>
      <c r="B27" s="3804"/>
      <c r="C27" s="3804"/>
      <c r="D27" s="3804"/>
      <c r="E27" s="3804"/>
      <c r="F27" s="3804"/>
      <c r="G27" s="3804"/>
      <c r="H27" s="3804"/>
      <c r="I27" s="3804"/>
      <c r="J27" s="3804"/>
      <c r="K27" s="3804"/>
      <c r="L27" s="3804"/>
      <c r="M27" s="3804"/>
      <c r="N27" s="3804"/>
      <c r="O27" s="3804"/>
      <c r="P27" s="3804"/>
      <c r="Q27" s="3804"/>
      <c r="R27" s="3804"/>
      <c r="S27" s="3804"/>
      <c r="T27" s="3804"/>
    </row>
    <row r="28" spans="1:20">
      <c r="A28" s="3804"/>
      <c r="B28" s="3804"/>
      <c r="C28" s="3804"/>
      <c r="D28" s="3804"/>
      <c r="E28" s="3804"/>
      <c r="F28" s="3804"/>
      <c r="G28" s="3804"/>
      <c r="H28" s="3804"/>
      <c r="I28" s="3804"/>
      <c r="J28" s="3804"/>
      <c r="K28" s="3804"/>
      <c r="L28" s="3804"/>
      <c r="M28" s="3804"/>
      <c r="N28" s="3804"/>
      <c r="O28" s="3804"/>
      <c r="P28" s="3804"/>
      <c r="Q28" s="3804"/>
      <c r="R28" s="3804"/>
      <c r="S28" s="3804"/>
      <c r="T28" s="3804"/>
    </row>
    <row r="29" spans="1:20">
      <c r="A29" s="3804"/>
      <c r="B29" s="3804"/>
      <c r="C29" s="3804"/>
      <c r="D29" s="3804"/>
      <c r="E29" s="3804"/>
      <c r="F29" s="3804"/>
      <c r="G29" s="3804"/>
      <c r="H29" s="3804"/>
      <c r="I29" s="3804"/>
      <c r="J29" s="3804"/>
      <c r="K29" s="3804"/>
      <c r="L29" s="3804"/>
      <c r="M29" s="3804"/>
      <c r="N29" s="3804"/>
      <c r="O29" s="3804"/>
      <c r="P29" s="3804"/>
      <c r="Q29" s="3804"/>
      <c r="R29" s="3804"/>
      <c r="S29" s="3804"/>
      <c r="T29" s="3804"/>
    </row>
    <row r="30" spans="1:20">
      <c r="A30" s="3804"/>
      <c r="B30" s="3804"/>
      <c r="C30" s="3804"/>
      <c r="D30" s="3804"/>
      <c r="E30" s="3804"/>
      <c r="F30" s="3804"/>
      <c r="G30" s="3804"/>
      <c r="H30" s="3804"/>
      <c r="I30" s="3804"/>
      <c r="J30" s="3804"/>
      <c r="K30" s="3804"/>
      <c r="L30" s="3804"/>
      <c r="M30" s="3804"/>
      <c r="N30" s="3804"/>
      <c r="O30" s="3804"/>
      <c r="P30" s="3804"/>
      <c r="Q30" s="3804"/>
      <c r="R30" s="3804"/>
      <c r="S30" s="3804"/>
      <c r="T30" s="3804"/>
    </row>
    <row r="31" spans="1:20">
      <c r="A31" s="3804"/>
      <c r="B31" s="3804"/>
      <c r="C31" s="3804"/>
      <c r="D31" s="3804"/>
      <c r="E31" s="3804"/>
      <c r="F31" s="3804"/>
      <c r="G31" s="3804"/>
      <c r="H31" s="3804"/>
      <c r="I31" s="3804"/>
      <c r="J31" s="3804"/>
      <c r="K31" s="3804"/>
      <c r="L31" s="3804"/>
      <c r="M31" s="3804"/>
      <c r="N31" s="3804"/>
      <c r="O31" s="3804"/>
      <c r="P31" s="3804"/>
      <c r="Q31" s="3804"/>
      <c r="R31" s="3804"/>
      <c r="S31" s="3804"/>
      <c r="T31" s="3804"/>
    </row>
    <row r="32" spans="1:20">
      <c r="A32" s="3804"/>
      <c r="B32" s="3804"/>
      <c r="C32" s="3804"/>
      <c r="D32" s="3804"/>
      <c r="E32" s="3804"/>
      <c r="F32" s="3804"/>
      <c r="G32" s="3804"/>
      <c r="H32" s="3804"/>
      <c r="I32" s="3804"/>
      <c r="J32" s="3804"/>
      <c r="K32" s="3804"/>
      <c r="L32" s="3804"/>
      <c r="M32" s="3804"/>
      <c r="N32" s="3804"/>
      <c r="O32" s="3804"/>
      <c r="P32" s="3804"/>
      <c r="Q32" s="3804"/>
      <c r="R32" s="3804"/>
      <c r="S32" s="3804"/>
      <c r="T32" s="3804"/>
    </row>
    <row r="33" spans="1:20">
      <c r="A33" s="3804"/>
      <c r="B33" s="3804"/>
      <c r="C33" s="3804"/>
      <c r="D33" s="3804"/>
      <c r="E33" s="3804"/>
      <c r="F33" s="3804"/>
      <c r="G33" s="3804"/>
      <c r="H33" s="3804"/>
      <c r="I33" s="3804"/>
      <c r="J33" s="3804"/>
      <c r="K33" s="3804"/>
      <c r="L33" s="3804"/>
      <c r="M33" s="3804"/>
      <c r="N33" s="3804"/>
      <c r="O33" s="3804"/>
      <c r="P33" s="3804"/>
      <c r="Q33" s="3804"/>
      <c r="R33" s="3804"/>
      <c r="S33" s="3804"/>
      <c r="T33" s="3804"/>
    </row>
    <row r="34" spans="1:20">
      <c r="A34" s="3804"/>
      <c r="B34" s="3804"/>
      <c r="C34" s="3804"/>
      <c r="D34" s="3804"/>
      <c r="E34" s="3804"/>
      <c r="F34" s="3804"/>
      <c r="G34" s="3804"/>
      <c r="H34" s="3804"/>
      <c r="I34" s="3804"/>
      <c r="J34" s="3804"/>
      <c r="K34" s="3804"/>
      <c r="L34" s="3804"/>
      <c r="M34" s="3804"/>
      <c r="N34" s="3804"/>
      <c r="O34" s="3804"/>
      <c r="P34" s="3804"/>
      <c r="Q34" s="3804"/>
      <c r="R34" s="3804"/>
      <c r="S34" s="3804"/>
      <c r="T34" s="3804"/>
    </row>
    <row r="35" spans="1:20">
      <c r="A35" s="3804"/>
      <c r="B35" s="3804"/>
      <c r="C35" s="3804"/>
      <c r="D35" s="3804"/>
      <c r="E35" s="3804"/>
      <c r="F35" s="3804"/>
      <c r="G35" s="3804"/>
      <c r="H35" s="3804"/>
      <c r="I35" s="3804"/>
      <c r="J35" s="3804"/>
      <c r="K35" s="3804"/>
      <c r="L35" s="3804"/>
      <c r="M35" s="3804"/>
      <c r="N35" s="3804"/>
      <c r="O35" s="3804"/>
      <c r="P35" s="3804"/>
      <c r="Q35" s="3804"/>
      <c r="R35" s="3804"/>
      <c r="S35" s="3804"/>
      <c r="T35" s="3804"/>
    </row>
    <row r="36" spans="1:20">
      <c r="A36" s="3804"/>
      <c r="B36" s="3804"/>
      <c r="C36" s="3804"/>
      <c r="D36" s="3804"/>
      <c r="E36" s="3804"/>
      <c r="F36" s="3804"/>
      <c r="G36" s="3804"/>
      <c r="H36" s="3804"/>
      <c r="I36" s="3804"/>
      <c r="J36" s="3804"/>
      <c r="K36" s="3804"/>
      <c r="L36" s="3804"/>
      <c r="M36" s="3804"/>
      <c r="N36" s="3804"/>
      <c r="O36" s="3804"/>
      <c r="P36" s="3804"/>
      <c r="Q36" s="3804"/>
      <c r="R36" s="3804"/>
      <c r="S36" s="3804"/>
      <c r="T36" s="3804"/>
    </row>
    <row r="37" spans="1:20">
      <c r="A37" s="3804"/>
      <c r="B37" s="3804"/>
      <c r="C37" s="3804"/>
      <c r="D37" s="3804"/>
      <c r="E37" s="3804"/>
      <c r="F37" s="3804"/>
      <c r="G37" s="3804"/>
      <c r="H37" s="3804"/>
      <c r="I37" s="3804"/>
      <c r="J37" s="3804"/>
      <c r="K37" s="3804"/>
      <c r="L37" s="3804"/>
      <c r="M37" s="3804"/>
      <c r="N37" s="3804"/>
      <c r="O37" s="3804"/>
      <c r="P37" s="3804"/>
      <c r="Q37" s="3804"/>
      <c r="R37" s="3804"/>
      <c r="S37" s="3804"/>
      <c r="T37" s="3804"/>
    </row>
    <row r="38" spans="1:20">
      <c r="A38" s="3804"/>
      <c r="B38" s="3804"/>
      <c r="C38" s="3804"/>
      <c r="D38" s="3804"/>
      <c r="E38" s="3804"/>
      <c r="F38" s="3804"/>
      <c r="G38" s="3804"/>
      <c r="H38" s="3804"/>
      <c r="I38" s="3804"/>
      <c r="J38" s="3804"/>
      <c r="K38" s="3804"/>
      <c r="L38" s="3804"/>
      <c r="M38" s="3804"/>
      <c r="N38" s="3804"/>
      <c r="O38" s="3804"/>
      <c r="P38" s="3804"/>
      <c r="Q38" s="3804"/>
      <c r="R38" s="3804"/>
      <c r="S38" s="3804"/>
      <c r="T38" s="3804"/>
    </row>
    <row r="39" spans="1:20">
      <c r="A39" s="3804"/>
      <c r="B39" s="3804"/>
      <c r="C39" s="3804"/>
      <c r="D39" s="3804"/>
      <c r="E39" s="3804"/>
      <c r="F39" s="3804"/>
      <c r="G39" s="3804"/>
      <c r="H39" s="3804"/>
      <c r="I39" s="3804"/>
      <c r="J39" s="3804"/>
      <c r="K39" s="3804"/>
      <c r="L39" s="3804"/>
      <c r="M39" s="3804"/>
      <c r="N39" s="3804"/>
      <c r="O39" s="3804"/>
      <c r="P39" s="3804"/>
      <c r="Q39" s="3804"/>
      <c r="R39" s="3804"/>
      <c r="S39" s="3804"/>
      <c r="T39" s="3804"/>
    </row>
    <row r="40" spans="1:20">
      <c r="A40" s="3804"/>
      <c r="B40" s="3804"/>
      <c r="C40" s="3804"/>
      <c r="D40" s="3804"/>
      <c r="E40" s="3804"/>
      <c r="F40" s="3804"/>
      <c r="G40" s="3804"/>
      <c r="H40" s="3804"/>
      <c r="I40" s="3804"/>
      <c r="J40" s="3804"/>
      <c r="K40" s="3804"/>
      <c r="L40" s="3804"/>
      <c r="M40" s="3804"/>
      <c r="N40" s="3804"/>
      <c r="O40" s="3804"/>
      <c r="P40" s="3804"/>
      <c r="Q40" s="3804"/>
      <c r="R40" s="3804"/>
      <c r="S40" s="3804"/>
      <c r="T40" s="3804"/>
    </row>
    <row r="41" spans="1:20">
      <c r="A41" s="3804"/>
      <c r="B41" s="3804"/>
      <c r="C41" s="3804"/>
      <c r="D41" s="3804"/>
      <c r="E41" s="3804"/>
      <c r="F41" s="3804"/>
      <c r="G41" s="3804"/>
      <c r="H41" s="3804"/>
      <c r="I41" s="3804"/>
      <c r="J41" s="3804"/>
      <c r="K41" s="3804"/>
      <c r="L41" s="3804"/>
      <c r="M41" s="3804"/>
      <c r="N41" s="3804"/>
      <c r="O41" s="3804"/>
      <c r="P41" s="3804"/>
      <c r="Q41" s="3804"/>
      <c r="R41" s="3804"/>
      <c r="S41" s="3804"/>
      <c r="T41" s="3804"/>
    </row>
    <row r="42" spans="1:20">
      <c r="A42" s="3804"/>
      <c r="B42" s="3804"/>
      <c r="C42" s="3804"/>
      <c r="D42" s="3804"/>
      <c r="E42" s="3804"/>
      <c r="F42" s="3804"/>
      <c r="G42" s="3804"/>
      <c r="H42" s="3804"/>
      <c r="I42" s="3804"/>
      <c r="J42" s="3804"/>
      <c r="K42" s="3804"/>
      <c r="L42" s="3804"/>
      <c r="M42" s="3804"/>
      <c r="N42" s="3804"/>
      <c r="O42" s="3804"/>
      <c r="P42" s="3804"/>
      <c r="Q42" s="3804"/>
      <c r="R42" s="3804"/>
      <c r="S42" s="3804"/>
      <c r="T42" s="3804"/>
    </row>
    <row r="43" spans="1:20">
      <c r="A43" s="3804"/>
      <c r="B43" s="3804"/>
      <c r="C43" s="3804"/>
      <c r="D43" s="3804"/>
      <c r="E43" s="3804"/>
      <c r="F43" s="3804"/>
      <c r="G43" s="3804"/>
      <c r="H43" s="3804"/>
      <c r="I43" s="3804"/>
      <c r="J43" s="3804"/>
      <c r="K43" s="3804"/>
      <c r="L43" s="3804"/>
      <c r="M43" s="3804"/>
      <c r="N43" s="3804"/>
      <c r="O43" s="3804"/>
      <c r="P43" s="3804"/>
      <c r="Q43" s="3804"/>
      <c r="R43" s="3804"/>
      <c r="S43" s="3804"/>
      <c r="T43" s="3804"/>
    </row>
    <row r="44" spans="1:20">
      <c r="A44" s="3804"/>
      <c r="B44" s="3804"/>
      <c r="C44" s="3804"/>
      <c r="D44" s="3804"/>
      <c r="E44" s="3804"/>
      <c r="F44" s="3804"/>
      <c r="G44" s="3804"/>
      <c r="H44" s="3804"/>
      <c r="I44" s="3804"/>
      <c r="J44" s="3804"/>
      <c r="K44" s="3804"/>
      <c r="L44" s="3804"/>
      <c r="M44" s="3804"/>
      <c r="N44" s="3804"/>
      <c r="O44" s="3804"/>
      <c r="P44" s="3804"/>
      <c r="Q44" s="3804"/>
      <c r="R44" s="3804"/>
      <c r="S44" s="3804"/>
      <c r="T44" s="3804"/>
    </row>
    <row r="45" spans="1:20">
      <c r="A45" s="3804"/>
      <c r="B45" s="3804"/>
      <c r="C45" s="3804"/>
      <c r="D45" s="3804"/>
      <c r="E45" s="3804"/>
      <c r="F45" s="3804"/>
      <c r="G45" s="3804"/>
      <c r="H45" s="3804"/>
      <c r="I45" s="3804"/>
      <c r="J45" s="3804"/>
      <c r="K45" s="3804"/>
      <c r="L45" s="3804"/>
      <c r="M45" s="3804"/>
      <c r="N45" s="3804"/>
      <c r="O45" s="3804"/>
      <c r="P45" s="3804"/>
      <c r="Q45" s="3804"/>
      <c r="R45" s="3804"/>
      <c r="S45" s="3804"/>
      <c r="T45" s="3804"/>
    </row>
    <row r="46" spans="1:20">
      <c r="A46" s="3804"/>
      <c r="B46" s="3804"/>
      <c r="C46" s="3804"/>
      <c r="D46" s="3804"/>
      <c r="E46" s="3804"/>
      <c r="F46" s="3804"/>
      <c r="G46" s="3804"/>
      <c r="H46" s="3804"/>
      <c r="I46" s="3804"/>
      <c r="J46" s="3804"/>
      <c r="K46" s="3804"/>
      <c r="L46" s="3804"/>
      <c r="M46" s="3804"/>
      <c r="N46" s="3804"/>
      <c r="O46" s="3804"/>
      <c r="P46" s="3804"/>
      <c r="Q46" s="3804"/>
      <c r="R46" s="3804"/>
      <c r="S46" s="3804"/>
      <c r="T46" s="3804"/>
    </row>
    <row r="47" spans="1:20">
      <c r="A47" s="3804"/>
      <c r="B47" s="3804"/>
      <c r="C47" s="3804"/>
      <c r="D47" s="3804"/>
      <c r="E47" s="3804"/>
      <c r="F47" s="3804"/>
      <c r="G47" s="3804"/>
      <c r="H47" s="3804"/>
      <c r="I47" s="3804"/>
      <c r="J47" s="3804"/>
      <c r="K47" s="3804"/>
      <c r="L47" s="3804"/>
      <c r="M47" s="3804"/>
      <c r="N47" s="3804"/>
      <c r="O47" s="3804"/>
      <c r="P47" s="3804"/>
      <c r="Q47" s="3804"/>
      <c r="R47" s="3804"/>
      <c r="S47" s="3804"/>
      <c r="T47" s="3804"/>
    </row>
    <row r="48" spans="1:20">
      <c r="A48" s="3804"/>
      <c r="B48" s="3804"/>
      <c r="C48" s="3804"/>
      <c r="D48" s="3804"/>
      <c r="E48" s="3804"/>
      <c r="F48" s="3804"/>
      <c r="G48" s="3804"/>
      <c r="H48" s="3804"/>
      <c r="I48" s="3804"/>
      <c r="J48" s="3804"/>
      <c r="K48" s="3804"/>
      <c r="L48" s="3804"/>
      <c r="M48" s="3804"/>
      <c r="N48" s="3804"/>
      <c r="O48" s="3804"/>
      <c r="P48" s="3804"/>
      <c r="Q48" s="3804"/>
      <c r="R48" s="3804"/>
      <c r="S48" s="3804"/>
      <c r="T48" s="3804"/>
    </row>
    <row r="49" spans="1:20">
      <c r="A49" s="3804"/>
      <c r="B49" s="3804"/>
      <c r="C49" s="3804"/>
      <c r="D49" s="3804"/>
      <c r="E49" s="3804"/>
      <c r="F49" s="3804"/>
      <c r="G49" s="3804"/>
      <c r="H49" s="3804"/>
      <c r="I49" s="3804"/>
      <c r="J49" s="3804"/>
      <c r="K49" s="3804"/>
      <c r="L49" s="3804"/>
      <c r="M49" s="3804"/>
      <c r="N49" s="3804"/>
      <c r="O49" s="3804"/>
      <c r="P49" s="3804"/>
      <c r="Q49" s="3804"/>
      <c r="R49" s="3804"/>
      <c r="S49" s="3804"/>
      <c r="T49" s="3804"/>
    </row>
    <row r="50" spans="1:20">
      <c r="A50" s="3804"/>
      <c r="B50" s="3804"/>
      <c r="C50" s="3804"/>
      <c r="D50" s="3804"/>
      <c r="E50" s="3804"/>
      <c r="F50" s="3804"/>
      <c r="G50" s="3804"/>
      <c r="H50" s="3804"/>
      <c r="I50" s="3804"/>
      <c r="J50" s="3804"/>
      <c r="K50" s="3804"/>
      <c r="L50" s="3804"/>
      <c r="M50" s="3804"/>
      <c r="N50" s="3804"/>
      <c r="O50" s="3804"/>
      <c r="P50" s="3804"/>
      <c r="Q50" s="3804"/>
      <c r="R50" s="3804"/>
      <c r="S50" s="3804"/>
      <c r="T50" s="3804"/>
    </row>
    <row r="51" spans="1:20">
      <c r="A51" s="3804"/>
      <c r="B51" s="3804"/>
      <c r="C51" s="3804"/>
      <c r="D51" s="3804"/>
      <c r="E51" s="3804"/>
      <c r="F51" s="3804"/>
      <c r="G51" s="3804"/>
      <c r="H51" s="3804"/>
      <c r="I51" s="3804"/>
      <c r="J51" s="3804"/>
      <c r="K51" s="3804"/>
      <c r="L51" s="3804"/>
      <c r="M51" s="3804"/>
      <c r="N51" s="3804"/>
      <c r="O51" s="3804"/>
      <c r="P51" s="3804"/>
      <c r="Q51" s="3804"/>
      <c r="R51" s="3804"/>
      <c r="S51" s="3804"/>
      <c r="T51" s="3804"/>
    </row>
    <row r="52" spans="1:20">
      <c r="A52" s="3804"/>
      <c r="B52" s="3804"/>
      <c r="C52" s="3804"/>
      <c r="D52" s="3804"/>
      <c r="E52" s="3804"/>
      <c r="F52" s="3804"/>
      <c r="G52" s="3804"/>
      <c r="H52" s="3804"/>
      <c r="I52" s="3804"/>
      <c r="J52" s="3804"/>
      <c r="K52" s="3804"/>
      <c r="L52" s="3804"/>
      <c r="M52" s="3804"/>
      <c r="N52" s="3804"/>
      <c r="O52" s="3804"/>
      <c r="P52" s="3804"/>
      <c r="Q52" s="3804"/>
      <c r="R52" s="3804"/>
      <c r="S52" s="3804"/>
      <c r="T52" s="3804"/>
    </row>
    <row r="53" spans="1:20">
      <c r="A53" s="3804"/>
      <c r="B53" s="3804"/>
      <c r="C53" s="3804"/>
      <c r="D53" s="3804"/>
      <c r="E53" s="3804"/>
      <c r="F53" s="3804"/>
      <c r="G53" s="3804"/>
      <c r="H53" s="3804"/>
      <c r="I53" s="3804"/>
      <c r="J53" s="3804"/>
      <c r="K53" s="3804"/>
      <c r="L53" s="3804"/>
      <c r="M53" s="3804"/>
      <c r="N53" s="3804"/>
      <c r="O53" s="3804"/>
      <c r="P53" s="3804"/>
      <c r="Q53" s="3804"/>
      <c r="R53" s="3804"/>
      <c r="S53" s="3804"/>
      <c r="T53" s="3804"/>
    </row>
    <row r="54" spans="1:20">
      <c r="A54" s="3804"/>
      <c r="B54" s="3804"/>
      <c r="C54" s="3804"/>
      <c r="D54" s="3804"/>
      <c r="E54" s="3804"/>
      <c r="F54" s="3804"/>
      <c r="G54" s="3804"/>
      <c r="H54" s="3804"/>
      <c r="I54" s="3804"/>
      <c r="J54" s="3804"/>
      <c r="K54" s="3804"/>
      <c r="L54" s="3804"/>
      <c r="M54" s="3804"/>
      <c r="N54" s="3804"/>
      <c r="O54" s="3804"/>
      <c r="P54" s="3804"/>
      <c r="Q54" s="3804"/>
      <c r="R54" s="3804"/>
      <c r="S54" s="3804"/>
      <c r="T54" s="3804"/>
    </row>
    <row r="55" spans="1:20">
      <c r="A55" s="3804"/>
      <c r="B55" s="3804"/>
      <c r="C55" s="3804"/>
      <c r="D55" s="3804"/>
      <c r="E55" s="3804"/>
      <c r="F55" s="3804"/>
      <c r="G55" s="3804"/>
      <c r="H55" s="3804"/>
      <c r="I55" s="3804"/>
      <c r="J55" s="3804"/>
      <c r="K55" s="3804"/>
      <c r="L55" s="3804"/>
      <c r="M55" s="3804"/>
      <c r="N55" s="3804"/>
      <c r="O55" s="3804"/>
      <c r="P55" s="3804"/>
      <c r="Q55" s="3804"/>
      <c r="R55" s="3804"/>
      <c r="S55" s="3804"/>
      <c r="T55" s="3804"/>
    </row>
    <row r="56" spans="1:20">
      <c r="A56" s="3804"/>
      <c r="B56" s="3804"/>
      <c r="C56" s="3804"/>
      <c r="D56" s="3804"/>
      <c r="E56" s="3804"/>
      <c r="F56" s="3804"/>
      <c r="G56" s="3804"/>
      <c r="H56" s="3804"/>
      <c r="I56" s="3804"/>
      <c r="J56" s="3804"/>
      <c r="K56" s="3804"/>
      <c r="L56" s="3804"/>
      <c r="M56" s="3804"/>
      <c r="N56" s="3804"/>
      <c r="O56" s="3804"/>
      <c r="P56" s="3804"/>
      <c r="Q56" s="3804"/>
      <c r="R56" s="3804"/>
      <c r="S56" s="3804"/>
      <c r="T56" s="3804"/>
    </row>
    <row r="57" spans="1:20">
      <c r="A57" s="3804"/>
      <c r="B57" s="3804"/>
      <c r="C57" s="3804"/>
      <c r="D57" s="3804"/>
      <c r="E57" s="3804"/>
      <c r="F57" s="3804"/>
      <c r="G57" s="3804"/>
      <c r="H57" s="3804"/>
      <c r="I57" s="3804"/>
      <c r="J57" s="3804"/>
      <c r="K57" s="3804"/>
      <c r="L57" s="3804"/>
      <c r="M57" s="3804"/>
      <c r="N57" s="3804"/>
      <c r="O57" s="3804"/>
      <c r="P57" s="3804"/>
      <c r="Q57" s="3804"/>
      <c r="R57" s="3804"/>
      <c r="S57" s="3804"/>
      <c r="T57" s="3804"/>
    </row>
    <row r="58" spans="1:20">
      <c r="A58" s="3804"/>
      <c r="B58" s="3804"/>
      <c r="C58" s="3804"/>
      <c r="D58" s="3804"/>
      <c r="E58" s="3804"/>
      <c r="F58" s="3804"/>
      <c r="G58" s="3804"/>
      <c r="H58" s="3804"/>
      <c r="I58" s="3804"/>
      <c r="J58" s="3804"/>
      <c r="K58" s="3804"/>
      <c r="L58" s="3804"/>
      <c r="M58" s="3804"/>
      <c r="N58" s="3804"/>
      <c r="O58" s="3804"/>
      <c r="P58" s="3804"/>
      <c r="Q58" s="3804"/>
      <c r="R58" s="3804"/>
      <c r="S58" s="3804"/>
      <c r="T58" s="3804"/>
    </row>
    <row r="59" spans="1:20">
      <c r="A59" s="3804"/>
      <c r="B59" s="3804"/>
      <c r="C59" s="3804"/>
      <c r="D59" s="3804"/>
      <c r="E59" s="3804"/>
      <c r="F59" s="3804"/>
      <c r="G59" s="3804"/>
      <c r="H59" s="3804"/>
      <c r="I59" s="3804"/>
      <c r="J59" s="3804"/>
      <c r="K59" s="3804"/>
      <c r="L59" s="3804"/>
      <c r="M59" s="3804"/>
      <c r="N59" s="3804"/>
      <c r="O59" s="3804"/>
      <c r="P59" s="3804"/>
      <c r="Q59" s="3804"/>
      <c r="R59" s="3804"/>
      <c r="S59" s="3804"/>
      <c r="T59" s="3804"/>
    </row>
    <row r="60" spans="1:20">
      <c r="A60" s="3804"/>
      <c r="B60" s="3804"/>
      <c r="C60" s="3804"/>
      <c r="D60" s="3804"/>
      <c r="E60" s="3804"/>
      <c r="F60" s="3804"/>
      <c r="G60" s="3804"/>
      <c r="H60" s="3804"/>
      <c r="I60" s="3804"/>
      <c r="J60" s="3804"/>
      <c r="K60" s="3804"/>
      <c r="L60" s="3804"/>
      <c r="M60" s="3804"/>
      <c r="N60" s="3804"/>
      <c r="O60" s="3804"/>
      <c r="P60" s="3804"/>
      <c r="Q60" s="3804"/>
      <c r="R60" s="3804"/>
      <c r="S60" s="3804"/>
      <c r="T60" s="3804"/>
    </row>
    <row r="61" spans="1:20">
      <c r="A61" s="3804"/>
      <c r="B61" s="3804"/>
      <c r="C61" s="3804"/>
      <c r="D61" s="3804"/>
      <c r="E61" s="3804"/>
      <c r="F61" s="3804"/>
      <c r="G61" s="3804"/>
      <c r="H61" s="3804"/>
      <c r="I61" s="3804"/>
      <c r="J61" s="3804"/>
      <c r="K61" s="3804"/>
      <c r="L61" s="3804"/>
      <c r="M61" s="3804"/>
      <c r="N61" s="3804"/>
      <c r="O61" s="3804"/>
      <c r="P61" s="3804"/>
      <c r="Q61" s="3804"/>
      <c r="R61" s="3804"/>
      <c r="S61" s="3804"/>
      <c r="T61" s="3804"/>
    </row>
    <row r="62" spans="1:20">
      <c r="A62" s="3804"/>
      <c r="B62" s="3804"/>
      <c r="C62" s="3804"/>
      <c r="D62" s="3804"/>
      <c r="E62" s="3804"/>
      <c r="F62" s="3804"/>
      <c r="G62" s="3804"/>
      <c r="H62" s="3804"/>
      <c r="I62" s="3804"/>
      <c r="J62" s="3804"/>
      <c r="K62" s="3804"/>
      <c r="L62" s="3804"/>
      <c r="M62" s="3804"/>
      <c r="N62" s="3804"/>
      <c r="O62" s="3804"/>
      <c r="P62" s="3804"/>
      <c r="Q62" s="3804"/>
      <c r="R62" s="3804"/>
      <c r="S62" s="3804"/>
      <c r="T62" s="3804"/>
    </row>
    <row r="63" spans="1:20">
      <c r="A63" s="3804"/>
      <c r="B63" s="3804"/>
      <c r="C63" s="3804"/>
      <c r="D63" s="3804"/>
      <c r="E63" s="3804"/>
      <c r="F63" s="3804"/>
      <c r="G63" s="3804"/>
      <c r="H63" s="3804"/>
      <c r="I63" s="3804"/>
      <c r="J63" s="3804"/>
      <c r="K63" s="3804"/>
      <c r="L63" s="3804"/>
      <c r="M63" s="3804"/>
      <c r="N63" s="3804"/>
      <c r="O63" s="3804"/>
      <c r="P63" s="3804"/>
      <c r="Q63" s="3804"/>
      <c r="R63" s="3804"/>
      <c r="S63" s="3804"/>
      <c r="T63" s="3804"/>
    </row>
  </sheetData>
  <mergeCells count="67">
    <mergeCell ref="E3:E4"/>
    <mergeCell ref="F3:F4"/>
    <mergeCell ref="G3:G4"/>
    <mergeCell ref="H3:H4"/>
    <mergeCell ref="I3:I4"/>
    <mergeCell ref="A20:T20"/>
    <mergeCell ref="J3:J4"/>
    <mergeCell ref="K3:K4"/>
    <mergeCell ref="L3:L4"/>
    <mergeCell ref="M3:M4"/>
    <mergeCell ref="N3:N4"/>
    <mergeCell ref="O3:O4"/>
    <mergeCell ref="P3:S3"/>
    <mergeCell ref="T3:T4"/>
    <mergeCell ref="A17:T17"/>
    <mergeCell ref="A18:T18"/>
    <mergeCell ref="A19:T19"/>
    <mergeCell ref="A3:A5"/>
    <mergeCell ref="B3:B4"/>
    <mergeCell ref="C3:C4"/>
    <mergeCell ref="D3:D4"/>
    <mergeCell ref="A32:T32"/>
    <mergeCell ref="A21:T21"/>
    <mergeCell ref="A22:T22"/>
    <mergeCell ref="A23:T23"/>
    <mergeCell ref="A24:T24"/>
    <mergeCell ref="A25:T25"/>
    <mergeCell ref="A26:T26"/>
    <mergeCell ref="A27:T27"/>
    <mergeCell ref="A28:T28"/>
    <mergeCell ref="A29:T29"/>
    <mergeCell ref="A30:T30"/>
    <mergeCell ref="A31:T31"/>
    <mergeCell ref="R1:T1"/>
    <mergeCell ref="R2:T2"/>
    <mergeCell ref="A1:Q2"/>
    <mergeCell ref="A55:T55"/>
    <mergeCell ref="A44:T44"/>
    <mergeCell ref="A33:T33"/>
    <mergeCell ref="A34:T34"/>
    <mergeCell ref="A35:T35"/>
    <mergeCell ref="A36:T36"/>
    <mergeCell ref="A37:T37"/>
    <mergeCell ref="A38:T38"/>
    <mergeCell ref="A39:T39"/>
    <mergeCell ref="A40:T40"/>
    <mergeCell ref="A41:T41"/>
    <mergeCell ref="A42:T42"/>
    <mergeCell ref="A43:T43"/>
    <mergeCell ref="A63:T63"/>
    <mergeCell ref="A57:T57"/>
    <mergeCell ref="A58:T58"/>
    <mergeCell ref="A59:T59"/>
    <mergeCell ref="A60:T60"/>
    <mergeCell ref="A61:T61"/>
    <mergeCell ref="A62:T62"/>
    <mergeCell ref="A56:T56"/>
    <mergeCell ref="A45:T45"/>
    <mergeCell ref="A46:T46"/>
    <mergeCell ref="A47:T47"/>
    <mergeCell ref="A48:T48"/>
    <mergeCell ref="A49:T49"/>
    <mergeCell ref="A53:T53"/>
    <mergeCell ref="A54:T54"/>
    <mergeCell ref="A50:T50"/>
    <mergeCell ref="A51:T51"/>
    <mergeCell ref="A52:T52"/>
  </mergeCells>
  <phoneticPr fontId="135" type="noConversion"/>
  <hyperlinks>
    <hyperlink ref="U15" location="A108000境外所得税收抵免明细表!A1" display="A108000境外所得税收抵免明细表!A1"/>
  </hyperlinks>
  <printOptions horizontalCentered="1"/>
  <pageMargins left="0.59055118110236215" right="0.59055118110236215" top="0.39370078740157477" bottom="0.39370078740157477" header="0.511811023622047" footer="0.511811023622047"/>
  <pageSetup paperSize="9" scale="64" fitToHeight="0" orientation="landscape" blackAndWhite="1" r:id="rId1"/>
  <headerFooter alignWithMargins="0"/>
  <drawing r:id="rId2"/>
  <legacyDrawing r:id="rId3"/>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6">
    <tabColor rgb="FFFFFF00"/>
    <pageSetUpPr fitToPage="1"/>
  </sheetPr>
  <dimension ref="A1:T16"/>
  <sheetViews>
    <sheetView topLeftCell="I1" workbookViewId="0">
      <selection activeCell="Q3" sqref="Q3:Q4"/>
    </sheetView>
  </sheetViews>
  <sheetFormatPr defaultColWidth="8.75" defaultRowHeight="12.75"/>
  <cols>
    <col min="1" max="1" width="5.25" style="1627" customWidth="1"/>
    <col min="2" max="2" width="9.375" style="1627" customWidth="1"/>
    <col min="3" max="19" width="10.25" style="1627" customWidth="1"/>
    <col min="20" max="256" width="8.75" style="1627"/>
    <col min="257" max="257" width="5.25" style="1627" customWidth="1"/>
    <col min="258" max="258" width="10.25" style="1627" customWidth="1"/>
    <col min="259" max="275" width="6.5" style="1627" customWidth="1"/>
    <col min="276" max="512" width="8.75" style="1627"/>
    <col min="513" max="513" width="5.25" style="1627" customWidth="1"/>
    <col min="514" max="514" width="10.25" style="1627" customWidth="1"/>
    <col min="515" max="531" width="6.5" style="1627" customWidth="1"/>
    <col min="532" max="768" width="8.75" style="1627"/>
    <col min="769" max="769" width="5.25" style="1627" customWidth="1"/>
    <col min="770" max="770" width="10.25" style="1627" customWidth="1"/>
    <col min="771" max="787" width="6.5" style="1627" customWidth="1"/>
    <col min="788" max="1024" width="8.75" style="1627"/>
    <col min="1025" max="1025" width="5.25" style="1627" customWidth="1"/>
    <col min="1026" max="1026" width="10.25" style="1627" customWidth="1"/>
    <col min="1027" max="1043" width="6.5" style="1627" customWidth="1"/>
    <col min="1044" max="1280" width="8.75" style="1627"/>
    <col min="1281" max="1281" width="5.25" style="1627" customWidth="1"/>
    <col min="1282" max="1282" width="10.25" style="1627" customWidth="1"/>
    <col min="1283" max="1299" width="6.5" style="1627" customWidth="1"/>
    <col min="1300" max="1536" width="8.75" style="1627"/>
    <col min="1537" max="1537" width="5.25" style="1627" customWidth="1"/>
    <col min="1538" max="1538" width="10.25" style="1627" customWidth="1"/>
    <col min="1539" max="1555" width="6.5" style="1627" customWidth="1"/>
    <col min="1556" max="1792" width="8.75" style="1627"/>
    <col min="1793" max="1793" width="5.25" style="1627" customWidth="1"/>
    <col min="1794" max="1794" width="10.25" style="1627" customWidth="1"/>
    <col min="1795" max="1811" width="6.5" style="1627" customWidth="1"/>
    <col min="1812" max="2048" width="8.75" style="1627"/>
    <col min="2049" max="2049" width="5.25" style="1627" customWidth="1"/>
    <col min="2050" max="2050" width="10.25" style="1627" customWidth="1"/>
    <col min="2051" max="2067" width="6.5" style="1627" customWidth="1"/>
    <col min="2068" max="2304" width="8.75" style="1627"/>
    <col min="2305" max="2305" width="5.25" style="1627" customWidth="1"/>
    <col min="2306" max="2306" width="10.25" style="1627" customWidth="1"/>
    <col min="2307" max="2323" width="6.5" style="1627" customWidth="1"/>
    <col min="2324" max="2560" width="8.75" style="1627"/>
    <col min="2561" max="2561" width="5.25" style="1627" customWidth="1"/>
    <col min="2562" max="2562" width="10.25" style="1627" customWidth="1"/>
    <col min="2563" max="2579" width="6.5" style="1627" customWidth="1"/>
    <col min="2580" max="2816" width="8.75" style="1627"/>
    <col min="2817" max="2817" width="5.25" style="1627" customWidth="1"/>
    <col min="2818" max="2818" width="10.25" style="1627" customWidth="1"/>
    <col min="2819" max="2835" width="6.5" style="1627" customWidth="1"/>
    <col min="2836" max="3072" width="8.75" style="1627"/>
    <col min="3073" max="3073" width="5.25" style="1627" customWidth="1"/>
    <col min="3074" max="3074" width="10.25" style="1627" customWidth="1"/>
    <col min="3075" max="3091" width="6.5" style="1627" customWidth="1"/>
    <col min="3092" max="3328" width="8.75" style="1627"/>
    <col min="3329" max="3329" width="5.25" style="1627" customWidth="1"/>
    <col min="3330" max="3330" width="10.25" style="1627" customWidth="1"/>
    <col min="3331" max="3347" width="6.5" style="1627" customWidth="1"/>
    <col min="3348" max="3584" width="8.75" style="1627"/>
    <col min="3585" max="3585" width="5.25" style="1627" customWidth="1"/>
    <col min="3586" max="3586" width="10.25" style="1627" customWidth="1"/>
    <col min="3587" max="3603" width="6.5" style="1627" customWidth="1"/>
    <col min="3604" max="3840" width="8.75" style="1627"/>
    <col min="3841" max="3841" width="5.25" style="1627" customWidth="1"/>
    <col min="3842" max="3842" width="10.25" style="1627" customWidth="1"/>
    <col min="3843" max="3859" width="6.5" style="1627" customWidth="1"/>
    <col min="3860" max="4096" width="8.75" style="1627"/>
    <col min="4097" max="4097" width="5.25" style="1627" customWidth="1"/>
    <col min="4098" max="4098" width="10.25" style="1627" customWidth="1"/>
    <col min="4099" max="4115" width="6.5" style="1627" customWidth="1"/>
    <col min="4116" max="4352" width="8.75" style="1627"/>
    <col min="4353" max="4353" width="5.25" style="1627" customWidth="1"/>
    <col min="4354" max="4354" width="10.25" style="1627" customWidth="1"/>
    <col min="4355" max="4371" width="6.5" style="1627" customWidth="1"/>
    <col min="4372" max="4608" width="8.75" style="1627"/>
    <col min="4609" max="4609" width="5.25" style="1627" customWidth="1"/>
    <col min="4610" max="4610" width="10.25" style="1627" customWidth="1"/>
    <col min="4611" max="4627" width="6.5" style="1627" customWidth="1"/>
    <col min="4628" max="4864" width="8.75" style="1627"/>
    <col min="4865" max="4865" width="5.25" style="1627" customWidth="1"/>
    <col min="4866" max="4866" width="10.25" style="1627" customWidth="1"/>
    <col min="4867" max="4883" width="6.5" style="1627" customWidth="1"/>
    <col min="4884" max="5120" width="8.75" style="1627"/>
    <col min="5121" max="5121" width="5.25" style="1627" customWidth="1"/>
    <col min="5122" max="5122" width="10.25" style="1627" customWidth="1"/>
    <col min="5123" max="5139" width="6.5" style="1627" customWidth="1"/>
    <col min="5140" max="5376" width="8.75" style="1627"/>
    <col min="5377" max="5377" width="5.25" style="1627" customWidth="1"/>
    <col min="5378" max="5378" width="10.25" style="1627" customWidth="1"/>
    <col min="5379" max="5395" width="6.5" style="1627" customWidth="1"/>
    <col min="5396" max="5632" width="8.75" style="1627"/>
    <col min="5633" max="5633" width="5.25" style="1627" customWidth="1"/>
    <col min="5634" max="5634" width="10.25" style="1627" customWidth="1"/>
    <col min="5635" max="5651" width="6.5" style="1627" customWidth="1"/>
    <col min="5652" max="5888" width="8.75" style="1627"/>
    <col min="5889" max="5889" width="5.25" style="1627" customWidth="1"/>
    <col min="5890" max="5890" width="10.25" style="1627" customWidth="1"/>
    <col min="5891" max="5907" width="6.5" style="1627" customWidth="1"/>
    <col min="5908" max="6144" width="8.75" style="1627"/>
    <col min="6145" max="6145" width="5.25" style="1627" customWidth="1"/>
    <col min="6146" max="6146" width="10.25" style="1627" customWidth="1"/>
    <col min="6147" max="6163" width="6.5" style="1627" customWidth="1"/>
    <col min="6164" max="6400" width="8.75" style="1627"/>
    <col min="6401" max="6401" width="5.25" style="1627" customWidth="1"/>
    <col min="6402" max="6402" width="10.25" style="1627" customWidth="1"/>
    <col min="6403" max="6419" width="6.5" style="1627" customWidth="1"/>
    <col min="6420" max="6656" width="8.75" style="1627"/>
    <col min="6657" max="6657" width="5.25" style="1627" customWidth="1"/>
    <col min="6658" max="6658" width="10.25" style="1627" customWidth="1"/>
    <col min="6659" max="6675" width="6.5" style="1627" customWidth="1"/>
    <col min="6676" max="6912" width="8.75" style="1627"/>
    <col min="6913" max="6913" width="5.25" style="1627" customWidth="1"/>
    <col min="6914" max="6914" width="10.25" style="1627" customWidth="1"/>
    <col min="6915" max="6931" width="6.5" style="1627" customWidth="1"/>
    <col min="6932" max="7168" width="8.75" style="1627"/>
    <col min="7169" max="7169" width="5.25" style="1627" customWidth="1"/>
    <col min="7170" max="7170" width="10.25" style="1627" customWidth="1"/>
    <col min="7171" max="7187" width="6.5" style="1627" customWidth="1"/>
    <col min="7188" max="7424" width="8.75" style="1627"/>
    <col min="7425" max="7425" width="5.25" style="1627" customWidth="1"/>
    <col min="7426" max="7426" width="10.25" style="1627" customWidth="1"/>
    <col min="7427" max="7443" width="6.5" style="1627" customWidth="1"/>
    <col min="7444" max="7680" width="8.75" style="1627"/>
    <col min="7681" max="7681" width="5.25" style="1627" customWidth="1"/>
    <col min="7682" max="7682" width="10.25" style="1627" customWidth="1"/>
    <col min="7683" max="7699" width="6.5" style="1627" customWidth="1"/>
    <col min="7700" max="7936" width="8.75" style="1627"/>
    <col min="7937" max="7937" width="5.25" style="1627" customWidth="1"/>
    <col min="7938" max="7938" width="10.25" style="1627" customWidth="1"/>
    <col min="7939" max="7955" width="6.5" style="1627" customWidth="1"/>
    <col min="7956" max="8192" width="8.75" style="1627"/>
    <col min="8193" max="8193" width="5.25" style="1627" customWidth="1"/>
    <col min="8194" max="8194" width="10.25" style="1627" customWidth="1"/>
    <col min="8195" max="8211" width="6.5" style="1627" customWidth="1"/>
    <col min="8212" max="8448" width="8.75" style="1627"/>
    <col min="8449" max="8449" width="5.25" style="1627" customWidth="1"/>
    <col min="8450" max="8450" width="10.25" style="1627" customWidth="1"/>
    <col min="8451" max="8467" width="6.5" style="1627" customWidth="1"/>
    <col min="8468" max="8704" width="8.75" style="1627"/>
    <col min="8705" max="8705" width="5.25" style="1627" customWidth="1"/>
    <col min="8706" max="8706" width="10.25" style="1627" customWidth="1"/>
    <col min="8707" max="8723" width="6.5" style="1627" customWidth="1"/>
    <col min="8724" max="8960" width="8.75" style="1627"/>
    <col min="8961" max="8961" width="5.25" style="1627" customWidth="1"/>
    <col min="8962" max="8962" width="10.25" style="1627" customWidth="1"/>
    <col min="8963" max="8979" width="6.5" style="1627" customWidth="1"/>
    <col min="8980" max="9216" width="8.75" style="1627"/>
    <col min="9217" max="9217" width="5.25" style="1627" customWidth="1"/>
    <col min="9218" max="9218" width="10.25" style="1627" customWidth="1"/>
    <col min="9219" max="9235" width="6.5" style="1627" customWidth="1"/>
    <col min="9236" max="9472" width="8.75" style="1627"/>
    <col min="9473" max="9473" width="5.25" style="1627" customWidth="1"/>
    <col min="9474" max="9474" width="10.25" style="1627" customWidth="1"/>
    <col min="9475" max="9491" width="6.5" style="1627" customWidth="1"/>
    <col min="9492" max="9728" width="8.75" style="1627"/>
    <col min="9729" max="9729" width="5.25" style="1627" customWidth="1"/>
    <col min="9730" max="9730" width="10.25" style="1627" customWidth="1"/>
    <col min="9731" max="9747" width="6.5" style="1627" customWidth="1"/>
    <col min="9748" max="9984" width="8.75" style="1627"/>
    <col min="9985" max="9985" width="5.25" style="1627" customWidth="1"/>
    <col min="9986" max="9986" width="10.25" style="1627" customWidth="1"/>
    <col min="9987" max="10003" width="6.5" style="1627" customWidth="1"/>
    <col min="10004" max="10240" width="8.75" style="1627"/>
    <col min="10241" max="10241" width="5.25" style="1627" customWidth="1"/>
    <col min="10242" max="10242" width="10.25" style="1627" customWidth="1"/>
    <col min="10243" max="10259" width="6.5" style="1627" customWidth="1"/>
    <col min="10260" max="10496" width="8.75" style="1627"/>
    <col min="10497" max="10497" width="5.25" style="1627" customWidth="1"/>
    <col min="10498" max="10498" width="10.25" style="1627" customWidth="1"/>
    <col min="10499" max="10515" width="6.5" style="1627" customWidth="1"/>
    <col min="10516" max="10752" width="8.75" style="1627"/>
    <col min="10753" max="10753" width="5.25" style="1627" customWidth="1"/>
    <col min="10754" max="10754" width="10.25" style="1627" customWidth="1"/>
    <col min="10755" max="10771" width="6.5" style="1627" customWidth="1"/>
    <col min="10772" max="11008" width="8.75" style="1627"/>
    <col min="11009" max="11009" width="5.25" style="1627" customWidth="1"/>
    <col min="11010" max="11010" width="10.25" style="1627" customWidth="1"/>
    <col min="11011" max="11027" width="6.5" style="1627" customWidth="1"/>
    <col min="11028" max="11264" width="8.75" style="1627"/>
    <col min="11265" max="11265" width="5.25" style="1627" customWidth="1"/>
    <col min="11266" max="11266" width="10.25" style="1627" customWidth="1"/>
    <col min="11267" max="11283" width="6.5" style="1627" customWidth="1"/>
    <col min="11284" max="11520" width="8.75" style="1627"/>
    <col min="11521" max="11521" width="5.25" style="1627" customWidth="1"/>
    <col min="11522" max="11522" width="10.25" style="1627" customWidth="1"/>
    <col min="11523" max="11539" width="6.5" style="1627" customWidth="1"/>
    <col min="11540" max="11776" width="8.75" style="1627"/>
    <col min="11777" max="11777" width="5.25" style="1627" customWidth="1"/>
    <col min="11778" max="11778" width="10.25" style="1627" customWidth="1"/>
    <col min="11779" max="11795" width="6.5" style="1627" customWidth="1"/>
    <col min="11796" max="12032" width="8.75" style="1627"/>
    <col min="12033" max="12033" width="5.25" style="1627" customWidth="1"/>
    <col min="12034" max="12034" width="10.25" style="1627" customWidth="1"/>
    <col min="12035" max="12051" width="6.5" style="1627" customWidth="1"/>
    <col min="12052" max="12288" width="8.75" style="1627"/>
    <col min="12289" max="12289" width="5.25" style="1627" customWidth="1"/>
    <col min="12290" max="12290" width="10.25" style="1627" customWidth="1"/>
    <col min="12291" max="12307" width="6.5" style="1627" customWidth="1"/>
    <col min="12308" max="12544" width="8.75" style="1627"/>
    <col min="12545" max="12545" width="5.25" style="1627" customWidth="1"/>
    <col min="12546" max="12546" width="10.25" style="1627" customWidth="1"/>
    <col min="12547" max="12563" width="6.5" style="1627" customWidth="1"/>
    <col min="12564" max="12800" width="8.75" style="1627"/>
    <col min="12801" max="12801" width="5.25" style="1627" customWidth="1"/>
    <col min="12802" max="12802" width="10.25" style="1627" customWidth="1"/>
    <col min="12803" max="12819" width="6.5" style="1627" customWidth="1"/>
    <col min="12820" max="13056" width="8.75" style="1627"/>
    <col min="13057" max="13057" width="5.25" style="1627" customWidth="1"/>
    <col min="13058" max="13058" width="10.25" style="1627" customWidth="1"/>
    <col min="13059" max="13075" width="6.5" style="1627" customWidth="1"/>
    <col min="13076" max="13312" width="8.75" style="1627"/>
    <col min="13313" max="13313" width="5.25" style="1627" customWidth="1"/>
    <col min="13314" max="13314" width="10.25" style="1627" customWidth="1"/>
    <col min="13315" max="13331" width="6.5" style="1627" customWidth="1"/>
    <col min="13332" max="13568" width="8.75" style="1627"/>
    <col min="13569" max="13569" width="5.25" style="1627" customWidth="1"/>
    <col min="13570" max="13570" width="10.25" style="1627" customWidth="1"/>
    <col min="13571" max="13587" width="6.5" style="1627" customWidth="1"/>
    <col min="13588" max="13824" width="8.75" style="1627"/>
    <col min="13825" max="13825" width="5.25" style="1627" customWidth="1"/>
    <col min="13826" max="13826" width="10.25" style="1627" customWidth="1"/>
    <col min="13827" max="13843" width="6.5" style="1627" customWidth="1"/>
    <col min="13844" max="14080" width="8.75" style="1627"/>
    <col min="14081" max="14081" width="5.25" style="1627" customWidth="1"/>
    <col min="14082" max="14082" width="10.25" style="1627" customWidth="1"/>
    <col min="14083" max="14099" width="6.5" style="1627" customWidth="1"/>
    <col min="14100" max="14336" width="8.75" style="1627"/>
    <col min="14337" max="14337" width="5.25" style="1627" customWidth="1"/>
    <col min="14338" max="14338" width="10.25" style="1627" customWidth="1"/>
    <col min="14339" max="14355" width="6.5" style="1627" customWidth="1"/>
    <col min="14356" max="14592" width="8.75" style="1627"/>
    <col min="14593" max="14593" width="5.25" style="1627" customWidth="1"/>
    <col min="14594" max="14594" width="10.25" style="1627" customWidth="1"/>
    <col min="14595" max="14611" width="6.5" style="1627" customWidth="1"/>
    <col min="14612" max="14848" width="8.75" style="1627"/>
    <col min="14849" max="14849" width="5.25" style="1627" customWidth="1"/>
    <col min="14850" max="14850" width="10.25" style="1627" customWidth="1"/>
    <col min="14851" max="14867" width="6.5" style="1627" customWidth="1"/>
    <col min="14868" max="15104" width="8.75" style="1627"/>
    <col min="15105" max="15105" width="5.25" style="1627" customWidth="1"/>
    <col min="15106" max="15106" width="10.25" style="1627" customWidth="1"/>
    <col min="15107" max="15123" width="6.5" style="1627" customWidth="1"/>
    <col min="15124" max="15360" width="8.75" style="1627"/>
    <col min="15361" max="15361" width="5.25" style="1627" customWidth="1"/>
    <col min="15362" max="15362" width="10.25" style="1627" customWidth="1"/>
    <col min="15363" max="15379" width="6.5" style="1627" customWidth="1"/>
    <col min="15380" max="15616" width="8.75" style="1627"/>
    <col min="15617" max="15617" width="5.25" style="1627" customWidth="1"/>
    <col min="15618" max="15618" width="10.25" style="1627" customWidth="1"/>
    <col min="15619" max="15635" width="6.5" style="1627" customWidth="1"/>
    <col min="15636" max="15872" width="8.75" style="1627"/>
    <col min="15873" max="15873" width="5.25" style="1627" customWidth="1"/>
    <col min="15874" max="15874" width="10.25" style="1627" customWidth="1"/>
    <col min="15875" max="15891" width="6.5" style="1627" customWidth="1"/>
    <col min="15892" max="16128" width="8.75" style="1627"/>
    <col min="16129" max="16129" width="5.25" style="1627" customWidth="1"/>
    <col min="16130" max="16130" width="10.25" style="1627" customWidth="1"/>
    <col min="16131" max="16147" width="6.5" style="1627" customWidth="1"/>
    <col min="16148" max="16384" width="8.75" style="1627"/>
  </cols>
  <sheetData>
    <row r="1" spans="1:20" s="1621" customFormat="1" ht="25.9" customHeight="1">
      <c r="A1" s="3805" t="s">
        <v>5541</v>
      </c>
      <c r="B1" s="3805"/>
      <c r="C1" s="3805"/>
      <c r="D1" s="3805"/>
      <c r="E1" s="3805"/>
      <c r="F1" s="3805"/>
      <c r="G1" s="3805"/>
      <c r="H1" s="3805"/>
      <c r="I1" s="3805"/>
      <c r="J1" s="3805"/>
      <c r="K1" s="3805"/>
      <c r="L1" s="3805"/>
      <c r="M1" s="3805"/>
      <c r="N1" s="3805"/>
      <c r="O1" s="3805"/>
      <c r="P1" s="3805"/>
      <c r="Q1" s="2754" t="str">
        <f>基本情况!$F$10</f>
        <v>厦中汇税审（2018）第DS0001号</v>
      </c>
      <c r="R1" s="2754"/>
      <c r="S1" s="2754"/>
    </row>
    <row r="2" spans="1:20" s="1631" customFormat="1" ht="37.15" customHeight="1">
      <c r="A2" s="3806"/>
      <c r="B2" s="3806"/>
      <c r="C2" s="3806"/>
      <c r="D2" s="3806"/>
      <c r="E2" s="3806"/>
      <c r="F2" s="3806"/>
      <c r="G2" s="3806"/>
      <c r="H2" s="3806"/>
      <c r="I2" s="3806"/>
      <c r="J2" s="3806"/>
      <c r="K2" s="3806"/>
      <c r="L2" s="3806"/>
      <c r="M2" s="3806"/>
      <c r="N2" s="3806"/>
      <c r="O2" s="3806"/>
      <c r="P2" s="3806"/>
      <c r="Q2" s="3023" t="str">
        <f>"底稿编号："&amp;开始!L29</f>
        <v>底稿编号：AD-27</v>
      </c>
      <c r="R2" s="3023"/>
      <c r="S2" s="3595"/>
    </row>
    <row r="3" spans="1:20" s="1628" customFormat="1" ht="24" customHeight="1">
      <c r="A3" s="3585" t="s">
        <v>5494</v>
      </c>
      <c r="B3" s="3585" t="s">
        <v>1058</v>
      </c>
      <c r="C3" s="3807" t="s">
        <v>1102</v>
      </c>
      <c r="D3" s="3808"/>
      <c r="E3" s="3808"/>
      <c r="F3" s="3808"/>
      <c r="G3" s="3808"/>
      <c r="H3" s="3808"/>
      <c r="I3" s="3808"/>
      <c r="J3" s="3809"/>
      <c r="K3" s="3807" t="s">
        <v>5542</v>
      </c>
      <c r="L3" s="3808"/>
      <c r="M3" s="3808"/>
      <c r="N3" s="3809"/>
      <c r="O3" s="3585" t="s">
        <v>5514</v>
      </c>
      <c r="P3" s="3585" t="s">
        <v>5543</v>
      </c>
      <c r="Q3" s="3585" t="s">
        <v>1103</v>
      </c>
      <c r="R3" s="3585" t="s">
        <v>5544</v>
      </c>
      <c r="S3" s="3585" t="s">
        <v>1104</v>
      </c>
    </row>
    <row r="4" spans="1:20" s="1628" customFormat="1" ht="68.25" customHeight="1">
      <c r="A4" s="3585"/>
      <c r="B4" s="3585"/>
      <c r="C4" s="1566" t="s">
        <v>5545</v>
      </c>
      <c r="D4" s="1566" t="s">
        <v>5546</v>
      </c>
      <c r="E4" s="1566" t="s">
        <v>5547</v>
      </c>
      <c r="F4" s="1566" t="s">
        <v>5548</v>
      </c>
      <c r="G4" s="1566" t="s">
        <v>5549</v>
      </c>
      <c r="H4" s="1566" t="s">
        <v>5550</v>
      </c>
      <c r="I4" s="1566" t="s">
        <v>5551</v>
      </c>
      <c r="J4" s="1566" t="s">
        <v>895</v>
      </c>
      <c r="K4" s="1566" t="s">
        <v>5552</v>
      </c>
      <c r="L4" s="1566" t="s">
        <v>5553</v>
      </c>
      <c r="M4" s="1566" t="s">
        <v>5554</v>
      </c>
      <c r="N4" s="1566" t="s">
        <v>895</v>
      </c>
      <c r="O4" s="3585"/>
      <c r="P4" s="3585"/>
      <c r="Q4" s="3585"/>
      <c r="R4" s="3585"/>
      <c r="S4" s="3585"/>
    </row>
    <row r="5" spans="1:20" s="1628" customFormat="1" ht="49.5" customHeight="1">
      <c r="A5" s="3585"/>
      <c r="B5" s="1566">
        <v>1</v>
      </c>
      <c r="C5" s="1566">
        <v>2</v>
      </c>
      <c r="D5" s="1566">
        <v>3</v>
      </c>
      <c r="E5" s="1566">
        <v>4</v>
      </c>
      <c r="F5" s="1566">
        <v>5</v>
      </c>
      <c r="G5" s="1566">
        <v>6</v>
      </c>
      <c r="H5" s="1566">
        <v>7</v>
      </c>
      <c r="I5" s="1566">
        <v>8</v>
      </c>
      <c r="J5" s="1566" t="s">
        <v>5555</v>
      </c>
      <c r="K5" s="1566">
        <v>10</v>
      </c>
      <c r="L5" s="1566">
        <v>11</v>
      </c>
      <c r="M5" s="1566">
        <v>12</v>
      </c>
      <c r="N5" s="1566" t="s">
        <v>5556</v>
      </c>
      <c r="O5" s="1566" t="s">
        <v>5557</v>
      </c>
      <c r="P5" s="1566">
        <v>15</v>
      </c>
      <c r="Q5" s="1566">
        <v>16</v>
      </c>
      <c r="R5" s="1566">
        <v>17</v>
      </c>
      <c r="S5" s="1566" t="s">
        <v>5558</v>
      </c>
    </row>
    <row r="6" spans="1:20" s="1621" customFormat="1" ht="14.25" customHeight="1">
      <c r="A6" s="1567">
        <v>1</v>
      </c>
      <c r="B6" s="1622"/>
      <c r="C6" s="1554"/>
      <c r="D6" s="1554"/>
      <c r="E6" s="1554"/>
      <c r="F6" s="1554"/>
      <c r="G6" s="1554"/>
      <c r="H6" s="1554"/>
      <c r="I6" s="1554"/>
      <c r="J6" s="1553">
        <f>SUM(B6:I6)</f>
        <v>0</v>
      </c>
      <c r="K6" s="1554"/>
      <c r="L6" s="1554"/>
      <c r="M6" s="1554"/>
      <c r="N6" s="1553">
        <f>SUM(K6:M6)</f>
        <v>0</v>
      </c>
      <c r="O6" s="1553">
        <f>SUM(J6:L6)</f>
        <v>0</v>
      </c>
      <c r="P6" s="1554"/>
      <c r="Q6" s="1554"/>
      <c r="R6" s="1554"/>
      <c r="S6" s="1553">
        <f>O6+T8</f>
        <v>0</v>
      </c>
    </row>
    <row r="7" spans="1:20" s="1621" customFormat="1" ht="14.25" customHeight="1">
      <c r="A7" s="1567">
        <v>2</v>
      </c>
      <c r="B7" s="1622"/>
      <c r="C7" s="1554"/>
      <c r="D7" s="1554"/>
      <c r="E7" s="1554"/>
      <c r="F7" s="1554"/>
      <c r="G7" s="1554"/>
      <c r="H7" s="1554"/>
      <c r="I7" s="1554"/>
      <c r="J7" s="1553">
        <f t="shared" ref="J7:J14" si="0">SUM(B7:I7)</f>
        <v>0</v>
      </c>
      <c r="K7" s="1554"/>
      <c r="L7" s="1554"/>
      <c r="M7" s="1554"/>
      <c r="N7" s="1553">
        <f t="shared" ref="N7:N14" si="1">SUM(K7:M7)</f>
        <v>0</v>
      </c>
      <c r="O7" s="1553">
        <f t="shared" ref="O7:O14" si="2">SUM(J7:L7)</f>
        <v>0</v>
      </c>
      <c r="P7" s="1554"/>
      <c r="Q7" s="1554"/>
      <c r="R7" s="1554"/>
      <c r="S7" s="1553">
        <f t="shared" ref="S7:S14" si="3">O7+P7-Q7-R7</f>
        <v>0</v>
      </c>
    </row>
    <row r="8" spans="1:20" s="1621" customFormat="1" ht="14.25" customHeight="1">
      <c r="A8" s="1567">
        <v>3</v>
      </c>
      <c r="B8" s="1622"/>
      <c r="C8" s="1554"/>
      <c r="D8" s="1554"/>
      <c r="E8" s="1554"/>
      <c r="F8" s="1554"/>
      <c r="G8" s="1554"/>
      <c r="H8" s="1554"/>
      <c r="I8" s="1554"/>
      <c r="J8" s="1553">
        <f t="shared" si="0"/>
        <v>0</v>
      </c>
      <c r="K8" s="1554"/>
      <c r="L8" s="1554"/>
      <c r="M8" s="1554"/>
      <c r="N8" s="1553">
        <f t="shared" si="1"/>
        <v>0</v>
      </c>
      <c r="O8" s="1553">
        <f t="shared" si="2"/>
        <v>0</v>
      </c>
      <c r="P8" s="1554"/>
      <c r="Q8" s="1554"/>
      <c r="R8" s="1554"/>
      <c r="S8" s="1553">
        <f t="shared" si="3"/>
        <v>0</v>
      </c>
    </row>
    <row r="9" spans="1:20" s="1621" customFormat="1" ht="14.25" customHeight="1">
      <c r="A9" s="1567">
        <v>4</v>
      </c>
      <c r="B9" s="1622"/>
      <c r="C9" s="1554"/>
      <c r="D9" s="1554"/>
      <c r="E9" s="1554"/>
      <c r="F9" s="1554"/>
      <c r="G9" s="1554"/>
      <c r="H9" s="1554"/>
      <c r="I9" s="1554"/>
      <c r="J9" s="1553">
        <f t="shared" si="0"/>
        <v>0</v>
      </c>
      <c r="K9" s="1554"/>
      <c r="L9" s="1554"/>
      <c r="M9" s="1554"/>
      <c r="N9" s="1553">
        <f t="shared" si="1"/>
        <v>0</v>
      </c>
      <c r="O9" s="1553">
        <f t="shared" si="2"/>
        <v>0</v>
      </c>
      <c r="P9" s="1554"/>
      <c r="Q9" s="1554"/>
      <c r="R9" s="1554"/>
      <c r="S9" s="1553">
        <f t="shared" si="3"/>
        <v>0</v>
      </c>
    </row>
    <row r="10" spans="1:20" s="1621" customFormat="1" ht="14.25" customHeight="1">
      <c r="A10" s="1567">
        <v>5</v>
      </c>
      <c r="B10" s="1622"/>
      <c r="C10" s="1554"/>
      <c r="D10" s="1554"/>
      <c r="E10" s="1554"/>
      <c r="F10" s="1554"/>
      <c r="G10" s="1554"/>
      <c r="H10" s="1554"/>
      <c r="I10" s="1554"/>
      <c r="J10" s="1553">
        <f t="shared" si="0"/>
        <v>0</v>
      </c>
      <c r="K10" s="1554"/>
      <c r="L10" s="1554"/>
      <c r="M10" s="1554"/>
      <c r="N10" s="1553">
        <f t="shared" si="1"/>
        <v>0</v>
      </c>
      <c r="O10" s="1553">
        <f t="shared" si="2"/>
        <v>0</v>
      </c>
      <c r="P10" s="1554"/>
      <c r="Q10" s="1554"/>
      <c r="R10" s="1554"/>
      <c r="S10" s="1553">
        <f t="shared" si="3"/>
        <v>0</v>
      </c>
    </row>
    <row r="11" spans="1:20" s="1621" customFormat="1" ht="14.25" customHeight="1">
      <c r="A11" s="1567">
        <v>6</v>
      </c>
      <c r="B11" s="1622"/>
      <c r="C11" s="1554"/>
      <c r="D11" s="1554"/>
      <c r="E11" s="1554"/>
      <c r="F11" s="1554"/>
      <c r="G11" s="1554"/>
      <c r="H11" s="1554"/>
      <c r="I11" s="1554"/>
      <c r="J11" s="1553">
        <f t="shared" si="0"/>
        <v>0</v>
      </c>
      <c r="K11" s="1554"/>
      <c r="L11" s="1554"/>
      <c r="M11" s="1554"/>
      <c r="N11" s="1553">
        <f t="shared" si="1"/>
        <v>0</v>
      </c>
      <c r="O11" s="1553">
        <f t="shared" si="2"/>
        <v>0</v>
      </c>
      <c r="P11" s="1554"/>
      <c r="Q11" s="1554"/>
      <c r="R11" s="1554"/>
      <c r="S11" s="1553">
        <f t="shared" si="3"/>
        <v>0</v>
      </c>
    </row>
    <row r="12" spans="1:20" s="1621" customFormat="1" ht="14.25" customHeight="1">
      <c r="A12" s="1567">
        <v>7</v>
      </c>
      <c r="B12" s="1622"/>
      <c r="C12" s="1554"/>
      <c r="D12" s="1554"/>
      <c r="E12" s="1554"/>
      <c r="F12" s="1554"/>
      <c r="G12" s="1554"/>
      <c r="H12" s="1554"/>
      <c r="I12" s="1554"/>
      <c r="J12" s="1553">
        <f t="shared" si="0"/>
        <v>0</v>
      </c>
      <c r="K12" s="1554"/>
      <c r="L12" s="1554"/>
      <c r="M12" s="1554"/>
      <c r="N12" s="1553">
        <f t="shared" si="1"/>
        <v>0</v>
      </c>
      <c r="O12" s="1553">
        <f t="shared" si="2"/>
        <v>0</v>
      </c>
      <c r="P12" s="1554"/>
      <c r="Q12" s="1554"/>
      <c r="R12" s="1554"/>
      <c r="S12" s="1553">
        <f t="shared" si="3"/>
        <v>0</v>
      </c>
    </row>
    <row r="13" spans="1:20" s="1621" customFormat="1" ht="14.25" customHeight="1">
      <c r="A13" s="1567">
        <v>8</v>
      </c>
      <c r="B13" s="1622"/>
      <c r="C13" s="1554"/>
      <c r="D13" s="1554"/>
      <c r="E13" s="1554"/>
      <c r="F13" s="1554"/>
      <c r="G13" s="1554"/>
      <c r="H13" s="1554"/>
      <c r="I13" s="1554"/>
      <c r="J13" s="1553">
        <f t="shared" si="0"/>
        <v>0</v>
      </c>
      <c r="K13" s="1554"/>
      <c r="L13" s="1554"/>
      <c r="M13" s="1554"/>
      <c r="N13" s="1553">
        <f t="shared" si="1"/>
        <v>0</v>
      </c>
      <c r="O13" s="1553">
        <f t="shared" si="2"/>
        <v>0</v>
      </c>
      <c r="P13" s="1554"/>
      <c r="Q13" s="1554"/>
      <c r="R13" s="1554"/>
      <c r="S13" s="1553">
        <f t="shared" si="3"/>
        <v>0</v>
      </c>
    </row>
    <row r="14" spans="1:20" s="1621" customFormat="1" ht="14.25" customHeight="1">
      <c r="A14" s="1567">
        <v>9</v>
      </c>
      <c r="B14" s="1622"/>
      <c r="C14" s="1554"/>
      <c r="D14" s="1554"/>
      <c r="E14" s="1554"/>
      <c r="F14" s="1554"/>
      <c r="G14" s="1554"/>
      <c r="H14" s="1554"/>
      <c r="I14" s="1554"/>
      <c r="J14" s="1553">
        <f t="shared" si="0"/>
        <v>0</v>
      </c>
      <c r="K14" s="1554"/>
      <c r="L14" s="1554"/>
      <c r="M14" s="1554"/>
      <c r="N14" s="1553">
        <f t="shared" si="1"/>
        <v>0</v>
      </c>
      <c r="O14" s="1553">
        <f t="shared" si="2"/>
        <v>0</v>
      </c>
      <c r="P14" s="1554"/>
      <c r="Q14" s="1554"/>
      <c r="R14" s="1554"/>
      <c r="S14" s="1553">
        <f t="shared" si="3"/>
        <v>0</v>
      </c>
    </row>
    <row r="15" spans="1:20" s="1621" customFormat="1" ht="14.25" customHeight="1">
      <c r="A15" s="1567">
        <v>10</v>
      </c>
      <c r="B15" s="1567" t="s">
        <v>5482</v>
      </c>
      <c r="C15" s="1553">
        <f>SUM(C6:C14)</f>
        <v>0</v>
      </c>
      <c r="D15" s="1553">
        <f t="shared" ref="D15:S15" si="4">SUM(D6:D14)</f>
        <v>0</v>
      </c>
      <c r="E15" s="1553">
        <f t="shared" si="4"/>
        <v>0</v>
      </c>
      <c r="F15" s="1553">
        <f t="shared" si="4"/>
        <v>0</v>
      </c>
      <c r="G15" s="1553">
        <f t="shared" si="4"/>
        <v>0</v>
      </c>
      <c r="H15" s="1553">
        <f t="shared" si="4"/>
        <v>0</v>
      </c>
      <c r="I15" s="1553">
        <f t="shared" si="4"/>
        <v>0</v>
      </c>
      <c r="J15" s="1553">
        <f t="shared" si="4"/>
        <v>0</v>
      </c>
      <c r="K15" s="1553">
        <f t="shared" si="4"/>
        <v>0</v>
      </c>
      <c r="L15" s="1553">
        <f t="shared" si="4"/>
        <v>0</v>
      </c>
      <c r="M15" s="1553">
        <f t="shared" si="4"/>
        <v>0</v>
      </c>
      <c r="N15" s="1553">
        <f t="shared" si="4"/>
        <v>0</v>
      </c>
      <c r="O15" s="1553">
        <f t="shared" si="4"/>
        <v>0</v>
      </c>
      <c r="P15" s="1553">
        <f t="shared" si="4"/>
        <v>0</v>
      </c>
      <c r="Q15" s="1553">
        <f t="shared" si="4"/>
        <v>0</v>
      </c>
      <c r="R15" s="1553">
        <f t="shared" si="4"/>
        <v>0</v>
      </c>
      <c r="S15" s="1553">
        <f t="shared" si="4"/>
        <v>0</v>
      </c>
      <c r="T15" s="1617" t="s">
        <v>5559</v>
      </c>
    </row>
    <row r="16" spans="1:20" ht="192" customHeight="1">
      <c r="A16" s="1630"/>
      <c r="B16" s="1567" t="s">
        <v>5448</v>
      </c>
      <c r="C16" s="1630"/>
      <c r="D16" s="1630"/>
      <c r="E16" s="1630"/>
      <c r="F16" s="1630"/>
      <c r="G16" s="1630"/>
      <c r="H16" s="1630"/>
      <c r="I16" s="1630"/>
      <c r="J16" s="1630"/>
      <c r="K16" s="1630"/>
      <c r="L16" s="1630"/>
      <c r="M16" s="1630"/>
      <c r="N16" s="1556" t="s">
        <v>5560</v>
      </c>
      <c r="O16" s="1630" t="s">
        <v>5561</v>
      </c>
      <c r="P16" s="1630"/>
      <c r="Q16" s="1556" t="s">
        <v>5562</v>
      </c>
      <c r="R16" s="1630"/>
      <c r="S16" s="1556" t="s">
        <v>5563</v>
      </c>
    </row>
  </sheetData>
  <mergeCells count="12">
    <mergeCell ref="Q1:S1"/>
    <mergeCell ref="Q2:S2"/>
    <mergeCell ref="A1:P2"/>
    <mergeCell ref="S3:S4"/>
    <mergeCell ref="A3:A5"/>
    <mergeCell ref="B3:B4"/>
    <mergeCell ref="C3:J3"/>
    <mergeCell ref="K3:N3"/>
    <mergeCell ref="O3:O4"/>
    <mergeCell ref="P3:P4"/>
    <mergeCell ref="Q3:Q4"/>
    <mergeCell ref="R3:R4"/>
  </mergeCells>
  <phoneticPr fontId="135" type="noConversion"/>
  <hyperlinks>
    <hyperlink ref="T15" location="A108010境外所得纳税调整后所得明细表!A1" display="A108010境外所得纳税调整后所得明细表!A1"/>
  </hyperlinks>
  <printOptions horizontalCentered="1"/>
  <pageMargins left="0.59055118110236215" right="0.59055118110236215" top="0.39370078740157477" bottom="0.39370078740157477" header="0.511811023622047" footer="0.511811023622047"/>
  <pageSetup paperSize="9" scale="68" orientation="landscape" blackAndWhite="1" r:id="rId1"/>
  <headerFooter alignWithMargins="0"/>
  <drawing r:id="rId2"/>
  <legacyDrawing r:id="rId3"/>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7">
    <tabColor rgb="FFFFFF00"/>
  </sheetPr>
  <dimension ref="A1:U19"/>
  <sheetViews>
    <sheetView topLeftCell="L1" workbookViewId="0">
      <selection activeCell="G3" sqref="G3:T3"/>
    </sheetView>
  </sheetViews>
  <sheetFormatPr defaultColWidth="8.75" defaultRowHeight="19.899999999999999" customHeight="1"/>
  <cols>
    <col min="1" max="1" width="5.25" style="1563" customWidth="1"/>
    <col min="2" max="2" width="9.375" style="1563" customWidth="1"/>
    <col min="3" max="20" width="10.25" style="1563" customWidth="1"/>
    <col min="21" max="256" width="8.75" style="1563"/>
    <col min="257" max="257" width="5.25" style="1563" customWidth="1"/>
    <col min="258" max="258" width="6" style="1563" customWidth="1"/>
    <col min="259" max="259" width="7.75" style="1563" customWidth="1"/>
    <col min="260" max="267" width="6" style="1563" customWidth="1"/>
    <col min="268" max="268" width="7.125" style="1563" customWidth="1"/>
    <col min="269" max="276" width="6" style="1563" customWidth="1"/>
    <col min="277" max="512" width="8.75" style="1563"/>
    <col min="513" max="513" width="5.25" style="1563" customWidth="1"/>
    <col min="514" max="514" width="6" style="1563" customWidth="1"/>
    <col min="515" max="515" width="7.75" style="1563" customWidth="1"/>
    <col min="516" max="523" width="6" style="1563" customWidth="1"/>
    <col min="524" max="524" width="7.125" style="1563" customWidth="1"/>
    <col min="525" max="532" width="6" style="1563" customWidth="1"/>
    <col min="533" max="768" width="8.75" style="1563"/>
    <col min="769" max="769" width="5.25" style="1563" customWidth="1"/>
    <col min="770" max="770" width="6" style="1563" customWidth="1"/>
    <col min="771" max="771" width="7.75" style="1563" customWidth="1"/>
    <col min="772" max="779" width="6" style="1563" customWidth="1"/>
    <col min="780" max="780" width="7.125" style="1563" customWidth="1"/>
    <col min="781" max="788" width="6" style="1563" customWidth="1"/>
    <col min="789" max="1024" width="8.75" style="1563"/>
    <col min="1025" max="1025" width="5.25" style="1563" customWidth="1"/>
    <col min="1026" max="1026" width="6" style="1563" customWidth="1"/>
    <col min="1027" max="1027" width="7.75" style="1563" customWidth="1"/>
    <col min="1028" max="1035" width="6" style="1563" customWidth="1"/>
    <col min="1036" max="1036" width="7.125" style="1563" customWidth="1"/>
    <col min="1037" max="1044" width="6" style="1563" customWidth="1"/>
    <col min="1045" max="1280" width="8.75" style="1563"/>
    <col min="1281" max="1281" width="5.25" style="1563" customWidth="1"/>
    <col min="1282" max="1282" width="6" style="1563" customWidth="1"/>
    <col min="1283" max="1283" width="7.75" style="1563" customWidth="1"/>
    <col min="1284" max="1291" width="6" style="1563" customWidth="1"/>
    <col min="1292" max="1292" width="7.125" style="1563" customWidth="1"/>
    <col min="1293" max="1300" width="6" style="1563" customWidth="1"/>
    <col min="1301" max="1536" width="8.75" style="1563"/>
    <col min="1537" max="1537" width="5.25" style="1563" customWidth="1"/>
    <col min="1538" max="1538" width="6" style="1563" customWidth="1"/>
    <col min="1539" max="1539" width="7.75" style="1563" customWidth="1"/>
    <col min="1540" max="1547" width="6" style="1563" customWidth="1"/>
    <col min="1548" max="1548" width="7.125" style="1563" customWidth="1"/>
    <col min="1549" max="1556" width="6" style="1563" customWidth="1"/>
    <col min="1557" max="1792" width="8.75" style="1563"/>
    <col min="1793" max="1793" width="5.25" style="1563" customWidth="1"/>
    <col min="1794" max="1794" width="6" style="1563" customWidth="1"/>
    <col min="1795" max="1795" width="7.75" style="1563" customWidth="1"/>
    <col min="1796" max="1803" width="6" style="1563" customWidth="1"/>
    <col min="1804" max="1804" width="7.125" style="1563" customWidth="1"/>
    <col min="1805" max="1812" width="6" style="1563" customWidth="1"/>
    <col min="1813" max="2048" width="8.75" style="1563"/>
    <col min="2049" max="2049" width="5.25" style="1563" customWidth="1"/>
    <col min="2050" max="2050" width="6" style="1563" customWidth="1"/>
    <col min="2051" max="2051" width="7.75" style="1563" customWidth="1"/>
    <col min="2052" max="2059" width="6" style="1563" customWidth="1"/>
    <col min="2060" max="2060" width="7.125" style="1563" customWidth="1"/>
    <col min="2061" max="2068" width="6" style="1563" customWidth="1"/>
    <col min="2069" max="2304" width="8.75" style="1563"/>
    <col min="2305" max="2305" width="5.25" style="1563" customWidth="1"/>
    <col min="2306" max="2306" width="6" style="1563" customWidth="1"/>
    <col min="2307" max="2307" width="7.75" style="1563" customWidth="1"/>
    <col min="2308" max="2315" width="6" style="1563" customWidth="1"/>
    <col min="2316" max="2316" width="7.125" style="1563" customWidth="1"/>
    <col min="2317" max="2324" width="6" style="1563" customWidth="1"/>
    <col min="2325" max="2560" width="8.75" style="1563"/>
    <col min="2561" max="2561" width="5.25" style="1563" customWidth="1"/>
    <col min="2562" max="2562" width="6" style="1563" customWidth="1"/>
    <col min="2563" max="2563" width="7.75" style="1563" customWidth="1"/>
    <col min="2564" max="2571" width="6" style="1563" customWidth="1"/>
    <col min="2572" max="2572" width="7.125" style="1563" customWidth="1"/>
    <col min="2573" max="2580" width="6" style="1563" customWidth="1"/>
    <col min="2581" max="2816" width="8.75" style="1563"/>
    <col min="2817" max="2817" width="5.25" style="1563" customWidth="1"/>
    <col min="2818" max="2818" width="6" style="1563" customWidth="1"/>
    <col min="2819" max="2819" width="7.75" style="1563" customWidth="1"/>
    <col min="2820" max="2827" width="6" style="1563" customWidth="1"/>
    <col min="2828" max="2828" width="7.125" style="1563" customWidth="1"/>
    <col min="2829" max="2836" width="6" style="1563" customWidth="1"/>
    <col min="2837" max="3072" width="8.75" style="1563"/>
    <col min="3073" max="3073" width="5.25" style="1563" customWidth="1"/>
    <col min="3074" max="3074" width="6" style="1563" customWidth="1"/>
    <col min="3075" max="3075" width="7.75" style="1563" customWidth="1"/>
    <col min="3076" max="3083" width="6" style="1563" customWidth="1"/>
    <col min="3084" max="3084" width="7.125" style="1563" customWidth="1"/>
    <col min="3085" max="3092" width="6" style="1563" customWidth="1"/>
    <col min="3093" max="3328" width="8.75" style="1563"/>
    <col min="3329" max="3329" width="5.25" style="1563" customWidth="1"/>
    <col min="3330" max="3330" width="6" style="1563" customWidth="1"/>
    <col min="3331" max="3331" width="7.75" style="1563" customWidth="1"/>
    <col min="3332" max="3339" width="6" style="1563" customWidth="1"/>
    <col min="3340" max="3340" width="7.125" style="1563" customWidth="1"/>
    <col min="3341" max="3348" width="6" style="1563" customWidth="1"/>
    <col min="3349" max="3584" width="8.75" style="1563"/>
    <col min="3585" max="3585" width="5.25" style="1563" customWidth="1"/>
    <col min="3586" max="3586" width="6" style="1563" customWidth="1"/>
    <col min="3587" max="3587" width="7.75" style="1563" customWidth="1"/>
    <col min="3588" max="3595" width="6" style="1563" customWidth="1"/>
    <col min="3596" max="3596" width="7.125" style="1563" customWidth="1"/>
    <col min="3597" max="3604" width="6" style="1563" customWidth="1"/>
    <col min="3605" max="3840" width="8.75" style="1563"/>
    <col min="3841" max="3841" width="5.25" style="1563" customWidth="1"/>
    <col min="3842" max="3842" width="6" style="1563" customWidth="1"/>
    <col min="3843" max="3843" width="7.75" style="1563" customWidth="1"/>
    <col min="3844" max="3851" width="6" style="1563" customWidth="1"/>
    <col min="3852" max="3852" width="7.125" style="1563" customWidth="1"/>
    <col min="3853" max="3860" width="6" style="1563" customWidth="1"/>
    <col min="3861" max="4096" width="8.75" style="1563"/>
    <col min="4097" max="4097" width="5.25" style="1563" customWidth="1"/>
    <col min="4098" max="4098" width="6" style="1563" customWidth="1"/>
    <col min="4099" max="4099" width="7.75" style="1563" customWidth="1"/>
    <col min="4100" max="4107" width="6" style="1563" customWidth="1"/>
    <col min="4108" max="4108" width="7.125" style="1563" customWidth="1"/>
    <col min="4109" max="4116" width="6" style="1563" customWidth="1"/>
    <col min="4117" max="4352" width="8.75" style="1563"/>
    <col min="4353" max="4353" width="5.25" style="1563" customWidth="1"/>
    <col min="4354" max="4354" width="6" style="1563" customWidth="1"/>
    <col min="4355" max="4355" width="7.75" style="1563" customWidth="1"/>
    <col min="4356" max="4363" width="6" style="1563" customWidth="1"/>
    <col min="4364" max="4364" width="7.125" style="1563" customWidth="1"/>
    <col min="4365" max="4372" width="6" style="1563" customWidth="1"/>
    <col min="4373" max="4608" width="8.75" style="1563"/>
    <col min="4609" max="4609" width="5.25" style="1563" customWidth="1"/>
    <col min="4610" max="4610" width="6" style="1563" customWidth="1"/>
    <col min="4611" max="4611" width="7.75" style="1563" customWidth="1"/>
    <col min="4612" max="4619" width="6" style="1563" customWidth="1"/>
    <col min="4620" max="4620" width="7.125" style="1563" customWidth="1"/>
    <col min="4621" max="4628" width="6" style="1563" customWidth="1"/>
    <col min="4629" max="4864" width="8.75" style="1563"/>
    <col min="4865" max="4865" width="5.25" style="1563" customWidth="1"/>
    <col min="4866" max="4866" width="6" style="1563" customWidth="1"/>
    <col min="4867" max="4867" width="7.75" style="1563" customWidth="1"/>
    <col min="4868" max="4875" width="6" style="1563" customWidth="1"/>
    <col min="4876" max="4876" width="7.125" style="1563" customWidth="1"/>
    <col min="4877" max="4884" width="6" style="1563" customWidth="1"/>
    <col min="4885" max="5120" width="8.75" style="1563"/>
    <col min="5121" max="5121" width="5.25" style="1563" customWidth="1"/>
    <col min="5122" max="5122" width="6" style="1563" customWidth="1"/>
    <col min="5123" max="5123" width="7.75" style="1563" customWidth="1"/>
    <col min="5124" max="5131" width="6" style="1563" customWidth="1"/>
    <col min="5132" max="5132" width="7.125" style="1563" customWidth="1"/>
    <col min="5133" max="5140" width="6" style="1563" customWidth="1"/>
    <col min="5141" max="5376" width="8.75" style="1563"/>
    <col min="5377" max="5377" width="5.25" style="1563" customWidth="1"/>
    <col min="5378" max="5378" width="6" style="1563" customWidth="1"/>
    <col min="5379" max="5379" width="7.75" style="1563" customWidth="1"/>
    <col min="5380" max="5387" width="6" style="1563" customWidth="1"/>
    <col min="5388" max="5388" width="7.125" style="1563" customWidth="1"/>
    <col min="5389" max="5396" width="6" style="1563" customWidth="1"/>
    <col min="5397" max="5632" width="8.75" style="1563"/>
    <col min="5633" max="5633" width="5.25" style="1563" customWidth="1"/>
    <col min="5634" max="5634" width="6" style="1563" customWidth="1"/>
    <col min="5635" max="5635" width="7.75" style="1563" customWidth="1"/>
    <col min="5636" max="5643" width="6" style="1563" customWidth="1"/>
    <col min="5644" max="5644" width="7.125" style="1563" customWidth="1"/>
    <col min="5645" max="5652" width="6" style="1563" customWidth="1"/>
    <col min="5653" max="5888" width="8.75" style="1563"/>
    <col min="5889" max="5889" width="5.25" style="1563" customWidth="1"/>
    <col min="5890" max="5890" width="6" style="1563" customWidth="1"/>
    <col min="5891" max="5891" width="7.75" style="1563" customWidth="1"/>
    <col min="5892" max="5899" width="6" style="1563" customWidth="1"/>
    <col min="5900" max="5900" width="7.125" style="1563" customWidth="1"/>
    <col min="5901" max="5908" width="6" style="1563" customWidth="1"/>
    <col min="5909" max="6144" width="8.75" style="1563"/>
    <col min="6145" max="6145" width="5.25" style="1563" customWidth="1"/>
    <col min="6146" max="6146" width="6" style="1563" customWidth="1"/>
    <col min="6147" max="6147" width="7.75" style="1563" customWidth="1"/>
    <col min="6148" max="6155" width="6" style="1563" customWidth="1"/>
    <col min="6156" max="6156" width="7.125" style="1563" customWidth="1"/>
    <col min="6157" max="6164" width="6" style="1563" customWidth="1"/>
    <col min="6165" max="6400" width="8.75" style="1563"/>
    <col min="6401" max="6401" width="5.25" style="1563" customWidth="1"/>
    <col min="6402" max="6402" width="6" style="1563" customWidth="1"/>
    <col min="6403" max="6403" width="7.75" style="1563" customWidth="1"/>
    <col min="6404" max="6411" width="6" style="1563" customWidth="1"/>
    <col min="6412" max="6412" width="7.125" style="1563" customWidth="1"/>
    <col min="6413" max="6420" width="6" style="1563" customWidth="1"/>
    <col min="6421" max="6656" width="8.75" style="1563"/>
    <col min="6657" max="6657" width="5.25" style="1563" customWidth="1"/>
    <col min="6658" max="6658" width="6" style="1563" customWidth="1"/>
    <col min="6659" max="6659" width="7.75" style="1563" customWidth="1"/>
    <col min="6660" max="6667" width="6" style="1563" customWidth="1"/>
    <col min="6668" max="6668" width="7.125" style="1563" customWidth="1"/>
    <col min="6669" max="6676" width="6" style="1563" customWidth="1"/>
    <col min="6677" max="6912" width="8.75" style="1563"/>
    <col min="6913" max="6913" width="5.25" style="1563" customWidth="1"/>
    <col min="6914" max="6914" width="6" style="1563" customWidth="1"/>
    <col min="6915" max="6915" width="7.75" style="1563" customWidth="1"/>
    <col min="6916" max="6923" width="6" style="1563" customWidth="1"/>
    <col min="6924" max="6924" width="7.125" style="1563" customWidth="1"/>
    <col min="6925" max="6932" width="6" style="1563" customWidth="1"/>
    <col min="6933" max="7168" width="8.75" style="1563"/>
    <col min="7169" max="7169" width="5.25" style="1563" customWidth="1"/>
    <col min="7170" max="7170" width="6" style="1563" customWidth="1"/>
    <col min="7171" max="7171" width="7.75" style="1563" customWidth="1"/>
    <col min="7172" max="7179" width="6" style="1563" customWidth="1"/>
    <col min="7180" max="7180" width="7.125" style="1563" customWidth="1"/>
    <col min="7181" max="7188" width="6" style="1563" customWidth="1"/>
    <col min="7189" max="7424" width="8.75" style="1563"/>
    <col min="7425" max="7425" width="5.25" style="1563" customWidth="1"/>
    <col min="7426" max="7426" width="6" style="1563" customWidth="1"/>
    <col min="7427" max="7427" width="7.75" style="1563" customWidth="1"/>
    <col min="7428" max="7435" width="6" style="1563" customWidth="1"/>
    <col min="7436" max="7436" width="7.125" style="1563" customWidth="1"/>
    <col min="7437" max="7444" width="6" style="1563" customWidth="1"/>
    <col min="7445" max="7680" width="8.75" style="1563"/>
    <col min="7681" max="7681" width="5.25" style="1563" customWidth="1"/>
    <col min="7682" max="7682" width="6" style="1563" customWidth="1"/>
    <col min="7683" max="7683" width="7.75" style="1563" customWidth="1"/>
    <col min="7684" max="7691" width="6" style="1563" customWidth="1"/>
    <col min="7692" max="7692" width="7.125" style="1563" customWidth="1"/>
    <col min="7693" max="7700" width="6" style="1563" customWidth="1"/>
    <col min="7701" max="7936" width="8.75" style="1563"/>
    <col min="7937" max="7937" width="5.25" style="1563" customWidth="1"/>
    <col min="7938" max="7938" width="6" style="1563" customWidth="1"/>
    <col min="7939" max="7939" width="7.75" style="1563" customWidth="1"/>
    <col min="7940" max="7947" width="6" style="1563" customWidth="1"/>
    <col min="7948" max="7948" width="7.125" style="1563" customWidth="1"/>
    <col min="7949" max="7956" width="6" style="1563" customWidth="1"/>
    <col min="7957" max="8192" width="8.75" style="1563"/>
    <col min="8193" max="8193" width="5.25" style="1563" customWidth="1"/>
    <col min="8194" max="8194" width="6" style="1563" customWidth="1"/>
    <col min="8195" max="8195" width="7.75" style="1563" customWidth="1"/>
    <col min="8196" max="8203" width="6" style="1563" customWidth="1"/>
    <col min="8204" max="8204" width="7.125" style="1563" customWidth="1"/>
    <col min="8205" max="8212" width="6" style="1563" customWidth="1"/>
    <col min="8213" max="8448" width="8.75" style="1563"/>
    <col min="8449" max="8449" width="5.25" style="1563" customWidth="1"/>
    <col min="8450" max="8450" width="6" style="1563" customWidth="1"/>
    <col min="8451" max="8451" width="7.75" style="1563" customWidth="1"/>
    <col min="8452" max="8459" width="6" style="1563" customWidth="1"/>
    <col min="8460" max="8460" width="7.125" style="1563" customWidth="1"/>
    <col min="8461" max="8468" width="6" style="1563" customWidth="1"/>
    <col min="8469" max="8704" width="8.75" style="1563"/>
    <col min="8705" max="8705" width="5.25" style="1563" customWidth="1"/>
    <col min="8706" max="8706" width="6" style="1563" customWidth="1"/>
    <col min="8707" max="8707" width="7.75" style="1563" customWidth="1"/>
    <col min="8708" max="8715" width="6" style="1563" customWidth="1"/>
    <col min="8716" max="8716" width="7.125" style="1563" customWidth="1"/>
    <col min="8717" max="8724" width="6" style="1563" customWidth="1"/>
    <col min="8725" max="8960" width="8.75" style="1563"/>
    <col min="8961" max="8961" width="5.25" style="1563" customWidth="1"/>
    <col min="8962" max="8962" width="6" style="1563" customWidth="1"/>
    <col min="8963" max="8963" width="7.75" style="1563" customWidth="1"/>
    <col min="8964" max="8971" width="6" style="1563" customWidth="1"/>
    <col min="8972" max="8972" width="7.125" style="1563" customWidth="1"/>
    <col min="8973" max="8980" width="6" style="1563" customWidth="1"/>
    <col min="8981" max="9216" width="8.75" style="1563"/>
    <col min="9217" max="9217" width="5.25" style="1563" customWidth="1"/>
    <col min="9218" max="9218" width="6" style="1563" customWidth="1"/>
    <col min="9219" max="9219" width="7.75" style="1563" customWidth="1"/>
    <col min="9220" max="9227" width="6" style="1563" customWidth="1"/>
    <col min="9228" max="9228" width="7.125" style="1563" customWidth="1"/>
    <col min="9229" max="9236" width="6" style="1563" customWidth="1"/>
    <col min="9237" max="9472" width="8.75" style="1563"/>
    <col min="9473" max="9473" width="5.25" style="1563" customWidth="1"/>
    <col min="9474" max="9474" width="6" style="1563" customWidth="1"/>
    <col min="9475" max="9475" width="7.75" style="1563" customWidth="1"/>
    <col min="9476" max="9483" width="6" style="1563" customWidth="1"/>
    <col min="9484" max="9484" width="7.125" style="1563" customWidth="1"/>
    <col min="9485" max="9492" width="6" style="1563" customWidth="1"/>
    <col min="9493" max="9728" width="8.75" style="1563"/>
    <col min="9729" max="9729" width="5.25" style="1563" customWidth="1"/>
    <col min="9730" max="9730" width="6" style="1563" customWidth="1"/>
    <col min="9731" max="9731" width="7.75" style="1563" customWidth="1"/>
    <col min="9732" max="9739" width="6" style="1563" customWidth="1"/>
    <col min="9740" max="9740" width="7.125" style="1563" customWidth="1"/>
    <col min="9741" max="9748" width="6" style="1563" customWidth="1"/>
    <col min="9749" max="9984" width="8.75" style="1563"/>
    <col min="9985" max="9985" width="5.25" style="1563" customWidth="1"/>
    <col min="9986" max="9986" width="6" style="1563" customWidth="1"/>
    <col min="9987" max="9987" width="7.75" style="1563" customWidth="1"/>
    <col min="9988" max="9995" width="6" style="1563" customWidth="1"/>
    <col min="9996" max="9996" width="7.125" style="1563" customWidth="1"/>
    <col min="9997" max="10004" width="6" style="1563" customWidth="1"/>
    <col min="10005" max="10240" width="8.75" style="1563"/>
    <col min="10241" max="10241" width="5.25" style="1563" customWidth="1"/>
    <col min="10242" max="10242" width="6" style="1563" customWidth="1"/>
    <col min="10243" max="10243" width="7.75" style="1563" customWidth="1"/>
    <col min="10244" max="10251" width="6" style="1563" customWidth="1"/>
    <col min="10252" max="10252" width="7.125" style="1563" customWidth="1"/>
    <col min="10253" max="10260" width="6" style="1563" customWidth="1"/>
    <col min="10261" max="10496" width="8.75" style="1563"/>
    <col min="10497" max="10497" width="5.25" style="1563" customWidth="1"/>
    <col min="10498" max="10498" width="6" style="1563" customWidth="1"/>
    <col min="10499" max="10499" width="7.75" style="1563" customWidth="1"/>
    <col min="10500" max="10507" width="6" style="1563" customWidth="1"/>
    <col min="10508" max="10508" width="7.125" style="1563" customWidth="1"/>
    <col min="10509" max="10516" width="6" style="1563" customWidth="1"/>
    <col min="10517" max="10752" width="8.75" style="1563"/>
    <col min="10753" max="10753" width="5.25" style="1563" customWidth="1"/>
    <col min="10754" max="10754" width="6" style="1563" customWidth="1"/>
    <col min="10755" max="10755" width="7.75" style="1563" customWidth="1"/>
    <col min="10756" max="10763" width="6" style="1563" customWidth="1"/>
    <col min="10764" max="10764" width="7.125" style="1563" customWidth="1"/>
    <col min="10765" max="10772" width="6" style="1563" customWidth="1"/>
    <col min="10773" max="11008" width="8.75" style="1563"/>
    <col min="11009" max="11009" width="5.25" style="1563" customWidth="1"/>
    <col min="11010" max="11010" width="6" style="1563" customWidth="1"/>
    <col min="11011" max="11011" width="7.75" style="1563" customWidth="1"/>
    <col min="11012" max="11019" width="6" style="1563" customWidth="1"/>
    <col min="11020" max="11020" width="7.125" style="1563" customWidth="1"/>
    <col min="11021" max="11028" width="6" style="1563" customWidth="1"/>
    <col min="11029" max="11264" width="8.75" style="1563"/>
    <col min="11265" max="11265" width="5.25" style="1563" customWidth="1"/>
    <col min="11266" max="11266" width="6" style="1563" customWidth="1"/>
    <col min="11267" max="11267" width="7.75" style="1563" customWidth="1"/>
    <col min="11268" max="11275" width="6" style="1563" customWidth="1"/>
    <col min="11276" max="11276" width="7.125" style="1563" customWidth="1"/>
    <col min="11277" max="11284" width="6" style="1563" customWidth="1"/>
    <col min="11285" max="11520" width="8.75" style="1563"/>
    <col min="11521" max="11521" width="5.25" style="1563" customWidth="1"/>
    <col min="11522" max="11522" width="6" style="1563" customWidth="1"/>
    <col min="11523" max="11523" width="7.75" style="1563" customWidth="1"/>
    <col min="11524" max="11531" width="6" style="1563" customWidth="1"/>
    <col min="11532" max="11532" width="7.125" style="1563" customWidth="1"/>
    <col min="11533" max="11540" width="6" style="1563" customWidth="1"/>
    <col min="11541" max="11776" width="8.75" style="1563"/>
    <col min="11777" max="11777" width="5.25" style="1563" customWidth="1"/>
    <col min="11778" max="11778" width="6" style="1563" customWidth="1"/>
    <col min="11779" max="11779" width="7.75" style="1563" customWidth="1"/>
    <col min="11780" max="11787" width="6" style="1563" customWidth="1"/>
    <col min="11788" max="11788" width="7.125" style="1563" customWidth="1"/>
    <col min="11789" max="11796" width="6" style="1563" customWidth="1"/>
    <col min="11797" max="12032" width="8.75" style="1563"/>
    <col min="12033" max="12033" width="5.25" style="1563" customWidth="1"/>
    <col min="12034" max="12034" width="6" style="1563" customWidth="1"/>
    <col min="12035" max="12035" width="7.75" style="1563" customWidth="1"/>
    <col min="12036" max="12043" width="6" style="1563" customWidth="1"/>
    <col min="12044" max="12044" width="7.125" style="1563" customWidth="1"/>
    <col min="12045" max="12052" width="6" style="1563" customWidth="1"/>
    <col min="12053" max="12288" width="8.75" style="1563"/>
    <col min="12289" max="12289" width="5.25" style="1563" customWidth="1"/>
    <col min="12290" max="12290" width="6" style="1563" customWidth="1"/>
    <col min="12291" max="12291" width="7.75" style="1563" customWidth="1"/>
    <col min="12292" max="12299" width="6" style="1563" customWidth="1"/>
    <col min="12300" max="12300" width="7.125" style="1563" customWidth="1"/>
    <col min="12301" max="12308" width="6" style="1563" customWidth="1"/>
    <col min="12309" max="12544" width="8.75" style="1563"/>
    <col min="12545" max="12545" width="5.25" style="1563" customWidth="1"/>
    <col min="12546" max="12546" width="6" style="1563" customWidth="1"/>
    <col min="12547" max="12547" width="7.75" style="1563" customWidth="1"/>
    <col min="12548" max="12555" width="6" style="1563" customWidth="1"/>
    <col min="12556" max="12556" width="7.125" style="1563" customWidth="1"/>
    <col min="12557" max="12564" width="6" style="1563" customWidth="1"/>
    <col min="12565" max="12800" width="8.75" style="1563"/>
    <col min="12801" max="12801" width="5.25" style="1563" customWidth="1"/>
    <col min="12802" max="12802" width="6" style="1563" customWidth="1"/>
    <col min="12803" max="12803" width="7.75" style="1563" customWidth="1"/>
    <col min="12804" max="12811" width="6" style="1563" customWidth="1"/>
    <col min="12812" max="12812" width="7.125" style="1563" customWidth="1"/>
    <col min="12813" max="12820" width="6" style="1563" customWidth="1"/>
    <col min="12821" max="13056" width="8.75" style="1563"/>
    <col min="13057" max="13057" width="5.25" style="1563" customWidth="1"/>
    <col min="13058" max="13058" width="6" style="1563" customWidth="1"/>
    <col min="13059" max="13059" width="7.75" style="1563" customWidth="1"/>
    <col min="13060" max="13067" width="6" style="1563" customWidth="1"/>
    <col min="13068" max="13068" width="7.125" style="1563" customWidth="1"/>
    <col min="13069" max="13076" width="6" style="1563" customWidth="1"/>
    <col min="13077" max="13312" width="8.75" style="1563"/>
    <col min="13313" max="13313" width="5.25" style="1563" customWidth="1"/>
    <col min="13314" max="13314" width="6" style="1563" customWidth="1"/>
    <col min="13315" max="13315" width="7.75" style="1563" customWidth="1"/>
    <col min="13316" max="13323" width="6" style="1563" customWidth="1"/>
    <col min="13324" max="13324" width="7.125" style="1563" customWidth="1"/>
    <col min="13325" max="13332" width="6" style="1563" customWidth="1"/>
    <col min="13333" max="13568" width="8.75" style="1563"/>
    <col min="13569" max="13569" width="5.25" style="1563" customWidth="1"/>
    <col min="13570" max="13570" width="6" style="1563" customWidth="1"/>
    <col min="13571" max="13571" width="7.75" style="1563" customWidth="1"/>
    <col min="13572" max="13579" width="6" style="1563" customWidth="1"/>
    <col min="13580" max="13580" width="7.125" style="1563" customWidth="1"/>
    <col min="13581" max="13588" width="6" style="1563" customWidth="1"/>
    <col min="13589" max="13824" width="8.75" style="1563"/>
    <col min="13825" max="13825" width="5.25" style="1563" customWidth="1"/>
    <col min="13826" max="13826" width="6" style="1563" customWidth="1"/>
    <col min="13827" max="13827" width="7.75" style="1563" customWidth="1"/>
    <col min="13828" max="13835" width="6" style="1563" customWidth="1"/>
    <col min="13836" max="13836" width="7.125" style="1563" customWidth="1"/>
    <col min="13837" max="13844" width="6" style="1563" customWidth="1"/>
    <col min="13845" max="14080" width="8.75" style="1563"/>
    <col min="14081" max="14081" width="5.25" style="1563" customWidth="1"/>
    <col min="14082" max="14082" width="6" style="1563" customWidth="1"/>
    <col min="14083" max="14083" width="7.75" style="1563" customWidth="1"/>
    <col min="14084" max="14091" width="6" style="1563" customWidth="1"/>
    <col min="14092" max="14092" width="7.125" style="1563" customWidth="1"/>
    <col min="14093" max="14100" width="6" style="1563" customWidth="1"/>
    <col min="14101" max="14336" width="8.75" style="1563"/>
    <col min="14337" max="14337" width="5.25" style="1563" customWidth="1"/>
    <col min="14338" max="14338" width="6" style="1563" customWidth="1"/>
    <col min="14339" max="14339" width="7.75" style="1563" customWidth="1"/>
    <col min="14340" max="14347" width="6" style="1563" customWidth="1"/>
    <col min="14348" max="14348" width="7.125" style="1563" customWidth="1"/>
    <col min="14349" max="14356" width="6" style="1563" customWidth="1"/>
    <col min="14357" max="14592" width="8.75" style="1563"/>
    <col min="14593" max="14593" width="5.25" style="1563" customWidth="1"/>
    <col min="14594" max="14594" width="6" style="1563" customWidth="1"/>
    <col min="14595" max="14595" width="7.75" style="1563" customWidth="1"/>
    <col min="14596" max="14603" width="6" style="1563" customWidth="1"/>
    <col min="14604" max="14604" width="7.125" style="1563" customWidth="1"/>
    <col min="14605" max="14612" width="6" style="1563" customWidth="1"/>
    <col min="14613" max="14848" width="8.75" style="1563"/>
    <col min="14849" max="14849" width="5.25" style="1563" customWidth="1"/>
    <col min="14850" max="14850" width="6" style="1563" customWidth="1"/>
    <col min="14851" max="14851" width="7.75" style="1563" customWidth="1"/>
    <col min="14852" max="14859" width="6" style="1563" customWidth="1"/>
    <col min="14860" max="14860" width="7.125" style="1563" customWidth="1"/>
    <col min="14861" max="14868" width="6" style="1563" customWidth="1"/>
    <col min="14869" max="15104" width="8.75" style="1563"/>
    <col min="15105" max="15105" width="5.25" style="1563" customWidth="1"/>
    <col min="15106" max="15106" width="6" style="1563" customWidth="1"/>
    <col min="15107" max="15107" width="7.75" style="1563" customWidth="1"/>
    <col min="15108" max="15115" width="6" style="1563" customWidth="1"/>
    <col min="15116" max="15116" width="7.125" style="1563" customWidth="1"/>
    <col min="15117" max="15124" width="6" style="1563" customWidth="1"/>
    <col min="15125" max="15360" width="8.75" style="1563"/>
    <col min="15361" max="15361" width="5.25" style="1563" customWidth="1"/>
    <col min="15362" max="15362" width="6" style="1563" customWidth="1"/>
    <col min="15363" max="15363" width="7.75" style="1563" customWidth="1"/>
    <col min="15364" max="15371" width="6" style="1563" customWidth="1"/>
    <col min="15372" max="15372" width="7.125" style="1563" customWidth="1"/>
    <col min="15373" max="15380" width="6" style="1563" customWidth="1"/>
    <col min="15381" max="15616" width="8.75" style="1563"/>
    <col min="15617" max="15617" width="5.25" style="1563" customWidth="1"/>
    <col min="15618" max="15618" width="6" style="1563" customWidth="1"/>
    <col min="15619" max="15619" width="7.75" style="1563" customWidth="1"/>
    <col min="15620" max="15627" width="6" style="1563" customWidth="1"/>
    <col min="15628" max="15628" width="7.125" style="1563" customWidth="1"/>
    <col min="15629" max="15636" width="6" style="1563" customWidth="1"/>
    <col min="15637" max="15872" width="8.75" style="1563"/>
    <col min="15873" max="15873" width="5.25" style="1563" customWidth="1"/>
    <col min="15874" max="15874" width="6" style="1563" customWidth="1"/>
    <col min="15875" max="15875" width="7.75" style="1563" customWidth="1"/>
    <col min="15876" max="15883" width="6" style="1563" customWidth="1"/>
    <col min="15884" max="15884" width="7.125" style="1563" customWidth="1"/>
    <col min="15885" max="15892" width="6" style="1563" customWidth="1"/>
    <col min="15893" max="16128" width="8.75" style="1563"/>
    <col min="16129" max="16129" width="5.25" style="1563" customWidth="1"/>
    <col min="16130" max="16130" width="6" style="1563" customWidth="1"/>
    <col min="16131" max="16131" width="7.75" style="1563" customWidth="1"/>
    <col min="16132" max="16139" width="6" style="1563" customWidth="1"/>
    <col min="16140" max="16140" width="7.125" style="1563" customWidth="1"/>
    <col min="16141" max="16148" width="6" style="1563" customWidth="1"/>
    <col min="16149" max="16384" width="8.75" style="1563"/>
  </cols>
  <sheetData>
    <row r="1" spans="1:20" s="1632" customFormat="1" ht="25.9" customHeight="1">
      <c r="A1" s="3810" t="s">
        <v>5564</v>
      </c>
      <c r="B1" s="3810"/>
      <c r="C1" s="3810"/>
      <c r="D1" s="3810"/>
      <c r="E1" s="3810"/>
      <c r="F1" s="3810"/>
      <c r="G1" s="3810"/>
      <c r="H1" s="3810"/>
      <c r="I1" s="3810"/>
      <c r="J1" s="3810"/>
      <c r="K1" s="3810"/>
      <c r="L1" s="3810"/>
      <c r="M1" s="3810"/>
      <c r="N1" s="3810"/>
      <c r="O1" s="3810"/>
      <c r="P1" s="3810"/>
      <c r="Q1" s="3810"/>
      <c r="R1" s="2754" t="str">
        <f>基本情况!$F$10</f>
        <v>厦中汇税审（2018）第DS0001号</v>
      </c>
      <c r="S1" s="2754"/>
      <c r="T1" s="2754"/>
    </row>
    <row r="2" spans="1:20" s="1633" customFormat="1" ht="37.15" customHeight="1">
      <c r="A2" s="3811"/>
      <c r="B2" s="3811"/>
      <c r="C2" s="3811"/>
      <c r="D2" s="3811"/>
      <c r="E2" s="3811"/>
      <c r="F2" s="3811"/>
      <c r="G2" s="3811"/>
      <c r="H2" s="3811"/>
      <c r="I2" s="3811"/>
      <c r="J2" s="3811"/>
      <c r="K2" s="3811"/>
      <c r="L2" s="3811"/>
      <c r="M2" s="3811"/>
      <c r="N2" s="3811"/>
      <c r="O2" s="3811"/>
      <c r="P2" s="3811"/>
      <c r="Q2" s="3811"/>
      <c r="R2" s="3023" t="str">
        <f>"底稿编号："&amp;开始!L30</f>
        <v>底稿编号：AD-28</v>
      </c>
      <c r="S2" s="3023"/>
      <c r="T2" s="3595"/>
    </row>
    <row r="3" spans="1:20" s="1621" customFormat="1" ht="14.25" customHeight="1">
      <c r="A3" s="3576" t="s">
        <v>5494</v>
      </c>
      <c r="B3" s="3585" t="s">
        <v>1058</v>
      </c>
      <c r="C3" s="3585" t="s">
        <v>1105</v>
      </c>
      <c r="D3" s="3585"/>
      <c r="E3" s="3585"/>
      <c r="F3" s="3585"/>
      <c r="G3" s="3585" t="s">
        <v>1106</v>
      </c>
      <c r="H3" s="3585"/>
      <c r="I3" s="3585"/>
      <c r="J3" s="3585"/>
      <c r="K3" s="3585"/>
      <c r="L3" s="3585"/>
      <c r="M3" s="3585"/>
      <c r="N3" s="3585"/>
      <c r="O3" s="3585"/>
      <c r="P3" s="3585"/>
      <c r="Q3" s="3585"/>
      <c r="R3" s="3585"/>
      <c r="S3" s="3585"/>
      <c r="T3" s="3585"/>
    </row>
    <row r="4" spans="1:20" s="1621" customFormat="1" ht="14.25" customHeight="1">
      <c r="A4" s="3586"/>
      <c r="B4" s="3585"/>
      <c r="C4" s="3585" t="s">
        <v>1107</v>
      </c>
      <c r="D4" s="3585" t="s">
        <v>1108</v>
      </c>
      <c r="E4" s="3585" t="s">
        <v>5565</v>
      </c>
      <c r="F4" s="3585" t="s">
        <v>1110</v>
      </c>
      <c r="G4" s="3585" t="s">
        <v>5566</v>
      </c>
      <c r="H4" s="3585"/>
      <c r="I4" s="3585"/>
      <c r="J4" s="3585"/>
      <c r="K4" s="3585"/>
      <c r="L4" s="3585"/>
      <c r="M4" s="3585" t="s">
        <v>1112</v>
      </c>
      <c r="N4" s="3585" t="s">
        <v>5567</v>
      </c>
      <c r="O4" s="3585" t="s">
        <v>1114</v>
      </c>
      <c r="P4" s="3585"/>
      <c r="Q4" s="3585"/>
      <c r="R4" s="3585"/>
      <c r="S4" s="3585"/>
      <c r="T4" s="3585"/>
    </row>
    <row r="5" spans="1:20" s="1621" customFormat="1" ht="14.25" customHeight="1">
      <c r="A5" s="3586"/>
      <c r="B5" s="3585"/>
      <c r="C5" s="3585"/>
      <c r="D5" s="3585"/>
      <c r="E5" s="3585"/>
      <c r="F5" s="3585"/>
      <c r="G5" s="3585"/>
      <c r="H5" s="3585"/>
      <c r="I5" s="3585"/>
      <c r="J5" s="3585"/>
      <c r="K5" s="3585"/>
      <c r="L5" s="3585"/>
      <c r="M5" s="3585"/>
      <c r="N5" s="3585"/>
      <c r="O5" s="3585"/>
      <c r="P5" s="3585"/>
      <c r="Q5" s="3585"/>
      <c r="R5" s="3585"/>
      <c r="S5" s="3585"/>
      <c r="T5" s="3585"/>
    </row>
    <row r="6" spans="1:20" s="1621" customFormat="1" ht="14.25" customHeight="1">
      <c r="A6" s="3586"/>
      <c r="B6" s="3585"/>
      <c r="C6" s="3585"/>
      <c r="D6" s="3585"/>
      <c r="E6" s="3585"/>
      <c r="F6" s="3585"/>
      <c r="G6" s="3585"/>
      <c r="H6" s="3585"/>
      <c r="I6" s="3585"/>
      <c r="J6" s="3585"/>
      <c r="K6" s="3585"/>
      <c r="L6" s="3585"/>
      <c r="M6" s="3585"/>
      <c r="N6" s="3585"/>
      <c r="O6" s="3585"/>
      <c r="P6" s="3585"/>
      <c r="Q6" s="3585"/>
      <c r="R6" s="3585"/>
      <c r="S6" s="3585"/>
      <c r="T6" s="3585"/>
    </row>
    <row r="7" spans="1:20" s="1621" customFormat="1" ht="14.25" customHeight="1">
      <c r="A7" s="3586"/>
      <c r="B7" s="3585"/>
      <c r="C7" s="3585"/>
      <c r="D7" s="3585"/>
      <c r="E7" s="3585"/>
      <c r="F7" s="3585"/>
      <c r="G7" s="1567" t="s">
        <v>1115</v>
      </c>
      <c r="H7" s="1567" t="s">
        <v>1116</v>
      </c>
      <c r="I7" s="1567" t="s">
        <v>1117</v>
      </c>
      <c r="J7" s="1567" t="s">
        <v>1118</v>
      </c>
      <c r="K7" s="1567" t="s">
        <v>1119</v>
      </c>
      <c r="L7" s="1567" t="s">
        <v>5568</v>
      </c>
      <c r="M7" s="3585"/>
      <c r="N7" s="3585"/>
      <c r="O7" s="1567" t="s">
        <v>1116</v>
      </c>
      <c r="P7" s="1567" t="s">
        <v>1117</v>
      </c>
      <c r="Q7" s="1567" t="s">
        <v>1118</v>
      </c>
      <c r="R7" s="1567" t="s">
        <v>1119</v>
      </c>
      <c r="S7" s="1567" t="s">
        <v>1120</v>
      </c>
      <c r="T7" s="1567" t="s">
        <v>5568</v>
      </c>
    </row>
    <row r="8" spans="1:20" ht="39" customHeight="1">
      <c r="A8" s="3586"/>
      <c r="B8" s="1559">
        <v>1</v>
      </c>
      <c r="C8" s="1559">
        <v>2</v>
      </c>
      <c r="D8" s="1559">
        <v>3</v>
      </c>
      <c r="E8" s="1559">
        <v>4</v>
      </c>
      <c r="F8" s="1567" t="s">
        <v>5569</v>
      </c>
      <c r="G8" s="1559">
        <v>6</v>
      </c>
      <c r="H8" s="1559">
        <v>7</v>
      </c>
      <c r="I8" s="1559">
        <v>8</v>
      </c>
      <c r="J8" s="1559">
        <v>9</v>
      </c>
      <c r="K8" s="1559">
        <v>10</v>
      </c>
      <c r="L8" s="1566" t="s">
        <v>5570</v>
      </c>
      <c r="M8" s="1559">
        <v>12</v>
      </c>
      <c r="N8" s="1559">
        <v>13</v>
      </c>
      <c r="O8" s="1559">
        <v>14</v>
      </c>
      <c r="P8" s="1559">
        <v>15</v>
      </c>
      <c r="Q8" s="1559">
        <v>16</v>
      </c>
      <c r="R8" s="1559">
        <v>17</v>
      </c>
      <c r="S8" s="1559">
        <v>18</v>
      </c>
      <c r="T8" s="1566" t="s">
        <v>5571</v>
      </c>
    </row>
    <row r="9" spans="1:20" ht="14.25" customHeight="1">
      <c r="A9" s="1551">
        <v>1</v>
      </c>
      <c r="B9" s="1634">
        <f>境外所得纳税调整后所得审核表!B6</f>
        <v>0</v>
      </c>
      <c r="C9" s="1554"/>
      <c r="D9" s="1554"/>
      <c r="E9" s="1554"/>
      <c r="F9" s="1553">
        <f>SUM(C9:E9)</f>
        <v>0</v>
      </c>
      <c r="G9" s="1554"/>
      <c r="H9" s="1554"/>
      <c r="I9" s="1554"/>
      <c r="J9" s="1554"/>
      <c r="K9" s="1554"/>
      <c r="L9" s="1553">
        <f>SUM(G9:K9)</f>
        <v>0</v>
      </c>
      <c r="M9" s="1554"/>
      <c r="N9" s="1554"/>
      <c r="O9" s="1554"/>
      <c r="P9" s="1554"/>
      <c r="Q9" s="1554"/>
      <c r="R9" s="1554"/>
      <c r="S9" s="1554"/>
      <c r="T9" s="1553">
        <f>SUM(O9:S9)</f>
        <v>0</v>
      </c>
    </row>
    <row r="10" spans="1:20" ht="14.25" customHeight="1">
      <c r="A10" s="1551">
        <v>2</v>
      </c>
      <c r="B10" s="1634">
        <f>境外所得纳税调整后所得审核表!B7</f>
        <v>0</v>
      </c>
      <c r="C10" s="1554"/>
      <c r="D10" s="1554"/>
      <c r="E10" s="1554"/>
      <c r="F10" s="1553">
        <f t="shared" ref="F10:F17" si="0">SUM(C10:E10)</f>
        <v>0</v>
      </c>
      <c r="G10" s="1554"/>
      <c r="H10" s="1554"/>
      <c r="I10" s="1554"/>
      <c r="J10" s="1554"/>
      <c r="K10" s="1554"/>
      <c r="L10" s="1553">
        <f t="shared" ref="L10:L17" si="1">SUM(G10:K10)</f>
        <v>0</v>
      </c>
      <c r="M10" s="1554"/>
      <c r="N10" s="1554"/>
      <c r="O10" s="1554"/>
      <c r="P10" s="1554"/>
      <c r="Q10" s="1554"/>
      <c r="R10" s="1554"/>
      <c r="S10" s="1554"/>
      <c r="T10" s="1553">
        <f t="shared" ref="T10:T17" si="2">SUM(O10:S10)</f>
        <v>0</v>
      </c>
    </row>
    <row r="11" spans="1:20" ht="14.25" customHeight="1">
      <c r="A11" s="1551">
        <v>3</v>
      </c>
      <c r="B11" s="1634">
        <f>境外所得纳税调整后所得审核表!B8</f>
        <v>0</v>
      </c>
      <c r="C11" s="1554"/>
      <c r="D11" s="1554"/>
      <c r="E11" s="1554"/>
      <c r="F11" s="1553">
        <f t="shared" si="0"/>
        <v>0</v>
      </c>
      <c r="G11" s="1554"/>
      <c r="H11" s="1554"/>
      <c r="I11" s="1554"/>
      <c r="J11" s="1554"/>
      <c r="K11" s="1554"/>
      <c r="L11" s="1553">
        <f t="shared" si="1"/>
        <v>0</v>
      </c>
      <c r="M11" s="1554"/>
      <c r="N11" s="1554"/>
      <c r="O11" s="1554"/>
      <c r="P11" s="1554"/>
      <c r="Q11" s="1554"/>
      <c r="R11" s="1554"/>
      <c r="S11" s="1554"/>
      <c r="T11" s="1553">
        <f t="shared" si="2"/>
        <v>0</v>
      </c>
    </row>
    <row r="12" spans="1:20" ht="14.25" customHeight="1">
      <c r="A12" s="1551">
        <v>4</v>
      </c>
      <c r="B12" s="1634">
        <f>境外所得纳税调整后所得审核表!B9</f>
        <v>0</v>
      </c>
      <c r="C12" s="1554"/>
      <c r="D12" s="1554"/>
      <c r="E12" s="1554"/>
      <c r="F12" s="1553">
        <f t="shared" si="0"/>
        <v>0</v>
      </c>
      <c r="G12" s="1554"/>
      <c r="H12" s="1554"/>
      <c r="I12" s="1554"/>
      <c r="J12" s="1554"/>
      <c r="K12" s="1554"/>
      <c r="L12" s="1553">
        <f t="shared" si="1"/>
        <v>0</v>
      </c>
      <c r="M12" s="1554"/>
      <c r="N12" s="1554"/>
      <c r="O12" s="1554"/>
      <c r="P12" s="1554"/>
      <c r="Q12" s="1554"/>
      <c r="R12" s="1554"/>
      <c r="S12" s="1554"/>
      <c r="T12" s="1553">
        <f t="shared" si="2"/>
        <v>0</v>
      </c>
    </row>
    <row r="13" spans="1:20" ht="14.25" customHeight="1">
      <c r="A13" s="1551">
        <v>5</v>
      </c>
      <c r="B13" s="1634">
        <f>境外所得纳税调整后所得审核表!B10</f>
        <v>0</v>
      </c>
      <c r="C13" s="1554"/>
      <c r="D13" s="1554"/>
      <c r="E13" s="1554"/>
      <c r="F13" s="1553">
        <f t="shared" si="0"/>
        <v>0</v>
      </c>
      <c r="G13" s="1554"/>
      <c r="H13" s="1554"/>
      <c r="I13" s="1554"/>
      <c r="J13" s="1554"/>
      <c r="K13" s="1554"/>
      <c r="L13" s="1553">
        <f t="shared" si="1"/>
        <v>0</v>
      </c>
      <c r="M13" s="1554"/>
      <c r="N13" s="1554"/>
      <c r="O13" s="1554"/>
      <c r="P13" s="1554"/>
      <c r="Q13" s="1554"/>
      <c r="R13" s="1554"/>
      <c r="S13" s="1554"/>
      <c r="T13" s="1553">
        <f t="shared" si="2"/>
        <v>0</v>
      </c>
    </row>
    <row r="14" spans="1:20" ht="14.25" customHeight="1">
      <c r="A14" s="1551">
        <v>6</v>
      </c>
      <c r="B14" s="1634">
        <f>境外所得纳税调整后所得审核表!B11</f>
        <v>0</v>
      </c>
      <c r="C14" s="1554"/>
      <c r="D14" s="1554"/>
      <c r="E14" s="1554"/>
      <c r="F14" s="1553">
        <f t="shared" si="0"/>
        <v>0</v>
      </c>
      <c r="G14" s="1554"/>
      <c r="H14" s="1554"/>
      <c r="I14" s="1554"/>
      <c r="J14" s="1554"/>
      <c r="K14" s="1554"/>
      <c r="L14" s="1553">
        <f t="shared" si="1"/>
        <v>0</v>
      </c>
      <c r="M14" s="1554"/>
      <c r="N14" s="1554"/>
      <c r="O14" s="1554"/>
      <c r="P14" s="1554"/>
      <c r="Q14" s="1554"/>
      <c r="R14" s="1554"/>
      <c r="S14" s="1554"/>
      <c r="T14" s="1553">
        <f t="shared" si="2"/>
        <v>0</v>
      </c>
    </row>
    <row r="15" spans="1:20" ht="14.25" customHeight="1">
      <c r="A15" s="1551">
        <v>7</v>
      </c>
      <c r="B15" s="1634">
        <f>境外所得纳税调整后所得审核表!B12</f>
        <v>0</v>
      </c>
      <c r="C15" s="1554"/>
      <c r="D15" s="1554"/>
      <c r="E15" s="1554"/>
      <c r="F15" s="1553">
        <f t="shared" si="0"/>
        <v>0</v>
      </c>
      <c r="G15" s="1554"/>
      <c r="H15" s="1554"/>
      <c r="I15" s="1554"/>
      <c r="J15" s="1554"/>
      <c r="K15" s="1554"/>
      <c r="L15" s="1553">
        <f t="shared" si="1"/>
        <v>0</v>
      </c>
      <c r="M15" s="1554"/>
      <c r="N15" s="1554"/>
      <c r="O15" s="1554"/>
      <c r="P15" s="1554"/>
      <c r="Q15" s="1554"/>
      <c r="R15" s="1554"/>
      <c r="S15" s="1554"/>
      <c r="T15" s="1553">
        <f t="shared" si="2"/>
        <v>0</v>
      </c>
    </row>
    <row r="16" spans="1:20" ht="14.25" customHeight="1">
      <c r="A16" s="1551">
        <v>8</v>
      </c>
      <c r="B16" s="1634">
        <f>境外所得纳税调整后所得审核表!B13</f>
        <v>0</v>
      </c>
      <c r="C16" s="1554"/>
      <c r="D16" s="1554"/>
      <c r="E16" s="1554"/>
      <c r="F16" s="1553">
        <f t="shared" si="0"/>
        <v>0</v>
      </c>
      <c r="G16" s="1554"/>
      <c r="H16" s="1554"/>
      <c r="I16" s="1554"/>
      <c r="J16" s="1554"/>
      <c r="K16" s="1554"/>
      <c r="L16" s="1553">
        <f t="shared" si="1"/>
        <v>0</v>
      </c>
      <c r="M16" s="1554"/>
      <c r="N16" s="1554"/>
      <c r="O16" s="1554"/>
      <c r="P16" s="1554"/>
      <c r="Q16" s="1554"/>
      <c r="R16" s="1554"/>
      <c r="S16" s="1554"/>
      <c r="T16" s="1553">
        <f t="shared" si="2"/>
        <v>0</v>
      </c>
    </row>
    <row r="17" spans="1:21" ht="14.25" customHeight="1">
      <c r="A17" s="1551">
        <v>9</v>
      </c>
      <c r="B17" s="1634">
        <f>境外所得纳税调整后所得审核表!B14</f>
        <v>0</v>
      </c>
      <c r="C17" s="1554"/>
      <c r="D17" s="1554"/>
      <c r="E17" s="1554"/>
      <c r="F17" s="1553">
        <f t="shared" si="0"/>
        <v>0</v>
      </c>
      <c r="G17" s="1554"/>
      <c r="H17" s="1554"/>
      <c r="I17" s="1554"/>
      <c r="J17" s="1554"/>
      <c r="K17" s="1554"/>
      <c r="L17" s="1553">
        <f t="shared" si="1"/>
        <v>0</v>
      </c>
      <c r="M17" s="1554"/>
      <c r="N17" s="1554"/>
      <c r="O17" s="1554"/>
      <c r="P17" s="1554"/>
      <c r="Q17" s="1554"/>
      <c r="R17" s="1554"/>
      <c r="S17" s="1554"/>
      <c r="T17" s="1553">
        <f t="shared" si="2"/>
        <v>0</v>
      </c>
    </row>
    <row r="18" spans="1:21" ht="14.25" customHeight="1">
      <c r="A18" s="1551">
        <v>10</v>
      </c>
      <c r="B18" s="1551" t="s">
        <v>5482</v>
      </c>
      <c r="C18" s="1553">
        <f>SUM(C9:C17)</f>
        <v>0</v>
      </c>
      <c r="D18" s="1553">
        <f t="shared" ref="D18:T18" si="3">SUM(D9:D17)</f>
        <v>0</v>
      </c>
      <c r="E18" s="1553">
        <f t="shared" si="3"/>
        <v>0</v>
      </c>
      <c r="F18" s="1553">
        <f t="shared" si="3"/>
        <v>0</v>
      </c>
      <c r="G18" s="1553">
        <f t="shared" si="3"/>
        <v>0</v>
      </c>
      <c r="H18" s="1553">
        <f t="shared" si="3"/>
        <v>0</v>
      </c>
      <c r="I18" s="1553">
        <f t="shared" si="3"/>
        <v>0</v>
      </c>
      <c r="J18" s="1553">
        <f t="shared" si="3"/>
        <v>0</v>
      </c>
      <c r="K18" s="1553">
        <f t="shared" si="3"/>
        <v>0</v>
      </c>
      <c r="L18" s="1553">
        <f t="shared" si="3"/>
        <v>0</v>
      </c>
      <c r="M18" s="1553">
        <f t="shared" si="3"/>
        <v>0</v>
      </c>
      <c r="N18" s="1553">
        <f t="shared" si="3"/>
        <v>0</v>
      </c>
      <c r="O18" s="1553">
        <f t="shared" si="3"/>
        <v>0</v>
      </c>
      <c r="P18" s="1553">
        <f t="shared" si="3"/>
        <v>0</v>
      </c>
      <c r="Q18" s="1553">
        <f t="shared" si="3"/>
        <v>0</v>
      </c>
      <c r="R18" s="1553">
        <f t="shared" si="3"/>
        <v>0</v>
      </c>
      <c r="S18" s="1553">
        <f t="shared" si="3"/>
        <v>0</v>
      </c>
      <c r="T18" s="1553">
        <f t="shared" si="3"/>
        <v>0</v>
      </c>
      <c r="U18" s="1617" t="s">
        <v>5572</v>
      </c>
    </row>
    <row r="19" spans="1:21" ht="106.5" customHeight="1">
      <c r="A19" s="1552"/>
      <c r="B19" s="1556" t="s">
        <v>5573</v>
      </c>
      <c r="C19" s="1552"/>
      <c r="D19" s="1567"/>
      <c r="E19" s="1567" t="s">
        <v>5574</v>
      </c>
      <c r="F19" s="1552"/>
      <c r="G19" s="1552"/>
      <c r="H19" s="1552"/>
      <c r="I19" s="1552"/>
      <c r="J19" s="1552"/>
      <c r="K19" s="1552"/>
      <c r="L19" s="1552"/>
      <c r="M19" s="1552"/>
      <c r="N19" s="1567"/>
      <c r="O19" s="1567"/>
      <c r="P19" s="1567"/>
      <c r="Q19" s="1552"/>
      <c r="R19" s="1552"/>
      <c r="S19" s="1552"/>
      <c r="T19" s="1552"/>
    </row>
  </sheetData>
  <mergeCells count="15">
    <mergeCell ref="R1:T1"/>
    <mergeCell ref="R2:T2"/>
    <mergeCell ref="A1:Q2"/>
    <mergeCell ref="M4:M7"/>
    <mergeCell ref="N4:N7"/>
    <mergeCell ref="O4:T6"/>
    <mergeCell ref="A3:A8"/>
    <mergeCell ref="B3:B7"/>
    <mergeCell ref="C3:F3"/>
    <mergeCell ref="G3:T3"/>
    <mergeCell ref="C4:C7"/>
    <mergeCell ref="D4:D7"/>
    <mergeCell ref="E4:E7"/>
    <mergeCell ref="F4:F7"/>
    <mergeCell ref="G4:L6"/>
  </mergeCells>
  <phoneticPr fontId="135" type="noConversion"/>
  <hyperlinks>
    <hyperlink ref="U18" location="A108020境外分支机构弥补亏损明细表!A1" display="A108020境外分支机构弥补亏损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drawing r:id="rId2"/>
  <legacyDrawing r:id="rId3"/>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8">
    <tabColor rgb="FFFFFF00"/>
    <pageSetUpPr fitToPage="1"/>
  </sheetPr>
  <dimension ref="A1:U16"/>
  <sheetViews>
    <sheetView topLeftCell="K1" workbookViewId="0">
      <selection activeCell="O3" sqref="O3:T3"/>
    </sheetView>
  </sheetViews>
  <sheetFormatPr defaultRowHeight="12.75"/>
  <cols>
    <col min="1" max="1" width="5.25" style="1635" customWidth="1"/>
    <col min="2" max="2" width="9.375" style="1635" customWidth="1"/>
    <col min="3" max="20" width="10.25" style="1635" customWidth="1"/>
    <col min="21" max="256" width="9" style="1635"/>
    <col min="257" max="257" width="5.25" style="1635" customWidth="1"/>
    <col min="258" max="258" width="7.125" style="1635" customWidth="1"/>
    <col min="259" max="263" width="6.375" style="1635" customWidth="1"/>
    <col min="264" max="264" width="7.25" style="1635" customWidth="1"/>
    <col min="265" max="269" width="6.375" style="1635" customWidth="1"/>
    <col min="270" max="270" width="8.375" style="1635" customWidth="1"/>
    <col min="271" max="275" width="6.375" style="1635" customWidth="1"/>
    <col min="276" max="276" width="9.25" style="1635" customWidth="1"/>
    <col min="277" max="512" width="9" style="1635"/>
    <col min="513" max="513" width="5.25" style="1635" customWidth="1"/>
    <col min="514" max="514" width="7.125" style="1635" customWidth="1"/>
    <col min="515" max="519" width="6.375" style="1635" customWidth="1"/>
    <col min="520" max="520" width="7.25" style="1635" customWidth="1"/>
    <col min="521" max="525" width="6.375" style="1635" customWidth="1"/>
    <col min="526" max="526" width="8.375" style="1635" customWidth="1"/>
    <col min="527" max="531" width="6.375" style="1635" customWidth="1"/>
    <col min="532" max="532" width="9.25" style="1635" customWidth="1"/>
    <col min="533" max="768" width="9" style="1635"/>
    <col min="769" max="769" width="5.25" style="1635" customWidth="1"/>
    <col min="770" max="770" width="7.125" style="1635" customWidth="1"/>
    <col min="771" max="775" width="6.375" style="1635" customWidth="1"/>
    <col min="776" max="776" width="7.25" style="1635" customWidth="1"/>
    <col min="777" max="781" width="6.375" style="1635" customWidth="1"/>
    <col min="782" max="782" width="8.375" style="1635" customWidth="1"/>
    <col min="783" max="787" width="6.375" style="1635" customWidth="1"/>
    <col min="788" max="788" width="9.25" style="1635" customWidth="1"/>
    <col min="789" max="1024" width="9" style="1635"/>
    <col min="1025" max="1025" width="5.25" style="1635" customWidth="1"/>
    <col min="1026" max="1026" width="7.125" style="1635" customWidth="1"/>
    <col min="1027" max="1031" width="6.375" style="1635" customWidth="1"/>
    <col min="1032" max="1032" width="7.25" style="1635" customWidth="1"/>
    <col min="1033" max="1037" width="6.375" style="1635" customWidth="1"/>
    <col min="1038" max="1038" width="8.375" style="1635" customWidth="1"/>
    <col min="1039" max="1043" width="6.375" style="1635" customWidth="1"/>
    <col min="1044" max="1044" width="9.25" style="1635" customWidth="1"/>
    <col min="1045" max="1280" width="9" style="1635"/>
    <col min="1281" max="1281" width="5.25" style="1635" customWidth="1"/>
    <col min="1282" max="1282" width="7.125" style="1635" customWidth="1"/>
    <col min="1283" max="1287" width="6.375" style="1635" customWidth="1"/>
    <col min="1288" max="1288" width="7.25" style="1635" customWidth="1"/>
    <col min="1289" max="1293" width="6.375" style="1635" customWidth="1"/>
    <col min="1294" max="1294" width="8.375" style="1635" customWidth="1"/>
    <col min="1295" max="1299" width="6.375" style="1635" customWidth="1"/>
    <col min="1300" max="1300" width="9.25" style="1635" customWidth="1"/>
    <col min="1301" max="1536" width="9" style="1635"/>
    <col min="1537" max="1537" width="5.25" style="1635" customWidth="1"/>
    <col min="1538" max="1538" width="7.125" style="1635" customWidth="1"/>
    <col min="1539" max="1543" width="6.375" style="1635" customWidth="1"/>
    <col min="1544" max="1544" width="7.25" style="1635" customWidth="1"/>
    <col min="1545" max="1549" width="6.375" style="1635" customWidth="1"/>
    <col min="1550" max="1550" width="8.375" style="1635" customWidth="1"/>
    <col min="1551" max="1555" width="6.375" style="1635" customWidth="1"/>
    <col min="1556" max="1556" width="9.25" style="1635" customWidth="1"/>
    <col min="1557" max="1792" width="9" style="1635"/>
    <col min="1793" max="1793" width="5.25" style="1635" customWidth="1"/>
    <col min="1794" max="1794" width="7.125" style="1635" customWidth="1"/>
    <col min="1795" max="1799" width="6.375" style="1635" customWidth="1"/>
    <col min="1800" max="1800" width="7.25" style="1635" customWidth="1"/>
    <col min="1801" max="1805" width="6.375" style="1635" customWidth="1"/>
    <col min="1806" max="1806" width="8.375" style="1635" customWidth="1"/>
    <col min="1807" max="1811" width="6.375" style="1635" customWidth="1"/>
    <col min="1812" max="1812" width="9.25" style="1635" customWidth="1"/>
    <col min="1813" max="2048" width="9" style="1635"/>
    <col min="2049" max="2049" width="5.25" style="1635" customWidth="1"/>
    <col min="2050" max="2050" width="7.125" style="1635" customWidth="1"/>
    <col min="2051" max="2055" width="6.375" style="1635" customWidth="1"/>
    <col min="2056" max="2056" width="7.25" style="1635" customWidth="1"/>
    <col min="2057" max="2061" width="6.375" style="1635" customWidth="1"/>
    <col min="2062" max="2062" width="8.375" style="1635" customWidth="1"/>
    <col min="2063" max="2067" width="6.375" style="1635" customWidth="1"/>
    <col min="2068" max="2068" width="9.25" style="1635" customWidth="1"/>
    <col min="2069" max="2304" width="9" style="1635"/>
    <col min="2305" max="2305" width="5.25" style="1635" customWidth="1"/>
    <col min="2306" max="2306" width="7.125" style="1635" customWidth="1"/>
    <col min="2307" max="2311" width="6.375" style="1635" customWidth="1"/>
    <col min="2312" max="2312" width="7.25" style="1635" customWidth="1"/>
    <col min="2313" max="2317" width="6.375" style="1635" customWidth="1"/>
    <col min="2318" max="2318" width="8.375" style="1635" customWidth="1"/>
    <col min="2319" max="2323" width="6.375" style="1635" customWidth="1"/>
    <col min="2324" max="2324" width="9.25" style="1635" customWidth="1"/>
    <col min="2325" max="2560" width="9" style="1635"/>
    <col min="2561" max="2561" width="5.25" style="1635" customWidth="1"/>
    <col min="2562" max="2562" width="7.125" style="1635" customWidth="1"/>
    <col min="2563" max="2567" width="6.375" style="1635" customWidth="1"/>
    <col min="2568" max="2568" width="7.25" style="1635" customWidth="1"/>
    <col min="2569" max="2573" width="6.375" style="1635" customWidth="1"/>
    <col min="2574" max="2574" width="8.375" style="1635" customWidth="1"/>
    <col min="2575" max="2579" width="6.375" style="1635" customWidth="1"/>
    <col min="2580" max="2580" width="9.25" style="1635" customWidth="1"/>
    <col min="2581" max="2816" width="9" style="1635"/>
    <col min="2817" max="2817" width="5.25" style="1635" customWidth="1"/>
    <col min="2818" max="2818" width="7.125" style="1635" customWidth="1"/>
    <col min="2819" max="2823" width="6.375" style="1635" customWidth="1"/>
    <col min="2824" max="2824" width="7.25" style="1635" customWidth="1"/>
    <col min="2825" max="2829" width="6.375" style="1635" customWidth="1"/>
    <col min="2830" max="2830" width="8.375" style="1635" customWidth="1"/>
    <col min="2831" max="2835" width="6.375" style="1635" customWidth="1"/>
    <col min="2836" max="2836" width="9.25" style="1635" customWidth="1"/>
    <col min="2837" max="3072" width="9" style="1635"/>
    <col min="3073" max="3073" width="5.25" style="1635" customWidth="1"/>
    <col min="3074" max="3074" width="7.125" style="1635" customWidth="1"/>
    <col min="3075" max="3079" width="6.375" style="1635" customWidth="1"/>
    <col min="3080" max="3080" width="7.25" style="1635" customWidth="1"/>
    <col min="3081" max="3085" width="6.375" style="1635" customWidth="1"/>
    <col min="3086" max="3086" width="8.375" style="1635" customWidth="1"/>
    <col min="3087" max="3091" width="6.375" style="1635" customWidth="1"/>
    <col min="3092" max="3092" width="9.25" style="1635" customWidth="1"/>
    <col min="3093" max="3328" width="9" style="1635"/>
    <col min="3329" max="3329" width="5.25" style="1635" customWidth="1"/>
    <col min="3330" max="3330" width="7.125" style="1635" customWidth="1"/>
    <col min="3331" max="3335" width="6.375" style="1635" customWidth="1"/>
    <col min="3336" max="3336" width="7.25" style="1635" customWidth="1"/>
    <col min="3337" max="3341" width="6.375" style="1635" customWidth="1"/>
    <col min="3342" max="3342" width="8.375" style="1635" customWidth="1"/>
    <col min="3343" max="3347" width="6.375" style="1635" customWidth="1"/>
    <col min="3348" max="3348" width="9.25" style="1635" customWidth="1"/>
    <col min="3349" max="3584" width="9" style="1635"/>
    <col min="3585" max="3585" width="5.25" style="1635" customWidth="1"/>
    <col min="3586" max="3586" width="7.125" style="1635" customWidth="1"/>
    <col min="3587" max="3591" width="6.375" style="1635" customWidth="1"/>
    <col min="3592" max="3592" width="7.25" style="1635" customWidth="1"/>
    <col min="3593" max="3597" width="6.375" style="1635" customWidth="1"/>
    <col min="3598" max="3598" width="8.375" style="1635" customWidth="1"/>
    <col min="3599" max="3603" width="6.375" style="1635" customWidth="1"/>
    <col min="3604" max="3604" width="9.25" style="1635" customWidth="1"/>
    <col min="3605" max="3840" width="9" style="1635"/>
    <col min="3841" max="3841" width="5.25" style="1635" customWidth="1"/>
    <col min="3842" max="3842" width="7.125" style="1635" customWidth="1"/>
    <col min="3843" max="3847" width="6.375" style="1635" customWidth="1"/>
    <col min="3848" max="3848" width="7.25" style="1635" customWidth="1"/>
    <col min="3849" max="3853" width="6.375" style="1635" customWidth="1"/>
    <col min="3854" max="3854" width="8.375" style="1635" customWidth="1"/>
    <col min="3855" max="3859" width="6.375" style="1635" customWidth="1"/>
    <col min="3860" max="3860" width="9.25" style="1635" customWidth="1"/>
    <col min="3861" max="4096" width="9" style="1635"/>
    <col min="4097" max="4097" width="5.25" style="1635" customWidth="1"/>
    <col min="4098" max="4098" width="7.125" style="1635" customWidth="1"/>
    <col min="4099" max="4103" width="6.375" style="1635" customWidth="1"/>
    <col min="4104" max="4104" width="7.25" style="1635" customWidth="1"/>
    <col min="4105" max="4109" width="6.375" style="1635" customWidth="1"/>
    <col min="4110" max="4110" width="8.375" style="1635" customWidth="1"/>
    <col min="4111" max="4115" width="6.375" style="1635" customWidth="1"/>
    <col min="4116" max="4116" width="9.25" style="1635" customWidth="1"/>
    <col min="4117" max="4352" width="9" style="1635"/>
    <col min="4353" max="4353" width="5.25" style="1635" customWidth="1"/>
    <col min="4354" max="4354" width="7.125" style="1635" customWidth="1"/>
    <col min="4355" max="4359" width="6.375" style="1635" customWidth="1"/>
    <col min="4360" max="4360" width="7.25" style="1635" customWidth="1"/>
    <col min="4361" max="4365" width="6.375" style="1635" customWidth="1"/>
    <col min="4366" max="4366" width="8.375" style="1635" customWidth="1"/>
    <col min="4367" max="4371" width="6.375" style="1635" customWidth="1"/>
    <col min="4372" max="4372" width="9.25" style="1635" customWidth="1"/>
    <col min="4373" max="4608" width="9" style="1635"/>
    <col min="4609" max="4609" width="5.25" style="1635" customWidth="1"/>
    <col min="4610" max="4610" width="7.125" style="1635" customWidth="1"/>
    <col min="4611" max="4615" width="6.375" style="1635" customWidth="1"/>
    <col min="4616" max="4616" width="7.25" style="1635" customWidth="1"/>
    <col min="4617" max="4621" width="6.375" style="1635" customWidth="1"/>
    <col min="4622" max="4622" width="8.375" style="1635" customWidth="1"/>
    <col min="4623" max="4627" width="6.375" style="1635" customWidth="1"/>
    <col min="4628" max="4628" width="9.25" style="1635" customWidth="1"/>
    <col min="4629" max="4864" width="9" style="1635"/>
    <col min="4865" max="4865" width="5.25" style="1635" customWidth="1"/>
    <col min="4866" max="4866" width="7.125" style="1635" customWidth="1"/>
    <col min="4867" max="4871" width="6.375" style="1635" customWidth="1"/>
    <col min="4872" max="4872" width="7.25" style="1635" customWidth="1"/>
    <col min="4873" max="4877" width="6.375" style="1635" customWidth="1"/>
    <col min="4878" max="4878" width="8.375" style="1635" customWidth="1"/>
    <col min="4879" max="4883" width="6.375" style="1635" customWidth="1"/>
    <col min="4884" max="4884" width="9.25" style="1635" customWidth="1"/>
    <col min="4885" max="5120" width="9" style="1635"/>
    <col min="5121" max="5121" width="5.25" style="1635" customWidth="1"/>
    <col min="5122" max="5122" width="7.125" style="1635" customWidth="1"/>
    <col min="5123" max="5127" width="6.375" style="1635" customWidth="1"/>
    <col min="5128" max="5128" width="7.25" style="1635" customWidth="1"/>
    <col min="5129" max="5133" width="6.375" style="1635" customWidth="1"/>
    <col min="5134" max="5134" width="8.375" style="1635" customWidth="1"/>
    <col min="5135" max="5139" width="6.375" style="1635" customWidth="1"/>
    <col min="5140" max="5140" width="9.25" style="1635" customWidth="1"/>
    <col min="5141" max="5376" width="9" style="1635"/>
    <col min="5377" max="5377" width="5.25" style="1635" customWidth="1"/>
    <col min="5378" max="5378" width="7.125" style="1635" customWidth="1"/>
    <col min="5379" max="5383" width="6.375" style="1635" customWidth="1"/>
    <col min="5384" max="5384" width="7.25" style="1635" customWidth="1"/>
    <col min="5385" max="5389" width="6.375" style="1635" customWidth="1"/>
    <col min="5390" max="5390" width="8.375" style="1635" customWidth="1"/>
    <col min="5391" max="5395" width="6.375" style="1635" customWidth="1"/>
    <col min="5396" max="5396" width="9.25" style="1635" customWidth="1"/>
    <col min="5397" max="5632" width="9" style="1635"/>
    <col min="5633" max="5633" width="5.25" style="1635" customWidth="1"/>
    <col min="5634" max="5634" width="7.125" style="1635" customWidth="1"/>
    <col min="5635" max="5639" width="6.375" style="1635" customWidth="1"/>
    <col min="5640" max="5640" width="7.25" style="1635" customWidth="1"/>
    <col min="5641" max="5645" width="6.375" style="1635" customWidth="1"/>
    <col min="5646" max="5646" width="8.375" style="1635" customWidth="1"/>
    <col min="5647" max="5651" width="6.375" style="1635" customWidth="1"/>
    <col min="5652" max="5652" width="9.25" style="1635" customWidth="1"/>
    <col min="5653" max="5888" width="9" style="1635"/>
    <col min="5889" max="5889" width="5.25" style="1635" customWidth="1"/>
    <col min="5890" max="5890" width="7.125" style="1635" customWidth="1"/>
    <col min="5891" max="5895" width="6.375" style="1635" customWidth="1"/>
    <col min="5896" max="5896" width="7.25" style="1635" customWidth="1"/>
    <col min="5897" max="5901" width="6.375" style="1635" customWidth="1"/>
    <col min="5902" max="5902" width="8.375" style="1635" customWidth="1"/>
    <col min="5903" max="5907" width="6.375" style="1635" customWidth="1"/>
    <col min="5908" max="5908" width="9.25" style="1635" customWidth="1"/>
    <col min="5909" max="6144" width="9" style="1635"/>
    <col min="6145" max="6145" width="5.25" style="1635" customWidth="1"/>
    <col min="6146" max="6146" width="7.125" style="1635" customWidth="1"/>
    <col min="6147" max="6151" width="6.375" style="1635" customWidth="1"/>
    <col min="6152" max="6152" width="7.25" style="1635" customWidth="1"/>
    <col min="6153" max="6157" width="6.375" style="1635" customWidth="1"/>
    <col min="6158" max="6158" width="8.375" style="1635" customWidth="1"/>
    <col min="6159" max="6163" width="6.375" style="1635" customWidth="1"/>
    <col min="6164" max="6164" width="9.25" style="1635" customWidth="1"/>
    <col min="6165" max="6400" width="9" style="1635"/>
    <col min="6401" max="6401" width="5.25" style="1635" customWidth="1"/>
    <col min="6402" max="6402" width="7.125" style="1635" customWidth="1"/>
    <col min="6403" max="6407" width="6.375" style="1635" customWidth="1"/>
    <col min="6408" max="6408" width="7.25" style="1635" customWidth="1"/>
    <col min="6409" max="6413" width="6.375" style="1635" customWidth="1"/>
    <col min="6414" max="6414" width="8.375" style="1635" customWidth="1"/>
    <col min="6415" max="6419" width="6.375" style="1635" customWidth="1"/>
    <col min="6420" max="6420" width="9.25" style="1635" customWidth="1"/>
    <col min="6421" max="6656" width="9" style="1635"/>
    <col min="6657" max="6657" width="5.25" style="1635" customWidth="1"/>
    <col min="6658" max="6658" width="7.125" style="1635" customWidth="1"/>
    <col min="6659" max="6663" width="6.375" style="1635" customWidth="1"/>
    <col min="6664" max="6664" width="7.25" style="1635" customWidth="1"/>
    <col min="6665" max="6669" width="6.375" style="1635" customWidth="1"/>
    <col min="6670" max="6670" width="8.375" style="1635" customWidth="1"/>
    <col min="6671" max="6675" width="6.375" style="1635" customWidth="1"/>
    <col min="6676" max="6676" width="9.25" style="1635" customWidth="1"/>
    <col min="6677" max="6912" width="9" style="1635"/>
    <col min="6913" max="6913" width="5.25" style="1635" customWidth="1"/>
    <col min="6914" max="6914" width="7.125" style="1635" customWidth="1"/>
    <col min="6915" max="6919" width="6.375" style="1635" customWidth="1"/>
    <col min="6920" max="6920" width="7.25" style="1635" customWidth="1"/>
    <col min="6921" max="6925" width="6.375" style="1635" customWidth="1"/>
    <col min="6926" max="6926" width="8.375" style="1635" customWidth="1"/>
    <col min="6927" max="6931" width="6.375" style="1635" customWidth="1"/>
    <col min="6932" max="6932" width="9.25" style="1635" customWidth="1"/>
    <col min="6933" max="7168" width="9" style="1635"/>
    <col min="7169" max="7169" width="5.25" style="1635" customWidth="1"/>
    <col min="7170" max="7170" width="7.125" style="1635" customWidth="1"/>
    <col min="7171" max="7175" width="6.375" style="1635" customWidth="1"/>
    <col min="7176" max="7176" width="7.25" style="1635" customWidth="1"/>
    <col min="7177" max="7181" width="6.375" style="1635" customWidth="1"/>
    <col min="7182" max="7182" width="8.375" style="1635" customWidth="1"/>
    <col min="7183" max="7187" width="6.375" style="1635" customWidth="1"/>
    <col min="7188" max="7188" width="9.25" style="1635" customWidth="1"/>
    <col min="7189" max="7424" width="9" style="1635"/>
    <col min="7425" max="7425" width="5.25" style="1635" customWidth="1"/>
    <col min="7426" max="7426" width="7.125" style="1635" customWidth="1"/>
    <col min="7427" max="7431" width="6.375" style="1635" customWidth="1"/>
    <col min="7432" max="7432" width="7.25" style="1635" customWidth="1"/>
    <col min="7433" max="7437" width="6.375" style="1635" customWidth="1"/>
    <col min="7438" max="7438" width="8.375" style="1635" customWidth="1"/>
    <col min="7439" max="7443" width="6.375" style="1635" customWidth="1"/>
    <col min="7444" max="7444" width="9.25" style="1635" customWidth="1"/>
    <col min="7445" max="7680" width="9" style="1635"/>
    <col min="7681" max="7681" width="5.25" style="1635" customWidth="1"/>
    <col min="7682" max="7682" width="7.125" style="1635" customWidth="1"/>
    <col min="7683" max="7687" width="6.375" style="1635" customWidth="1"/>
    <col min="7688" max="7688" width="7.25" style="1635" customWidth="1"/>
    <col min="7689" max="7693" width="6.375" style="1635" customWidth="1"/>
    <col min="7694" max="7694" width="8.375" style="1635" customWidth="1"/>
    <col min="7695" max="7699" width="6.375" style="1635" customWidth="1"/>
    <col min="7700" max="7700" width="9.25" style="1635" customWidth="1"/>
    <col min="7701" max="7936" width="9" style="1635"/>
    <col min="7937" max="7937" width="5.25" style="1635" customWidth="1"/>
    <col min="7938" max="7938" width="7.125" style="1635" customWidth="1"/>
    <col min="7939" max="7943" width="6.375" style="1635" customWidth="1"/>
    <col min="7944" max="7944" width="7.25" style="1635" customWidth="1"/>
    <col min="7945" max="7949" width="6.375" style="1635" customWidth="1"/>
    <col min="7950" max="7950" width="8.375" style="1635" customWidth="1"/>
    <col min="7951" max="7955" width="6.375" style="1635" customWidth="1"/>
    <col min="7956" max="7956" width="9.25" style="1635" customWidth="1"/>
    <col min="7957" max="8192" width="9" style="1635"/>
    <col min="8193" max="8193" width="5.25" style="1635" customWidth="1"/>
    <col min="8194" max="8194" width="7.125" style="1635" customWidth="1"/>
    <col min="8195" max="8199" width="6.375" style="1635" customWidth="1"/>
    <col min="8200" max="8200" width="7.25" style="1635" customWidth="1"/>
    <col min="8201" max="8205" width="6.375" style="1635" customWidth="1"/>
    <col min="8206" max="8206" width="8.375" style="1635" customWidth="1"/>
    <col min="8207" max="8211" width="6.375" style="1635" customWidth="1"/>
    <col min="8212" max="8212" width="9.25" style="1635" customWidth="1"/>
    <col min="8213" max="8448" width="9" style="1635"/>
    <col min="8449" max="8449" width="5.25" style="1635" customWidth="1"/>
    <col min="8450" max="8450" width="7.125" style="1635" customWidth="1"/>
    <col min="8451" max="8455" width="6.375" style="1635" customWidth="1"/>
    <col min="8456" max="8456" width="7.25" style="1635" customWidth="1"/>
    <col min="8457" max="8461" width="6.375" style="1635" customWidth="1"/>
    <col min="8462" max="8462" width="8.375" style="1635" customWidth="1"/>
    <col min="8463" max="8467" width="6.375" style="1635" customWidth="1"/>
    <col min="8468" max="8468" width="9.25" style="1635" customWidth="1"/>
    <col min="8469" max="8704" width="9" style="1635"/>
    <col min="8705" max="8705" width="5.25" style="1635" customWidth="1"/>
    <col min="8706" max="8706" width="7.125" style="1635" customWidth="1"/>
    <col min="8707" max="8711" width="6.375" style="1635" customWidth="1"/>
    <col min="8712" max="8712" width="7.25" style="1635" customWidth="1"/>
    <col min="8713" max="8717" width="6.375" style="1635" customWidth="1"/>
    <col min="8718" max="8718" width="8.375" style="1635" customWidth="1"/>
    <col min="8719" max="8723" width="6.375" style="1635" customWidth="1"/>
    <col min="8724" max="8724" width="9.25" style="1635" customWidth="1"/>
    <col min="8725" max="8960" width="9" style="1635"/>
    <col min="8961" max="8961" width="5.25" style="1635" customWidth="1"/>
    <col min="8962" max="8962" width="7.125" style="1635" customWidth="1"/>
    <col min="8963" max="8967" width="6.375" style="1635" customWidth="1"/>
    <col min="8968" max="8968" width="7.25" style="1635" customWidth="1"/>
    <col min="8969" max="8973" width="6.375" style="1635" customWidth="1"/>
    <col min="8974" max="8974" width="8.375" style="1635" customWidth="1"/>
    <col min="8975" max="8979" width="6.375" style="1635" customWidth="1"/>
    <col min="8980" max="8980" width="9.25" style="1635" customWidth="1"/>
    <col min="8981" max="9216" width="9" style="1635"/>
    <col min="9217" max="9217" width="5.25" style="1635" customWidth="1"/>
    <col min="9218" max="9218" width="7.125" style="1635" customWidth="1"/>
    <col min="9219" max="9223" width="6.375" style="1635" customWidth="1"/>
    <col min="9224" max="9224" width="7.25" style="1635" customWidth="1"/>
    <col min="9225" max="9229" width="6.375" style="1635" customWidth="1"/>
    <col min="9230" max="9230" width="8.375" style="1635" customWidth="1"/>
    <col min="9231" max="9235" width="6.375" style="1635" customWidth="1"/>
    <col min="9236" max="9236" width="9.25" style="1635" customWidth="1"/>
    <col min="9237" max="9472" width="9" style="1635"/>
    <col min="9473" max="9473" width="5.25" style="1635" customWidth="1"/>
    <col min="9474" max="9474" width="7.125" style="1635" customWidth="1"/>
    <col min="9475" max="9479" width="6.375" style="1635" customWidth="1"/>
    <col min="9480" max="9480" width="7.25" style="1635" customWidth="1"/>
    <col min="9481" max="9485" width="6.375" style="1635" customWidth="1"/>
    <col min="9486" max="9486" width="8.375" style="1635" customWidth="1"/>
    <col min="9487" max="9491" width="6.375" style="1635" customWidth="1"/>
    <col min="9492" max="9492" width="9.25" style="1635" customWidth="1"/>
    <col min="9493" max="9728" width="9" style="1635"/>
    <col min="9729" max="9729" width="5.25" style="1635" customWidth="1"/>
    <col min="9730" max="9730" width="7.125" style="1635" customWidth="1"/>
    <col min="9731" max="9735" width="6.375" style="1635" customWidth="1"/>
    <col min="9736" max="9736" width="7.25" style="1635" customWidth="1"/>
    <col min="9737" max="9741" width="6.375" style="1635" customWidth="1"/>
    <col min="9742" max="9742" width="8.375" style="1635" customWidth="1"/>
    <col min="9743" max="9747" width="6.375" style="1635" customWidth="1"/>
    <col min="9748" max="9748" width="9.25" style="1635" customWidth="1"/>
    <col min="9749" max="9984" width="9" style="1635"/>
    <col min="9985" max="9985" width="5.25" style="1635" customWidth="1"/>
    <col min="9986" max="9986" width="7.125" style="1635" customWidth="1"/>
    <col min="9987" max="9991" width="6.375" style="1635" customWidth="1"/>
    <col min="9992" max="9992" width="7.25" style="1635" customWidth="1"/>
    <col min="9993" max="9997" width="6.375" style="1635" customWidth="1"/>
    <col min="9998" max="9998" width="8.375" style="1635" customWidth="1"/>
    <col min="9999" max="10003" width="6.375" style="1635" customWidth="1"/>
    <col min="10004" max="10004" width="9.25" style="1635" customWidth="1"/>
    <col min="10005" max="10240" width="9" style="1635"/>
    <col min="10241" max="10241" width="5.25" style="1635" customWidth="1"/>
    <col min="10242" max="10242" width="7.125" style="1635" customWidth="1"/>
    <col min="10243" max="10247" width="6.375" style="1635" customWidth="1"/>
    <col min="10248" max="10248" width="7.25" style="1635" customWidth="1"/>
    <col min="10249" max="10253" width="6.375" style="1635" customWidth="1"/>
    <col min="10254" max="10254" width="8.375" style="1635" customWidth="1"/>
    <col min="10255" max="10259" width="6.375" style="1635" customWidth="1"/>
    <col min="10260" max="10260" width="9.25" style="1635" customWidth="1"/>
    <col min="10261" max="10496" width="9" style="1635"/>
    <col min="10497" max="10497" width="5.25" style="1635" customWidth="1"/>
    <col min="10498" max="10498" width="7.125" style="1635" customWidth="1"/>
    <col min="10499" max="10503" width="6.375" style="1635" customWidth="1"/>
    <col min="10504" max="10504" width="7.25" style="1635" customWidth="1"/>
    <col min="10505" max="10509" width="6.375" style="1635" customWidth="1"/>
    <col min="10510" max="10510" width="8.375" style="1635" customWidth="1"/>
    <col min="10511" max="10515" width="6.375" style="1635" customWidth="1"/>
    <col min="10516" max="10516" width="9.25" style="1635" customWidth="1"/>
    <col min="10517" max="10752" width="9" style="1635"/>
    <col min="10753" max="10753" width="5.25" style="1635" customWidth="1"/>
    <col min="10754" max="10754" width="7.125" style="1635" customWidth="1"/>
    <col min="10755" max="10759" width="6.375" style="1635" customWidth="1"/>
    <col min="10760" max="10760" width="7.25" style="1635" customWidth="1"/>
    <col min="10761" max="10765" width="6.375" style="1635" customWidth="1"/>
    <col min="10766" max="10766" width="8.375" style="1635" customWidth="1"/>
    <col min="10767" max="10771" width="6.375" style="1635" customWidth="1"/>
    <col min="10772" max="10772" width="9.25" style="1635" customWidth="1"/>
    <col min="10773" max="11008" width="9" style="1635"/>
    <col min="11009" max="11009" width="5.25" style="1635" customWidth="1"/>
    <col min="11010" max="11010" width="7.125" style="1635" customWidth="1"/>
    <col min="11011" max="11015" width="6.375" style="1635" customWidth="1"/>
    <col min="11016" max="11016" width="7.25" style="1635" customWidth="1"/>
    <col min="11017" max="11021" width="6.375" style="1635" customWidth="1"/>
    <col min="11022" max="11022" width="8.375" style="1635" customWidth="1"/>
    <col min="11023" max="11027" width="6.375" style="1635" customWidth="1"/>
    <col min="11028" max="11028" width="9.25" style="1635" customWidth="1"/>
    <col min="11029" max="11264" width="9" style="1635"/>
    <col min="11265" max="11265" width="5.25" style="1635" customWidth="1"/>
    <col min="11266" max="11266" width="7.125" style="1635" customWidth="1"/>
    <col min="11267" max="11271" width="6.375" style="1635" customWidth="1"/>
    <col min="11272" max="11272" width="7.25" style="1635" customWidth="1"/>
    <col min="11273" max="11277" width="6.375" style="1635" customWidth="1"/>
    <col min="11278" max="11278" width="8.375" style="1635" customWidth="1"/>
    <col min="11279" max="11283" width="6.375" style="1635" customWidth="1"/>
    <col min="11284" max="11284" width="9.25" style="1635" customWidth="1"/>
    <col min="11285" max="11520" width="9" style="1635"/>
    <col min="11521" max="11521" width="5.25" style="1635" customWidth="1"/>
    <col min="11522" max="11522" width="7.125" style="1635" customWidth="1"/>
    <col min="11523" max="11527" width="6.375" style="1635" customWidth="1"/>
    <col min="11528" max="11528" width="7.25" style="1635" customWidth="1"/>
    <col min="11529" max="11533" width="6.375" style="1635" customWidth="1"/>
    <col min="11534" max="11534" width="8.375" style="1635" customWidth="1"/>
    <col min="11535" max="11539" width="6.375" style="1635" customWidth="1"/>
    <col min="11540" max="11540" width="9.25" style="1635" customWidth="1"/>
    <col min="11541" max="11776" width="9" style="1635"/>
    <col min="11777" max="11777" width="5.25" style="1635" customWidth="1"/>
    <col min="11778" max="11778" width="7.125" style="1635" customWidth="1"/>
    <col min="11779" max="11783" width="6.375" style="1635" customWidth="1"/>
    <col min="11784" max="11784" width="7.25" style="1635" customWidth="1"/>
    <col min="11785" max="11789" width="6.375" style="1635" customWidth="1"/>
    <col min="11790" max="11790" width="8.375" style="1635" customWidth="1"/>
    <col min="11791" max="11795" width="6.375" style="1635" customWidth="1"/>
    <col min="11796" max="11796" width="9.25" style="1635" customWidth="1"/>
    <col min="11797" max="12032" width="9" style="1635"/>
    <col min="12033" max="12033" width="5.25" style="1635" customWidth="1"/>
    <col min="12034" max="12034" width="7.125" style="1635" customWidth="1"/>
    <col min="12035" max="12039" width="6.375" style="1635" customWidth="1"/>
    <col min="12040" max="12040" width="7.25" style="1635" customWidth="1"/>
    <col min="12041" max="12045" width="6.375" style="1635" customWidth="1"/>
    <col min="12046" max="12046" width="8.375" style="1635" customWidth="1"/>
    <col min="12047" max="12051" width="6.375" style="1635" customWidth="1"/>
    <col min="12052" max="12052" width="9.25" style="1635" customWidth="1"/>
    <col min="12053" max="12288" width="9" style="1635"/>
    <col min="12289" max="12289" width="5.25" style="1635" customWidth="1"/>
    <col min="12290" max="12290" width="7.125" style="1635" customWidth="1"/>
    <col min="12291" max="12295" width="6.375" style="1635" customWidth="1"/>
    <col min="12296" max="12296" width="7.25" style="1635" customWidth="1"/>
    <col min="12297" max="12301" width="6.375" style="1635" customWidth="1"/>
    <col min="12302" max="12302" width="8.375" style="1635" customWidth="1"/>
    <col min="12303" max="12307" width="6.375" style="1635" customWidth="1"/>
    <col min="12308" max="12308" width="9.25" style="1635" customWidth="1"/>
    <col min="12309" max="12544" width="9" style="1635"/>
    <col min="12545" max="12545" width="5.25" style="1635" customWidth="1"/>
    <col min="12546" max="12546" width="7.125" style="1635" customWidth="1"/>
    <col min="12547" max="12551" width="6.375" style="1635" customWidth="1"/>
    <col min="12552" max="12552" width="7.25" style="1635" customWidth="1"/>
    <col min="12553" max="12557" width="6.375" style="1635" customWidth="1"/>
    <col min="12558" max="12558" width="8.375" style="1635" customWidth="1"/>
    <col min="12559" max="12563" width="6.375" style="1635" customWidth="1"/>
    <col min="12564" max="12564" width="9.25" style="1635" customWidth="1"/>
    <col min="12565" max="12800" width="9" style="1635"/>
    <col min="12801" max="12801" width="5.25" style="1635" customWidth="1"/>
    <col min="12802" max="12802" width="7.125" style="1635" customWidth="1"/>
    <col min="12803" max="12807" width="6.375" style="1635" customWidth="1"/>
    <col min="12808" max="12808" width="7.25" style="1635" customWidth="1"/>
    <col min="12809" max="12813" width="6.375" style="1635" customWidth="1"/>
    <col min="12814" max="12814" width="8.375" style="1635" customWidth="1"/>
    <col min="12815" max="12819" width="6.375" style="1635" customWidth="1"/>
    <col min="12820" max="12820" width="9.25" style="1635" customWidth="1"/>
    <col min="12821" max="13056" width="9" style="1635"/>
    <col min="13057" max="13057" width="5.25" style="1635" customWidth="1"/>
    <col min="13058" max="13058" width="7.125" style="1635" customWidth="1"/>
    <col min="13059" max="13063" width="6.375" style="1635" customWidth="1"/>
    <col min="13064" max="13064" width="7.25" style="1635" customWidth="1"/>
    <col min="13065" max="13069" width="6.375" style="1635" customWidth="1"/>
    <col min="13070" max="13070" width="8.375" style="1635" customWidth="1"/>
    <col min="13071" max="13075" width="6.375" style="1635" customWidth="1"/>
    <col min="13076" max="13076" width="9.25" style="1635" customWidth="1"/>
    <col min="13077" max="13312" width="9" style="1635"/>
    <col min="13313" max="13313" width="5.25" style="1635" customWidth="1"/>
    <col min="13314" max="13314" width="7.125" style="1635" customWidth="1"/>
    <col min="13315" max="13319" width="6.375" style="1635" customWidth="1"/>
    <col min="13320" max="13320" width="7.25" style="1635" customWidth="1"/>
    <col min="13321" max="13325" width="6.375" style="1635" customWidth="1"/>
    <col min="13326" max="13326" width="8.375" style="1635" customWidth="1"/>
    <col min="13327" max="13331" width="6.375" style="1635" customWidth="1"/>
    <col min="13332" max="13332" width="9.25" style="1635" customWidth="1"/>
    <col min="13333" max="13568" width="9" style="1635"/>
    <col min="13569" max="13569" width="5.25" style="1635" customWidth="1"/>
    <col min="13570" max="13570" width="7.125" style="1635" customWidth="1"/>
    <col min="13571" max="13575" width="6.375" style="1635" customWidth="1"/>
    <col min="13576" max="13576" width="7.25" style="1635" customWidth="1"/>
    <col min="13577" max="13581" width="6.375" style="1635" customWidth="1"/>
    <col min="13582" max="13582" width="8.375" style="1635" customWidth="1"/>
    <col min="13583" max="13587" width="6.375" style="1635" customWidth="1"/>
    <col min="13588" max="13588" width="9.25" style="1635" customWidth="1"/>
    <col min="13589" max="13824" width="9" style="1635"/>
    <col min="13825" max="13825" width="5.25" style="1635" customWidth="1"/>
    <col min="13826" max="13826" width="7.125" style="1635" customWidth="1"/>
    <col min="13827" max="13831" width="6.375" style="1635" customWidth="1"/>
    <col min="13832" max="13832" width="7.25" style="1635" customWidth="1"/>
    <col min="13833" max="13837" width="6.375" style="1635" customWidth="1"/>
    <col min="13838" max="13838" width="8.375" style="1635" customWidth="1"/>
    <col min="13839" max="13843" width="6.375" style="1635" customWidth="1"/>
    <col min="13844" max="13844" width="9.25" style="1635" customWidth="1"/>
    <col min="13845" max="14080" width="9" style="1635"/>
    <col min="14081" max="14081" width="5.25" style="1635" customWidth="1"/>
    <col min="14082" max="14082" width="7.125" style="1635" customWidth="1"/>
    <col min="14083" max="14087" width="6.375" style="1635" customWidth="1"/>
    <col min="14088" max="14088" width="7.25" style="1635" customWidth="1"/>
    <col min="14089" max="14093" width="6.375" style="1635" customWidth="1"/>
    <col min="14094" max="14094" width="8.375" style="1635" customWidth="1"/>
    <col min="14095" max="14099" width="6.375" style="1635" customWidth="1"/>
    <col min="14100" max="14100" width="9.25" style="1635" customWidth="1"/>
    <col min="14101" max="14336" width="9" style="1635"/>
    <col min="14337" max="14337" width="5.25" style="1635" customWidth="1"/>
    <col min="14338" max="14338" width="7.125" style="1635" customWidth="1"/>
    <col min="14339" max="14343" width="6.375" style="1635" customWidth="1"/>
    <col min="14344" max="14344" width="7.25" style="1635" customWidth="1"/>
    <col min="14345" max="14349" width="6.375" style="1635" customWidth="1"/>
    <col min="14350" max="14350" width="8.375" style="1635" customWidth="1"/>
    <col min="14351" max="14355" width="6.375" style="1635" customWidth="1"/>
    <col min="14356" max="14356" width="9.25" style="1635" customWidth="1"/>
    <col min="14357" max="14592" width="9" style="1635"/>
    <col min="14593" max="14593" width="5.25" style="1635" customWidth="1"/>
    <col min="14594" max="14594" width="7.125" style="1635" customWidth="1"/>
    <col min="14595" max="14599" width="6.375" style="1635" customWidth="1"/>
    <col min="14600" max="14600" width="7.25" style="1635" customWidth="1"/>
    <col min="14601" max="14605" width="6.375" style="1635" customWidth="1"/>
    <col min="14606" max="14606" width="8.375" style="1635" customWidth="1"/>
    <col min="14607" max="14611" width="6.375" style="1635" customWidth="1"/>
    <col min="14612" max="14612" width="9.25" style="1635" customWidth="1"/>
    <col min="14613" max="14848" width="9" style="1635"/>
    <col min="14849" max="14849" width="5.25" style="1635" customWidth="1"/>
    <col min="14850" max="14850" width="7.125" style="1635" customWidth="1"/>
    <col min="14851" max="14855" width="6.375" style="1635" customWidth="1"/>
    <col min="14856" max="14856" width="7.25" style="1635" customWidth="1"/>
    <col min="14857" max="14861" width="6.375" style="1635" customWidth="1"/>
    <col min="14862" max="14862" width="8.375" style="1635" customWidth="1"/>
    <col min="14863" max="14867" width="6.375" style="1635" customWidth="1"/>
    <col min="14868" max="14868" width="9.25" style="1635" customWidth="1"/>
    <col min="14869" max="15104" width="9" style="1635"/>
    <col min="15105" max="15105" width="5.25" style="1635" customWidth="1"/>
    <col min="15106" max="15106" width="7.125" style="1635" customWidth="1"/>
    <col min="15107" max="15111" width="6.375" style="1635" customWidth="1"/>
    <col min="15112" max="15112" width="7.25" style="1635" customWidth="1"/>
    <col min="15113" max="15117" width="6.375" style="1635" customWidth="1"/>
    <col min="15118" max="15118" width="8.375" style="1635" customWidth="1"/>
    <col min="15119" max="15123" width="6.375" style="1635" customWidth="1"/>
    <col min="15124" max="15124" width="9.25" style="1635" customWidth="1"/>
    <col min="15125" max="15360" width="9" style="1635"/>
    <col min="15361" max="15361" width="5.25" style="1635" customWidth="1"/>
    <col min="15362" max="15362" width="7.125" style="1635" customWidth="1"/>
    <col min="15363" max="15367" width="6.375" style="1635" customWidth="1"/>
    <col min="15368" max="15368" width="7.25" style="1635" customWidth="1"/>
    <col min="15369" max="15373" width="6.375" style="1635" customWidth="1"/>
    <col min="15374" max="15374" width="8.375" style="1635" customWidth="1"/>
    <col min="15375" max="15379" width="6.375" style="1635" customWidth="1"/>
    <col min="15380" max="15380" width="9.25" style="1635" customWidth="1"/>
    <col min="15381" max="15616" width="9" style="1635"/>
    <col min="15617" max="15617" width="5.25" style="1635" customWidth="1"/>
    <col min="15618" max="15618" width="7.125" style="1635" customWidth="1"/>
    <col min="15619" max="15623" width="6.375" style="1635" customWidth="1"/>
    <col min="15624" max="15624" width="7.25" style="1635" customWidth="1"/>
    <col min="15625" max="15629" width="6.375" style="1635" customWidth="1"/>
    <col min="15630" max="15630" width="8.375" style="1635" customWidth="1"/>
    <col min="15631" max="15635" width="6.375" style="1635" customWidth="1"/>
    <col min="15636" max="15636" width="9.25" style="1635" customWidth="1"/>
    <col min="15637" max="15872" width="9" style="1635"/>
    <col min="15873" max="15873" width="5.25" style="1635" customWidth="1"/>
    <col min="15874" max="15874" width="7.125" style="1635" customWidth="1"/>
    <col min="15875" max="15879" width="6.375" style="1635" customWidth="1"/>
    <col min="15880" max="15880" width="7.25" style="1635" customWidth="1"/>
    <col min="15881" max="15885" width="6.375" style="1635" customWidth="1"/>
    <col min="15886" max="15886" width="8.375" style="1635" customWidth="1"/>
    <col min="15887" max="15891" width="6.375" style="1635" customWidth="1"/>
    <col min="15892" max="15892" width="9.25" style="1635" customWidth="1"/>
    <col min="15893" max="16128" width="9" style="1635"/>
    <col min="16129" max="16129" width="5.25" style="1635" customWidth="1"/>
    <col min="16130" max="16130" width="7.125" style="1635" customWidth="1"/>
    <col min="16131" max="16135" width="6.375" style="1635" customWidth="1"/>
    <col min="16136" max="16136" width="7.25" style="1635" customWidth="1"/>
    <col min="16137" max="16141" width="6.375" style="1635" customWidth="1"/>
    <col min="16142" max="16142" width="8.375" style="1635" customWidth="1"/>
    <col min="16143" max="16147" width="6.375" style="1635" customWidth="1"/>
    <col min="16148" max="16148" width="9.25" style="1635" customWidth="1"/>
    <col min="16149" max="16384" width="9" style="1635"/>
  </cols>
  <sheetData>
    <row r="1" spans="1:21" s="1614" customFormat="1" ht="25.9" customHeight="1">
      <c r="A1" s="3810" t="s">
        <v>5575</v>
      </c>
      <c r="B1" s="3810"/>
      <c r="C1" s="3810"/>
      <c r="D1" s="3810"/>
      <c r="E1" s="3810"/>
      <c r="F1" s="3810"/>
      <c r="G1" s="3810"/>
      <c r="H1" s="3810"/>
      <c r="I1" s="3810"/>
      <c r="J1" s="3810"/>
      <c r="K1" s="3810"/>
      <c r="L1" s="3810"/>
      <c r="M1" s="3810"/>
      <c r="N1" s="3810"/>
      <c r="O1" s="3810"/>
      <c r="P1" s="3810"/>
      <c r="Q1" s="3810"/>
      <c r="R1" s="2754" t="str">
        <f>基本情况!$F$10</f>
        <v>厦中汇税审（2018）第DS0001号</v>
      </c>
      <c r="S1" s="2754"/>
      <c r="T1" s="2754"/>
    </row>
    <row r="2" spans="1:21" s="1618" customFormat="1" ht="37.15" customHeight="1">
      <c r="A2" s="3811"/>
      <c r="B2" s="3811"/>
      <c r="C2" s="3811"/>
      <c r="D2" s="3811"/>
      <c r="E2" s="3811"/>
      <c r="F2" s="3811"/>
      <c r="G2" s="3811"/>
      <c r="H2" s="3811"/>
      <c r="I2" s="3811"/>
      <c r="J2" s="3811"/>
      <c r="K2" s="3811"/>
      <c r="L2" s="3811"/>
      <c r="M2" s="3811"/>
      <c r="N2" s="3811"/>
      <c r="O2" s="3811"/>
      <c r="P2" s="3811"/>
      <c r="Q2" s="3811"/>
      <c r="R2" s="3023" t="str">
        <f>"底稿编号："&amp;开始!L31</f>
        <v>底稿编号：AD-29</v>
      </c>
      <c r="S2" s="3023"/>
      <c r="T2" s="3595"/>
    </row>
    <row r="3" spans="1:21" s="1621" customFormat="1" ht="14.25" customHeight="1">
      <c r="A3" s="3585" t="s">
        <v>5494</v>
      </c>
      <c r="B3" s="3585" t="s">
        <v>1058</v>
      </c>
      <c r="C3" s="3585" t="s">
        <v>1124</v>
      </c>
      <c r="D3" s="3585"/>
      <c r="E3" s="3585"/>
      <c r="F3" s="3585"/>
      <c r="G3" s="3585"/>
      <c r="H3" s="3585"/>
      <c r="I3" s="3585" t="s">
        <v>5576</v>
      </c>
      <c r="J3" s="3585"/>
      <c r="K3" s="3585"/>
      <c r="L3" s="3585"/>
      <c r="M3" s="3585"/>
      <c r="N3" s="3585"/>
      <c r="O3" s="3585" t="s">
        <v>1126</v>
      </c>
      <c r="P3" s="3585"/>
      <c r="Q3" s="3585"/>
      <c r="R3" s="3585"/>
      <c r="S3" s="3585"/>
      <c r="T3" s="3585"/>
    </row>
    <row r="4" spans="1:21" s="1621" customFormat="1" ht="14.25" customHeight="1">
      <c r="A4" s="3585"/>
      <c r="B4" s="3585"/>
      <c r="C4" s="1567" t="s">
        <v>1115</v>
      </c>
      <c r="D4" s="1567" t="s">
        <v>1116</v>
      </c>
      <c r="E4" s="1567" t="s">
        <v>1117</v>
      </c>
      <c r="F4" s="1567" t="s">
        <v>1118</v>
      </c>
      <c r="G4" s="1567" t="s">
        <v>1119</v>
      </c>
      <c r="H4" s="1567" t="s">
        <v>895</v>
      </c>
      <c r="I4" s="1567" t="s">
        <v>1115</v>
      </c>
      <c r="J4" s="1567" t="s">
        <v>1116</v>
      </c>
      <c r="K4" s="1567" t="s">
        <v>1117</v>
      </c>
      <c r="L4" s="1567" t="s">
        <v>1118</v>
      </c>
      <c r="M4" s="1567" t="s">
        <v>1119</v>
      </c>
      <c r="N4" s="1567" t="s">
        <v>895</v>
      </c>
      <c r="O4" s="1567" t="s">
        <v>1116</v>
      </c>
      <c r="P4" s="1567" t="s">
        <v>1117</v>
      </c>
      <c r="Q4" s="1567" t="s">
        <v>1118</v>
      </c>
      <c r="R4" s="1567" t="s">
        <v>1119</v>
      </c>
      <c r="S4" s="1567" t="s">
        <v>1120</v>
      </c>
      <c r="T4" s="1567" t="s">
        <v>895</v>
      </c>
    </row>
    <row r="5" spans="1:21" s="1621" customFormat="1" ht="42" customHeight="1">
      <c r="A5" s="3585"/>
      <c r="B5" s="1566">
        <v>1</v>
      </c>
      <c r="C5" s="1566">
        <v>2</v>
      </c>
      <c r="D5" s="1566">
        <v>3</v>
      </c>
      <c r="E5" s="1566">
        <v>4</v>
      </c>
      <c r="F5" s="1566">
        <v>5</v>
      </c>
      <c r="G5" s="1566">
        <v>6</v>
      </c>
      <c r="H5" s="1566" t="s">
        <v>5577</v>
      </c>
      <c r="I5" s="1566">
        <v>8</v>
      </c>
      <c r="J5" s="1566">
        <v>9</v>
      </c>
      <c r="K5" s="1566">
        <v>10</v>
      </c>
      <c r="L5" s="1566">
        <v>11</v>
      </c>
      <c r="M5" s="1566">
        <v>12</v>
      </c>
      <c r="N5" s="1566" t="s">
        <v>5578</v>
      </c>
      <c r="O5" s="1566" t="s">
        <v>5579</v>
      </c>
      <c r="P5" s="1566" t="s">
        <v>5580</v>
      </c>
      <c r="Q5" s="1566" t="s">
        <v>5581</v>
      </c>
      <c r="R5" s="1566" t="s">
        <v>5582</v>
      </c>
      <c r="S5" s="1566">
        <v>18</v>
      </c>
      <c r="T5" s="1566" t="s">
        <v>5571</v>
      </c>
    </row>
    <row r="6" spans="1:21" s="1621" customFormat="1" ht="14.25" customHeight="1">
      <c r="A6" s="1567">
        <v>1</v>
      </c>
      <c r="B6" s="1622"/>
      <c r="C6" s="1554"/>
      <c r="D6" s="1554"/>
      <c r="E6" s="1554"/>
      <c r="F6" s="1554"/>
      <c r="G6" s="1554"/>
      <c r="H6" s="1553">
        <f>SUM(C6:G6)</f>
        <v>0</v>
      </c>
      <c r="I6" s="1554"/>
      <c r="J6" s="1554"/>
      <c r="K6" s="1554"/>
      <c r="L6" s="1554"/>
      <c r="M6" s="1554"/>
      <c r="N6" s="1553">
        <f>SUM(I6:M6)</f>
        <v>0</v>
      </c>
      <c r="O6" s="1553">
        <f>D6-J6</f>
        <v>0</v>
      </c>
      <c r="P6" s="1553">
        <f t="shared" ref="P6:R14" si="0">E6-K6</f>
        <v>0</v>
      </c>
      <c r="Q6" s="1553">
        <f t="shared" si="0"/>
        <v>0</v>
      </c>
      <c r="R6" s="1553">
        <f t="shared" si="0"/>
        <v>0</v>
      </c>
      <c r="S6" s="1553">
        <f>MAX(境外所得税收抵免审核表!K6-境外所得税收抵免审核表!M6,0)</f>
        <v>0</v>
      </c>
      <c r="T6" s="1553">
        <f>SUM(O6:S6)</f>
        <v>0</v>
      </c>
    </row>
    <row r="7" spans="1:21" s="1621" customFormat="1" ht="14.25" customHeight="1">
      <c r="A7" s="1567">
        <v>2</v>
      </c>
      <c r="B7" s="1622"/>
      <c r="C7" s="1554"/>
      <c r="D7" s="1554"/>
      <c r="E7" s="1554"/>
      <c r="F7" s="1554"/>
      <c r="G7" s="1554"/>
      <c r="H7" s="1553">
        <f t="shared" ref="H7:H14" si="1">SUM(C7:G7)</f>
        <v>0</v>
      </c>
      <c r="I7" s="1554"/>
      <c r="J7" s="1554"/>
      <c r="K7" s="1554"/>
      <c r="L7" s="1554"/>
      <c r="M7" s="1554"/>
      <c r="N7" s="1553">
        <f t="shared" ref="N7:N14" si="2">SUM(I7:M7)</f>
        <v>0</v>
      </c>
      <c r="O7" s="1553">
        <f t="shared" ref="O7:O14" si="3">D7-J7</f>
        <v>0</v>
      </c>
      <c r="P7" s="1553">
        <f t="shared" si="0"/>
        <v>0</v>
      </c>
      <c r="Q7" s="1553">
        <f t="shared" si="0"/>
        <v>0</v>
      </c>
      <c r="R7" s="1553">
        <f t="shared" si="0"/>
        <v>0</v>
      </c>
      <c r="S7" s="1553">
        <f>MAX(境外所得税收抵免审核表!K7-境外所得税收抵免审核表!M7,0)</f>
        <v>0</v>
      </c>
      <c r="T7" s="1553">
        <f t="shared" ref="T7:T14" si="4">SUM(O7:S7)</f>
        <v>0</v>
      </c>
    </row>
    <row r="8" spans="1:21" s="1621" customFormat="1" ht="14.25" customHeight="1">
      <c r="A8" s="1567">
        <v>3</v>
      </c>
      <c r="B8" s="1622"/>
      <c r="C8" s="1554"/>
      <c r="D8" s="1554"/>
      <c r="E8" s="1554"/>
      <c r="F8" s="1554"/>
      <c r="G8" s="1554"/>
      <c r="H8" s="1553">
        <f t="shared" si="1"/>
        <v>0</v>
      </c>
      <c r="I8" s="1554"/>
      <c r="J8" s="1554"/>
      <c r="K8" s="1554"/>
      <c r="L8" s="1554"/>
      <c r="M8" s="1554"/>
      <c r="N8" s="1553">
        <f t="shared" si="2"/>
        <v>0</v>
      </c>
      <c r="O8" s="1553">
        <f t="shared" si="3"/>
        <v>0</v>
      </c>
      <c r="P8" s="1553">
        <f t="shared" si="0"/>
        <v>0</v>
      </c>
      <c r="Q8" s="1553">
        <f t="shared" si="0"/>
        <v>0</v>
      </c>
      <c r="R8" s="1553">
        <f t="shared" si="0"/>
        <v>0</v>
      </c>
      <c r="S8" s="1553">
        <f>MAX(境外所得税收抵免审核表!K8-境外所得税收抵免审核表!M8,0)</f>
        <v>0</v>
      </c>
      <c r="T8" s="1553">
        <f t="shared" si="4"/>
        <v>0</v>
      </c>
    </row>
    <row r="9" spans="1:21" s="1621" customFormat="1" ht="14.25" customHeight="1">
      <c r="A9" s="1567">
        <v>4</v>
      </c>
      <c r="B9" s="1622"/>
      <c r="C9" s="1554"/>
      <c r="D9" s="1554"/>
      <c r="E9" s="1554"/>
      <c r="F9" s="1554"/>
      <c r="G9" s="1554"/>
      <c r="H9" s="1553">
        <f t="shared" si="1"/>
        <v>0</v>
      </c>
      <c r="I9" s="1554"/>
      <c r="J9" s="1554"/>
      <c r="K9" s="1554"/>
      <c r="L9" s="1554"/>
      <c r="M9" s="1554"/>
      <c r="N9" s="1553">
        <f t="shared" si="2"/>
        <v>0</v>
      </c>
      <c r="O9" s="1553">
        <f t="shared" si="3"/>
        <v>0</v>
      </c>
      <c r="P9" s="1553">
        <f t="shared" si="0"/>
        <v>0</v>
      </c>
      <c r="Q9" s="1553">
        <f t="shared" si="0"/>
        <v>0</v>
      </c>
      <c r="R9" s="1553">
        <f t="shared" si="0"/>
        <v>0</v>
      </c>
      <c r="S9" s="1553">
        <f>MAX(境外所得税收抵免审核表!K9-境外所得税收抵免审核表!M9,0)</f>
        <v>0</v>
      </c>
      <c r="T9" s="1553">
        <f t="shared" si="4"/>
        <v>0</v>
      </c>
    </row>
    <row r="10" spans="1:21" s="1621" customFormat="1" ht="14.25" customHeight="1">
      <c r="A10" s="1567">
        <v>5</v>
      </c>
      <c r="B10" s="1622"/>
      <c r="C10" s="1554"/>
      <c r="D10" s="1554"/>
      <c r="E10" s="1554"/>
      <c r="F10" s="1554"/>
      <c r="G10" s="1554"/>
      <c r="H10" s="1553">
        <f t="shared" si="1"/>
        <v>0</v>
      </c>
      <c r="I10" s="1554"/>
      <c r="J10" s="1554"/>
      <c r="K10" s="1554"/>
      <c r="L10" s="1554"/>
      <c r="M10" s="1554"/>
      <c r="N10" s="1553">
        <f t="shared" si="2"/>
        <v>0</v>
      </c>
      <c r="O10" s="1553">
        <f t="shared" si="3"/>
        <v>0</v>
      </c>
      <c r="P10" s="1553">
        <f t="shared" si="0"/>
        <v>0</v>
      </c>
      <c r="Q10" s="1553">
        <f t="shared" si="0"/>
        <v>0</v>
      </c>
      <c r="R10" s="1553">
        <f t="shared" si="0"/>
        <v>0</v>
      </c>
      <c r="S10" s="1553">
        <f>MAX(境外所得税收抵免审核表!K10-境外所得税收抵免审核表!M10,0)</f>
        <v>0</v>
      </c>
      <c r="T10" s="1553">
        <f t="shared" si="4"/>
        <v>0</v>
      </c>
    </row>
    <row r="11" spans="1:21" s="1621" customFormat="1" ht="14.25" customHeight="1">
      <c r="A11" s="1567">
        <v>6</v>
      </c>
      <c r="B11" s="1622"/>
      <c r="C11" s="1554"/>
      <c r="D11" s="1554"/>
      <c r="E11" s="1554"/>
      <c r="F11" s="1554"/>
      <c r="G11" s="1554"/>
      <c r="H11" s="1553">
        <f t="shared" si="1"/>
        <v>0</v>
      </c>
      <c r="I11" s="1554"/>
      <c r="J11" s="1554"/>
      <c r="K11" s="1554"/>
      <c r="L11" s="1554"/>
      <c r="M11" s="1554"/>
      <c r="N11" s="1553">
        <f t="shared" si="2"/>
        <v>0</v>
      </c>
      <c r="O11" s="1553">
        <f t="shared" si="3"/>
        <v>0</v>
      </c>
      <c r="P11" s="1553">
        <f t="shared" si="0"/>
        <v>0</v>
      </c>
      <c r="Q11" s="1553">
        <f t="shared" si="0"/>
        <v>0</v>
      </c>
      <c r="R11" s="1553">
        <f t="shared" si="0"/>
        <v>0</v>
      </c>
      <c r="S11" s="1553">
        <f>MAX(境外所得税收抵免审核表!K11-境外所得税收抵免审核表!M11,0)</f>
        <v>0</v>
      </c>
      <c r="T11" s="1553">
        <f t="shared" si="4"/>
        <v>0</v>
      </c>
    </row>
    <row r="12" spans="1:21" s="1621" customFormat="1" ht="14.25" customHeight="1">
      <c r="A12" s="1567">
        <v>7</v>
      </c>
      <c r="B12" s="1622"/>
      <c r="C12" s="1554"/>
      <c r="D12" s="1554"/>
      <c r="E12" s="1554"/>
      <c r="F12" s="1554"/>
      <c r="G12" s="1554"/>
      <c r="H12" s="1553">
        <f t="shared" si="1"/>
        <v>0</v>
      </c>
      <c r="I12" s="1554"/>
      <c r="J12" s="1554"/>
      <c r="K12" s="1554"/>
      <c r="L12" s="1554"/>
      <c r="M12" s="1554"/>
      <c r="N12" s="1553">
        <f t="shared" si="2"/>
        <v>0</v>
      </c>
      <c r="O12" s="1553">
        <f t="shared" si="3"/>
        <v>0</v>
      </c>
      <c r="P12" s="1553">
        <f t="shared" si="0"/>
        <v>0</v>
      </c>
      <c r="Q12" s="1553">
        <f t="shared" si="0"/>
        <v>0</v>
      </c>
      <c r="R12" s="1553">
        <f t="shared" si="0"/>
        <v>0</v>
      </c>
      <c r="S12" s="1553">
        <f>MAX(境外所得税收抵免审核表!K12-境外所得税收抵免审核表!M12,0)</f>
        <v>0</v>
      </c>
      <c r="T12" s="1553">
        <f t="shared" si="4"/>
        <v>0</v>
      </c>
    </row>
    <row r="13" spans="1:21" s="1621" customFormat="1" ht="14.25" customHeight="1">
      <c r="A13" s="1567">
        <v>8</v>
      </c>
      <c r="B13" s="1622"/>
      <c r="C13" s="1554"/>
      <c r="D13" s="1554"/>
      <c r="E13" s="1554"/>
      <c r="F13" s="1554"/>
      <c r="G13" s="1554"/>
      <c r="H13" s="1553">
        <f t="shared" si="1"/>
        <v>0</v>
      </c>
      <c r="I13" s="1554"/>
      <c r="J13" s="1554"/>
      <c r="K13" s="1554"/>
      <c r="L13" s="1554"/>
      <c r="M13" s="1554"/>
      <c r="N13" s="1553">
        <f t="shared" si="2"/>
        <v>0</v>
      </c>
      <c r="O13" s="1553">
        <f t="shared" si="3"/>
        <v>0</v>
      </c>
      <c r="P13" s="1553">
        <f t="shared" si="0"/>
        <v>0</v>
      </c>
      <c r="Q13" s="1553">
        <f t="shared" si="0"/>
        <v>0</v>
      </c>
      <c r="R13" s="1553">
        <f t="shared" si="0"/>
        <v>0</v>
      </c>
      <c r="S13" s="1553">
        <f>MAX(境外所得税收抵免审核表!K13-境外所得税收抵免审核表!M13,0)</f>
        <v>0</v>
      </c>
      <c r="T13" s="1553">
        <f t="shared" si="4"/>
        <v>0</v>
      </c>
    </row>
    <row r="14" spans="1:21" s="1623" customFormat="1" ht="14.25" customHeight="1">
      <c r="A14" s="1567">
        <v>9</v>
      </c>
      <c r="B14" s="1622"/>
      <c r="C14" s="1554"/>
      <c r="D14" s="1554"/>
      <c r="E14" s="1554"/>
      <c r="F14" s="1554"/>
      <c r="G14" s="1554"/>
      <c r="H14" s="1553">
        <f t="shared" si="1"/>
        <v>0</v>
      </c>
      <c r="I14" s="1554"/>
      <c r="J14" s="1554"/>
      <c r="K14" s="1554"/>
      <c r="L14" s="1554"/>
      <c r="M14" s="1554"/>
      <c r="N14" s="1553">
        <f t="shared" si="2"/>
        <v>0</v>
      </c>
      <c r="O14" s="1553">
        <f t="shared" si="3"/>
        <v>0</v>
      </c>
      <c r="P14" s="1553">
        <f t="shared" si="0"/>
        <v>0</v>
      </c>
      <c r="Q14" s="1553">
        <f t="shared" si="0"/>
        <v>0</v>
      </c>
      <c r="R14" s="1553">
        <f t="shared" si="0"/>
        <v>0</v>
      </c>
      <c r="S14" s="1553">
        <f>MAX(境外所得税收抵免审核表!K14-境外所得税收抵免审核表!M14,0)</f>
        <v>0</v>
      </c>
      <c r="T14" s="1553">
        <f t="shared" si="4"/>
        <v>0</v>
      </c>
    </row>
    <row r="15" spans="1:21" s="1623" customFormat="1" ht="14.25" customHeight="1">
      <c r="A15" s="1567">
        <v>10</v>
      </c>
      <c r="B15" s="1551" t="s">
        <v>5482</v>
      </c>
      <c r="C15" s="1553">
        <f>SUM(C6:C14)</f>
        <v>0</v>
      </c>
      <c r="D15" s="1553">
        <f t="shared" ref="D15:T15" si="5">SUM(D6:D14)</f>
        <v>0</v>
      </c>
      <c r="E15" s="1553">
        <f t="shared" si="5"/>
        <v>0</v>
      </c>
      <c r="F15" s="1553">
        <f t="shared" si="5"/>
        <v>0</v>
      </c>
      <c r="G15" s="1553">
        <f t="shared" si="5"/>
        <v>0</v>
      </c>
      <c r="H15" s="1553">
        <f t="shared" si="5"/>
        <v>0</v>
      </c>
      <c r="I15" s="1553">
        <f t="shared" si="5"/>
        <v>0</v>
      </c>
      <c r="J15" s="1553">
        <f t="shared" si="5"/>
        <v>0</v>
      </c>
      <c r="K15" s="1553">
        <f t="shared" si="5"/>
        <v>0</v>
      </c>
      <c r="L15" s="1553">
        <f t="shared" si="5"/>
        <v>0</v>
      </c>
      <c r="M15" s="1553">
        <f t="shared" si="5"/>
        <v>0</v>
      </c>
      <c r="N15" s="1553">
        <f t="shared" si="5"/>
        <v>0</v>
      </c>
      <c r="O15" s="1553">
        <f t="shared" si="5"/>
        <v>0</v>
      </c>
      <c r="P15" s="1553">
        <f t="shared" si="5"/>
        <v>0</v>
      </c>
      <c r="Q15" s="1553">
        <f t="shared" si="5"/>
        <v>0</v>
      </c>
      <c r="R15" s="1553">
        <f t="shared" si="5"/>
        <v>0</v>
      </c>
      <c r="S15" s="1553">
        <f t="shared" si="5"/>
        <v>0</v>
      </c>
      <c r="T15" s="1553">
        <f t="shared" si="5"/>
        <v>0</v>
      </c>
      <c r="U15" s="1617" t="s">
        <v>5583</v>
      </c>
    </row>
    <row r="16" spans="1:21" s="1623" customFormat="1" ht="123" customHeight="1">
      <c r="A16" s="1613"/>
      <c r="B16" s="1613" t="s">
        <v>5448</v>
      </c>
      <c r="C16" s="1567"/>
      <c r="D16" s="1567"/>
      <c r="E16" s="1567"/>
      <c r="F16" s="1613"/>
      <c r="G16" s="1613"/>
      <c r="H16" s="1613"/>
      <c r="I16" s="1613"/>
      <c r="J16" s="1613"/>
      <c r="K16" s="1613"/>
      <c r="L16" s="1613"/>
      <c r="M16" s="1613"/>
      <c r="N16" s="1556" t="s">
        <v>5584</v>
      </c>
      <c r="O16" s="1567"/>
      <c r="P16" s="1567"/>
      <c r="Q16" s="1567"/>
      <c r="R16" s="1613"/>
      <c r="S16" s="1556" t="s">
        <v>5585</v>
      </c>
      <c r="T16" s="1613"/>
    </row>
  </sheetData>
  <mergeCells count="8">
    <mergeCell ref="R1:T1"/>
    <mergeCell ref="R2:T2"/>
    <mergeCell ref="A1:Q2"/>
    <mergeCell ref="A3:A5"/>
    <mergeCell ref="B3:B4"/>
    <mergeCell ref="C3:H3"/>
    <mergeCell ref="I3:N3"/>
    <mergeCell ref="O3:T3"/>
  </mergeCells>
  <phoneticPr fontId="135" type="noConversion"/>
  <hyperlinks>
    <hyperlink ref="U15" location="A108030跨年度结转抵免境外所得税明细表!A1" display="A108030跨年度结转抵免境外所得税明细表!A1"/>
  </hyperlinks>
  <printOptions horizontalCentered="1"/>
  <pageMargins left="0.59055118110236215" right="0.59055118110236215" top="0.39370078740157477" bottom="0.39370078740157477" header="0.511811023622047" footer="0.511811023622047"/>
  <pageSetup paperSize="9" scale="54" fitToHeight="0" orientation="landscape" blackAndWhite="1" r:id="rId1"/>
  <headerFooter alignWithMargins="0"/>
  <drawing r:id="rId2"/>
  <legacyDrawing r:id="rId3"/>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9">
    <tabColor rgb="FFFFFF00"/>
  </sheetPr>
  <dimension ref="A1:F23"/>
  <sheetViews>
    <sheetView workbookViewId="0">
      <selection activeCell="C3" sqref="C3"/>
    </sheetView>
  </sheetViews>
  <sheetFormatPr defaultRowHeight="14.25"/>
  <cols>
    <col min="1" max="1" width="5.25" style="1619" customWidth="1"/>
    <col min="2" max="2" width="56.125" style="1619" customWidth="1"/>
    <col min="3" max="3" width="37.125" style="1619" customWidth="1"/>
    <col min="4" max="4" width="13.625" style="1619" customWidth="1"/>
    <col min="5" max="255" width="9" style="1619"/>
    <col min="256" max="256" width="5.25" style="1619" customWidth="1"/>
    <col min="257" max="257" width="56.125" style="1619" customWidth="1"/>
    <col min="258" max="258" width="19.25" style="1619" customWidth="1"/>
    <col min="259" max="259" width="22.5" style="1619" customWidth="1"/>
    <col min="260" max="511" width="9" style="1619"/>
    <col min="512" max="512" width="5.25" style="1619" customWidth="1"/>
    <col min="513" max="513" width="56.125" style="1619" customWidth="1"/>
    <col min="514" max="514" width="19.25" style="1619" customWidth="1"/>
    <col min="515" max="515" width="22.5" style="1619" customWidth="1"/>
    <col min="516" max="767" width="9" style="1619"/>
    <col min="768" max="768" width="5.25" style="1619" customWidth="1"/>
    <col min="769" max="769" width="56.125" style="1619" customWidth="1"/>
    <col min="770" max="770" width="19.25" style="1619" customWidth="1"/>
    <col min="771" max="771" width="22.5" style="1619" customWidth="1"/>
    <col min="772" max="1023" width="9" style="1619"/>
    <col min="1024" max="1024" width="5.25" style="1619" customWidth="1"/>
    <col min="1025" max="1025" width="56.125" style="1619" customWidth="1"/>
    <col min="1026" max="1026" width="19.25" style="1619" customWidth="1"/>
    <col min="1027" max="1027" width="22.5" style="1619" customWidth="1"/>
    <col min="1028" max="1279" width="9" style="1619"/>
    <col min="1280" max="1280" width="5.25" style="1619" customWidth="1"/>
    <col min="1281" max="1281" width="56.125" style="1619" customWidth="1"/>
    <col min="1282" max="1282" width="19.25" style="1619" customWidth="1"/>
    <col min="1283" max="1283" width="22.5" style="1619" customWidth="1"/>
    <col min="1284" max="1535" width="9" style="1619"/>
    <col min="1536" max="1536" width="5.25" style="1619" customWidth="1"/>
    <col min="1537" max="1537" width="56.125" style="1619" customWidth="1"/>
    <col min="1538" max="1538" width="19.25" style="1619" customWidth="1"/>
    <col min="1539" max="1539" width="22.5" style="1619" customWidth="1"/>
    <col min="1540" max="1791" width="9" style="1619"/>
    <col min="1792" max="1792" width="5.25" style="1619" customWidth="1"/>
    <col min="1793" max="1793" width="56.125" style="1619" customWidth="1"/>
    <col min="1794" max="1794" width="19.25" style="1619" customWidth="1"/>
    <col min="1795" max="1795" width="22.5" style="1619" customWidth="1"/>
    <col min="1796" max="2047" width="9" style="1619"/>
    <col min="2048" max="2048" width="5.25" style="1619" customWidth="1"/>
    <col min="2049" max="2049" width="56.125" style="1619" customWidth="1"/>
    <col min="2050" max="2050" width="19.25" style="1619" customWidth="1"/>
    <col min="2051" max="2051" width="22.5" style="1619" customWidth="1"/>
    <col min="2052" max="2303" width="9" style="1619"/>
    <col min="2304" max="2304" width="5.25" style="1619" customWidth="1"/>
    <col min="2305" max="2305" width="56.125" style="1619" customWidth="1"/>
    <col min="2306" max="2306" width="19.25" style="1619" customWidth="1"/>
    <col min="2307" max="2307" width="22.5" style="1619" customWidth="1"/>
    <col min="2308" max="2559" width="9" style="1619"/>
    <col min="2560" max="2560" width="5.25" style="1619" customWidth="1"/>
    <col min="2561" max="2561" width="56.125" style="1619" customWidth="1"/>
    <col min="2562" max="2562" width="19.25" style="1619" customWidth="1"/>
    <col min="2563" max="2563" width="22.5" style="1619" customWidth="1"/>
    <col min="2564" max="2815" width="9" style="1619"/>
    <col min="2816" max="2816" width="5.25" style="1619" customWidth="1"/>
    <col min="2817" max="2817" width="56.125" style="1619" customWidth="1"/>
    <col min="2818" max="2818" width="19.25" style="1619" customWidth="1"/>
    <col min="2819" max="2819" width="22.5" style="1619" customWidth="1"/>
    <col min="2820" max="3071" width="9" style="1619"/>
    <col min="3072" max="3072" width="5.25" style="1619" customWidth="1"/>
    <col min="3073" max="3073" width="56.125" style="1619" customWidth="1"/>
    <col min="3074" max="3074" width="19.25" style="1619" customWidth="1"/>
    <col min="3075" max="3075" width="22.5" style="1619" customWidth="1"/>
    <col min="3076" max="3327" width="9" style="1619"/>
    <col min="3328" max="3328" width="5.25" style="1619" customWidth="1"/>
    <col min="3329" max="3329" width="56.125" style="1619" customWidth="1"/>
    <col min="3330" max="3330" width="19.25" style="1619" customWidth="1"/>
    <col min="3331" max="3331" width="22.5" style="1619" customWidth="1"/>
    <col min="3332" max="3583" width="9" style="1619"/>
    <col min="3584" max="3584" width="5.25" style="1619" customWidth="1"/>
    <col min="3585" max="3585" width="56.125" style="1619" customWidth="1"/>
    <col min="3586" max="3586" width="19.25" style="1619" customWidth="1"/>
    <col min="3587" max="3587" width="22.5" style="1619" customWidth="1"/>
    <col min="3588" max="3839" width="9" style="1619"/>
    <col min="3840" max="3840" width="5.25" style="1619" customWidth="1"/>
    <col min="3841" max="3841" width="56.125" style="1619" customWidth="1"/>
    <col min="3842" max="3842" width="19.25" style="1619" customWidth="1"/>
    <col min="3843" max="3843" width="22.5" style="1619" customWidth="1"/>
    <col min="3844" max="4095" width="9" style="1619"/>
    <col min="4096" max="4096" width="5.25" style="1619" customWidth="1"/>
    <col min="4097" max="4097" width="56.125" style="1619" customWidth="1"/>
    <col min="4098" max="4098" width="19.25" style="1619" customWidth="1"/>
    <col min="4099" max="4099" width="22.5" style="1619" customWidth="1"/>
    <col min="4100" max="4351" width="9" style="1619"/>
    <col min="4352" max="4352" width="5.25" style="1619" customWidth="1"/>
    <col min="4353" max="4353" width="56.125" style="1619" customWidth="1"/>
    <col min="4354" max="4354" width="19.25" style="1619" customWidth="1"/>
    <col min="4355" max="4355" width="22.5" style="1619" customWidth="1"/>
    <col min="4356" max="4607" width="9" style="1619"/>
    <col min="4608" max="4608" width="5.25" style="1619" customWidth="1"/>
    <col min="4609" max="4609" width="56.125" style="1619" customWidth="1"/>
    <col min="4610" max="4610" width="19.25" style="1619" customWidth="1"/>
    <col min="4611" max="4611" width="22.5" style="1619" customWidth="1"/>
    <col min="4612" max="4863" width="9" style="1619"/>
    <col min="4864" max="4864" width="5.25" style="1619" customWidth="1"/>
    <col min="4865" max="4865" width="56.125" style="1619" customWidth="1"/>
    <col min="4866" max="4866" width="19.25" style="1619" customWidth="1"/>
    <col min="4867" max="4867" width="22.5" style="1619" customWidth="1"/>
    <col min="4868" max="5119" width="9" style="1619"/>
    <col min="5120" max="5120" width="5.25" style="1619" customWidth="1"/>
    <col min="5121" max="5121" width="56.125" style="1619" customWidth="1"/>
    <col min="5122" max="5122" width="19.25" style="1619" customWidth="1"/>
    <col min="5123" max="5123" width="22.5" style="1619" customWidth="1"/>
    <col min="5124" max="5375" width="9" style="1619"/>
    <col min="5376" max="5376" width="5.25" style="1619" customWidth="1"/>
    <col min="5377" max="5377" width="56.125" style="1619" customWidth="1"/>
    <col min="5378" max="5378" width="19.25" style="1619" customWidth="1"/>
    <col min="5379" max="5379" width="22.5" style="1619" customWidth="1"/>
    <col min="5380" max="5631" width="9" style="1619"/>
    <col min="5632" max="5632" width="5.25" style="1619" customWidth="1"/>
    <col min="5633" max="5633" width="56.125" style="1619" customWidth="1"/>
    <col min="5634" max="5634" width="19.25" style="1619" customWidth="1"/>
    <col min="5635" max="5635" width="22.5" style="1619" customWidth="1"/>
    <col min="5636" max="5887" width="9" style="1619"/>
    <col min="5888" max="5888" width="5.25" style="1619" customWidth="1"/>
    <col min="5889" max="5889" width="56.125" style="1619" customWidth="1"/>
    <col min="5890" max="5890" width="19.25" style="1619" customWidth="1"/>
    <col min="5891" max="5891" width="22.5" style="1619" customWidth="1"/>
    <col min="5892" max="6143" width="9" style="1619"/>
    <col min="6144" max="6144" width="5.25" style="1619" customWidth="1"/>
    <col min="6145" max="6145" width="56.125" style="1619" customWidth="1"/>
    <col min="6146" max="6146" width="19.25" style="1619" customWidth="1"/>
    <col min="6147" max="6147" width="22.5" style="1619" customWidth="1"/>
    <col min="6148" max="6399" width="9" style="1619"/>
    <col min="6400" max="6400" width="5.25" style="1619" customWidth="1"/>
    <col min="6401" max="6401" width="56.125" style="1619" customWidth="1"/>
    <col min="6402" max="6402" width="19.25" style="1619" customWidth="1"/>
    <col min="6403" max="6403" width="22.5" style="1619" customWidth="1"/>
    <col min="6404" max="6655" width="9" style="1619"/>
    <col min="6656" max="6656" width="5.25" style="1619" customWidth="1"/>
    <col min="6657" max="6657" width="56.125" style="1619" customWidth="1"/>
    <col min="6658" max="6658" width="19.25" style="1619" customWidth="1"/>
    <col min="6659" max="6659" width="22.5" style="1619" customWidth="1"/>
    <col min="6660" max="6911" width="9" style="1619"/>
    <col min="6912" max="6912" width="5.25" style="1619" customWidth="1"/>
    <col min="6913" max="6913" width="56.125" style="1619" customWidth="1"/>
    <col min="6914" max="6914" width="19.25" style="1619" customWidth="1"/>
    <col min="6915" max="6915" width="22.5" style="1619" customWidth="1"/>
    <col min="6916" max="7167" width="9" style="1619"/>
    <col min="7168" max="7168" width="5.25" style="1619" customWidth="1"/>
    <col min="7169" max="7169" width="56.125" style="1619" customWidth="1"/>
    <col min="7170" max="7170" width="19.25" style="1619" customWidth="1"/>
    <col min="7171" max="7171" width="22.5" style="1619" customWidth="1"/>
    <col min="7172" max="7423" width="9" style="1619"/>
    <col min="7424" max="7424" width="5.25" style="1619" customWidth="1"/>
    <col min="7425" max="7425" width="56.125" style="1619" customWidth="1"/>
    <col min="7426" max="7426" width="19.25" style="1619" customWidth="1"/>
    <col min="7427" max="7427" width="22.5" style="1619" customWidth="1"/>
    <col min="7428" max="7679" width="9" style="1619"/>
    <col min="7680" max="7680" width="5.25" style="1619" customWidth="1"/>
    <col min="7681" max="7681" width="56.125" style="1619" customWidth="1"/>
    <col min="7682" max="7682" width="19.25" style="1619" customWidth="1"/>
    <col min="7683" max="7683" width="22.5" style="1619" customWidth="1"/>
    <col min="7684" max="7935" width="9" style="1619"/>
    <col min="7936" max="7936" width="5.25" style="1619" customWidth="1"/>
    <col min="7937" max="7937" width="56.125" style="1619" customWidth="1"/>
    <col min="7938" max="7938" width="19.25" style="1619" customWidth="1"/>
    <col min="7939" max="7939" width="22.5" style="1619" customWidth="1"/>
    <col min="7940" max="8191" width="9" style="1619"/>
    <col min="8192" max="8192" width="5.25" style="1619" customWidth="1"/>
    <col min="8193" max="8193" width="56.125" style="1619" customWidth="1"/>
    <col min="8194" max="8194" width="19.25" style="1619" customWidth="1"/>
    <col min="8195" max="8195" width="22.5" style="1619" customWidth="1"/>
    <col min="8196" max="8447" width="9" style="1619"/>
    <col min="8448" max="8448" width="5.25" style="1619" customWidth="1"/>
    <col min="8449" max="8449" width="56.125" style="1619" customWidth="1"/>
    <col min="8450" max="8450" width="19.25" style="1619" customWidth="1"/>
    <col min="8451" max="8451" width="22.5" style="1619" customWidth="1"/>
    <col min="8452" max="8703" width="9" style="1619"/>
    <col min="8704" max="8704" width="5.25" style="1619" customWidth="1"/>
    <col min="8705" max="8705" width="56.125" style="1619" customWidth="1"/>
    <col min="8706" max="8706" width="19.25" style="1619" customWidth="1"/>
    <col min="8707" max="8707" width="22.5" style="1619" customWidth="1"/>
    <col min="8708" max="8959" width="9" style="1619"/>
    <col min="8960" max="8960" width="5.25" style="1619" customWidth="1"/>
    <col min="8961" max="8961" width="56.125" style="1619" customWidth="1"/>
    <col min="8962" max="8962" width="19.25" style="1619" customWidth="1"/>
    <col min="8963" max="8963" width="22.5" style="1619" customWidth="1"/>
    <col min="8964" max="9215" width="9" style="1619"/>
    <col min="9216" max="9216" width="5.25" style="1619" customWidth="1"/>
    <col min="9217" max="9217" width="56.125" style="1619" customWidth="1"/>
    <col min="9218" max="9218" width="19.25" style="1619" customWidth="1"/>
    <col min="9219" max="9219" width="22.5" style="1619" customWidth="1"/>
    <col min="9220" max="9471" width="9" style="1619"/>
    <col min="9472" max="9472" width="5.25" style="1619" customWidth="1"/>
    <col min="9473" max="9473" width="56.125" style="1619" customWidth="1"/>
    <col min="9474" max="9474" width="19.25" style="1619" customWidth="1"/>
    <col min="9475" max="9475" width="22.5" style="1619" customWidth="1"/>
    <col min="9476" max="9727" width="9" style="1619"/>
    <col min="9728" max="9728" width="5.25" style="1619" customWidth="1"/>
    <col min="9729" max="9729" width="56.125" style="1619" customWidth="1"/>
    <col min="9730" max="9730" width="19.25" style="1619" customWidth="1"/>
    <col min="9731" max="9731" width="22.5" style="1619" customWidth="1"/>
    <col min="9732" max="9983" width="9" style="1619"/>
    <col min="9984" max="9984" width="5.25" style="1619" customWidth="1"/>
    <col min="9985" max="9985" width="56.125" style="1619" customWidth="1"/>
    <col min="9986" max="9986" width="19.25" style="1619" customWidth="1"/>
    <col min="9987" max="9987" width="22.5" style="1619" customWidth="1"/>
    <col min="9988" max="10239" width="9" style="1619"/>
    <col min="10240" max="10240" width="5.25" style="1619" customWidth="1"/>
    <col min="10241" max="10241" width="56.125" style="1619" customWidth="1"/>
    <col min="10242" max="10242" width="19.25" style="1619" customWidth="1"/>
    <col min="10243" max="10243" width="22.5" style="1619" customWidth="1"/>
    <col min="10244" max="10495" width="9" style="1619"/>
    <col min="10496" max="10496" width="5.25" style="1619" customWidth="1"/>
    <col min="10497" max="10497" width="56.125" style="1619" customWidth="1"/>
    <col min="10498" max="10498" width="19.25" style="1619" customWidth="1"/>
    <col min="10499" max="10499" width="22.5" style="1619" customWidth="1"/>
    <col min="10500" max="10751" width="9" style="1619"/>
    <col min="10752" max="10752" width="5.25" style="1619" customWidth="1"/>
    <col min="10753" max="10753" width="56.125" style="1619" customWidth="1"/>
    <col min="10754" max="10754" width="19.25" style="1619" customWidth="1"/>
    <col min="10755" max="10755" width="22.5" style="1619" customWidth="1"/>
    <col min="10756" max="11007" width="9" style="1619"/>
    <col min="11008" max="11008" width="5.25" style="1619" customWidth="1"/>
    <col min="11009" max="11009" width="56.125" style="1619" customWidth="1"/>
    <col min="11010" max="11010" width="19.25" style="1619" customWidth="1"/>
    <col min="11011" max="11011" width="22.5" style="1619" customWidth="1"/>
    <col min="11012" max="11263" width="9" style="1619"/>
    <col min="11264" max="11264" width="5.25" style="1619" customWidth="1"/>
    <col min="11265" max="11265" width="56.125" style="1619" customWidth="1"/>
    <col min="11266" max="11266" width="19.25" style="1619" customWidth="1"/>
    <col min="11267" max="11267" width="22.5" style="1619" customWidth="1"/>
    <col min="11268" max="11519" width="9" style="1619"/>
    <col min="11520" max="11520" width="5.25" style="1619" customWidth="1"/>
    <col min="11521" max="11521" width="56.125" style="1619" customWidth="1"/>
    <col min="11522" max="11522" width="19.25" style="1619" customWidth="1"/>
    <col min="11523" max="11523" width="22.5" style="1619" customWidth="1"/>
    <col min="11524" max="11775" width="9" style="1619"/>
    <col min="11776" max="11776" width="5.25" style="1619" customWidth="1"/>
    <col min="11777" max="11777" width="56.125" style="1619" customWidth="1"/>
    <col min="11778" max="11778" width="19.25" style="1619" customWidth="1"/>
    <col min="11779" max="11779" width="22.5" style="1619" customWidth="1"/>
    <col min="11780" max="12031" width="9" style="1619"/>
    <col min="12032" max="12032" width="5.25" style="1619" customWidth="1"/>
    <col min="12033" max="12033" width="56.125" style="1619" customWidth="1"/>
    <col min="12034" max="12034" width="19.25" style="1619" customWidth="1"/>
    <col min="12035" max="12035" width="22.5" style="1619" customWidth="1"/>
    <col min="12036" max="12287" width="9" style="1619"/>
    <col min="12288" max="12288" width="5.25" style="1619" customWidth="1"/>
    <col min="12289" max="12289" width="56.125" style="1619" customWidth="1"/>
    <col min="12290" max="12290" width="19.25" style="1619" customWidth="1"/>
    <col min="12291" max="12291" width="22.5" style="1619" customWidth="1"/>
    <col min="12292" max="12543" width="9" style="1619"/>
    <col min="12544" max="12544" width="5.25" style="1619" customWidth="1"/>
    <col min="12545" max="12545" width="56.125" style="1619" customWidth="1"/>
    <col min="12546" max="12546" width="19.25" style="1619" customWidth="1"/>
    <col min="12547" max="12547" width="22.5" style="1619" customWidth="1"/>
    <col min="12548" max="12799" width="9" style="1619"/>
    <col min="12800" max="12800" width="5.25" style="1619" customWidth="1"/>
    <col min="12801" max="12801" width="56.125" style="1619" customWidth="1"/>
    <col min="12802" max="12802" width="19.25" style="1619" customWidth="1"/>
    <col min="12803" max="12803" width="22.5" style="1619" customWidth="1"/>
    <col min="12804" max="13055" width="9" style="1619"/>
    <col min="13056" max="13056" width="5.25" style="1619" customWidth="1"/>
    <col min="13057" max="13057" width="56.125" style="1619" customWidth="1"/>
    <col min="13058" max="13058" width="19.25" style="1619" customWidth="1"/>
    <col min="13059" max="13059" width="22.5" style="1619" customWidth="1"/>
    <col min="13060" max="13311" width="9" style="1619"/>
    <col min="13312" max="13312" width="5.25" style="1619" customWidth="1"/>
    <col min="13313" max="13313" width="56.125" style="1619" customWidth="1"/>
    <col min="13314" max="13314" width="19.25" style="1619" customWidth="1"/>
    <col min="13315" max="13315" width="22.5" style="1619" customWidth="1"/>
    <col min="13316" max="13567" width="9" style="1619"/>
    <col min="13568" max="13568" width="5.25" style="1619" customWidth="1"/>
    <col min="13569" max="13569" width="56.125" style="1619" customWidth="1"/>
    <col min="13570" max="13570" width="19.25" style="1619" customWidth="1"/>
    <col min="13571" max="13571" width="22.5" style="1619" customWidth="1"/>
    <col min="13572" max="13823" width="9" style="1619"/>
    <col min="13824" max="13824" width="5.25" style="1619" customWidth="1"/>
    <col min="13825" max="13825" width="56.125" style="1619" customWidth="1"/>
    <col min="13826" max="13826" width="19.25" style="1619" customWidth="1"/>
    <col min="13827" max="13827" width="22.5" style="1619" customWidth="1"/>
    <col min="13828" max="14079" width="9" style="1619"/>
    <col min="14080" max="14080" width="5.25" style="1619" customWidth="1"/>
    <col min="14081" max="14081" width="56.125" style="1619" customWidth="1"/>
    <col min="14082" max="14082" width="19.25" style="1619" customWidth="1"/>
    <col min="14083" max="14083" width="22.5" style="1619" customWidth="1"/>
    <col min="14084" max="14335" width="9" style="1619"/>
    <col min="14336" max="14336" width="5.25" style="1619" customWidth="1"/>
    <col min="14337" max="14337" width="56.125" style="1619" customWidth="1"/>
    <col min="14338" max="14338" width="19.25" style="1619" customWidth="1"/>
    <col min="14339" max="14339" width="22.5" style="1619" customWidth="1"/>
    <col min="14340" max="14591" width="9" style="1619"/>
    <col min="14592" max="14592" width="5.25" style="1619" customWidth="1"/>
    <col min="14593" max="14593" width="56.125" style="1619" customWidth="1"/>
    <col min="14594" max="14594" width="19.25" style="1619" customWidth="1"/>
    <col min="14595" max="14595" width="22.5" style="1619" customWidth="1"/>
    <col min="14596" max="14847" width="9" style="1619"/>
    <col min="14848" max="14848" width="5.25" style="1619" customWidth="1"/>
    <col min="14849" max="14849" width="56.125" style="1619" customWidth="1"/>
    <col min="14850" max="14850" width="19.25" style="1619" customWidth="1"/>
    <col min="14851" max="14851" width="22.5" style="1619" customWidth="1"/>
    <col min="14852" max="15103" width="9" style="1619"/>
    <col min="15104" max="15104" width="5.25" style="1619" customWidth="1"/>
    <col min="15105" max="15105" width="56.125" style="1619" customWidth="1"/>
    <col min="15106" max="15106" width="19.25" style="1619" customWidth="1"/>
    <col min="15107" max="15107" width="22.5" style="1619" customWidth="1"/>
    <col min="15108" max="15359" width="9" style="1619"/>
    <col min="15360" max="15360" width="5.25" style="1619" customWidth="1"/>
    <col min="15361" max="15361" width="56.125" style="1619" customWidth="1"/>
    <col min="15362" max="15362" width="19.25" style="1619" customWidth="1"/>
    <col min="15363" max="15363" width="22.5" style="1619" customWidth="1"/>
    <col min="15364" max="15615" width="9" style="1619"/>
    <col min="15616" max="15616" width="5.25" style="1619" customWidth="1"/>
    <col min="15617" max="15617" width="56.125" style="1619" customWidth="1"/>
    <col min="15618" max="15618" width="19.25" style="1619" customWidth="1"/>
    <col min="15619" max="15619" width="22.5" style="1619" customWidth="1"/>
    <col min="15620" max="15871" width="9" style="1619"/>
    <col min="15872" max="15872" width="5.25" style="1619" customWidth="1"/>
    <col min="15873" max="15873" width="56.125" style="1619" customWidth="1"/>
    <col min="15874" max="15874" width="19.25" style="1619" customWidth="1"/>
    <col min="15875" max="15875" width="22.5" style="1619" customWidth="1"/>
    <col min="15876" max="16127" width="9" style="1619"/>
    <col min="16128" max="16128" width="5.25" style="1619" customWidth="1"/>
    <col min="16129" max="16129" width="56.125" style="1619" customWidth="1"/>
    <col min="16130" max="16130" width="19.25" style="1619" customWidth="1"/>
    <col min="16131" max="16131" width="22.5" style="1619" customWidth="1"/>
    <col min="16132" max="16384" width="9" style="1619"/>
  </cols>
  <sheetData>
    <row r="1" spans="1:6" s="1632" customFormat="1" ht="25.9" customHeight="1">
      <c r="A1" s="3812" t="s">
        <v>6444</v>
      </c>
      <c r="B1" s="3762"/>
      <c r="C1" s="2200" t="str">
        <f>基本情况!$F$10</f>
        <v>厦中汇税审（2018）第DS0001号</v>
      </c>
    </row>
    <row r="2" spans="1:6" s="1633" customFormat="1" ht="37.15" customHeight="1">
      <c r="A2" s="3763"/>
      <c r="B2" s="3763"/>
      <c r="C2" s="2201" t="str">
        <f>"底稿编号："&amp;开始!L32</f>
        <v>底稿编号：AD-30</v>
      </c>
    </row>
    <row r="3" spans="1:6" s="1636" customFormat="1" ht="16.5" customHeight="1">
      <c r="A3" s="1551" t="s">
        <v>5347</v>
      </c>
      <c r="B3" s="1551" t="s">
        <v>5487</v>
      </c>
      <c r="C3" s="1551" t="s">
        <v>5586</v>
      </c>
      <c r="F3" s="1637"/>
    </row>
    <row r="4" spans="1:6" s="1636" customFormat="1" ht="16.5" customHeight="1">
      <c r="A4" s="2216">
        <v>1</v>
      </c>
      <c r="B4" s="2249" t="s">
        <v>1135</v>
      </c>
      <c r="C4" s="2251">
        <f>IF(LEFT(基本情况!$C$4,3)="总机构",'A100000 中华人民共和国企业所得税年度纳税申报表（A类）'!$D$34,0)</f>
        <v>0</v>
      </c>
    </row>
    <row r="5" spans="1:6" s="1636" customFormat="1" ht="16.5" customHeight="1">
      <c r="A5" s="2216">
        <v>2</v>
      </c>
      <c r="B5" s="2249" t="s">
        <v>1136</v>
      </c>
      <c r="C5" s="2251">
        <f>IF(LEFT(基本情况!$C$4,3)="总机构",'A100000 中华人民共和国企业所得税年度纳税申报表（A类）'!$D$32,0)</f>
        <v>0</v>
      </c>
    </row>
    <row r="6" spans="1:6" s="1636" customFormat="1" ht="16.5" customHeight="1">
      <c r="A6" s="2216">
        <v>3</v>
      </c>
      <c r="B6" s="2249" t="s">
        <v>1137</v>
      </c>
      <c r="C6" s="2251">
        <f>IF(LEFT(基本情况!$C$4,3)="总机构",'A100000 中华人民共和国企业所得税年度纳税申报表（A类）'!$D$33,0)</f>
        <v>0</v>
      </c>
    </row>
    <row r="7" spans="1:6" s="1636" customFormat="1" ht="16.5" customHeight="1">
      <c r="A7" s="2216">
        <v>4</v>
      </c>
      <c r="B7" s="2250" t="s">
        <v>1138</v>
      </c>
      <c r="C7" s="2251">
        <f>C4-C5+C6</f>
        <v>0</v>
      </c>
    </row>
    <row r="8" spans="1:6" s="1636" customFormat="1" ht="16.5" customHeight="1">
      <c r="A8" s="2216">
        <v>5</v>
      </c>
      <c r="B8" s="2250" t="s">
        <v>1139</v>
      </c>
      <c r="C8" s="2251">
        <f>SUM(C9:C12)</f>
        <v>0</v>
      </c>
      <c r="D8" s="1636">
        <f>'A100000 中华人民共和国企业所得税年度纳税申报表（A类）'!$D$34</f>
        <v>0</v>
      </c>
    </row>
    <row r="9" spans="1:6" s="1636" customFormat="1" ht="16.5" customHeight="1">
      <c r="A9" s="2216">
        <v>6</v>
      </c>
      <c r="B9" s="2250" t="s">
        <v>1140</v>
      </c>
      <c r="C9" s="2252"/>
    </row>
    <row r="10" spans="1:6" s="1636" customFormat="1" ht="16.5" customHeight="1">
      <c r="A10" s="2216">
        <v>7</v>
      </c>
      <c r="B10" s="2250" t="s">
        <v>1141</v>
      </c>
      <c r="C10" s="2252"/>
    </row>
    <row r="11" spans="1:6" s="1636" customFormat="1" ht="16.5" customHeight="1">
      <c r="A11" s="2216">
        <v>8</v>
      </c>
      <c r="B11" s="2250" t="s">
        <v>1142</v>
      </c>
      <c r="C11" s="2252"/>
    </row>
    <row r="12" spans="1:6" s="1636" customFormat="1" ht="16.5" customHeight="1">
      <c r="A12" s="2216">
        <v>9</v>
      </c>
      <c r="B12" s="2250" t="s">
        <v>1143</v>
      </c>
      <c r="C12" s="2252"/>
    </row>
    <row r="13" spans="1:6" s="1636" customFormat="1" ht="16.5" customHeight="1">
      <c r="A13" s="2216">
        <v>10</v>
      </c>
      <c r="B13" s="2250" t="s">
        <v>1144</v>
      </c>
      <c r="C13" s="2252"/>
    </row>
    <row r="14" spans="1:6" s="1636" customFormat="1" ht="16.5" customHeight="1">
      <c r="A14" s="2216">
        <v>11</v>
      </c>
      <c r="B14" s="2250" t="s">
        <v>1145</v>
      </c>
      <c r="C14" s="2251">
        <f>C7-C8</f>
        <v>0</v>
      </c>
    </row>
    <row r="15" spans="1:6" s="1636" customFormat="1" ht="16.5" customHeight="1">
      <c r="A15" s="2216">
        <v>12</v>
      </c>
      <c r="B15" s="2250" t="s">
        <v>6441</v>
      </c>
      <c r="C15" s="2254">
        <v>0.25</v>
      </c>
    </row>
    <row r="16" spans="1:6" s="1636" customFormat="1" ht="16.5" customHeight="1">
      <c r="A16" s="2216">
        <v>13</v>
      </c>
      <c r="B16" s="2250" t="s">
        <v>1146</v>
      </c>
      <c r="C16" s="2251">
        <f>ROUND(C14*C15,2)</f>
        <v>0</v>
      </c>
      <c r="D16" s="1636">
        <f>C16+C22</f>
        <v>0</v>
      </c>
      <c r="E16" s="1636">
        <f>'A100000 中华人民共和国企业所得税年度纳税申报表（A类）'!$D$37</f>
        <v>0</v>
      </c>
    </row>
    <row r="17" spans="1:4" s="1636" customFormat="1" ht="16.5" customHeight="1">
      <c r="A17" s="2216">
        <v>14</v>
      </c>
      <c r="B17" s="2250" t="s">
        <v>6442</v>
      </c>
      <c r="C17" s="2254">
        <v>0.25</v>
      </c>
    </row>
    <row r="18" spans="1:4" s="1636" customFormat="1" ht="16.5" customHeight="1">
      <c r="A18" s="2216">
        <v>15</v>
      </c>
      <c r="B18" s="2250" t="s">
        <v>1147</v>
      </c>
      <c r="C18" s="2251">
        <f>ROUND(C14*C17,2)</f>
        <v>0</v>
      </c>
      <c r="D18" s="1636">
        <f>'A100000 中华人民共和国企业所得税年度纳税申报表（A类）'!$D$38</f>
        <v>0</v>
      </c>
    </row>
    <row r="19" spans="1:4" s="1636" customFormat="1" ht="16.5" customHeight="1">
      <c r="A19" s="2216">
        <v>16</v>
      </c>
      <c r="B19" s="2250" t="s">
        <v>6443</v>
      </c>
      <c r="C19" s="2253">
        <f>1-C15-C17</f>
        <v>0.5</v>
      </c>
    </row>
    <row r="20" spans="1:4" s="1636" customFormat="1" ht="16.5" customHeight="1">
      <c r="A20" s="2216">
        <v>17</v>
      </c>
      <c r="B20" s="2250" t="s">
        <v>1148</v>
      </c>
      <c r="C20" s="2251">
        <f>ROUND(C14*C19,2)</f>
        <v>0</v>
      </c>
    </row>
    <row r="21" spans="1:4" s="1636" customFormat="1" ht="16.5" customHeight="1">
      <c r="A21" s="2216">
        <v>18</v>
      </c>
      <c r="B21" s="2250" t="s">
        <v>1149</v>
      </c>
      <c r="C21" s="2252"/>
    </row>
    <row r="22" spans="1:4" s="1636" customFormat="1" ht="16.5" customHeight="1">
      <c r="A22" s="2216">
        <v>19</v>
      </c>
      <c r="B22" s="2250" t="s">
        <v>1150</v>
      </c>
      <c r="C22" s="2251">
        <f>ROUND(C5-C6,2)</f>
        <v>0</v>
      </c>
    </row>
    <row r="23" spans="1:4" s="1636" customFormat="1" ht="16.5" customHeight="1">
      <c r="A23" s="2216">
        <v>20</v>
      </c>
      <c r="B23" s="2250" t="s">
        <v>1151</v>
      </c>
      <c r="C23" s="2251">
        <f>ROUND(C16+C18+C21+C22,2)</f>
        <v>0</v>
      </c>
      <c r="D23" s="1617" t="s">
        <v>5587</v>
      </c>
    </row>
  </sheetData>
  <mergeCells count="1">
    <mergeCell ref="A1:B2"/>
  </mergeCells>
  <phoneticPr fontId="135" type="noConversion"/>
  <hyperlinks>
    <hyperlink ref="D23" location="A109000跨地区经营汇总纳税企业年度分摊企业所得税明细表!A1" display="A109000跨地区经营汇总纳税企业年度分摊企业所得税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drawing r:id="rId2"/>
  <legacyDrawing r:id="rId3"/>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0">
    <tabColor rgb="FFFFFF00"/>
    <pageSetUpPr fitToPage="1"/>
  </sheetPr>
  <dimension ref="A1:H556"/>
  <sheetViews>
    <sheetView topLeftCell="C1" workbookViewId="0">
      <selection activeCell="A3" sqref="A3:H3"/>
    </sheetView>
  </sheetViews>
  <sheetFormatPr defaultColWidth="8" defaultRowHeight="0" customHeight="1" zeroHeight="1"/>
  <cols>
    <col min="1" max="1" width="5.25" style="1563" customWidth="1"/>
    <col min="2" max="2" width="29.25" style="1619" customWidth="1"/>
    <col min="3" max="3" width="17.625" style="1619" customWidth="1"/>
    <col min="4" max="8" width="15.625" style="1619" customWidth="1"/>
    <col min="9" max="254" width="8" style="1619"/>
    <col min="255" max="255" width="5.25" style="1619" customWidth="1"/>
    <col min="256" max="256" width="20.375" style="1619" customWidth="1"/>
    <col min="257" max="257" width="17.625" style="1619" customWidth="1"/>
    <col min="258" max="258" width="12.125" style="1619" customWidth="1"/>
    <col min="259" max="259" width="11.875" style="1619" customWidth="1"/>
    <col min="260" max="260" width="12.25" style="1619" customWidth="1"/>
    <col min="261" max="261" width="8.75" style="1619" customWidth="1"/>
    <col min="262" max="262" width="17.5" style="1619" customWidth="1"/>
    <col min="263" max="263" width="14.125" style="1619" customWidth="1"/>
    <col min="264" max="510" width="8" style="1619"/>
    <col min="511" max="511" width="5.25" style="1619" customWidth="1"/>
    <col min="512" max="512" width="20.375" style="1619" customWidth="1"/>
    <col min="513" max="513" width="17.625" style="1619" customWidth="1"/>
    <col min="514" max="514" width="12.125" style="1619" customWidth="1"/>
    <col min="515" max="515" width="11.875" style="1619" customWidth="1"/>
    <col min="516" max="516" width="12.25" style="1619" customWidth="1"/>
    <col min="517" max="517" width="8.75" style="1619" customWidth="1"/>
    <col min="518" max="518" width="17.5" style="1619" customWidth="1"/>
    <col min="519" max="519" width="14.125" style="1619" customWidth="1"/>
    <col min="520" max="766" width="8" style="1619"/>
    <col min="767" max="767" width="5.25" style="1619" customWidth="1"/>
    <col min="768" max="768" width="20.375" style="1619" customWidth="1"/>
    <col min="769" max="769" width="17.625" style="1619" customWidth="1"/>
    <col min="770" max="770" width="12.125" style="1619" customWidth="1"/>
    <col min="771" max="771" width="11.875" style="1619" customWidth="1"/>
    <col min="772" max="772" width="12.25" style="1619" customWidth="1"/>
    <col min="773" max="773" width="8.75" style="1619" customWidth="1"/>
    <col min="774" max="774" width="17.5" style="1619" customWidth="1"/>
    <col min="775" max="775" width="14.125" style="1619" customWidth="1"/>
    <col min="776" max="1022" width="8" style="1619"/>
    <col min="1023" max="1023" width="5.25" style="1619" customWidth="1"/>
    <col min="1024" max="1024" width="20.375" style="1619" customWidth="1"/>
    <col min="1025" max="1025" width="17.625" style="1619" customWidth="1"/>
    <col min="1026" max="1026" width="12.125" style="1619" customWidth="1"/>
    <col min="1027" max="1027" width="11.875" style="1619" customWidth="1"/>
    <col min="1028" max="1028" width="12.25" style="1619" customWidth="1"/>
    <col min="1029" max="1029" width="8.75" style="1619" customWidth="1"/>
    <col min="1030" max="1030" width="17.5" style="1619" customWidth="1"/>
    <col min="1031" max="1031" width="14.125" style="1619" customWidth="1"/>
    <col min="1032" max="1278" width="8" style="1619"/>
    <col min="1279" max="1279" width="5.25" style="1619" customWidth="1"/>
    <col min="1280" max="1280" width="20.375" style="1619" customWidth="1"/>
    <col min="1281" max="1281" width="17.625" style="1619" customWidth="1"/>
    <col min="1282" max="1282" width="12.125" style="1619" customWidth="1"/>
    <col min="1283" max="1283" width="11.875" style="1619" customWidth="1"/>
    <col min="1284" max="1284" width="12.25" style="1619" customWidth="1"/>
    <col min="1285" max="1285" width="8.75" style="1619" customWidth="1"/>
    <col min="1286" max="1286" width="17.5" style="1619" customWidth="1"/>
    <col min="1287" max="1287" width="14.125" style="1619" customWidth="1"/>
    <col min="1288" max="1534" width="8" style="1619"/>
    <col min="1535" max="1535" width="5.25" style="1619" customWidth="1"/>
    <col min="1536" max="1536" width="20.375" style="1619" customWidth="1"/>
    <col min="1537" max="1537" width="17.625" style="1619" customWidth="1"/>
    <col min="1538" max="1538" width="12.125" style="1619" customWidth="1"/>
    <col min="1539" max="1539" width="11.875" style="1619" customWidth="1"/>
    <col min="1540" max="1540" width="12.25" style="1619" customWidth="1"/>
    <col min="1541" max="1541" width="8.75" style="1619" customWidth="1"/>
    <col min="1542" max="1542" width="17.5" style="1619" customWidth="1"/>
    <col min="1543" max="1543" width="14.125" style="1619" customWidth="1"/>
    <col min="1544" max="1790" width="8" style="1619"/>
    <col min="1791" max="1791" width="5.25" style="1619" customWidth="1"/>
    <col min="1792" max="1792" width="20.375" style="1619" customWidth="1"/>
    <col min="1793" max="1793" width="17.625" style="1619" customWidth="1"/>
    <col min="1794" max="1794" width="12.125" style="1619" customWidth="1"/>
    <col min="1795" max="1795" width="11.875" style="1619" customWidth="1"/>
    <col min="1796" max="1796" width="12.25" style="1619" customWidth="1"/>
    <col min="1797" max="1797" width="8.75" style="1619" customWidth="1"/>
    <col min="1798" max="1798" width="17.5" style="1619" customWidth="1"/>
    <col min="1799" max="1799" width="14.125" style="1619" customWidth="1"/>
    <col min="1800" max="2046" width="8" style="1619"/>
    <col min="2047" max="2047" width="5.25" style="1619" customWidth="1"/>
    <col min="2048" max="2048" width="20.375" style="1619" customWidth="1"/>
    <col min="2049" max="2049" width="17.625" style="1619" customWidth="1"/>
    <col min="2050" max="2050" width="12.125" style="1619" customWidth="1"/>
    <col min="2051" max="2051" width="11.875" style="1619" customWidth="1"/>
    <col min="2052" max="2052" width="12.25" style="1619" customWidth="1"/>
    <col min="2053" max="2053" width="8.75" style="1619" customWidth="1"/>
    <col min="2054" max="2054" width="17.5" style="1619" customWidth="1"/>
    <col min="2055" max="2055" width="14.125" style="1619" customWidth="1"/>
    <col min="2056" max="2302" width="8" style="1619"/>
    <col min="2303" max="2303" width="5.25" style="1619" customWidth="1"/>
    <col min="2304" max="2304" width="20.375" style="1619" customWidth="1"/>
    <col min="2305" max="2305" width="17.625" style="1619" customWidth="1"/>
    <col min="2306" max="2306" width="12.125" style="1619" customWidth="1"/>
    <col min="2307" max="2307" width="11.875" style="1619" customWidth="1"/>
    <col min="2308" max="2308" width="12.25" style="1619" customWidth="1"/>
    <col min="2309" max="2309" width="8.75" style="1619" customWidth="1"/>
    <col min="2310" max="2310" width="17.5" style="1619" customWidth="1"/>
    <col min="2311" max="2311" width="14.125" style="1619" customWidth="1"/>
    <col min="2312" max="2558" width="8" style="1619"/>
    <col min="2559" max="2559" width="5.25" style="1619" customWidth="1"/>
    <col min="2560" max="2560" width="20.375" style="1619" customWidth="1"/>
    <col min="2561" max="2561" width="17.625" style="1619" customWidth="1"/>
    <col min="2562" max="2562" width="12.125" style="1619" customWidth="1"/>
    <col min="2563" max="2563" width="11.875" style="1619" customWidth="1"/>
    <col min="2564" max="2564" width="12.25" style="1619" customWidth="1"/>
    <col min="2565" max="2565" width="8.75" style="1619" customWidth="1"/>
    <col min="2566" max="2566" width="17.5" style="1619" customWidth="1"/>
    <col min="2567" max="2567" width="14.125" style="1619" customWidth="1"/>
    <col min="2568" max="2814" width="8" style="1619"/>
    <col min="2815" max="2815" width="5.25" style="1619" customWidth="1"/>
    <col min="2816" max="2816" width="20.375" style="1619" customWidth="1"/>
    <col min="2817" max="2817" width="17.625" style="1619" customWidth="1"/>
    <col min="2818" max="2818" width="12.125" style="1619" customWidth="1"/>
    <col min="2819" max="2819" width="11.875" style="1619" customWidth="1"/>
    <col min="2820" max="2820" width="12.25" style="1619" customWidth="1"/>
    <col min="2821" max="2821" width="8.75" style="1619" customWidth="1"/>
    <col min="2822" max="2822" width="17.5" style="1619" customWidth="1"/>
    <col min="2823" max="2823" width="14.125" style="1619" customWidth="1"/>
    <col min="2824" max="3070" width="8" style="1619"/>
    <col min="3071" max="3071" width="5.25" style="1619" customWidth="1"/>
    <col min="3072" max="3072" width="20.375" style="1619" customWidth="1"/>
    <col min="3073" max="3073" width="17.625" style="1619" customWidth="1"/>
    <col min="3074" max="3074" width="12.125" style="1619" customWidth="1"/>
    <col min="3075" max="3075" width="11.875" style="1619" customWidth="1"/>
    <col min="3076" max="3076" width="12.25" style="1619" customWidth="1"/>
    <col min="3077" max="3077" width="8.75" style="1619" customWidth="1"/>
    <col min="3078" max="3078" width="17.5" style="1619" customWidth="1"/>
    <col min="3079" max="3079" width="14.125" style="1619" customWidth="1"/>
    <col min="3080" max="3326" width="8" style="1619"/>
    <col min="3327" max="3327" width="5.25" style="1619" customWidth="1"/>
    <col min="3328" max="3328" width="20.375" style="1619" customWidth="1"/>
    <col min="3329" max="3329" width="17.625" style="1619" customWidth="1"/>
    <col min="3330" max="3330" width="12.125" style="1619" customWidth="1"/>
    <col min="3331" max="3331" width="11.875" style="1619" customWidth="1"/>
    <col min="3332" max="3332" width="12.25" style="1619" customWidth="1"/>
    <col min="3333" max="3333" width="8.75" style="1619" customWidth="1"/>
    <col min="3334" max="3334" width="17.5" style="1619" customWidth="1"/>
    <col min="3335" max="3335" width="14.125" style="1619" customWidth="1"/>
    <col min="3336" max="3582" width="8" style="1619"/>
    <col min="3583" max="3583" width="5.25" style="1619" customWidth="1"/>
    <col min="3584" max="3584" width="20.375" style="1619" customWidth="1"/>
    <col min="3585" max="3585" width="17.625" style="1619" customWidth="1"/>
    <col min="3586" max="3586" width="12.125" style="1619" customWidth="1"/>
    <col min="3587" max="3587" width="11.875" style="1619" customWidth="1"/>
    <col min="3588" max="3588" width="12.25" style="1619" customWidth="1"/>
    <col min="3589" max="3589" width="8.75" style="1619" customWidth="1"/>
    <col min="3590" max="3590" width="17.5" style="1619" customWidth="1"/>
    <col min="3591" max="3591" width="14.125" style="1619" customWidth="1"/>
    <col min="3592" max="3838" width="8" style="1619"/>
    <col min="3839" max="3839" width="5.25" style="1619" customWidth="1"/>
    <col min="3840" max="3840" width="20.375" style="1619" customWidth="1"/>
    <col min="3841" max="3841" width="17.625" style="1619" customWidth="1"/>
    <col min="3842" max="3842" width="12.125" style="1619" customWidth="1"/>
    <col min="3843" max="3843" width="11.875" style="1619" customWidth="1"/>
    <col min="3844" max="3844" width="12.25" style="1619" customWidth="1"/>
    <col min="3845" max="3845" width="8.75" style="1619" customWidth="1"/>
    <col min="3846" max="3846" width="17.5" style="1619" customWidth="1"/>
    <col min="3847" max="3847" width="14.125" style="1619" customWidth="1"/>
    <col min="3848" max="4094" width="8" style="1619"/>
    <col min="4095" max="4095" width="5.25" style="1619" customWidth="1"/>
    <col min="4096" max="4096" width="20.375" style="1619" customWidth="1"/>
    <col min="4097" max="4097" width="17.625" style="1619" customWidth="1"/>
    <col min="4098" max="4098" width="12.125" style="1619" customWidth="1"/>
    <col min="4099" max="4099" width="11.875" style="1619" customWidth="1"/>
    <col min="4100" max="4100" width="12.25" style="1619" customWidth="1"/>
    <col min="4101" max="4101" width="8.75" style="1619" customWidth="1"/>
    <col min="4102" max="4102" width="17.5" style="1619" customWidth="1"/>
    <col min="4103" max="4103" width="14.125" style="1619" customWidth="1"/>
    <col min="4104" max="4350" width="8" style="1619"/>
    <col min="4351" max="4351" width="5.25" style="1619" customWidth="1"/>
    <col min="4352" max="4352" width="20.375" style="1619" customWidth="1"/>
    <col min="4353" max="4353" width="17.625" style="1619" customWidth="1"/>
    <col min="4354" max="4354" width="12.125" style="1619" customWidth="1"/>
    <col min="4355" max="4355" width="11.875" style="1619" customWidth="1"/>
    <col min="4356" max="4356" width="12.25" style="1619" customWidth="1"/>
    <col min="4357" max="4357" width="8.75" style="1619" customWidth="1"/>
    <col min="4358" max="4358" width="17.5" style="1619" customWidth="1"/>
    <col min="4359" max="4359" width="14.125" style="1619" customWidth="1"/>
    <col min="4360" max="4606" width="8" style="1619"/>
    <col min="4607" max="4607" width="5.25" style="1619" customWidth="1"/>
    <col min="4608" max="4608" width="20.375" style="1619" customWidth="1"/>
    <col min="4609" max="4609" width="17.625" style="1619" customWidth="1"/>
    <col min="4610" max="4610" width="12.125" style="1619" customWidth="1"/>
    <col min="4611" max="4611" width="11.875" style="1619" customWidth="1"/>
    <col min="4612" max="4612" width="12.25" style="1619" customWidth="1"/>
    <col min="4613" max="4613" width="8.75" style="1619" customWidth="1"/>
    <col min="4614" max="4614" width="17.5" style="1619" customWidth="1"/>
    <col min="4615" max="4615" width="14.125" style="1619" customWidth="1"/>
    <col min="4616" max="4862" width="8" style="1619"/>
    <col min="4863" max="4863" width="5.25" style="1619" customWidth="1"/>
    <col min="4864" max="4864" width="20.375" style="1619" customWidth="1"/>
    <col min="4865" max="4865" width="17.625" style="1619" customWidth="1"/>
    <col min="4866" max="4866" width="12.125" style="1619" customWidth="1"/>
    <col min="4867" max="4867" width="11.875" style="1619" customWidth="1"/>
    <col min="4868" max="4868" width="12.25" style="1619" customWidth="1"/>
    <col min="4869" max="4869" width="8.75" style="1619" customWidth="1"/>
    <col min="4870" max="4870" width="17.5" style="1619" customWidth="1"/>
    <col min="4871" max="4871" width="14.125" style="1619" customWidth="1"/>
    <col min="4872" max="5118" width="8" style="1619"/>
    <col min="5119" max="5119" width="5.25" style="1619" customWidth="1"/>
    <col min="5120" max="5120" width="20.375" style="1619" customWidth="1"/>
    <col min="5121" max="5121" width="17.625" style="1619" customWidth="1"/>
    <col min="5122" max="5122" width="12.125" style="1619" customWidth="1"/>
    <col min="5123" max="5123" width="11.875" style="1619" customWidth="1"/>
    <col min="5124" max="5124" width="12.25" style="1619" customWidth="1"/>
    <col min="5125" max="5125" width="8.75" style="1619" customWidth="1"/>
    <col min="5126" max="5126" width="17.5" style="1619" customWidth="1"/>
    <col min="5127" max="5127" width="14.125" style="1619" customWidth="1"/>
    <col min="5128" max="5374" width="8" style="1619"/>
    <col min="5375" max="5375" width="5.25" style="1619" customWidth="1"/>
    <col min="5376" max="5376" width="20.375" style="1619" customWidth="1"/>
    <col min="5377" max="5377" width="17.625" style="1619" customWidth="1"/>
    <col min="5378" max="5378" width="12.125" style="1619" customWidth="1"/>
    <col min="5379" max="5379" width="11.875" style="1619" customWidth="1"/>
    <col min="5380" max="5380" width="12.25" style="1619" customWidth="1"/>
    <col min="5381" max="5381" width="8.75" style="1619" customWidth="1"/>
    <col min="5382" max="5382" width="17.5" style="1619" customWidth="1"/>
    <col min="5383" max="5383" width="14.125" style="1619" customWidth="1"/>
    <col min="5384" max="5630" width="8" style="1619"/>
    <col min="5631" max="5631" width="5.25" style="1619" customWidth="1"/>
    <col min="5632" max="5632" width="20.375" style="1619" customWidth="1"/>
    <col min="5633" max="5633" width="17.625" style="1619" customWidth="1"/>
    <col min="5634" max="5634" width="12.125" style="1619" customWidth="1"/>
    <col min="5635" max="5635" width="11.875" style="1619" customWidth="1"/>
    <col min="5636" max="5636" width="12.25" style="1619" customWidth="1"/>
    <col min="5637" max="5637" width="8.75" style="1619" customWidth="1"/>
    <col min="5638" max="5638" width="17.5" style="1619" customWidth="1"/>
    <col min="5639" max="5639" width="14.125" style="1619" customWidth="1"/>
    <col min="5640" max="5886" width="8" style="1619"/>
    <col min="5887" max="5887" width="5.25" style="1619" customWidth="1"/>
    <col min="5888" max="5888" width="20.375" style="1619" customWidth="1"/>
    <col min="5889" max="5889" width="17.625" style="1619" customWidth="1"/>
    <col min="5890" max="5890" width="12.125" style="1619" customWidth="1"/>
    <col min="5891" max="5891" width="11.875" style="1619" customWidth="1"/>
    <col min="5892" max="5892" width="12.25" style="1619" customWidth="1"/>
    <col min="5893" max="5893" width="8.75" style="1619" customWidth="1"/>
    <col min="5894" max="5894" width="17.5" style="1619" customWidth="1"/>
    <col min="5895" max="5895" width="14.125" style="1619" customWidth="1"/>
    <col min="5896" max="6142" width="8" style="1619"/>
    <col min="6143" max="6143" width="5.25" style="1619" customWidth="1"/>
    <col min="6144" max="6144" width="20.375" style="1619" customWidth="1"/>
    <col min="6145" max="6145" width="17.625" style="1619" customWidth="1"/>
    <col min="6146" max="6146" width="12.125" style="1619" customWidth="1"/>
    <col min="6147" max="6147" width="11.875" style="1619" customWidth="1"/>
    <col min="6148" max="6148" width="12.25" style="1619" customWidth="1"/>
    <col min="6149" max="6149" width="8.75" style="1619" customWidth="1"/>
    <col min="6150" max="6150" width="17.5" style="1619" customWidth="1"/>
    <col min="6151" max="6151" width="14.125" style="1619" customWidth="1"/>
    <col min="6152" max="6398" width="8" style="1619"/>
    <col min="6399" max="6399" width="5.25" style="1619" customWidth="1"/>
    <col min="6400" max="6400" width="20.375" style="1619" customWidth="1"/>
    <col min="6401" max="6401" width="17.625" style="1619" customWidth="1"/>
    <col min="6402" max="6402" width="12.125" style="1619" customWidth="1"/>
    <col min="6403" max="6403" width="11.875" style="1619" customWidth="1"/>
    <col min="6404" max="6404" width="12.25" style="1619" customWidth="1"/>
    <col min="6405" max="6405" width="8.75" style="1619" customWidth="1"/>
    <col min="6406" max="6406" width="17.5" style="1619" customWidth="1"/>
    <col min="6407" max="6407" width="14.125" style="1619" customWidth="1"/>
    <col min="6408" max="6654" width="8" style="1619"/>
    <col min="6655" max="6655" width="5.25" style="1619" customWidth="1"/>
    <col min="6656" max="6656" width="20.375" style="1619" customWidth="1"/>
    <col min="6657" max="6657" width="17.625" style="1619" customWidth="1"/>
    <col min="6658" max="6658" width="12.125" style="1619" customWidth="1"/>
    <col min="6659" max="6659" width="11.875" style="1619" customWidth="1"/>
    <col min="6660" max="6660" width="12.25" style="1619" customWidth="1"/>
    <col min="6661" max="6661" width="8.75" style="1619" customWidth="1"/>
    <col min="6662" max="6662" width="17.5" style="1619" customWidth="1"/>
    <col min="6663" max="6663" width="14.125" style="1619" customWidth="1"/>
    <col min="6664" max="6910" width="8" style="1619"/>
    <col min="6911" max="6911" width="5.25" style="1619" customWidth="1"/>
    <col min="6912" max="6912" width="20.375" style="1619" customWidth="1"/>
    <col min="6913" max="6913" width="17.625" style="1619" customWidth="1"/>
    <col min="6914" max="6914" width="12.125" style="1619" customWidth="1"/>
    <col min="6915" max="6915" width="11.875" style="1619" customWidth="1"/>
    <col min="6916" max="6916" width="12.25" style="1619" customWidth="1"/>
    <col min="6917" max="6917" width="8.75" style="1619" customWidth="1"/>
    <col min="6918" max="6918" width="17.5" style="1619" customWidth="1"/>
    <col min="6919" max="6919" width="14.125" style="1619" customWidth="1"/>
    <col min="6920" max="7166" width="8" style="1619"/>
    <col min="7167" max="7167" width="5.25" style="1619" customWidth="1"/>
    <col min="7168" max="7168" width="20.375" style="1619" customWidth="1"/>
    <col min="7169" max="7169" width="17.625" style="1619" customWidth="1"/>
    <col min="7170" max="7170" width="12.125" style="1619" customWidth="1"/>
    <col min="7171" max="7171" width="11.875" style="1619" customWidth="1"/>
    <col min="7172" max="7172" width="12.25" style="1619" customWidth="1"/>
    <col min="7173" max="7173" width="8.75" style="1619" customWidth="1"/>
    <col min="7174" max="7174" width="17.5" style="1619" customWidth="1"/>
    <col min="7175" max="7175" width="14.125" style="1619" customWidth="1"/>
    <col min="7176" max="7422" width="8" style="1619"/>
    <col min="7423" max="7423" width="5.25" style="1619" customWidth="1"/>
    <col min="7424" max="7424" width="20.375" style="1619" customWidth="1"/>
    <col min="7425" max="7425" width="17.625" style="1619" customWidth="1"/>
    <col min="7426" max="7426" width="12.125" style="1619" customWidth="1"/>
    <col min="7427" max="7427" width="11.875" style="1619" customWidth="1"/>
    <col min="7428" max="7428" width="12.25" style="1619" customWidth="1"/>
    <col min="7429" max="7429" width="8.75" style="1619" customWidth="1"/>
    <col min="7430" max="7430" width="17.5" style="1619" customWidth="1"/>
    <col min="7431" max="7431" width="14.125" style="1619" customWidth="1"/>
    <col min="7432" max="7678" width="8" style="1619"/>
    <col min="7679" max="7679" width="5.25" style="1619" customWidth="1"/>
    <col min="7680" max="7680" width="20.375" style="1619" customWidth="1"/>
    <col min="7681" max="7681" width="17.625" style="1619" customWidth="1"/>
    <col min="7682" max="7682" width="12.125" style="1619" customWidth="1"/>
    <col min="7683" max="7683" width="11.875" style="1619" customWidth="1"/>
    <col min="7684" max="7684" width="12.25" style="1619" customWidth="1"/>
    <col min="7685" max="7685" width="8.75" style="1619" customWidth="1"/>
    <col min="7686" max="7686" width="17.5" style="1619" customWidth="1"/>
    <col min="7687" max="7687" width="14.125" style="1619" customWidth="1"/>
    <col min="7688" max="7934" width="8" style="1619"/>
    <col min="7935" max="7935" width="5.25" style="1619" customWidth="1"/>
    <col min="7936" max="7936" width="20.375" style="1619" customWidth="1"/>
    <col min="7937" max="7937" width="17.625" style="1619" customWidth="1"/>
    <col min="7938" max="7938" width="12.125" style="1619" customWidth="1"/>
    <col min="7939" max="7939" width="11.875" style="1619" customWidth="1"/>
    <col min="7940" max="7940" width="12.25" style="1619" customWidth="1"/>
    <col min="7941" max="7941" width="8.75" style="1619" customWidth="1"/>
    <col min="7942" max="7942" width="17.5" style="1619" customWidth="1"/>
    <col min="7943" max="7943" width="14.125" style="1619" customWidth="1"/>
    <col min="7944" max="8190" width="8" style="1619"/>
    <col min="8191" max="8191" width="5.25" style="1619" customWidth="1"/>
    <col min="8192" max="8192" width="20.375" style="1619" customWidth="1"/>
    <col min="8193" max="8193" width="17.625" style="1619" customWidth="1"/>
    <col min="8194" max="8194" width="12.125" style="1619" customWidth="1"/>
    <col min="8195" max="8195" width="11.875" style="1619" customWidth="1"/>
    <col min="8196" max="8196" width="12.25" style="1619" customWidth="1"/>
    <col min="8197" max="8197" width="8.75" style="1619" customWidth="1"/>
    <col min="8198" max="8198" width="17.5" style="1619" customWidth="1"/>
    <col min="8199" max="8199" width="14.125" style="1619" customWidth="1"/>
    <col min="8200" max="8446" width="8" style="1619"/>
    <col min="8447" max="8447" width="5.25" style="1619" customWidth="1"/>
    <col min="8448" max="8448" width="20.375" style="1619" customWidth="1"/>
    <col min="8449" max="8449" width="17.625" style="1619" customWidth="1"/>
    <col min="8450" max="8450" width="12.125" style="1619" customWidth="1"/>
    <col min="8451" max="8451" width="11.875" style="1619" customWidth="1"/>
    <col min="8452" max="8452" width="12.25" style="1619" customWidth="1"/>
    <col min="8453" max="8453" width="8.75" style="1619" customWidth="1"/>
    <col min="8454" max="8454" width="17.5" style="1619" customWidth="1"/>
    <col min="8455" max="8455" width="14.125" style="1619" customWidth="1"/>
    <col min="8456" max="8702" width="8" style="1619"/>
    <col min="8703" max="8703" width="5.25" style="1619" customWidth="1"/>
    <col min="8704" max="8704" width="20.375" style="1619" customWidth="1"/>
    <col min="8705" max="8705" width="17.625" style="1619" customWidth="1"/>
    <col min="8706" max="8706" width="12.125" style="1619" customWidth="1"/>
    <col min="8707" max="8707" width="11.875" style="1619" customWidth="1"/>
    <col min="8708" max="8708" width="12.25" style="1619" customWidth="1"/>
    <col min="8709" max="8709" width="8.75" style="1619" customWidth="1"/>
    <col min="8710" max="8710" width="17.5" style="1619" customWidth="1"/>
    <col min="8711" max="8711" width="14.125" style="1619" customWidth="1"/>
    <col min="8712" max="8958" width="8" style="1619"/>
    <col min="8959" max="8959" width="5.25" style="1619" customWidth="1"/>
    <col min="8960" max="8960" width="20.375" style="1619" customWidth="1"/>
    <col min="8961" max="8961" width="17.625" style="1619" customWidth="1"/>
    <col min="8962" max="8962" width="12.125" style="1619" customWidth="1"/>
    <col min="8963" max="8963" width="11.875" style="1619" customWidth="1"/>
    <col min="8964" max="8964" width="12.25" style="1619" customWidth="1"/>
    <col min="8965" max="8965" width="8.75" style="1619" customWidth="1"/>
    <col min="8966" max="8966" width="17.5" style="1619" customWidth="1"/>
    <col min="8967" max="8967" width="14.125" style="1619" customWidth="1"/>
    <col min="8968" max="9214" width="8" style="1619"/>
    <col min="9215" max="9215" width="5.25" style="1619" customWidth="1"/>
    <col min="9216" max="9216" width="20.375" style="1619" customWidth="1"/>
    <col min="9217" max="9217" width="17.625" style="1619" customWidth="1"/>
    <col min="9218" max="9218" width="12.125" style="1619" customWidth="1"/>
    <col min="9219" max="9219" width="11.875" style="1619" customWidth="1"/>
    <col min="9220" max="9220" width="12.25" style="1619" customWidth="1"/>
    <col min="9221" max="9221" width="8.75" style="1619" customWidth="1"/>
    <col min="9222" max="9222" width="17.5" style="1619" customWidth="1"/>
    <col min="9223" max="9223" width="14.125" style="1619" customWidth="1"/>
    <col min="9224" max="9470" width="8" style="1619"/>
    <col min="9471" max="9471" width="5.25" style="1619" customWidth="1"/>
    <col min="9472" max="9472" width="20.375" style="1619" customWidth="1"/>
    <col min="9473" max="9473" width="17.625" style="1619" customWidth="1"/>
    <col min="9474" max="9474" width="12.125" style="1619" customWidth="1"/>
    <col min="9475" max="9475" width="11.875" style="1619" customWidth="1"/>
    <col min="9476" max="9476" width="12.25" style="1619" customWidth="1"/>
    <col min="9477" max="9477" width="8.75" style="1619" customWidth="1"/>
    <col min="9478" max="9478" width="17.5" style="1619" customWidth="1"/>
    <col min="9479" max="9479" width="14.125" style="1619" customWidth="1"/>
    <col min="9480" max="9726" width="8" style="1619"/>
    <col min="9727" max="9727" width="5.25" style="1619" customWidth="1"/>
    <col min="9728" max="9728" width="20.375" style="1619" customWidth="1"/>
    <col min="9729" max="9729" width="17.625" style="1619" customWidth="1"/>
    <col min="9730" max="9730" width="12.125" style="1619" customWidth="1"/>
    <col min="9731" max="9731" width="11.875" style="1619" customWidth="1"/>
    <col min="9732" max="9732" width="12.25" style="1619" customWidth="1"/>
    <col min="9733" max="9733" width="8.75" style="1619" customWidth="1"/>
    <col min="9734" max="9734" width="17.5" style="1619" customWidth="1"/>
    <col min="9735" max="9735" width="14.125" style="1619" customWidth="1"/>
    <col min="9736" max="9982" width="8" style="1619"/>
    <col min="9983" max="9983" width="5.25" style="1619" customWidth="1"/>
    <col min="9984" max="9984" width="20.375" style="1619" customWidth="1"/>
    <col min="9985" max="9985" width="17.625" style="1619" customWidth="1"/>
    <col min="9986" max="9986" width="12.125" style="1619" customWidth="1"/>
    <col min="9987" max="9987" width="11.875" style="1619" customWidth="1"/>
    <col min="9988" max="9988" width="12.25" style="1619" customWidth="1"/>
    <col min="9989" max="9989" width="8.75" style="1619" customWidth="1"/>
    <col min="9990" max="9990" width="17.5" style="1619" customWidth="1"/>
    <col min="9991" max="9991" width="14.125" style="1619" customWidth="1"/>
    <col min="9992" max="10238" width="8" style="1619"/>
    <col min="10239" max="10239" width="5.25" style="1619" customWidth="1"/>
    <col min="10240" max="10240" width="20.375" style="1619" customWidth="1"/>
    <col min="10241" max="10241" width="17.625" style="1619" customWidth="1"/>
    <col min="10242" max="10242" width="12.125" style="1619" customWidth="1"/>
    <col min="10243" max="10243" width="11.875" style="1619" customWidth="1"/>
    <col min="10244" max="10244" width="12.25" style="1619" customWidth="1"/>
    <col min="10245" max="10245" width="8.75" style="1619" customWidth="1"/>
    <col min="10246" max="10246" width="17.5" style="1619" customWidth="1"/>
    <col min="10247" max="10247" width="14.125" style="1619" customWidth="1"/>
    <col min="10248" max="10494" width="8" style="1619"/>
    <col min="10495" max="10495" width="5.25" style="1619" customWidth="1"/>
    <col min="10496" max="10496" width="20.375" style="1619" customWidth="1"/>
    <col min="10497" max="10497" width="17.625" style="1619" customWidth="1"/>
    <col min="10498" max="10498" width="12.125" style="1619" customWidth="1"/>
    <col min="10499" max="10499" width="11.875" style="1619" customWidth="1"/>
    <col min="10500" max="10500" width="12.25" style="1619" customWidth="1"/>
    <col min="10501" max="10501" width="8.75" style="1619" customWidth="1"/>
    <col min="10502" max="10502" width="17.5" style="1619" customWidth="1"/>
    <col min="10503" max="10503" width="14.125" style="1619" customWidth="1"/>
    <col min="10504" max="10750" width="8" style="1619"/>
    <col min="10751" max="10751" width="5.25" style="1619" customWidth="1"/>
    <col min="10752" max="10752" width="20.375" style="1619" customWidth="1"/>
    <col min="10753" max="10753" width="17.625" style="1619" customWidth="1"/>
    <col min="10754" max="10754" width="12.125" style="1619" customWidth="1"/>
    <col min="10755" max="10755" width="11.875" style="1619" customWidth="1"/>
    <col min="10756" max="10756" width="12.25" style="1619" customWidth="1"/>
    <col min="10757" max="10757" width="8.75" style="1619" customWidth="1"/>
    <col min="10758" max="10758" width="17.5" style="1619" customWidth="1"/>
    <col min="10759" max="10759" width="14.125" style="1619" customWidth="1"/>
    <col min="10760" max="11006" width="8" style="1619"/>
    <col min="11007" max="11007" width="5.25" style="1619" customWidth="1"/>
    <col min="11008" max="11008" width="20.375" style="1619" customWidth="1"/>
    <col min="11009" max="11009" width="17.625" style="1619" customWidth="1"/>
    <col min="11010" max="11010" width="12.125" style="1619" customWidth="1"/>
    <col min="11011" max="11011" width="11.875" style="1619" customWidth="1"/>
    <col min="11012" max="11012" width="12.25" style="1619" customWidth="1"/>
    <col min="11013" max="11013" width="8.75" style="1619" customWidth="1"/>
    <col min="11014" max="11014" width="17.5" style="1619" customWidth="1"/>
    <col min="11015" max="11015" width="14.125" style="1619" customWidth="1"/>
    <col min="11016" max="11262" width="8" style="1619"/>
    <col min="11263" max="11263" width="5.25" style="1619" customWidth="1"/>
    <col min="11264" max="11264" width="20.375" style="1619" customWidth="1"/>
    <col min="11265" max="11265" width="17.625" style="1619" customWidth="1"/>
    <col min="11266" max="11266" width="12.125" style="1619" customWidth="1"/>
    <col min="11267" max="11267" width="11.875" style="1619" customWidth="1"/>
    <col min="11268" max="11268" width="12.25" style="1619" customWidth="1"/>
    <col min="11269" max="11269" width="8.75" style="1619" customWidth="1"/>
    <col min="11270" max="11270" width="17.5" style="1619" customWidth="1"/>
    <col min="11271" max="11271" width="14.125" style="1619" customWidth="1"/>
    <col min="11272" max="11518" width="8" style="1619"/>
    <col min="11519" max="11519" width="5.25" style="1619" customWidth="1"/>
    <col min="11520" max="11520" width="20.375" style="1619" customWidth="1"/>
    <col min="11521" max="11521" width="17.625" style="1619" customWidth="1"/>
    <col min="11522" max="11522" width="12.125" style="1619" customWidth="1"/>
    <col min="11523" max="11523" width="11.875" style="1619" customWidth="1"/>
    <col min="11524" max="11524" width="12.25" style="1619" customWidth="1"/>
    <col min="11525" max="11525" width="8.75" style="1619" customWidth="1"/>
    <col min="11526" max="11526" width="17.5" style="1619" customWidth="1"/>
    <col min="11527" max="11527" width="14.125" style="1619" customWidth="1"/>
    <col min="11528" max="11774" width="8" style="1619"/>
    <col min="11775" max="11775" width="5.25" style="1619" customWidth="1"/>
    <col min="11776" max="11776" width="20.375" style="1619" customWidth="1"/>
    <col min="11777" max="11777" width="17.625" style="1619" customWidth="1"/>
    <col min="11778" max="11778" width="12.125" style="1619" customWidth="1"/>
    <col min="11779" max="11779" width="11.875" style="1619" customWidth="1"/>
    <col min="11780" max="11780" width="12.25" style="1619" customWidth="1"/>
    <col min="11781" max="11781" width="8.75" style="1619" customWidth="1"/>
    <col min="11782" max="11782" width="17.5" style="1619" customWidth="1"/>
    <col min="11783" max="11783" width="14.125" style="1619" customWidth="1"/>
    <col min="11784" max="12030" width="8" style="1619"/>
    <col min="12031" max="12031" width="5.25" style="1619" customWidth="1"/>
    <col min="12032" max="12032" width="20.375" style="1619" customWidth="1"/>
    <col min="12033" max="12033" width="17.625" style="1619" customWidth="1"/>
    <col min="12034" max="12034" width="12.125" style="1619" customWidth="1"/>
    <col min="12035" max="12035" width="11.875" style="1619" customWidth="1"/>
    <col min="12036" max="12036" width="12.25" style="1619" customWidth="1"/>
    <col min="12037" max="12037" width="8.75" style="1619" customWidth="1"/>
    <col min="12038" max="12038" width="17.5" style="1619" customWidth="1"/>
    <col min="12039" max="12039" width="14.125" style="1619" customWidth="1"/>
    <col min="12040" max="12286" width="8" style="1619"/>
    <col min="12287" max="12287" width="5.25" style="1619" customWidth="1"/>
    <col min="12288" max="12288" width="20.375" style="1619" customWidth="1"/>
    <col min="12289" max="12289" width="17.625" style="1619" customWidth="1"/>
    <col min="12290" max="12290" width="12.125" style="1619" customWidth="1"/>
    <col min="12291" max="12291" width="11.875" style="1619" customWidth="1"/>
    <col min="12292" max="12292" width="12.25" style="1619" customWidth="1"/>
    <col min="12293" max="12293" width="8.75" style="1619" customWidth="1"/>
    <col min="12294" max="12294" width="17.5" style="1619" customWidth="1"/>
    <col min="12295" max="12295" width="14.125" style="1619" customWidth="1"/>
    <col min="12296" max="12542" width="8" style="1619"/>
    <col min="12543" max="12543" width="5.25" style="1619" customWidth="1"/>
    <col min="12544" max="12544" width="20.375" style="1619" customWidth="1"/>
    <col min="12545" max="12545" width="17.625" style="1619" customWidth="1"/>
    <col min="12546" max="12546" width="12.125" style="1619" customWidth="1"/>
    <col min="12547" max="12547" width="11.875" style="1619" customWidth="1"/>
    <col min="12548" max="12548" width="12.25" style="1619" customWidth="1"/>
    <col min="12549" max="12549" width="8.75" style="1619" customWidth="1"/>
    <col min="12550" max="12550" width="17.5" style="1619" customWidth="1"/>
    <col min="12551" max="12551" width="14.125" style="1619" customWidth="1"/>
    <col min="12552" max="12798" width="8" style="1619"/>
    <col min="12799" max="12799" width="5.25" style="1619" customWidth="1"/>
    <col min="12800" max="12800" width="20.375" style="1619" customWidth="1"/>
    <col min="12801" max="12801" width="17.625" style="1619" customWidth="1"/>
    <col min="12802" max="12802" width="12.125" style="1619" customWidth="1"/>
    <col min="12803" max="12803" width="11.875" style="1619" customWidth="1"/>
    <col min="12804" max="12804" width="12.25" style="1619" customWidth="1"/>
    <col min="12805" max="12805" width="8.75" style="1619" customWidth="1"/>
    <col min="12806" max="12806" width="17.5" style="1619" customWidth="1"/>
    <col min="12807" max="12807" width="14.125" style="1619" customWidth="1"/>
    <col min="12808" max="13054" width="8" style="1619"/>
    <col min="13055" max="13055" width="5.25" style="1619" customWidth="1"/>
    <col min="13056" max="13056" width="20.375" style="1619" customWidth="1"/>
    <col min="13057" max="13057" width="17.625" style="1619" customWidth="1"/>
    <col min="13058" max="13058" width="12.125" style="1619" customWidth="1"/>
    <col min="13059" max="13059" width="11.875" style="1619" customWidth="1"/>
    <col min="13060" max="13060" width="12.25" style="1619" customWidth="1"/>
    <col min="13061" max="13061" width="8.75" style="1619" customWidth="1"/>
    <col min="13062" max="13062" width="17.5" style="1619" customWidth="1"/>
    <col min="13063" max="13063" width="14.125" style="1619" customWidth="1"/>
    <col min="13064" max="13310" width="8" style="1619"/>
    <col min="13311" max="13311" width="5.25" style="1619" customWidth="1"/>
    <col min="13312" max="13312" width="20.375" style="1619" customWidth="1"/>
    <col min="13313" max="13313" width="17.625" style="1619" customWidth="1"/>
    <col min="13314" max="13314" width="12.125" style="1619" customWidth="1"/>
    <col min="13315" max="13315" width="11.875" style="1619" customWidth="1"/>
    <col min="13316" max="13316" width="12.25" style="1619" customWidth="1"/>
    <col min="13317" max="13317" width="8.75" style="1619" customWidth="1"/>
    <col min="13318" max="13318" width="17.5" style="1619" customWidth="1"/>
    <col min="13319" max="13319" width="14.125" style="1619" customWidth="1"/>
    <col min="13320" max="13566" width="8" style="1619"/>
    <col min="13567" max="13567" width="5.25" style="1619" customWidth="1"/>
    <col min="13568" max="13568" width="20.375" style="1619" customWidth="1"/>
    <col min="13569" max="13569" width="17.625" style="1619" customWidth="1"/>
    <col min="13570" max="13570" width="12.125" style="1619" customWidth="1"/>
    <col min="13571" max="13571" width="11.875" style="1619" customWidth="1"/>
    <col min="13572" max="13572" width="12.25" style="1619" customWidth="1"/>
    <col min="13573" max="13573" width="8.75" style="1619" customWidth="1"/>
    <col min="13574" max="13574" width="17.5" style="1619" customWidth="1"/>
    <col min="13575" max="13575" width="14.125" style="1619" customWidth="1"/>
    <col min="13576" max="13822" width="8" style="1619"/>
    <col min="13823" max="13823" width="5.25" style="1619" customWidth="1"/>
    <col min="13824" max="13824" width="20.375" style="1619" customWidth="1"/>
    <col min="13825" max="13825" width="17.625" style="1619" customWidth="1"/>
    <col min="13826" max="13826" width="12.125" style="1619" customWidth="1"/>
    <col min="13827" max="13827" width="11.875" style="1619" customWidth="1"/>
    <col min="13828" max="13828" width="12.25" style="1619" customWidth="1"/>
    <col min="13829" max="13829" width="8.75" style="1619" customWidth="1"/>
    <col min="13830" max="13830" width="17.5" style="1619" customWidth="1"/>
    <col min="13831" max="13831" width="14.125" style="1619" customWidth="1"/>
    <col min="13832" max="14078" width="8" style="1619"/>
    <col min="14079" max="14079" width="5.25" style="1619" customWidth="1"/>
    <col min="14080" max="14080" width="20.375" style="1619" customWidth="1"/>
    <col min="14081" max="14081" width="17.625" style="1619" customWidth="1"/>
    <col min="14082" max="14082" width="12.125" style="1619" customWidth="1"/>
    <col min="14083" max="14083" width="11.875" style="1619" customWidth="1"/>
    <col min="14084" max="14084" width="12.25" style="1619" customWidth="1"/>
    <col min="14085" max="14085" width="8.75" style="1619" customWidth="1"/>
    <col min="14086" max="14086" width="17.5" style="1619" customWidth="1"/>
    <col min="14087" max="14087" width="14.125" style="1619" customWidth="1"/>
    <col min="14088" max="14334" width="8" style="1619"/>
    <col min="14335" max="14335" width="5.25" style="1619" customWidth="1"/>
    <col min="14336" max="14336" width="20.375" style="1619" customWidth="1"/>
    <col min="14337" max="14337" width="17.625" style="1619" customWidth="1"/>
    <col min="14338" max="14338" width="12.125" style="1619" customWidth="1"/>
    <col min="14339" max="14339" width="11.875" style="1619" customWidth="1"/>
    <col min="14340" max="14340" width="12.25" style="1619" customWidth="1"/>
    <col min="14341" max="14341" width="8.75" style="1619" customWidth="1"/>
    <col min="14342" max="14342" width="17.5" style="1619" customWidth="1"/>
    <col min="14343" max="14343" width="14.125" style="1619" customWidth="1"/>
    <col min="14344" max="14590" width="8" style="1619"/>
    <col min="14591" max="14591" width="5.25" style="1619" customWidth="1"/>
    <col min="14592" max="14592" width="20.375" style="1619" customWidth="1"/>
    <col min="14593" max="14593" width="17.625" style="1619" customWidth="1"/>
    <col min="14594" max="14594" width="12.125" style="1619" customWidth="1"/>
    <col min="14595" max="14595" width="11.875" style="1619" customWidth="1"/>
    <col min="14596" max="14596" width="12.25" style="1619" customWidth="1"/>
    <col min="14597" max="14597" width="8.75" style="1619" customWidth="1"/>
    <col min="14598" max="14598" width="17.5" style="1619" customWidth="1"/>
    <col min="14599" max="14599" width="14.125" style="1619" customWidth="1"/>
    <col min="14600" max="14846" width="8" style="1619"/>
    <col min="14847" max="14847" width="5.25" style="1619" customWidth="1"/>
    <col min="14848" max="14848" width="20.375" style="1619" customWidth="1"/>
    <col min="14849" max="14849" width="17.625" style="1619" customWidth="1"/>
    <col min="14850" max="14850" width="12.125" style="1619" customWidth="1"/>
    <col min="14851" max="14851" width="11.875" style="1619" customWidth="1"/>
    <col min="14852" max="14852" width="12.25" style="1619" customWidth="1"/>
    <col min="14853" max="14853" width="8.75" style="1619" customWidth="1"/>
    <col min="14854" max="14854" width="17.5" style="1619" customWidth="1"/>
    <col min="14855" max="14855" width="14.125" style="1619" customWidth="1"/>
    <col min="14856" max="15102" width="8" style="1619"/>
    <col min="15103" max="15103" width="5.25" style="1619" customWidth="1"/>
    <col min="15104" max="15104" width="20.375" style="1619" customWidth="1"/>
    <col min="15105" max="15105" width="17.625" style="1619" customWidth="1"/>
    <col min="15106" max="15106" width="12.125" style="1619" customWidth="1"/>
    <col min="15107" max="15107" width="11.875" style="1619" customWidth="1"/>
    <col min="15108" max="15108" width="12.25" style="1619" customWidth="1"/>
    <col min="15109" max="15109" width="8.75" style="1619" customWidth="1"/>
    <col min="15110" max="15110" width="17.5" style="1619" customWidth="1"/>
    <col min="15111" max="15111" width="14.125" style="1619" customWidth="1"/>
    <col min="15112" max="15358" width="8" style="1619"/>
    <col min="15359" max="15359" width="5.25" style="1619" customWidth="1"/>
    <col min="15360" max="15360" width="20.375" style="1619" customWidth="1"/>
    <col min="15361" max="15361" width="17.625" style="1619" customWidth="1"/>
    <col min="15362" max="15362" width="12.125" style="1619" customWidth="1"/>
    <col min="15363" max="15363" width="11.875" style="1619" customWidth="1"/>
    <col min="15364" max="15364" width="12.25" style="1619" customWidth="1"/>
    <col min="15365" max="15365" width="8.75" style="1619" customWidth="1"/>
    <col min="15366" max="15366" width="17.5" style="1619" customWidth="1"/>
    <col min="15367" max="15367" width="14.125" style="1619" customWidth="1"/>
    <col min="15368" max="15614" width="8" style="1619"/>
    <col min="15615" max="15615" width="5.25" style="1619" customWidth="1"/>
    <col min="15616" max="15616" width="20.375" style="1619" customWidth="1"/>
    <col min="15617" max="15617" width="17.625" style="1619" customWidth="1"/>
    <col min="15618" max="15618" width="12.125" style="1619" customWidth="1"/>
    <col min="15619" max="15619" width="11.875" style="1619" customWidth="1"/>
    <col min="15620" max="15620" width="12.25" style="1619" customWidth="1"/>
    <col min="15621" max="15621" width="8.75" style="1619" customWidth="1"/>
    <col min="15622" max="15622" width="17.5" style="1619" customWidth="1"/>
    <col min="15623" max="15623" width="14.125" style="1619" customWidth="1"/>
    <col min="15624" max="15870" width="8" style="1619"/>
    <col min="15871" max="15871" width="5.25" style="1619" customWidth="1"/>
    <col min="15872" max="15872" width="20.375" style="1619" customWidth="1"/>
    <col min="15873" max="15873" width="17.625" style="1619" customWidth="1"/>
    <col min="15874" max="15874" width="12.125" style="1619" customWidth="1"/>
    <col min="15875" max="15875" width="11.875" style="1619" customWidth="1"/>
    <col min="15876" max="15876" width="12.25" style="1619" customWidth="1"/>
    <col min="15877" max="15877" width="8.75" style="1619" customWidth="1"/>
    <col min="15878" max="15878" width="17.5" style="1619" customWidth="1"/>
    <col min="15879" max="15879" width="14.125" style="1619" customWidth="1"/>
    <col min="15880" max="16126" width="8" style="1619"/>
    <col min="16127" max="16127" width="5.25" style="1619" customWidth="1"/>
    <col min="16128" max="16128" width="20.375" style="1619" customWidth="1"/>
    <col min="16129" max="16129" width="17.625" style="1619" customWidth="1"/>
    <col min="16130" max="16130" width="12.125" style="1619" customWidth="1"/>
    <col min="16131" max="16131" width="11.875" style="1619" customWidth="1"/>
    <col min="16132" max="16132" width="12.25" style="1619" customWidth="1"/>
    <col min="16133" max="16133" width="8.75" style="1619" customWidth="1"/>
    <col min="16134" max="16134" width="17.5" style="1619" customWidth="1"/>
    <col min="16135" max="16135" width="14.125" style="1619" customWidth="1"/>
    <col min="16136" max="16384" width="8" style="1619"/>
  </cols>
  <sheetData>
    <row r="1" spans="1:8" ht="25.9" customHeight="1">
      <c r="A1" s="3815" t="s">
        <v>5588</v>
      </c>
      <c r="B1" s="3815"/>
      <c r="C1" s="3815"/>
      <c r="D1" s="3815"/>
      <c r="E1" s="3815"/>
      <c r="F1" s="2754" t="str">
        <f>基本情况!$F$10</f>
        <v>厦中汇税审（2018）第DS0001号</v>
      </c>
      <c r="G1" s="2754"/>
      <c r="H1" s="2754"/>
    </row>
    <row r="2" spans="1:8" ht="37.15" customHeight="1">
      <c r="A2" s="3815"/>
      <c r="B2" s="3815"/>
      <c r="C2" s="3815"/>
      <c r="D2" s="3815"/>
      <c r="E2" s="3815"/>
      <c r="F2" s="2949" t="str">
        <f>"底稿编号："&amp;开始!L33</f>
        <v>底稿编号：AD-31</v>
      </c>
      <c r="G2" s="2949"/>
      <c r="H2" s="2949"/>
    </row>
    <row r="3" spans="1:8" s="1563" customFormat="1" ht="14.25" customHeight="1">
      <c r="A3" s="3820" t="str">
        <f>"税款所属期间： "&amp;基本情况!$F$9</f>
        <v>税款所属期间： 2017年01月01日至2017年12月31日</v>
      </c>
      <c r="B3" s="3820"/>
      <c r="C3" s="3820"/>
      <c r="D3" s="3820"/>
      <c r="E3" s="3820"/>
      <c r="F3" s="3820"/>
      <c r="G3" s="3820"/>
      <c r="H3" s="3820"/>
    </row>
    <row r="4" spans="1:8" s="1563" customFormat="1" ht="14.25" customHeight="1">
      <c r="A4" s="3821" t="s">
        <v>1152</v>
      </c>
      <c r="B4" s="3821"/>
      <c r="C4" s="3822"/>
      <c r="D4" s="3822"/>
      <c r="E4" s="2227"/>
      <c r="F4" s="2228"/>
      <c r="G4" s="2228"/>
      <c r="H4" s="2227"/>
    </row>
    <row r="5" spans="1:8" s="1563" customFormat="1" ht="21" customHeight="1">
      <c r="A5" s="3819" t="s">
        <v>1168</v>
      </c>
      <c r="B5" s="3819"/>
      <c r="C5" s="2238"/>
      <c r="D5" s="2226"/>
      <c r="E5" s="2227"/>
      <c r="F5" s="2228"/>
      <c r="G5" s="2228"/>
      <c r="H5" s="2229" t="s">
        <v>1153</v>
      </c>
    </row>
    <row r="6" spans="1:8" s="1638" customFormat="1" ht="24" customHeight="1">
      <c r="A6" s="3813" t="s">
        <v>1154</v>
      </c>
      <c r="B6" s="3813"/>
      <c r="C6" s="2217" t="s">
        <v>6428</v>
      </c>
      <c r="D6" s="2217" t="s">
        <v>6431</v>
      </c>
      <c r="E6" s="2217" t="s">
        <v>6429</v>
      </c>
      <c r="F6" s="2217" t="s">
        <v>6432</v>
      </c>
      <c r="G6" s="2217" t="s">
        <v>6430</v>
      </c>
      <c r="H6" s="2217" t="s">
        <v>6433</v>
      </c>
    </row>
    <row r="7" spans="1:8" s="1638" customFormat="1" ht="14.25" customHeight="1">
      <c r="A7" s="3816">
        <f>A109000跨地区经营汇总纳税企业年度分摊企业所得税明细表!C14</f>
        <v>0</v>
      </c>
      <c r="B7" s="3817"/>
      <c r="C7" s="2218">
        <v>0.25</v>
      </c>
      <c r="D7" s="2219">
        <f>ROUND(A7*C7,2)</f>
        <v>0</v>
      </c>
      <c r="E7" s="2218">
        <v>0.25</v>
      </c>
      <c r="F7" s="2219">
        <f>ROUND(A7*E7,2)</f>
        <v>0</v>
      </c>
      <c r="G7" s="2220">
        <f>1-C7-E7</f>
        <v>0.5</v>
      </c>
      <c r="H7" s="2219">
        <f>A7-D7-F7</f>
        <v>0</v>
      </c>
    </row>
    <row r="8" spans="1:8" s="1638" customFormat="1" ht="14.25" customHeight="1">
      <c r="A8" s="3818" t="s">
        <v>1158</v>
      </c>
      <c r="B8" s="3814" t="s">
        <v>1159</v>
      </c>
      <c r="C8" s="3813" t="s">
        <v>1160</v>
      </c>
      <c r="D8" s="3814" t="s">
        <v>1161</v>
      </c>
      <c r="E8" s="3814"/>
      <c r="F8" s="3814"/>
      <c r="G8" s="3813" t="s">
        <v>1162</v>
      </c>
      <c r="H8" s="3813" t="s">
        <v>1163</v>
      </c>
    </row>
    <row r="9" spans="1:8" s="1563" customFormat="1" ht="14.25" customHeight="1">
      <c r="A9" s="3818"/>
      <c r="B9" s="3814"/>
      <c r="C9" s="3813"/>
      <c r="D9" s="2217" t="s">
        <v>1164</v>
      </c>
      <c r="E9" s="2217" t="s">
        <v>1165</v>
      </c>
      <c r="F9" s="2217" t="s">
        <v>1166</v>
      </c>
      <c r="G9" s="3813"/>
      <c r="H9" s="3813"/>
    </row>
    <row r="10" spans="1:8" s="1563" customFormat="1" ht="14.25" customHeight="1">
      <c r="A10" s="3818"/>
      <c r="B10" s="2235"/>
      <c r="C10" s="2203"/>
      <c r="D10" s="372"/>
      <c r="E10" s="372"/>
      <c r="F10" s="372"/>
      <c r="G10" s="2221">
        <f>IF(D24=0,0,D10/D24*0.35+E10/E24*0.35+F10/F24*0.3)</f>
        <v>0</v>
      </c>
      <c r="H10" s="2222">
        <f>ROUND(G10*$H$7,2)</f>
        <v>0</v>
      </c>
    </row>
    <row r="11" spans="1:8" s="1563" customFormat="1" ht="14.25" customHeight="1">
      <c r="A11" s="3818"/>
      <c r="B11" s="2235"/>
      <c r="C11" s="2203"/>
      <c r="D11" s="372"/>
      <c r="E11" s="372"/>
      <c r="F11" s="372"/>
      <c r="G11" s="2221">
        <f t="shared" ref="G11:G23" si="0">IF(D25=0,0,D11/D25*0.35+E11/E25*0.35+F11/F25*0.3)</f>
        <v>0</v>
      </c>
      <c r="H11" s="2222">
        <f t="shared" ref="H11:H23" si="1">ROUND(G11*$H$7,2)</f>
        <v>0</v>
      </c>
    </row>
    <row r="12" spans="1:8" s="1563" customFormat="1" ht="14.25" customHeight="1">
      <c r="A12" s="3818"/>
      <c r="B12" s="2235"/>
      <c r="C12" s="2203"/>
      <c r="D12" s="372"/>
      <c r="E12" s="372"/>
      <c r="F12" s="372"/>
      <c r="G12" s="2221">
        <f t="shared" si="0"/>
        <v>0</v>
      </c>
      <c r="H12" s="2222">
        <f t="shared" si="1"/>
        <v>0</v>
      </c>
    </row>
    <row r="13" spans="1:8" s="1563" customFormat="1" ht="14.25" customHeight="1">
      <c r="A13" s="3818"/>
      <c r="B13" s="2236"/>
      <c r="C13" s="2204"/>
      <c r="D13" s="2205"/>
      <c r="E13" s="2205"/>
      <c r="F13" s="372"/>
      <c r="G13" s="2221">
        <f t="shared" si="0"/>
        <v>0</v>
      </c>
      <c r="H13" s="2222">
        <f t="shared" si="1"/>
        <v>0</v>
      </c>
    </row>
    <row r="14" spans="1:8" s="1563" customFormat="1" ht="14.25" customHeight="1">
      <c r="A14" s="3818"/>
      <c r="B14" s="2236"/>
      <c r="C14" s="2204"/>
      <c r="D14" s="2205"/>
      <c r="E14" s="2205"/>
      <c r="F14" s="372"/>
      <c r="G14" s="2221">
        <f t="shared" si="0"/>
        <v>0</v>
      </c>
      <c r="H14" s="2222">
        <f t="shared" si="1"/>
        <v>0</v>
      </c>
    </row>
    <row r="15" spans="1:8" s="1563" customFormat="1" ht="14.25" customHeight="1">
      <c r="A15" s="3818"/>
      <c r="B15" s="2236"/>
      <c r="C15" s="2204"/>
      <c r="D15" s="2205"/>
      <c r="E15" s="2205"/>
      <c r="F15" s="372"/>
      <c r="G15" s="2221">
        <f t="shared" si="0"/>
        <v>0</v>
      </c>
      <c r="H15" s="2222">
        <f t="shared" si="1"/>
        <v>0</v>
      </c>
    </row>
    <row r="16" spans="1:8" s="1563" customFormat="1" ht="14.25" customHeight="1">
      <c r="A16" s="3818"/>
      <c r="B16" s="2236"/>
      <c r="C16" s="2204"/>
      <c r="D16" s="2205"/>
      <c r="E16" s="2205"/>
      <c r="F16" s="372"/>
      <c r="G16" s="2221">
        <f t="shared" si="0"/>
        <v>0</v>
      </c>
      <c r="H16" s="2222">
        <f t="shared" si="1"/>
        <v>0</v>
      </c>
    </row>
    <row r="17" spans="1:8" s="1563" customFormat="1" ht="14.25" customHeight="1">
      <c r="A17" s="3818"/>
      <c r="B17" s="2236"/>
      <c r="C17" s="2204"/>
      <c r="D17" s="2205"/>
      <c r="E17" s="2205"/>
      <c r="F17" s="372"/>
      <c r="G17" s="2221">
        <f t="shared" si="0"/>
        <v>0</v>
      </c>
      <c r="H17" s="2222">
        <f t="shared" si="1"/>
        <v>0</v>
      </c>
    </row>
    <row r="18" spans="1:8" s="1563" customFormat="1" ht="14.25" customHeight="1">
      <c r="A18" s="3818"/>
      <c r="B18" s="2236"/>
      <c r="C18" s="2204"/>
      <c r="D18" s="2205"/>
      <c r="E18" s="2205"/>
      <c r="F18" s="372"/>
      <c r="G18" s="2221">
        <f>IF(D32=0,0,D18/D32*0.35+E18/E32*0.35+F18/F32*0.3)</f>
        <v>0</v>
      </c>
      <c r="H18" s="2222">
        <f t="shared" si="1"/>
        <v>0</v>
      </c>
    </row>
    <row r="19" spans="1:8" s="1563" customFormat="1" ht="14.25" customHeight="1">
      <c r="A19" s="3818"/>
      <c r="B19" s="2236"/>
      <c r="C19" s="2204"/>
      <c r="D19" s="2205"/>
      <c r="E19" s="2205"/>
      <c r="F19" s="372"/>
      <c r="G19" s="2221">
        <f t="shared" si="0"/>
        <v>0</v>
      </c>
      <c r="H19" s="2222">
        <f t="shared" si="1"/>
        <v>0</v>
      </c>
    </row>
    <row r="20" spans="1:8" s="1563" customFormat="1" ht="14.25" customHeight="1">
      <c r="A20" s="3818"/>
      <c r="B20" s="2236"/>
      <c r="C20" s="2204"/>
      <c r="D20" s="2205"/>
      <c r="E20" s="2205"/>
      <c r="F20" s="372"/>
      <c r="G20" s="2221">
        <f t="shared" si="0"/>
        <v>0</v>
      </c>
      <c r="H20" s="2222">
        <f t="shared" si="1"/>
        <v>0</v>
      </c>
    </row>
    <row r="21" spans="1:8" s="1563" customFormat="1" ht="14.25" customHeight="1">
      <c r="A21" s="3818"/>
      <c r="B21" s="2236"/>
      <c r="C21" s="2204"/>
      <c r="D21" s="2205"/>
      <c r="E21" s="2205"/>
      <c r="F21" s="372"/>
      <c r="G21" s="2221">
        <f t="shared" si="0"/>
        <v>0</v>
      </c>
      <c r="H21" s="2222">
        <f t="shared" si="1"/>
        <v>0</v>
      </c>
    </row>
    <row r="22" spans="1:8" s="1563" customFormat="1" ht="14.25" customHeight="1">
      <c r="A22" s="3818"/>
      <c r="B22" s="2236"/>
      <c r="C22" s="2204"/>
      <c r="D22" s="2205"/>
      <c r="E22" s="2205"/>
      <c r="F22" s="372"/>
      <c r="G22" s="2221">
        <f t="shared" si="0"/>
        <v>0</v>
      </c>
      <c r="H22" s="2222">
        <f t="shared" si="1"/>
        <v>0</v>
      </c>
    </row>
    <row r="23" spans="1:8" s="1563" customFormat="1" ht="14.25" customHeight="1">
      <c r="A23" s="3818"/>
      <c r="B23" s="2236"/>
      <c r="C23" s="2204"/>
      <c r="D23" s="2205"/>
      <c r="E23" s="2205"/>
      <c r="F23" s="372"/>
      <c r="G23" s="2221">
        <f t="shared" si="0"/>
        <v>0</v>
      </c>
      <c r="H23" s="2222">
        <f t="shared" si="1"/>
        <v>0</v>
      </c>
    </row>
    <row r="24" spans="1:8" ht="14.25" customHeight="1">
      <c r="A24" s="3818"/>
      <c r="B24" s="2216" t="s">
        <v>757</v>
      </c>
      <c r="C24" s="2225" t="s">
        <v>1167</v>
      </c>
      <c r="D24" s="2224">
        <f>ROUND(SUM(D10:D23),2)</f>
        <v>0</v>
      </c>
      <c r="E24" s="2224">
        <f>ROUND(SUM(E10:E23),2)</f>
        <v>0</v>
      </c>
      <c r="F24" s="2224">
        <f>ROUND(SUM(F10:F23),2)</f>
        <v>0</v>
      </c>
      <c r="G24" s="2223"/>
      <c r="H24" s="2224">
        <f>ROUND(SUM(H10:H23),2)</f>
        <v>0</v>
      </c>
    </row>
    <row r="25" spans="1:8" ht="14.25" customHeight="1"/>
    <row r="26" spans="1:8" ht="14.25" customHeight="1"/>
    <row r="27" spans="1:8" ht="14.25" customHeight="1"/>
    <row r="28" spans="1:8" ht="14.25" customHeight="1"/>
    <row r="29" spans="1:8" ht="14.25" customHeight="1"/>
    <row r="30" spans="1:8" ht="14.25" customHeight="1"/>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row r="453" ht="14.25"/>
    <row r="454" ht="14.25"/>
    <row r="455" ht="14.25"/>
    <row r="456" ht="14.25"/>
    <row r="457" ht="14.25"/>
    <row r="458" ht="14.25"/>
    <row r="459" ht="14.25"/>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5">
    <mergeCell ref="C8:C9"/>
    <mergeCell ref="D8:F8"/>
    <mergeCell ref="G8:G9"/>
    <mergeCell ref="H8:H9"/>
    <mergeCell ref="F1:H1"/>
    <mergeCell ref="F2:H2"/>
    <mergeCell ref="A1:E2"/>
    <mergeCell ref="A6:B6"/>
    <mergeCell ref="A7:B7"/>
    <mergeCell ref="A8:A24"/>
    <mergeCell ref="B8:B9"/>
    <mergeCell ref="A5:B5"/>
    <mergeCell ref="A3:H3"/>
    <mergeCell ref="A4:B4"/>
    <mergeCell ref="C4:D4"/>
  </mergeCells>
  <phoneticPr fontId="135" type="noConversion"/>
  <printOptions horizontalCentered="1"/>
  <pageMargins left="0.59055118110236227" right="0.59055118110236227" top="0.39370078740157483" bottom="0.39370078740157483" header="0.51181102362204722" footer="0.51181102362204722"/>
  <pageSetup paperSize="9" scale="98" fitToHeight="0" orientation="landscape" blackAndWhite="1" r:id="rId1"/>
  <headerFooter alignWithMargins="0"/>
  <drawing r:id="rId2"/>
  <legacyDrawing r:id="rId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pageSetUpPr fitToPage="1"/>
  </sheetPr>
  <dimension ref="A1:J109"/>
  <sheetViews>
    <sheetView workbookViewId="0">
      <selection sqref="A1:J1"/>
    </sheetView>
  </sheetViews>
  <sheetFormatPr defaultColWidth="9" defaultRowHeight="14.25"/>
  <cols>
    <col min="1" max="1" width="6.25" style="2162" customWidth="1"/>
    <col min="2" max="2" width="12.375" style="2162" customWidth="1"/>
    <col min="3" max="3" width="12.125" style="2162" customWidth="1"/>
    <col min="4" max="4" width="6.25" style="2162" customWidth="1"/>
    <col min="5" max="5" width="4.375" style="2162" customWidth="1"/>
    <col min="6" max="6" width="10.25" style="2162" customWidth="1"/>
    <col min="7" max="7" width="13" style="2162" customWidth="1"/>
    <col min="8" max="8" width="4.375" style="2162" customWidth="1"/>
    <col min="9" max="9" width="9.25" style="2162" customWidth="1"/>
    <col min="10" max="10" width="7.375" style="2162" customWidth="1"/>
    <col min="11" max="16384" width="9" style="2162"/>
  </cols>
  <sheetData>
    <row r="1" spans="1:10" ht="85.15" customHeight="1">
      <c r="A1" s="3824" t="s">
        <v>6371</v>
      </c>
      <c r="B1" s="3824"/>
      <c r="C1" s="3824"/>
      <c r="D1" s="3824"/>
      <c r="E1" s="3824"/>
      <c r="F1" s="3824"/>
      <c r="G1" s="3824"/>
      <c r="H1" s="3824"/>
      <c r="I1" s="3824"/>
      <c r="J1" s="3824"/>
    </row>
    <row r="2" spans="1:10" ht="18" customHeight="1">
      <c r="A2" s="3825" t="str">
        <f>基本情况!F10</f>
        <v>厦中汇税审（2018）第DS0001号</v>
      </c>
      <c r="B2" s="3825"/>
      <c r="C2" s="3825"/>
      <c r="D2" s="3825"/>
      <c r="E2" s="3825"/>
      <c r="F2" s="3825"/>
      <c r="G2" s="3825"/>
      <c r="H2" s="3825"/>
      <c r="I2" s="3825"/>
      <c r="J2" s="3825"/>
    </row>
    <row r="3" spans="1:10" ht="7.5" customHeight="1">
      <c r="A3" s="2163"/>
      <c r="B3" s="2164"/>
      <c r="C3" s="2164"/>
      <c r="D3" s="2164"/>
      <c r="E3" s="2164"/>
      <c r="F3" s="2164"/>
      <c r="G3" s="2164"/>
      <c r="H3" s="2164"/>
      <c r="I3" s="2164"/>
      <c r="J3" s="2164"/>
    </row>
    <row r="4" spans="1:10" s="2165" customFormat="1" ht="29.25" customHeight="1">
      <c r="A4" s="3826" t="str">
        <f>基本情况!C3&amp;"："</f>
        <v>：</v>
      </c>
      <c r="B4" s="3826"/>
      <c r="C4" s="3826"/>
      <c r="D4" s="3826"/>
      <c r="E4" s="3826"/>
      <c r="F4" s="3826"/>
      <c r="G4" s="3826"/>
      <c r="H4" s="3826"/>
      <c r="I4" s="3826"/>
      <c r="J4" s="3826"/>
    </row>
    <row r="5" spans="1:10" s="2166" customFormat="1" ht="106.15" customHeight="1">
      <c r="A5" s="3827" t="str">
        <f>"　　我们接受委托，对贵单位"&amp; 基本情况!F6 &amp;"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f>
        <v>　　我们接受委托，对贵单位2017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v>
      </c>
      <c r="B5" s="3827" t="s">
        <v>6427</v>
      </c>
      <c r="C5" s="3827" t="s">
        <v>6427</v>
      </c>
      <c r="D5" s="3827" t="s">
        <v>6427</v>
      </c>
      <c r="E5" s="3827" t="s">
        <v>6427</v>
      </c>
      <c r="F5" s="3827" t="s">
        <v>6427</v>
      </c>
      <c r="G5" s="3827" t="s">
        <v>6427</v>
      </c>
      <c r="H5" s="3827" t="s">
        <v>6427</v>
      </c>
      <c r="I5" s="3827" t="s">
        <v>6427</v>
      </c>
      <c r="J5" s="3827" t="s">
        <v>6427</v>
      </c>
    </row>
    <row r="6" spans="1:10" s="2166" customFormat="1" ht="4.5" customHeight="1">
      <c r="A6" s="2167"/>
      <c r="B6" s="2167"/>
      <c r="C6" s="2167"/>
      <c r="D6" s="2167"/>
      <c r="E6" s="2167"/>
      <c r="F6" s="2167"/>
      <c r="G6" s="2167"/>
      <c r="H6" s="2167"/>
      <c r="I6" s="2167"/>
      <c r="J6" s="2167"/>
    </row>
    <row r="7" spans="1:10" s="2165" customFormat="1" ht="110.45" customHeight="1">
      <c r="A7" s="3827" t="s">
        <v>6372</v>
      </c>
      <c r="B7" s="3827"/>
      <c r="C7" s="3827"/>
      <c r="D7" s="3827"/>
      <c r="E7" s="3827"/>
      <c r="F7" s="3827"/>
      <c r="G7" s="3827"/>
      <c r="H7" s="3827"/>
      <c r="I7" s="3827"/>
      <c r="J7" s="3827"/>
    </row>
    <row r="8" spans="1:10" s="2166" customFormat="1" ht="4.5" customHeight="1">
      <c r="A8" s="2167"/>
      <c r="B8" s="2167"/>
      <c r="C8" s="2167"/>
      <c r="D8" s="2167"/>
      <c r="E8" s="2167"/>
      <c r="F8" s="2167"/>
      <c r="G8" s="2167"/>
      <c r="H8" s="2167"/>
      <c r="I8" s="2167"/>
      <c r="J8" s="2167"/>
    </row>
    <row r="9" spans="1:10" s="2165" customFormat="1" ht="44.45" customHeight="1">
      <c r="A9" s="3827" t="s">
        <v>6373</v>
      </c>
      <c r="B9" s="3827"/>
      <c r="C9" s="3827"/>
      <c r="D9" s="3827"/>
      <c r="E9" s="3827"/>
      <c r="F9" s="3827"/>
      <c r="G9" s="3827"/>
      <c r="H9" s="3827"/>
      <c r="I9" s="3827"/>
      <c r="J9" s="3827"/>
    </row>
    <row r="10" spans="1:10" s="2165" customFormat="1" ht="33" customHeight="1">
      <c r="A10" s="3828" t="s">
        <v>6374</v>
      </c>
      <c r="B10" s="3828"/>
      <c r="C10" s="3829"/>
      <c r="D10" s="3829"/>
      <c r="E10" s="3829"/>
      <c r="F10" s="3829"/>
      <c r="G10" s="3829"/>
      <c r="H10" s="3828"/>
      <c r="I10" s="3828"/>
      <c r="J10" s="3829"/>
    </row>
    <row r="11" spans="1:10" s="2165" customFormat="1" ht="24.75" customHeight="1">
      <c r="A11" s="3828" t="s">
        <v>6375</v>
      </c>
      <c r="B11" s="3828"/>
      <c r="C11" s="3829"/>
      <c r="D11" s="3829"/>
      <c r="E11" s="3829"/>
      <c r="F11" s="3829"/>
      <c r="G11" s="3829"/>
      <c r="H11" s="3828"/>
      <c r="I11" s="3828"/>
      <c r="J11" s="3829"/>
    </row>
    <row r="12" spans="1:10" s="2165" customFormat="1" ht="115.15" customHeight="1">
      <c r="A12" s="3830" t="str">
        <f>"     贵单位已按《会计法》和《"&amp; 基本情况!C18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B12" s="3830" t="s">
        <v>6427</v>
      </c>
      <c r="C12" s="3830" t="s">
        <v>6427</v>
      </c>
      <c r="D12" s="3830" t="s">
        <v>6427</v>
      </c>
      <c r="E12" s="3830" t="s">
        <v>6427</v>
      </c>
      <c r="F12" s="3830" t="s">
        <v>6427</v>
      </c>
      <c r="G12" s="3830" t="s">
        <v>6427</v>
      </c>
      <c r="H12" s="3830" t="s">
        <v>6427</v>
      </c>
      <c r="I12" s="3830" t="s">
        <v>6427</v>
      </c>
      <c r="J12" s="3830" t="s">
        <v>6427</v>
      </c>
    </row>
    <row r="13" spans="1:10" s="2166" customFormat="1" ht="4.5" customHeight="1">
      <c r="A13" s="2167"/>
      <c r="B13" s="2167"/>
      <c r="C13" s="2167"/>
      <c r="D13" s="2167"/>
      <c r="E13" s="2167"/>
      <c r="F13" s="2167"/>
      <c r="G13" s="2167"/>
      <c r="H13" s="2167"/>
      <c r="I13" s="2167"/>
      <c r="J13" s="2167"/>
    </row>
    <row r="14" spans="1:10" s="2165" customFormat="1" ht="24.75" customHeight="1">
      <c r="A14" s="3823" t="s">
        <v>6376</v>
      </c>
      <c r="B14" s="3823"/>
      <c r="C14" s="3823"/>
      <c r="D14" s="3823"/>
      <c r="E14" s="3823"/>
      <c r="F14" s="3823"/>
      <c r="G14" s="3823"/>
      <c r="H14" s="3823"/>
      <c r="I14" s="3823"/>
      <c r="J14" s="3823"/>
    </row>
    <row r="15" spans="1:10" s="2165" customFormat="1" ht="68.45" customHeight="1">
      <c r="A15" s="3830" t="s">
        <v>6377</v>
      </c>
      <c r="B15" s="3830"/>
      <c r="C15" s="3830"/>
      <c r="D15" s="3830"/>
      <c r="E15" s="3830"/>
      <c r="F15" s="3830"/>
      <c r="G15" s="3830"/>
      <c r="H15" s="3830"/>
      <c r="I15" s="3830"/>
      <c r="J15" s="3830"/>
    </row>
    <row r="16" spans="1:10" s="2166" customFormat="1" ht="4.5" customHeight="1">
      <c r="A16" s="2167"/>
      <c r="B16" s="2167"/>
      <c r="C16" s="2167"/>
      <c r="D16" s="2167"/>
      <c r="E16" s="2167"/>
      <c r="F16" s="2167"/>
      <c r="G16" s="2167"/>
      <c r="H16" s="2167"/>
      <c r="I16" s="2167"/>
      <c r="J16" s="2167"/>
    </row>
    <row r="17" spans="1:10" s="2165" customFormat="1" ht="24.75" customHeight="1">
      <c r="A17" s="3831" t="s">
        <v>6378</v>
      </c>
      <c r="B17" s="3831"/>
      <c r="C17" s="3831"/>
      <c r="D17" s="3831"/>
      <c r="E17" s="3831"/>
      <c r="F17" s="3831"/>
      <c r="G17" s="3831"/>
      <c r="H17" s="3831"/>
      <c r="I17" s="3831"/>
      <c r="J17" s="3831"/>
    </row>
    <row r="18" spans="1:10" s="2165" customFormat="1" ht="66" customHeight="1">
      <c r="A18" s="3832" t="s">
        <v>6379</v>
      </c>
      <c r="B18" s="3832"/>
      <c r="C18" s="3832"/>
      <c r="D18" s="3832"/>
      <c r="E18" s="3832"/>
      <c r="F18" s="3832"/>
      <c r="G18" s="3832"/>
      <c r="H18" s="3832"/>
      <c r="I18" s="3832"/>
      <c r="J18" s="3832"/>
    </row>
    <row r="19" spans="1:10" s="2166" customFormat="1" ht="4.5" customHeight="1">
      <c r="A19" s="2167"/>
      <c r="B19" s="2167"/>
      <c r="C19" s="2167"/>
      <c r="D19" s="2167"/>
      <c r="E19" s="2167"/>
      <c r="F19" s="2167"/>
      <c r="G19" s="2167"/>
      <c r="H19" s="2167"/>
      <c r="I19" s="2167"/>
      <c r="J19" s="2167"/>
    </row>
    <row r="20" spans="1:10" s="2165" customFormat="1" ht="22.15" customHeight="1">
      <c r="A20" s="3833" t="str">
        <f>"    经对贵单位"&amp; 基本情况!F6 &amp;"年度企业所得税汇算清缴纳税申报进行审核，我们确认："</f>
        <v xml:space="preserve">    经对贵单位2017年度企业所得税汇算清缴纳税申报进行审核，我们确认：</v>
      </c>
      <c r="B20" s="3833" t="s">
        <v>6427</v>
      </c>
      <c r="C20" s="3833" t="s">
        <v>6427</v>
      </c>
      <c r="D20" s="3833" t="s">
        <v>6427</v>
      </c>
      <c r="E20" s="3833" t="s">
        <v>6427</v>
      </c>
      <c r="F20" s="3833" t="s">
        <v>6427</v>
      </c>
      <c r="G20" s="3833" t="s">
        <v>6427</v>
      </c>
      <c r="H20" s="3833" t="s">
        <v>6427</v>
      </c>
      <c r="I20" s="3833" t="s">
        <v>6427</v>
      </c>
      <c r="J20" s="3833" t="s">
        <v>6427</v>
      </c>
    </row>
    <row r="21" spans="1:10" s="2165" customFormat="1" ht="16.899999999999999" hidden="1" customHeight="1">
      <c r="A21" s="2168"/>
      <c r="B21" s="2168"/>
      <c r="C21" s="2168"/>
      <c r="D21" s="2168"/>
      <c r="E21" s="2168"/>
      <c r="F21" s="2168"/>
      <c r="G21" s="2168"/>
      <c r="H21" s="2168"/>
      <c r="I21" s="2168"/>
      <c r="J21" s="2168"/>
    </row>
    <row r="22" spans="1:10" s="2165" customFormat="1" ht="11.45" customHeight="1">
      <c r="A22" s="2169"/>
      <c r="B22" s="3834"/>
      <c r="C22" s="3834"/>
      <c r="D22" s="3834"/>
      <c r="E22" s="3834"/>
      <c r="F22" s="3834"/>
      <c r="G22" s="3834"/>
      <c r="H22" s="3834"/>
      <c r="I22" s="3834"/>
      <c r="J22" s="3834"/>
    </row>
    <row r="23" spans="1:10" s="2165" customFormat="1" ht="18" customHeight="1">
      <c r="A23" s="2169"/>
      <c r="B23" s="3835" t="s">
        <v>6380</v>
      </c>
      <c r="C23" s="3835"/>
      <c r="D23" s="3835"/>
      <c r="E23" s="3835"/>
      <c r="F23" s="3835"/>
      <c r="G23" s="3836">
        <f>'A100000 中华人民共和国企业所得税年度纳税申报表（A类）'!D16</f>
        <v>0</v>
      </c>
      <c r="H23" s="3836"/>
      <c r="I23" s="2170" t="s">
        <v>6381</v>
      </c>
      <c r="J23" s="2171"/>
    </row>
    <row r="24" spans="1:10" s="2165" customFormat="1" ht="18" customHeight="1">
      <c r="A24" s="2169"/>
      <c r="B24" s="3835" t="s">
        <v>6382</v>
      </c>
      <c r="C24" s="3835"/>
      <c r="D24" s="3835"/>
      <c r="E24" s="3835"/>
      <c r="F24" s="3835"/>
      <c r="G24" s="3836">
        <f>'A100000 中华人民共和国企业所得税年度纳税申报表（A类）'!D17</f>
        <v>0</v>
      </c>
      <c r="H24" s="3836"/>
      <c r="I24" s="2170" t="s">
        <v>6381</v>
      </c>
      <c r="J24" s="2171"/>
    </row>
    <row r="25" spans="1:10" s="2165" customFormat="1" ht="18" customHeight="1">
      <c r="A25" s="2169"/>
      <c r="B25" s="3835" t="s">
        <v>6383</v>
      </c>
      <c r="C25" s="3835"/>
      <c r="D25" s="3835"/>
      <c r="E25" s="3835"/>
      <c r="F25" s="3835"/>
      <c r="G25" s="3836">
        <f>'A100000 中华人民共和国企业所得税年度纳税申报表（A类）'!D18</f>
        <v>0</v>
      </c>
      <c r="H25" s="3836"/>
      <c r="I25" s="2170" t="s">
        <v>6381</v>
      </c>
      <c r="J25" s="2171"/>
    </row>
    <row r="26" spans="1:10" s="2165" customFormat="1" ht="18" customHeight="1">
      <c r="A26" s="2169"/>
      <c r="B26" s="3835" t="s">
        <v>6384</v>
      </c>
      <c r="C26" s="3835"/>
      <c r="D26" s="3835"/>
      <c r="E26" s="3835"/>
      <c r="F26" s="3835"/>
      <c r="G26" s="3836">
        <f>'A100000 中华人民共和国企业所得税年度纳税申报表（A类）'!D19</f>
        <v>0</v>
      </c>
      <c r="H26" s="3836"/>
      <c r="I26" s="2170" t="s">
        <v>6381</v>
      </c>
      <c r="J26" s="2171"/>
    </row>
    <row r="27" spans="1:10" s="2165" customFormat="1" ht="18" customHeight="1">
      <c r="A27" s="2169"/>
      <c r="B27" s="3835" t="s">
        <v>6385</v>
      </c>
      <c r="C27" s="3835"/>
      <c r="D27" s="3835"/>
      <c r="E27" s="3835"/>
      <c r="F27" s="3835"/>
      <c r="G27" s="3836">
        <f>'A100000 中华人民共和国企业所得税年度纳税申报表（A类）'!D20</f>
        <v>0</v>
      </c>
      <c r="H27" s="3836"/>
      <c r="I27" s="2170" t="s">
        <v>6381</v>
      </c>
      <c r="J27" s="2171"/>
    </row>
    <row r="28" spans="1:10" s="2165" customFormat="1" ht="18" customHeight="1">
      <c r="A28" s="2169"/>
      <c r="B28" s="3835" t="s">
        <v>6386</v>
      </c>
      <c r="C28" s="3835"/>
      <c r="D28" s="3835"/>
      <c r="E28" s="3835"/>
      <c r="F28" s="3835"/>
      <c r="G28" s="3836">
        <f>'A100000 中华人民共和国企业所得税年度纳税申报表（A类）'!D21</f>
        <v>0</v>
      </c>
      <c r="H28" s="3836"/>
      <c r="I28" s="2170" t="s">
        <v>6381</v>
      </c>
      <c r="J28" s="2171"/>
    </row>
    <row r="29" spans="1:10" s="2165" customFormat="1" ht="18" customHeight="1">
      <c r="A29" s="2169"/>
      <c r="B29" s="3835" t="s">
        <v>6387</v>
      </c>
      <c r="C29" s="3835"/>
      <c r="D29" s="3835"/>
      <c r="E29" s="3835"/>
      <c r="F29" s="3835"/>
      <c r="G29" s="3836">
        <f>'A100000 中华人民共和国企业所得税年度纳税申报表（A类）'!D22</f>
        <v>0</v>
      </c>
      <c r="H29" s="3836"/>
      <c r="I29" s="2170" t="s">
        <v>6381</v>
      </c>
      <c r="J29" s="2171"/>
    </row>
    <row r="30" spans="1:10" s="2165" customFormat="1" ht="18" customHeight="1">
      <c r="A30" s="2169"/>
      <c r="B30" s="3835" t="s">
        <v>6388</v>
      </c>
      <c r="C30" s="3835"/>
      <c r="D30" s="3835"/>
      <c r="E30" s="3835"/>
      <c r="F30" s="3835"/>
      <c r="G30" s="3836">
        <f>'A100000 中华人民共和国企业所得税年度纳税申报表（A类）'!D23</f>
        <v>0</v>
      </c>
      <c r="H30" s="3836"/>
      <c r="I30" s="2170" t="s">
        <v>6381</v>
      </c>
      <c r="J30" s="2171"/>
    </row>
    <row r="31" spans="1:10" s="2165" customFormat="1" ht="18" customHeight="1">
      <c r="A31" s="2169"/>
      <c r="B31" s="3835" t="s">
        <v>6389</v>
      </c>
      <c r="C31" s="3835"/>
      <c r="D31" s="3835"/>
      <c r="E31" s="3835"/>
      <c r="F31" s="3835"/>
      <c r="G31" s="3836">
        <f>'A100000 中华人民共和国企业所得税年度纳税申报表（A类）'!D24</f>
        <v>0</v>
      </c>
      <c r="H31" s="3836"/>
      <c r="I31" s="2170" t="s">
        <v>6381</v>
      </c>
      <c r="J31" s="2171"/>
    </row>
    <row r="32" spans="1:10" s="2165" customFormat="1" ht="18" customHeight="1">
      <c r="A32" s="2169"/>
      <c r="B32" s="3835" t="s">
        <v>6390</v>
      </c>
      <c r="C32" s="3835"/>
      <c r="D32" s="3835"/>
      <c r="E32" s="3835"/>
      <c r="F32" s="3835"/>
      <c r="G32" s="3836">
        <f>'A100000 中华人民共和国企业所得税年度纳税申报表（A类）'!D25</f>
        <v>0</v>
      </c>
      <c r="H32" s="3836"/>
      <c r="I32" s="2170" t="s">
        <v>6381</v>
      </c>
      <c r="J32" s="2171"/>
    </row>
    <row r="33" spans="1:10" s="2165" customFormat="1" ht="18" customHeight="1">
      <c r="A33" s="2169"/>
      <c r="B33" s="3835" t="s">
        <v>6391</v>
      </c>
      <c r="C33" s="3835"/>
      <c r="D33" s="3835"/>
      <c r="E33" s="3835"/>
      <c r="F33" s="3835"/>
      <c r="G33" s="3836">
        <f>'A100000 中华人民共和国企业所得税年度纳税申报表（A类）'!D26</f>
        <v>0</v>
      </c>
      <c r="H33" s="3836"/>
      <c r="I33" s="2170" t="s">
        <v>6381</v>
      </c>
      <c r="J33" s="2171"/>
    </row>
    <row r="34" spans="1:10" s="2165" customFormat="1" ht="18" customHeight="1">
      <c r="A34" s="2169"/>
      <c r="B34" s="3835" t="s">
        <v>6392</v>
      </c>
      <c r="C34" s="3835"/>
      <c r="D34" s="3835"/>
      <c r="E34" s="3835"/>
      <c r="F34" s="3835"/>
      <c r="G34" s="3836">
        <f>'A100000 中华人民共和国企业所得税年度纳税申报表（A类）'!D27</f>
        <v>0.25</v>
      </c>
      <c r="H34" s="3836"/>
      <c r="I34" s="2170"/>
      <c r="J34" s="2171"/>
    </row>
    <row r="35" spans="1:10" s="2165" customFormat="1" ht="18" customHeight="1">
      <c r="A35" s="2169"/>
      <c r="B35" s="3835" t="s">
        <v>6393</v>
      </c>
      <c r="C35" s="3835"/>
      <c r="D35" s="3835"/>
      <c r="E35" s="3835"/>
      <c r="F35" s="3835"/>
      <c r="G35" s="3836">
        <f>'A100000 中华人民共和国企业所得税年度纳税申报表（A类）'!D28</f>
        <v>0</v>
      </c>
      <c r="H35" s="3836"/>
      <c r="I35" s="2170" t="s">
        <v>6381</v>
      </c>
      <c r="J35" s="2171"/>
    </row>
    <row r="36" spans="1:10" s="2165" customFormat="1" ht="18" customHeight="1">
      <c r="A36" s="2169"/>
      <c r="B36" s="3835" t="s">
        <v>6394</v>
      </c>
      <c r="C36" s="3835"/>
      <c r="D36" s="3835"/>
      <c r="E36" s="3835"/>
      <c r="F36" s="3835"/>
      <c r="G36" s="3836">
        <f>'A100000 中华人民共和国企业所得税年度纳税申报表（A类）'!D29</f>
        <v>0</v>
      </c>
      <c r="H36" s="3836"/>
      <c r="I36" s="2170" t="s">
        <v>6381</v>
      </c>
      <c r="J36" s="2171"/>
    </row>
    <row r="37" spans="1:10" s="2165" customFormat="1" ht="18" customHeight="1">
      <c r="A37" s="2169"/>
      <c r="B37" s="3835" t="s">
        <v>6395</v>
      </c>
      <c r="C37" s="3835"/>
      <c r="D37" s="3835"/>
      <c r="E37" s="3835"/>
      <c r="F37" s="3835"/>
      <c r="G37" s="3836">
        <f>'A100000 中华人民共和国企业所得税年度纳税申报表（A类）'!D30</f>
        <v>0</v>
      </c>
      <c r="H37" s="3836"/>
      <c r="I37" s="2170" t="s">
        <v>6381</v>
      </c>
      <c r="J37" s="2171"/>
    </row>
    <row r="38" spans="1:10" s="2165" customFormat="1" ht="18" customHeight="1">
      <c r="A38" s="2169"/>
      <c r="B38" s="3835" t="s">
        <v>6396</v>
      </c>
      <c r="C38" s="3835"/>
      <c r="D38" s="3835"/>
      <c r="E38" s="3835"/>
      <c r="F38" s="3835"/>
      <c r="G38" s="3836">
        <f>'A100000 中华人民共和国企业所得税年度纳税申报表（A类）'!D31</f>
        <v>0</v>
      </c>
      <c r="H38" s="3836"/>
      <c r="I38" s="2170" t="s">
        <v>6381</v>
      </c>
      <c r="J38" s="2171"/>
    </row>
    <row r="39" spans="1:10" s="2165" customFormat="1" ht="18" customHeight="1">
      <c r="A39" s="2169"/>
      <c r="B39" s="3835" t="s">
        <v>6397</v>
      </c>
      <c r="C39" s="3835"/>
      <c r="D39" s="3835"/>
      <c r="E39" s="3835"/>
      <c r="F39" s="3835"/>
      <c r="G39" s="3836">
        <f>'A100000 中华人民共和国企业所得税年度纳税申报表（A类）'!D32</f>
        <v>0</v>
      </c>
      <c r="H39" s="3836"/>
      <c r="I39" s="2170" t="s">
        <v>6381</v>
      </c>
      <c r="J39" s="2171"/>
    </row>
    <row r="40" spans="1:10" s="2165" customFormat="1" ht="18" customHeight="1">
      <c r="A40" s="2169"/>
      <c r="B40" s="3835" t="s">
        <v>6398</v>
      </c>
      <c r="C40" s="3835"/>
      <c r="D40" s="3835"/>
      <c r="E40" s="3835"/>
      <c r="F40" s="3835"/>
      <c r="G40" s="3836">
        <f>'A100000 中华人民共和国企业所得税年度纳税申报表（A类）'!D33</f>
        <v>0</v>
      </c>
      <c r="H40" s="3836"/>
      <c r="I40" s="2170" t="s">
        <v>6381</v>
      </c>
      <c r="J40" s="2171"/>
    </row>
    <row r="41" spans="1:10" s="2165" customFormat="1" ht="18" customHeight="1">
      <c r="A41" s="2169"/>
      <c r="B41" s="3835" t="s">
        <v>6399</v>
      </c>
      <c r="C41" s="3835"/>
      <c r="D41" s="3835"/>
      <c r="E41" s="3835"/>
      <c r="F41" s="3835"/>
      <c r="G41" s="3836">
        <f>'A100000 中华人民共和国企业所得税年度纳税申报表（A类）'!D34</f>
        <v>0</v>
      </c>
      <c r="H41" s="3836"/>
      <c r="I41" s="2170" t="s">
        <v>6381</v>
      </c>
      <c r="J41" s="2171"/>
    </row>
    <row r="42" spans="1:10" s="2165" customFormat="1" ht="18" customHeight="1">
      <c r="A42" s="2169"/>
      <c r="B42" s="3835" t="s">
        <v>6400</v>
      </c>
      <c r="C42" s="3835"/>
      <c r="D42" s="3835"/>
      <c r="E42" s="3835"/>
      <c r="F42" s="3835"/>
      <c r="G42" s="3836">
        <f>'A100000 中华人民共和国企业所得税年度纳税申报表（A类）'!D35</f>
        <v>0</v>
      </c>
      <c r="H42" s="3836"/>
      <c r="I42" s="2170" t="s">
        <v>6381</v>
      </c>
      <c r="J42" s="2171"/>
    </row>
    <row r="43" spans="1:10" s="2165" customFormat="1" ht="18" customHeight="1">
      <c r="A43" s="2169"/>
      <c r="B43" s="3835" t="s">
        <v>6401</v>
      </c>
      <c r="C43" s="3835"/>
      <c r="D43" s="3835"/>
      <c r="E43" s="3835"/>
      <c r="F43" s="3835"/>
      <c r="G43" s="3836">
        <f>'A100000 中华人民共和国企业所得税年度纳税申报表（A类）'!D36</f>
        <v>0</v>
      </c>
      <c r="H43" s="3836"/>
      <c r="I43" s="2170" t="s">
        <v>6381</v>
      </c>
      <c r="J43" s="2171"/>
    </row>
    <row r="44" spans="1:10" s="2165" customFormat="1" ht="18" customHeight="1">
      <c r="A44" s="2169"/>
      <c r="B44" s="3835" t="s">
        <v>6402</v>
      </c>
      <c r="C44" s="3835"/>
      <c r="D44" s="3835"/>
      <c r="E44" s="3835"/>
      <c r="F44" s="3835"/>
      <c r="G44" s="3836">
        <f>'A100000 中华人民共和国企业所得税年度纳税申报表（A类）'!D37</f>
        <v>0</v>
      </c>
      <c r="H44" s="3836"/>
      <c r="I44" s="2170" t="s">
        <v>6381</v>
      </c>
      <c r="J44" s="2172"/>
    </row>
    <row r="45" spans="1:10" s="2165" customFormat="1" ht="18" customHeight="1">
      <c r="A45" s="2169"/>
      <c r="B45" s="3835" t="s">
        <v>6403</v>
      </c>
      <c r="C45" s="3835"/>
      <c r="D45" s="3835"/>
      <c r="E45" s="3835"/>
      <c r="F45" s="3835"/>
      <c r="G45" s="3836">
        <f>'A100000 中华人民共和国企业所得税年度纳税申报表（A类）'!D38</f>
        <v>0</v>
      </c>
      <c r="H45" s="3836"/>
      <c r="I45" s="2170" t="s">
        <v>6381</v>
      </c>
      <c r="J45" s="2172"/>
    </row>
    <row r="46" spans="1:10" s="2165" customFormat="1" ht="18" customHeight="1">
      <c r="A46" s="2169"/>
      <c r="B46" s="3835" t="s">
        <v>6404</v>
      </c>
      <c r="C46" s="3835"/>
      <c r="D46" s="3835"/>
      <c r="E46" s="3835"/>
      <c r="F46" s="3835"/>
      <c r="G46" s="3836">
        <f>'A100000 中华人民共和国企业所得税年度纳税申报表（A类）'!D39</f>
        <v>0</v>
      </c>
      <c r="H46" s="3836"/>
      <c r="I46" s="2170" t="s">
        <v>6381</v>
      </c>
      <c r="J46" s="2172"/>
    </row>
    <row r="47" spans="1:10" s="2165" customFormat="1" ht="10.9" customHeight="1">
      <c r="A47" s="3838"/>
      <c r="B47" s="3838"/>
      <c r="C47" s="3838"/>
      <c r="D47" s="3838"/>
      <c r="E47" s="3838"/>
      <c r="F47" s="3838"/>
      <c r="G47" s="3838"/>
      <c r="H47" s="3838"/>
      <c r="I47" s="3838"/>
      <c r="J47" s="3838"/>
    </row>
    <row r="48" spans="1:10" s="2165" customFormat="1" ht="25.9" customHeight="1">
      <c r="A48" s="3837" t="s">
        <v>6405</v>
      </c>
      <c r="B48" s="3837"/>
      <c r="C48" s="3837"/>
      <c r="D48" s="3837"/>
      <c r="E48" s="3837"/>
      <c r="F48" s="3837"/>
      <c r="G48" s="3837"/>
      <c r="H48" s="3837"/>
      <c r="I48" s="3837"/>
      <c r="J48" s="3837"/>
    </row>
    <row r="49" spans="1:10" ht="10.9" customHeight="1">
      <c r="A49" s="3842"/>
      <c r="B49" s="3842"/>
      <c r="C49" s="3842"/>
      <c r="D49" s="3842"/>
      <c r="E49" s="3842"/>
      <c r="F49" s="3842"/>
      <c r="G49" s="3842"/>
      <c r="H49" s="3842"/>
      <c r="I49" s="3842"/>
      <c r="J49" s="3842"/>
    </row>
    <row r="50" spans="1:10" ht="29.45" customHeight="1">
      <c r="A50" s="2173"/>
      <c r="J50" s="2174"/>
    </row>
    <row r="51" spans="1:10" ht="20.45" customHeight="1">
      <c r="A51" s="3843" t="str">
        <f>基本情况!$F$11</f>
        <v>中汇（厦门）税务师事务所有限公司</v>
      </c>
      <c r="B51" s="3843"/>
      <c r="C51" s="3843"/>
      <c r="D51" s="3843"/>
      <c r="E51" s="2175"/>
      <c r="F51" s="3844" t="s">
        <v>6406</v>
      </c>
      <c r="G51" s="3845"/>
      <c r="H51" s="3845"/>
      <c r="I51" s="2176"/>
      <c r="J51" s="2176"/>
    </row>
    <row r="52" spans="1:10" ht="18.75">
      <c r="A52" s="2177"/>
      <c r="J52" s="2178"/>
    </row>
    <row r="53" spans="1:10" ht="22.15" customHeight="1">
      <c r="A53" s="2179"/>
      <c r="B53" s="2179"/>
      <c r="C53" s="2179"/>
      <c r="D53" s="2175"/>
      <c r="E53" s="2175"/>
      <c r="I53" s="2180"/>
      <c r="J53" s="2180"/>
    </row>
    <row r="54" spans="1:10" ht="19.899999999999999" customHeight="1">
      <c r="A54" s="3846" t="s">
        <v>6407</v>
      </c>
      <c r="B54" s="3846"/>
      <c r="C54" s="3846"/>
      <c r="D54" s="3846"/>
      <c r="E54" s="2181"/>
      <c r="F54" s="3847" t="s">
        <v>6408</v>
      </c>
      <c r="G54" s="3845"/>
      <c r="H54" s="3845"/>
      <c r="I54" s="2180"/>
      <c r="J54" s="2180"/>
    </row>
    <row r="55" spans="1:10" ht="22.9" customHeight="1">
      <c r="A55" s="3848"/>
      <c r="B55" s="3849"/>
      <c r="C55" s="3849"/>
      <c r="D55" s="2175"/>
      <c r="E55" s="3848"/>
      <c r="F55" s="3849"/>
      <c r="G55" s="3849"/>
      <c r="H55" s="2180"/>
      <c r="I55" s="2180"/>
      <c r="J55" s="2180"/>
    </row>
    <row r="56" spans="1:10" ht="13.15" customHeight="1">
      <c r="A56" s="2179"/>
      <c r="B56" s="2179"/>
      <c r="C56" s="2179"/>
      <c r="D56" s="2175"/>
      <c r="E56" s="2175"/>
      <c r="F56" s="2182"/>
      <c r="G56" s="2183"/>
      <c r="H56" s="2184"/>
      <c r="I56" s="2184"/>
      <c r="J56" s="2184"/>
    </row>
    <row r="57" spans="1:10" ht="18.75">
      <c r="A57" s="2179"/>
      <c r="B57" s="2179"/>
      <c r="C57" s="2179"/>
      <c r="D57" s="2175"/>
      <c r="E57" s="2175"/>
      <c r="F57" s="2185"/>
      <c r="G57" s="2186" t="str">
        <f>基本情况!F26</f>
        <v>2018年5月4日</v>
      </c>
      <c r="H57" s="2184"/>
      <c r="I57" s="2184"/>
      <c r="J57" s="2184"/>
    </row>
    <row r="58" spans="1:10" ht="18.600000000000001" customHeight="1">
      <c r="A58" s="3839" t="s">
        <v>6409</v>
      </c>
      <c r="B58" s="3840"/>
      <c r="C58" s="3840"/>
      <c r="D58" s="3840"/>
      <c r="E58" s="3840"/>
      <c r="F58" s="3840"/>
      <c r="G58" s="3840"/>
      <c r="H58" s="2187"/>
      <c r="I58" s="2187"/>
      <c r="J58" s="2187"/>
    </row>
    <row r="59" spans="1:10" ht="18.600000000000001" customHeight="1">
      <c r="A59" s="3839" t="s">
        <v>6410</v>
      </c>
      <c r="B59" s="3839"/>
      <c r="C59" s="3839"/>
      <c r="D59" s="3839"/>
      <c r="E59" s="3839"/>
      <c r="F59" s="3839"/>
      <c r="G59" s="3839"/>
      <c r="H59" s="2187"/>
      <c r="I59" s="2187"/>
      <c r="J59" s="2187"/>
    </row>
    <row r="60" spans="1:10" ht="18.600000000000001" customHeight="1">
      <c r="A60" s="3840" t="s">
        <v>6411</v>
      </c>
      <c r="B60" s="3840"/>
      <c r="C60" s="3840"/>
      <c r="D60" s="3840"/>
      <c r="E60" s="3840"/>
      <c r="F60" s="3840"/>
      <c r="G60" s="3840"/>
      <c r="H60" s="2188"/>
      <c r="I60" s="2188"/>
      <c r="J60" s="2188"/>
    </row>
    <row r="61" spans="1:10" ht="18.600000000000001" customHeight="1">
      <c r="A61" s="3840" t="s">
        <v>6412</v>
      </c>
      <c r="B61" s="3841"/>
      <c r="C61" s="3840"/>
      <c r="D61" s="3840"/>
      <c r="E61" s="3840"/>
      <c r="F61" s="3840"/>
      <c r="G61" s="3840"/>
      <c r="H61" s="2188"/>
      <c r="I61" s="2188"/>
      <c r="J61" s="2188"/>
    </row>
    <row r="62" spans="1:10">
      <c r="A62" s="2189"/>
      <c r="B62" s="2189"/>
      <c r="C62" s="2189"/>
      <c r="D62" s="2189"/>
      <c r="E62" s="2189"/>
      <c r="F62" s="2189"/>
      <c r="G62" s="2189"/>
      <c r="H62" s="2189"/>
      <c r="I62" s="2189"/>
      <c r="J62" s="2189"/>
    </row>
    <row r="63" spans="1:10">
      <c r="A63" s="2189"/>
      <c r="B63" s="2189"/>
      <c r="C63" s="2189"/>
      <c r="D63" s="2189"/>
      <c r="E63" s="2189"/>
      <c r="F63" s="2189"/>
      <c r="G63" s="2189"/>
      <c r="H63" s="2189"/>
      <c r="I63" s="2189"/>
      <c r="J63" s="2189"/>
    </row>
    <row r="64" spans="1:10">
      <c r="A64" s="2189"/>
      <c r="B64" s="2189"/>
      <c r="C64" s="2189"/>
      <c r="D64" s="2189"/>
      <c r="E64" s="2189"/>
      <c r="F64" s="2189"/>
      <c r="G64" s="2189"/>
      <c r="H64" s="2189"/>
      <c r="I64" s="2189"/>
      <c r="J64" s="2189"/>
    </row>
    <row r="65" spans="1:10">
      <c r="A65" s="2189"/>
      <c r="B65" s="2189"/>
      <c r="C65" s="2189"/>
      <c r="D65" s="2189"/>
      <c r="E65" s="2189"/>
      <c r="F65" s="2189"/>
      <c r="G65" s="2189"/>
      <c r="H65" s="2189"/>
      <c r="I65" s="2189"/>
      <c r="J65" s="2189"/>
    </row>
    <row r="66" spans="1:10">
      <c r="A66" s="2189"/>
      <c r="B66" s="2189"/>
      <c r="C66" s="2189"/>
      <c r="D66" s="2189"/>
      <c r="E66" s="2189"/>
      <c r="F66" s="2189"/>
      <c r="G66" s="2189"/>
      <c r="H66" s="2189"/>
      <c r="I66" s="2189"/>
      <c r="J66" s="2189"/>
    </row>
    <row r="67" spans="1:10">
      <c r="A67" s="2189"/>
      <c r="B67" s="2189"/>
      <c r="C67" s="2189"/>
      <c r="D67" s="2189"/>
      <c r="E67" s="2189"/>
      <c r="F67" s="2189"/>
      <c r="G67" s="2189"/>
      <c r="H67" s="2189"/>
      <c r="I67" s="2189"/>
      <c r="J67" s="2189"/>
    </row>
    <row r="68" spans="1:10">
      <c r="A68" s="2189"/>
      <c r="B68" s="2189"/>
      <c r="C68" s="2189"/>
      <c r="D68" s="2189"/>
      <c r="E68" s="2189"/>
      <c r="F68" s="2189"/>
      <c r="G68" s="2189"/>
      <c r="H68" s="2189"/>
      <c r="I68" s="2189"/>
      <c r="J68" s="2189"/>
    </row>
    <row r="69" spans="1:10">
      <c r="A69" s="2189"/>
      <c r="B69" s="2189"/>
      <c r="C69" s="2189"/>
      <c r="D69" s="2189"/>
      <c r="E69" s="2189"/>
      <c r="F69" s="2189"/>
      <c r="G69" s="2189"/>
      <c r="H69" s="2189"/>
      <c r="I69" s="2189"/>
      <c r="J69" s="2189"/>
    </row>
    <row r="70" spans="1:10">
      <c r="A70" s="2189"/>
      <c r="B70" s="2189"/>
      <c r="C70" s="2189"/>
      <c r="D70" s="2189"/>
      <c r="E70" s="2189"/>
      <c r="F70" s="2189"/>
      <c r="G70" s="2189"/>
      <c r="H70" s="2189"/>
      <c r="I70" s="2189"/>
      <c r="J70" s="2189"/>
    </row>
    <row r="71" spans="1:10">
      <c r="A71" s="2189"/>
      <c r="B71" s="2189"/>
      <c r="C71" s="2189"/>
      <c r="D71" s="2189"/>
      <c r="E71" s="2189"/>
      <c r="F71" s="2189"/>
      <c r="G71" s="2189"/>
      <c r="H71" s="2189"/>
      <c r="I71" s="2189"/>
      <c r="J71" s="2189"/>
    </row>
    <row r="72" spans="1:10">
      <c r="A72" s="2189"/>
      <c r="B72" s="2189"/>
      <c r="C72" s="2189"/>
      <c r="D72" s="2189"/>
      <c r="E72" s="2189"/>
      <c r="F72" s="2189"/>
      <c r="G72" s="2189"/>
      <c r="H72" s="2189"/>
      <c r="I72" s="2189"/>
      <c r="J72" s="2189"/>
    </row>
    <row r="73" spans="1:10">
      <c r="A73" s="2189"/>
      <c r="B73" s="2189"/>
      <c r="C73" s="2189"/>
      <c r="D73" s="2189"/>
      <c r="E73" s="2189"/>
      <c r="F73" s="2189"/>
      <c r="G73" s="2189"/>
      <c r="H73" s="2189"/>
      <c r="I73" s="2189"/>
      <c r="J73" s="2189"/>
    </row>
    <row r="74" spans="1:10">
      <c r="A74" s="2189"/>
      <c r="B74" s="2189"/>
      <c r="C74" s="2189"/>
      <c r="D74" s="2189"/>
      <c r="E74" s="2189"/>
      <c r="F74" s="2189"/>
      <c r="G74" s="2189"/>
      <c r="H74" s="2189"/>
      <c r="I74" s="2189"/>
      <c r="J74" s="2189"/>
    </row>
    <row r="75" spans="1:10">
      <c r="A75" s="2189"/>
      <c r="B75" s="2189"/>
      <c r="C75" s="2189"/>
      <c r="D75" s="2189"/>
      <c r="E75" s="2189"/>
      <c r="F75" s="2189"/>
      <c r="G75" s="2189"/>
      <c r="H75" s="2189"/>
      <c r="I75" s="2189"/>
      <c r="J75" s="2189"/>
    </row>
    <row r="76" spans="1:10">
      <c r="A76" s="2189"/>
      <c r="B76" s="2189"/>
      <c r="C76" s="2189"/>
      <c r="D76" s="2189"/>
      <c r="E76" s="2189"/>
      <c r="F76" s="2189"/>
      <c r="G76" s="2189"/>
      <c r="H76" s="2189"/>
      <c r="I76" s="2189"/>
      <c r="J76" s="2189"/>
    </row>
    <row r="77" spans="1:10">
      <c r="A77" s="2189"/>
      <c r="B77" s="2189"/>
      <c r="C77" s="2189"/>
      <c r="D77" s="2189"/>
      <c r="E77" s="2189"/>
      <c r="F77" s="2189"/>
      <c r="G77" s="2189"/>
      <c r="H77" s="2189"/>
      <c r="I77" s="2189"/>
      <c r="J77" s="2189"/>
    </row>
    <row r="78" spans="1:10">
      <c r="A78" s="2189"/>
      <c r="B78" s="2189"/>
      <c r="C78" s="2189"/>
      <c r="D78" s="2189"/>
      <c r="E78" s="2189"/>
      <c r="F78" s="2189"/>
      <c r="G78" s="2189"/>
      <c r="H78" s="2189"/>
      <c r="I78" s="2189"/>
      <c r="J78" s="2189"/>
    </row>
    <row r="79" spans="1:10">
      <c r="A79" s="2189"/>
      <c r="B79" s="2189"/>
      <c r="C79" s="2189"/>
      <c r="D79" s="2189"/>
      <c r="E79" s="2189"/>
      <c r="F79" s="2189"/>
      <c r="G79" s="2189"/>
      <c r="H79" s="2189"/>
      <c r="I79" s="2189"/>
      <c r="J79" s="2189"/>
    </row>
    <row r="80" spans="1:10">
      <c r="A80" s="2189"/>
      <c r="B80" s="2189"/>
      <c r="C80" s="2189"/>
      <c r="D80" s="2189"/>
      <c r="E80" s="2189"/>
      <c r="F80" s="2189"/>
      <c r="G80" s="2189"/>
      <c r="H80" s="2189"/>
      <c r="I80" s="2189"/>
      <c r="J80" s="2189"/>
    </row>
    <row r="81" spans="1:10">
      <c r="A81" s="2189"/>
      <c r="B81" s="2189"/>
      <c r="C81" s="2189"/>
      <c r="D81" s="2189"/>
      <c r="E81" s="2189"/>
      <c r="F81" s="2189"/>
      <c r="G81" s="2189"/>
      <c r="H81" s="2189"/>
      <c r="I81" s="2189"/>
      <c r="J81" s="2189"/>
    </row>
    <row r="82" spans="1:10">
      <c r="A82" s="2189"/>
      <c r="B82" s="2189"/>
      <c r="C82" s="2189"/>
      <c r="D82" s="2189"/>
      <c r="E82" s="2189"/>
      <c r="F82" s="2189"/>
      <c r="G82" s="2189"/>
      <c r="H82" s="2189"/>
      <c r="I82" s="2189"/>
      <c r="J82" s="2189"/>
    </row>
    <row r="83" spans="1:10">
      <c r="A83" s="2189"/>
      <c r="B83" s="2189"/>
      <c r="C83" s="2189"/>
      <c r="D83" s="2189"/>
      <c r="E83" s="2189"/>
      <c r="F83" s="2189"/>
      <c r="G83" s="2189"/>
      <c r="H83" s="2189"/>
      <c r="I83" s="2189"/>
      <c r="J83" s="2189"/>
    </row>
    <row r="84" spans="1:10">
      <c r="A84" s="2189"/>
      <c r="B84" s="2189"/>
      <c r="C84" s="2189"/>
      <c r="D84" s="2189"/>
      <c r="E84" s="2189"/>
      <c r="F84" s="2189"/>
      <c r="G84" s="2189"/>
      <c r="H84" s="2189"/>
      <c r="I84" s="2189"/>
      <c r="J84" s="2189"/>
    </row>
    <row r="85" spans="1:10">
      <c r="A85" s="2189"/>
      <c r="B85" s="2189"/>
      <c r="C85" s="2189"/>
      <c r="D85" s="2189"/>
      <c r="E85" s="2189"/>
      <c r="F85" s="2189"/>
      <c r="G85" s="2189"/>
      <c r="H85" s="2189"/>
      <c r="I85" s="2189"/>
      <c r="J85" s="2189"/>
    </row>
    <row r="86" spans="1:10">
      <c r="A86" s="2189"/>
      <c r="B86" s="2189"/>
      <c r="C86" s="2189"/>
      <c r="D86" s="2189"/>
      <c r="E86" s="2189"/>
      <c r="F86" s="2189"/>
      <c r="G86" s="2189"/>
      <c r="H86" s="2189"/>
      <c r="I86" s="2189"/>
      <c r="J86" s="2189"/>
    </row>
    <row r="87" spans="1:10">
      <c r="A87" s="2189"/>
      <c r="B87" s="2189"/>
      <c r="C87" s="2189"/>
      <c r="D87" s="2189"/>
      <c r="E87" s="2189"/>
      <c r="F87" s="2189"/>
      <c r="G87" s="2189"/>
      <c r="H87" s="2189"/>
      <c r="I87" s="2189"/>
      <c r="J87" s="2189"/>
    </row>
    <row r="88" spans="1:10">
      <c r="A88" s="2189"/>
      <c r="B88" s="2189"/>
      <c r="C88" s="2189"/>
      <c r="D88" s="2189"/>
      <c r="E88" s="2189"/>
      <c r="F88" s="2189"/>
      <c r="G88" s="2189"/>
      <c r="H88" s="2189"/>
      <c r="I88" s="2189"/>
      <c r="J88" s="2189"/>
    </row>
    <row r="89" spans="1:10">
      <c r="A89" s="2189"/>
      <c r="B89" s="2189"/>
      <c r="C89" s="2189"/>
      <c r="D89" s="2189"/>
      <c r="E89" s="2189"/>
      <c r="F89" s="2189"/>
      <c r="G89" s="2189"/>
      <c r="H89" s="2189"/>
      <c r="I89" s="2189"/>
      <c r="J89" s="2189"/>
    </row>
    <row r="90" spans="1:10">
      <c r="A90" s="2189"/>
      <c r="B90" s="2189"/>
      <c r="C90" s="2189"/>
      <c r="D90" s="2189"/>
      <c r="E90" s="2189"/>
      <c r="F90" s="2189"/>
      <c r="G90" s="2189"/>
      <c r="H90" s="2189"/>
      <c r="I90" s="2189"/>
      <c r="J90" s="2189"/>
    </row>
    <row r="91" spans="1:10">
      <c r="A91" s="2189"/>
      <c r="B91" s="2189"/>
      <c r="C91" s="2189"/>
      <c r="D91" s="2189"/>
      <c r="E91" s="2189"/>
      <c r="F91" s="2189"/>
      <c r="G91" s="2189"/>
      <c r="H91" s="2189"/>
      <c r="I91" s="2189"/>
      <c r="J91" s="2189"/>
    </row>
    <row r="92" spans="1:10">
      <c r="A92" s="2189"/>
      <c r="B92" s="2189"/>
      <c r="C92" s="2189"/>
      <c r="D92" s="2189"/>
      <c r="E92" s="2189"/>
      <c r="F92" s="2189"/>
      <c r="G92" s="2189"/>
      <c r="H92" s="2189"/>
      <c r="I92" s="2189"/>
      <c r="J92" s="2189"/>
    </row>
    <row r="93" spans="1:10">
      <c r="A93" s="2189"/>
      <c r="B93" s="2189"/>
      <c r="C93" s="2189"/>
      <c r="D93" s="2189"/>
      <c r="E93" s="2189"/>
      <c r="F93" s="2189"/>
      <c r="G93" s="2189"/>
      <c r="H93" s="2189"/>
      <c r="I93" s="2189"/>
      <c r="J93" s="2189"/>
    </row>
    <row r="94" spans="1:10">
      <c r="A94" s="2189"/>
      <c r="B94" s="2189"/>
      <c r="C94" s="2189"/>
      <c r="D94" s="2189"/>
      <c r="E94" s="2189"/>
      <c r="F94" s="2189"/>
      <c r="G94" s="2189"/>
      <c r="H94" s="2189"/>
      <c r="I94" s="2189"/>
      <c r="J94" s="2189"/>
    </row>
    <row r="95" spans="1:10">
      <c r="A95" s="2189"/>
      <c r="B95" s="2189"/>
      <c r="C95" s="2189"/>
      <c r="D95" s="2189"/>
      <c r="E95" s="2189"/>
      <c r="F95" s="2189"/>
      <c r="G95" s="2189"/>
      <c r="H95" s="2189"/>
      <c r="I95" s="2189"/>
      <c r="J95" s="2189"/>
    </row>
    <row r="96" spans="1:10">
      <c r="A96" s="2189"/>
      <c r="B96" s="2189"/>
      <c r="C96" s="2189"/>
      <c r="D96" s="2189"/>
      <c r="E96" s="2189"/>
      <c r="F96" s="2189"/>
      <c r="G96" s="2189"/>
      <c r="H96" s="2189"/>
      <c r="I96" s="2189"/>
      <c r="J96" s="2189"/>
    </row>
    <row r="97" spans="1:10">
      <c r="A97" s="2189"/>
      <c r="B97" s="2189"/>
      <c r="C97" s="2189"/>
      <c r="D97" s="2189"/>
      <c r="E97" s="2189"/>
      <c r="F97" s="2189"/>
      <c r="G97" s="2189"/>
      <c r="H97" s="2189"/>
      <c r="I97" s="2189"/>
      <c r="J97" s="2189"/>
    </row>
    <row r="98" spans="1:10">
      <c r="A98" s="2189"/>
      <c r="B98" s="2189"/>
      <c r="C98" s="2189"/>
      <c r="D98" s="2189"/>
      <c r="E98" s="2189"/>
      <c r="F98" s="2189"/>
      <c r="G98" s="2189"/>
      <c r="H98" s="2189"/>
      <c r="I98" s="2189"/>
      <c r="J98" s="2189"/>
    </row>
    <row r="99" spans="1:10">
      <c r="A99" s="2189"/>
      <c r="B99" s="2189"/>
      <c r="C99" s="2189"/>
      <c r="D99" s="2189"/>
      <c r="E99" s="2189"/>
      <c r="F99" s="2189"/>
      <c r="G99" s="2189"/>
      <c r="H99" s="2189"/>
      <c r="I99" s="2189"/>
      <c r="J99" s="2189"/>
    </row>
    <row r="100" spans="1:10">
      <c r="A100" s="2189"/>
      <c r="B100" s="2189"/>
      <c r="C100" s="2189"/>
      <c r="D100" s="2189"/>
      <c r="E100" s="2189"/>
      <c r="F100" s="2189"/>
      <c r="G100" s="2189"/>
      <c r="H100" s="2189"/>
      <c r="I100" s="2189"/>
      <c r="J100" s="2189"/>
    </row>
    <row r="101" spans="1:10">
      <c r="A101" s="2189"/>
      <c r="B101" s="2189"/>
      <c r="C101" s="2189"/>
      <c r="D101" s="2189"/>
      <c r="E101" s="2189"/>
      <c r="F101" s="2189"/>
      <c r="G101" s="2189"/>
      <c r="H101" s="2189"/>
      <c r="I101" s="2189"/>
      <c r="J101" s="2189"/>
    </row>
    <row r="102" spans="1:10">
      <c r="A102" s="2189"/>
      <c r="B102" s="2189"/>
      <c r="C102" s="2189"/>
      <c r="D102" s="2189"/>
      <c r="E102" s="2189"/>
      <c r="F102" s="2189"/>
      <c r="G102" s="2189"/>
      <c r="H102" s="2189"/>
      <c r="I102" s="2189"/>
      <c r="J102" s="2189"/>
    </row>
    <row r="103" spans="1:10">
      <c r="A103" s="2189"/>
      <c r="B103" s="2189"/>
      <c r="C103" s="2189"/>
      <c r="D103" s="2189"/>
      <c r="E103" s="2189"/>
      <c r="F103" s="2189"/>
      <c r="G103" s="2189"/>
      <c r="H103" s="2189"/>
      <c r="I103" s="2189"/>
      <c r="J103" s="2189"/>
    </row>
    <row r="104" spans="1:10">
      <c r="A104" s="2189"/>
      <c r="B104" s="2189"/>
      <c r="C104" s="2189"/>
      <c r="D104" s="2189"/>
      <c r="E104" s="2189"/>
      <c r="F104" s="2189"/>
      <c r="G104" s="2189"/>
      <c r="H104" s="2189"/>
      <c r="I104" s="2189"/>
      <c r="J104" s="2189"/>
    </row>
    <row r="105" spans="1:10">
      <c r="A105" s="2189"/>
      <c r="B105" s="2189"/>
      <c r="C105" s="2189"/>
      <c r="D105" s="2189"/>
      <c r="E105" s="2189"/>
      <c r="F105" s="2189"/>
      <c r="G105" s="2189"/>
      <c r="H105" s="2189"/>
      <c r="I105" s="2189"/>
      <c r="J105" s="2189"/>
    </row>
    <row r="106" spans="1:10">
      <c r="A106" s="2189"/>
      <c r="B106" s="2189"/>
      <c r="C106" s="2189"/>
      <c r="D106" s="2189"/>
      <c r="E106" s="2189"/>
      <c r="F106" s="2189"/>
      <c r="G106" s="2189"/>
      <c r="H106" s="2189"/>
      <c r="I106" s="2189"/>
      <c r="J106" s="2189"/>
    </row>
    <row r="107" spans="1:10">
      <c r="A107" s="2189"/>
      <c r="B107" s="2189"/>
      <c r="C107" s="2189"/>
      <c r="D107" s="2189"/>
      <c r="E107" s="2189"/>
      <c r="F107" s="2189"/>
      <c r="G107" s="2189"/>
      <c r="H107" s="2189"/>
      <c r="I107" s="2189"/>
      <c r="J107" s="2189"/>
    </row>
    <row r="108" spans="1:10">
      <c r="A108" s="2189"/>
      <c r="B108" s="2189"/>
      <c r="C108" s="2189"/>
      <c r="D108" s="2189"/>
      <c r="E108" s="2189"/>
      <c r="F108" s="2189"/>
      <c r="G108" s="2189"/>
      <c r="H108" s="2189"/>
      <c r="I108" s="2189"/>
      <c r="J108" s="2189"/>
    </row>
    <row r="109" spans="1:10">
      <c r="A109" s="2189"/>
      <c r="B109" s="2189"/>
      <c r="C109" s="2189"/>
      <c r="D109" s="2189"/>
      <c r="E109" s="2189"/>
      <c r="F109" s="2189"/>
      <c r="G109" s="2189"/>
      <c r="H109" s="2189"/>
      <c r="I109" s="2189"/>
      <c r="J109" s="2189"/>
    </row>
  </sheetData>
  <sheetProtection selectLockedCells="1" selectUnlockedCells="1"/>
  <mergeCells count="79">
    <mergeCell ref="A58:G58"/>
    <mergeCell ref="A59:G59"/>
    <mergeCell ref="A60:G60"/>
    <mergeCell ref="A61:G61"/>
    <mergeCell ref="A49:J49"/>
    <mergeCell ref="A51:D51"/>
    <mergeCell ref="F51:H51"/>
    <mergeCell ref="A54:D54"/>
    <mergeCell ref="F54:H54"/>
    <mergeCell ref="A55:C55"/>
    <mergeCell ref="E55:G55"/>
    <mergeCell ref="A48:J48"/>
    <mergeCell ref="B44:F44"/>
    <mergeCell ref="G44:H44"/>
    <mergeCell ref="B45:F45"/>
    <mergeCell ref="G45:H45"/>
    <mergeCell ref="B46:F46"/>
    <mergeCell ref="G46:H46"/>
    <mergeCell ref="A47:J47"/>
    <mergeCell ref="B41:F41"/>
    <mergeCell ref="G41:H41"/>
    <mergeCell ref="B42:F42"/>
    <mergeCell ref="G42:H42"/>
    <mergeCell ref="B43:F43"/>
    <mergeCell ref="G43:H43"/>
    <mergeCell ref="B38:F38"/>
    <mergeCell ref="G38:H38"/>
    <mergeCell ref="B39:F39"/>
    <mergeCell ref="G39:H39"/>
    <mergeCell ref="B40:F40"/>
    <mergeCell ref="G40:H40"/>
    <mergeCell ref="B35:F35"/>
    <mergeCell ref="G35:H35"/>
    <mergeCell ref="B36:F36"/>
    <mergeCell ref="G36:H36"/>
    <mergeCell ref="B37:F37"/>
    <mergeCell ref="G37:H37"/>
    <mergeCell ref="B32:F32"/>
    <mergeCell ref="G32:H32"/>
    <mergeCell ref="B33:F33"/>
    <mergeCell ref="G33:H33"/>
    <mergeCell ref="B34:F34"/>
    <mergeCell ref="G34:H34"/>
    <mergeCell ref="B29:F29"/>
    <mergeCell ref="G29:H29"/>
    <mergeCell ref="B30:F30"/>
    <mergeCell ref="G30:H30"/>
    <mergeCell ref="B31:F31"/>
    <mergeCell ref="G31:H31"/>
    <mergeCell ref="B26:F26"/>
    <mergeCell ref="G26:H26"/>
    <mergeCell ref="B27:F27"/>
    <mergeCell ref="G27:H27"/>
    <mergeCell ref="B28:F28"/>
    <mergeCell ref="G28:H28"/>
    <mergeCell ref="B23:F23"/>
    <mergeCell ref="G23:H23"/>
    <mergeCell ref="B24:F24"/>
    <mergeCell ref="G24:H24"/>
    <mergeCell ref="B25:F25"/>
    <mergeCell ref="G25:H25"/>
    <mergeCell ref="A15:J15"/>
    <mergeCell ref="A17:J17"/>
    <mergeCell ref="A18:J18"/>
    <mergeCell ref="A20:J20"/>
    <mergeCell ref="B22:F22"/>
    <mergeCell ref="G22:J22"/>
    <mergeCell ref="A14:J14"/>
    <mergeCell ref="A1:J1"/>
    <mergeCell ref="A2:J2"/>
    <mergeCell ref="A4:J4"/>
    <mergeCell ref="A5:J5"/>
    <mergeCell ref="A7:J7"/>
    <mergeCell ref="A9:J9"/>
    <mergeCell ref="A10:G10"/>
    <mergeCell ref="H10:J10"/>
    <mergeCell ref="A11:G11"/>
    <mergeCell ref="H11:J11"/>
    <mergeCell ref="A12:J12"/>
  </mergeCells>
  <phoneticPr fontId="135" type="noConversion"/>
  <printOptions horizontalCentered="1"/>
  <pageMargins left="0.70866141732283472" right="0.35433070866141736" top="0.51181102362204722" bottom="0.55118110236220474" header="0.31496062992125984" footer="0.31496062992125984"/>
  <pageSetup paperSize="9" scale="98" firstPageNumber="0" fitToHeight="2" orientation="portrait" blackAndWhite="1"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tabColor rgb="FFFFFF00"/>
  </sheetPr>
  <dimension ref="A1:I207"/>
  <sheetViews>
    <sheetView workbookViewId="0">
      <selection activeCell="H128" sqref="H128"/>
    </sheetView>
  </sheetViews>
  <sheetFormatPr defaultRowHeight="16.5"/>
  <cols>
    <col min="1" max="1" width="23.25" style="1819" customWidth="1"/>
    <col min="2" max="2" width="16.75" style="1819" customWidth="1"/>
    <col min="3" max="3" width="4" style="1819" customWidth="1"/>
    <col min="4" max="4" width="13.5" style="1819" customWidth="1"/>
    <col min="5" max="5" width="16" style="1819" customWidth="1"/>
    <col min="6" max="6" width="16.5" style="1819" customWidth="1"/>
    <col min="7" max="7" width="9" style="1819"/>
    <col min="8" max="256" width="9" style="1820"/>
    <col min="257" max="257" width="23.25" style="1820" customWidth="1"/>
    <col min="258" max="258" width="16.75" style="1820" customWidth="1"/>
    <col min="259" max="259" width="4" style="1820" customWidth="1"/>
    <col min="260" max="260" width="13.5" style="1820" customWidth="1"/>
    <col min="261" max="261" width="14" style="1820" customWidth="1"/>
    <col min="262" max="262" width="13.75" style="1820" customWidth="1"/>
    <col min="263" max="512" width="9" style="1820"/>
    <col min="513" max="513" width="23.25" style="1820" customWidth="1"/>
    <col min="514" max="514" width="16.75" style="1820" customWidth="1"/>
    <col min="515" max="515" width="4" style="1820" customWidth="1"/>
    <col min="516" max="516" width="13.5" style="1820" customWidth="1"/>
    <col min="517" max="517" width="14" style="1820" customWidth="1"/>
    <col min="518" max="518" width="13.75" style="1820" customWidth="1"/>
    <col min="519" max="768" width="9" style="1820"/>
    <col min="769" max="769" width="23.25" style="1820" customWidth="1"/>
    <col min="770" max="770" width="16.75" style="1820" customWidth="1"/>
    <col min="771" max="771" width="4" style="1820" customWidth="1"/>
    <col min="772" max="772" width="13.5" style="1820" customWidth="1"/>
    <col min="773" max="773" width="14" style="1820" customWidth="1"/>
    <col min="774" max="774" width="13.75" style="1820" customWidth="1"/>
    <col min="775" max="1024" width="9" style="1820"/>
    <col min="1025" max="1025" width="23.25" style="1820" customWidth="1"/>
    <col min="1026" max="1026" width="16.75" style="1820" customWidth="1"/>
    <col min="1027" max="1027" width="4" style="1820" customWidth="1"/>
    <col min="1028" max="1028" width="13.5" style="1820" customWidth="1"/>
    <col min="1029" max="1029" width="14" style="1820" customWidth="1"/>
    <col min="1030" max="1030" width="13.75" style="1820" customWidth="1"/>
    <col min="1031" max="1280" width="9" style="1820"/>
    <col min="1281" max="1281" width="23.25" style="1820" customWidth="1"/>
    <col min="1282" max="1282" width="16.75" style="1820" customWidth="1"/>
    <col min="1283" max="1283" width="4" style="1820" customWidth="1"/>
    <col min="1284" max="1284" width="13.5" style="1820" customWidth="1"/>
    <col min="1285" max="1285" width="14" style="1820" customWidth="1"/>
    <col min="1286" max="1286" width="13.75" style="1820" customWidth="1"/>
    <col min="1287" max="1536" width="9" style="1820"/>
    <col min="1537" max="1537" width="23.25" style="1820" customWidth="1"/>
    <col min="1538" max="1538" width="16.75" style="1820" customWidth="1"/>
    <col min="1539" max="1539" width="4" style="1820" customWidth="1"/>
    <col min="1540" max="1540" width="13.5" style="1820" customWidth="1"/>
    <col min="1541" max="1541" width="14" style="1820" customWidth="1"/>
    <col min="1542" max="1542" width="13.75" style="1820" customWidth="1"/>
    <col min="1543" max="1792" width="9" style="1820"/>
    <col min="1793" max="1793" width="23.25" style="1820" customWidth="1"/>
    <col min="1794" max="1794" width="16.75" style="1820" customWidth="1"/>
    <col min="1795" max="1795" width="4" style="1820" customWidth="1"/>
    <col min="1796" max="1796" width="13.5" style="1820" customWidth="1"/>
    <col min="1797" max="1797" width="14" style="1820" customWidth="1"/>
    <col min="1798" max="1798" width="13.75" style="1820" customWidth="1"/>
    <col min="1799" max="2048" width="9" style="1820"/>
    <col min="2049" max="2049" width="23.25" style="1820" customWidth="1"/>
    <col min="2050" max="2050" width="16.75" style="1820" customWidth="1"/>
    <col min="2051" max="2051" width="4" style="1820" customWidth="1"/>
    <col min="2052" max="2052" width="13.5" style="1820" customWidth="1"/>
    <col min="2053" max="2053" width="14" style="1820" customWidth="1"/>
    <col min="2054" max="2054" width="13.75" style="1820" customWidth="1"/>
    <col min="2055" max="2304" width="9" style="1820"/>
    <col min="2305" max="2305" width="23.25" style="1820" customWidth="1"/>
    <col min="2306" max="2306" width="16.75" style="1820" customWidth="1"/>
    <col min="2307" max="2307" width="4" style="1820" customWidth="1"/>
    <col min="2308" max="2308" width="13.5" style="1820" customWidth="1"/>
    <col min="2309" max="2309" width="14" style="1820" customWidth="1"/>
    <col min="2310" max="2310" width="13.75" style="1820" customWidth="1"/>
    <col min="2311" max="2560" width="9" style="1820"/>
    <col min="2561" max="2561" width="23.25" style="1820" customWidth="1"/>
    <col min="2562" max="2562" width="16.75" style="1820" customWidth="1"/>
    <col min="2563" max="2563" width="4" style="1820" customWidth="1"/>
    <col min="2564" max="2564" width="13.5" style="1820" customWidth="1"/>
    <col min="2565" max="2565" width="14" style="1820" customWidth="1"/>
    <col min="2566" max="2566" width="13.75" style="1820" customWidth="1"/>
    <col min="2567" max="2816" width="9" style="1820"/>
    <col min="2817" max="2817" width="23.25" style="1820" customWidth="1"/>
    <col min="2818" max="2818" width="16.75" style="1820" customWidth="1"/>
    <col min="2819" max="2819" width="4" style="1820" customWidth="1"/>
    <col min="2820" max="2820" width="13.5" style="1820" customWidth="1"/>
    <col min="2821" max="2821" width="14" style="1820" customWidth="1"/>
    <col min="2822" max="2822" width="13.75" style="1820" customWidth="1"/>
    <col min="2823" max="3072" width="9" style="1820"/>
    <col min="3073" max="3073" width="23.25" style="1820" customWidth="1"/>
    <col min="3074" max="3074" width="16.75" style="1820" customWidth="1"/>
    <col min="3075" max="3075" width="4" style="1820" customWidth="1"/>
    <col min="3076" max="3076" width="13.5" style="1820" customWidth="1"/>
    <col min="3077" max="3077" width="14" style="1820" customWidth="1"/>
    <col min="3078" max="3078" width="13.75" style="1820" customWidth="1"/>
    <col min="3079" max="3328" width="9" style="1820"/>
    <col min="3329" max="3329" width="23.25" style="1820" customWidth="1"/>
    <col min="3330" max="3330" width="16.75" style="1820" customWidth="1"/>
    <col min="3331" max="3331" width="4" style="1820" customWidth="1"/>
    <col min="3332" max="3332" width="13.5" style="1820" customWidth="1"/>
    <col min="3333" max="3333" width="14" style="1820" customWidth="1"/>
    <col min="3334" max="3334" width="13.75" style="1820" customWidth="1"/>
    <col min="3335" max="3584" width="9" style="1820"/>
    <col min="3585" max="3585" width="23.25" style="1820" customWidth="1"/>
    <col min="3586" max="3586" width="16.75" style="1820" customWidth="1"/>
    <col min="3587" max="3587" width="4" style="1820" customWidth="1"/>
    <col min="3588" max="3588" width="13.5" style="1820" customWidth="1"/>
    <col min="3589" max="3589" width="14" style="1820" customWidth="1"/>
    <col min="3590" max="3590" width="13.75" style="1820" customWidth="1"/>
    <col min="3591" max="3840" width="9" style="1820"/>
    <col min="3841" max="3841" width="23.25" style="1820" customWidth="1"/>
    <col min="3842" max="3842" width="16.75" style="1820" customWidth="1"/>
    <col min="3843" max="3843" width="4" style="1820" customWidth="1"/>
    <col min="3844" max="3844" width="13.5" style="1820" customWidth="1"/>
    <col min="3845" max="3845" width="14" style="1820" customWidth="1"/>
    <col min="3846" max="3846" width="13.75" style="1820" customWidth="1"/>
    <col min="3847" max="4096" width="9" style="1820"/>
    <col min="4097" max="4097" width="23.25" style="1820" customWidth="1"/>
    <col min="4098" max="4098" width="16.75" style="1820" customWidth="1"/>
    <col min="4099" max="4099" width="4" style="1820" customWidth="1"/>
    <col min="4100" max="4100" width="13.5" style="1820" customWidth="1"/>
    <col min="4101" max="4101" width="14" style="1820" customWidth="1"/>
    <col min="4102" max="4102" width="13.75" style="1820" customWidth="1"/>
    <col min="4103" max="4352" width="9" style="1820"/>
    <col min="4353" max="4353" width="23.25" style="1820" customWidth="1"/>
    <col min="4354" max="4354" width="16.75" style="1820" customWidth="1"/>
    <col min="4355" max="4355" width="4" style="1820" customWidth="1"/>
    <col min="4356" max="4356" width="13.5" style="1820" customWidth="1"/>
    <col min="4357" max="4357" width="14" style="1820" customWidth="1"/>
    <col min="4358" max="4358" width="13.75" style="1820" customWidth="1"/>
    <col min="4359" max="4608" width="9" style="1820"/>
    <col min="4609" max="4609" width="23.25" style="1820" customWidth="1"/>
    <col min="4610" max="4610" width="16.75" style="1820" customWidth="1"/>
    <col min="4611" max="4611" width="4" style="1820" customWidth="1"/>
    <col min="4612" max="4612" width="13.5" style="1820" customWidth="1"/>
    <col min="4613" max="4613" width="14" style="1820" customWidth="1"/>
    <col min="4614" max="4614" width="13.75" style="1820" customWidth="1"/>
    <col min="4615" max="4864" width="9" style="1820"/>
    <col min="4865" max="4865" width="23.25" style="1820" customWidth="1"/>
    <col min="4866" max="4866" width="16.75" style="1820" customWidth="1"/>
    <col min="4867" max="4867" width="4" style="1820" customWidth="1"/>
    <col min="4868" max="4868" width="13.5" style="1820" customWidth="1"/>
    <col min="4869" max="4869" width="14" style="1820" customWidth="1"/>
    <col min="4870" max="4870" width="13.75" style="1820" customWidth="1"/>
    <col min="4871" max="5120" width="9" style="1820"/>
    <col min="5121" max="5121" width="23.25" style="1820" customWidth="1"/>
    <col min="5122" max="5122" width="16.75" style="1820" customWidth="1"/>
    <col min="5123" max="5123" width="4" style="1820" customWidth="1"/>
    <col min="5124" max="5124" width="13.5" style="1820" customWidth="1"/>
    <col min="5125" max="5125" width="14" style="1820" customWidth="1"/>
    <col min="5126" max="5126" width="13.75" style="1820" customWidth="1"/>
    <col min="5127" max="5376" width="9" style="1820"/>
    <col min="5377" max="5377" width="23.25" style="1820" customWidth="1"/>
    <col min="5378" max="5378" width="16.75" style="1820" customWidth="1"/>
    <col min="5379" max="5379" width="4" style="1820" customWidth="1"/>
    <col min="5380" max="5380" width="13.5" style="1820" customWidth="1"/>
    <col min="5381" max="5381" width="14" style="1820" customWidth="1"/>
    <col min="5382" max="5382" width="13.75" style="1820" customWidth="1"/>
    <col min="5383" max="5632" width="9" style="1820"/>
    <col min="5633" max="5633" width="23.25" style="1820" customWidth="1"/>
    <col min="5634" max="5634" width="16.75" style="1820" customWidth="1"/>
    <col min="5635" max="5635" width="4" style="1820" customWidth="1"/>
    <col min="5636" max="5636" width="13.5" style="1820" customWidth="1"/>
    <col min="5637" max="5637" width="14" style="1820" customWidth="1"/>
    <col min="5638" max="5638" width="13.75" style="1820" customWidth="1"/>
    <col min="5639" max="5888" width="9" style="1820"/>
    <col min="5889" max="5889" width="23.25" style="1820" customWidth="1"/>
    <col min="5890" max="5890" width="16.75" style="1820" customWidth="1"/>
    <col min="5891" max="5891" width="4" style="1820" customWidth="1"/>
    <col min="5892" max="5892" width="13.5" style="1820" customWidth="1"/>
    <col min="5893" max="5893" width="14" style="1820" customWidth="1"/>
    <col min="5894" max="5894" width="13.75" style="1820" customWidth="1"/>
    <col min="5895" max="6144" width="9" style="1820"/>
    <col min="6145" max="6145" width="23.25" style="1820" customWidth="1"/>
    <col min="6146" max="6146" width="16.75" style="1820" customWidth="1"/>
    <col min="6147" max="6147" width="4" style="1820" customWidth="1"/>
    <col min="6148" max="6148" width="13.5" style="1820" customWidth="1"/>
    <col min="6149" max="6149" width="14" style="1820" customWidth="1"/>
    <col min="6150" max="6150" width="13.75" style="1820" customWidth="1"/>
    <col min="6151" max="6400" width="9" style="1820"/>
    <col min="6401" max="6401" width="23.25" style="1820" customWidth="1"/>
    <col min="6402" max="6402" width="16.75" style="1820" customWidth="1"/>
    <col min="6403" max="6403" width="4" style="1820" customWidth="1"/>
    <col min="6404" max="6404" width="13.5" style="1820" customWidth="1"/>
    <col min="6405" max="6405" width="14" style="1820" customWidth="1"/>
    <col min="6406" max="6406" width="13.75" style="1820" customWidth="1"/>
    <col min="6407" max="6656" width="9" style="1820"/>
    <col min="6657" max="6657" width="23.25" style="1820" customWidth="1"/>
    <col min="6658" max="6658" width="16.75" style="1820" customWidth="1"/>
    <col min="6659" max="6659" width="4" style="1820" customWidth="1"/>
    <col min="6660" max="6660" width="13.5" style="1820" customWidth="1"/>
    <col min="6661" max="6661" width="14" style="1820" customWidth="1"/>
    <col min="6662" max="6662" width="13.75" style="1820" customWidth="1"/>
    <col min="6663" max="6912" width="9" style="1820"/>
    <col min="6913" max="6913" width="23.25" style="1820" customWidth="1"/>
    <col min="6914" max="6914" width="16.75" style="1820" customWidth="1"/>
    <col min="6915" max="6915" width="4" style="1820" customWidth="1"/>
    <col min="6916" max="6916" width="13.5" style="1820" customWidth="1"/>
    <col min="6917" max="6917" width="14" style="1820" customWidth="1"/>
    <col min="6918" max="6918" width="13.75" style="1820" customWidth="1"/>
    <col min="6919" max="7168" width="9" style="1820"/>
    <col min="7169" max="7169" width="23.25" style="1820" customWidth="1"/>
    <col min="7170" max="7170" width="16.75" style="1820" customWidth="1"/>
    <col min="7171" max="7171" width="4" style="1820" customWidth="1"/>
    <col min="7172" max="7172" width="13.5" style="1820" customWidth="1"/>
    <col min="7173" max="7173" width="14" style="1820" customWidth="1"/>
    <col min="7174" max="7174" width="13.75" style="1820" customWidth="1"/>
    <col min="7175" max="7424" width="9" style="1820"/>
    <col min="7425" max="7425" width="23.25" style="1820" customWidth="1"/>
    <col min="7426" max="7426" width="16.75" style="1820" customWidth="1"/>
    <col min="7427" max="7427" width="4" style="1820" customWidth="1"/>
    <col min="7428" max="7428" width="13.5" style="1820" customWidth="1"/>
    <col min="7429" max="7429" width="14" style="1820" customWidth="1"/>
    <col min="7430" max="7430" width="13.75" style="1820" customWidth="1"/>
    <col min="7431" max="7680" width="9" style="1820"/>
    <col min="7681" max="7681" width="23.25" style="1820" customWidth="1"/>
    <col min="7682" max="7682" width="16.75" style="1820" customWidth="1"/>
    <col min="7683" max="7683" width="4" style="1820" customWidth="1"/>
    <col min="7684" max="7684" width="13.5" style="1820" customWidth="1"/>
    <col min="7685" max="7685" width="14" style="1820" customWidth="1"/>
    <col min="7686" max="7686" width="13.75" style="1820" customWidth="1"/>
    <col min="7687" max="7936" width="9" style="1820"/>
    <col min="7937" max="7937" width="23.25" style="1820" customWidth="1"/>
    <col min="7938" max="7938" width="16.75" style="1820" customWidth="1"/>
    <col min="7939" max="7939" width="4" style="1820" customWidth="1"/>
    <col min="7940" max="7940" width="13.5" style="1820" customWidth="1"/>
    <col min="7941" max="7941" width="14" style="1820" customWidth="1"/>
    <col min="7942" max="7942" width="13.75" style="1820" customWidth="1"/>
    <col min="7943" max="8192" width="9" style="1820"/>
    <col min="8193" max="8193" width="23.25" style="1820" customWidth="1"/>
    <col min="8194" max="8194" width="16.75" style="1820" customWidth="1"/>
    <col min="8195" max="8195" width="4" style="1820" customWidth="1"/>
    <col min="8196" max="8196" width="13.5" style="1820" customWidth="1"/>
    <col min="8197" max="8197" width="14" style="1820" customWidth="1"/>
    <col min="8198" max="8198" width="13.75" style="1820" customWidth="1"/>
    <col min="8199" max="8448" width="9" style="1820"/>
    <col min="8449" max="8449" width="23.25" style="1820" customWidth="1"/>
    <col min="8450" max="8450" width="16.75" style="1820" customWidth="1"/>
    <col min="8451" max="8451" width="4" style="1820" customWidth="1"/>
    <col min="8452" max="8452" width="13.5" style="1820" customWidth="1"/>
    <col min="8453" max="8453" width="14" style="1820" customWidth="1"/>
    <col min="8454" max="8454" width="13.75" style="1820" customWidth="1"/>
    <col min="8455" max="8704" width="9" style="1820"/>
    <col min="8705" max="8705" width="23.25" style="1820" customWidth="1"/>
    <col min="8706" max="8706" width="16.75" style="1820" customWidth="1"/>
    <col min="8707" max="8707" width="4" style="1820" customWidth="1"/>
    <col min="8708" max="8708" width="13.5" style="1820" customWidth="1"/>
    <col min="8709" max="8709" width="14" style="1820" customWidth="1"/>
    <col min="8710" max="8710" width="13.75" style="1820" customWidth="1"/>
    <col min="8711" max="8960" width="9" style="1820"/>
    <col min="8961" max="8961" width="23.25" style="1820" customWidth="1"/>
    <col min="8962" max="8962" width="16.75" style="1820" customWidth="1"/>
    <col min="8963" max="8963" width="4" style="1820" customWidth="1"/>
    <col min="8964" max="8964" width="13.5" style="1820" customWidth="1"/>
    <col min="8965" max="8965" width="14" style="1820" customWidth="1"/>
    <col min="8966" max="8966" width="13.75" style="1820" customWidth="1"/>
    <col min="8967" max="9216" width="9" style="1820"/>
    <col min="9217" max="9217" width="23.25" style="1820" customWidth="1"/>
    <col min="9218" max="9218" width="16.75" style="1820" customWidth="1"/>
    <col min="9219" max="9219" width="4" style="1820" customWidth="1"/>
    <col min="9220" max="9220" width="13.5" style="1820" customWidth="1"/>
    <col min="9221" max="9221" width="14" style="1820" customWidth="1"/>
    <col min="9222" max="9222" width="13.75" style="1820" customWidth="1"/>
    <col min="9223" max="9472" width="9" style="1820"/>
    <col min="9473" max="9473" width="23.25" style="1820" customWidth="1"/>
    <col min="9474" max="9474" width="16.75" style="1820" customWidth="1"/>
    <col min="9475" max="9475" width="4" style="1820" customWidth="1"/>
    <col min="9476" max="9476" width="13.5" style="1820" customWidth="1"/>
    <col min="9477" max="9477" width="14" style="1820" customWidth="1"/>
    <col min="9478" max="9478" width="13.75" style="1820" customWidth="1"/>
    <col min="9479" max="9728" width="9" style="1820"/>
    <col min="9729" max="9729" width="23.25" style="1820" customWidth="1"/>
    <col min="9730" max="9730" width="16.75" style="1820" customWidth="1"/>
    <col min="9731" max="9731" width="4" style="1820" customWidth="1"/>
    <col min="9732" max="9732" width="13.5" style="1820" customWidth="1"/>
    <col min="9733" max="9733" width="14" style="1820" customWidth="1"/>
    <col min="9734" max="9734" width="13.75" style="1820" customWidth="1"/>
    <col min="9735" max="9984" width="9" style="1820"/>
    <col min="9985" max="9985" width="23.25" style="1820" customWidth="1"/>
    <col min="9986" max="9986" width="16.75" style="1820" customWidth="1"/>
    <col min="9987" max="9987" width="4" style="1820" customWidth="1"/>
    <col min="9988" max="9988" width="13.5" style="1820" customWidth="1"/>
    <col min="9989" max="9989" width="14" style="1820" customWidth="1"/>
    <col min="9990" max="9990" width="13.75" style="1820" customWidth="1"/>
    <col min="9991" max="10240" width="9" style="1820"/>
    <col min="10241" max="10241" width="23.25" style="1820" customWidth="1"/>
    <col min="10242" max="10242" width="16.75" style="1820" customWidth="1"/>
    <col min="10243" max="10243" width="4" style="1820" customWidth="1"/>
    <col min="10244" max="10244" width="13.5" style="1820" customWidth="1"/>
    <col min="10245" max="10245" width="14" style="1820" customWidth="1"/>
    <col min="10246" max="10246" width="13.75" style="1820" customWidth="1"/>
    <col min="10247" max="10496" width="9" style="1820"/>
    <col min="10497" max="10497" width="23.25" style="1820" customWidth="1"/>
    <col min="10498" max="10498" width="16.75" style="1820" customWidth="1"/>
    <col min="10499" max="10499" width="4" style="1820" customWidth="1"/>
    <col min="10500" max="10500" width="13.5" style="1820" customWidth="1"/>
    <col min="10501" max="10501" width="14" style="1820" customWidth="1"/>
    <col min="10502" max="10502" width="13.75" style="1820" customWidth="1"/>
    <col min="10503" max="10752" width="9" style="1820"/>
    <col min="10753" max="10753" width="23.25" style="1820" customWidth="1"/>
    <col min="10754" max="10754" width="16.75" style="1820" customWidth="1"/>
    <col min="10755" max="10755" width="4" style="1820" customWidth="1"/>
    <col min="10756" max="10756" width="13.5" style="1820" customWidth="1"/>
    <col min="10757" max="10757" width="14" style="1820" customWidth="1"/>
    <col min="10758" max="10758" width="13.75" style="1820" customWidth="1"/>
    <col min="10759" max="11008" width="9" style="1820"/>
    <col min="11009" max="11009" width="23.25" style="1820" customWidth="1"/>
    <col min="11010" max="11010" width="16.75" style="1820" customWidth="1"/>
    <col min="11011" max="11011" width="4" style="1820" customWidth="1"/>
    <col min="11012" max="11012" width="13.5" style="1820" customWidth="1"/>
    <col min="11013" max="11013" width="14" style="1820" customWidth="1"/>
    <col min="11014" max="11014" width="13.75" style="1820" customWidth="1"/>
    <col min="11015" max="11264" width="9" style="1820"/>
    <col min="11265" max="11265" width="23.25" style="1820" customWidth="1"/>
    <col min="11266" max="11266" width="16.75" style="1820" customWidth="1"/>
    <col min="11267" max="11267" width="4" style="1820" customWidth="1"/>
    <col min="11268" max="11268" width="13.5" style="1820" customWidth="1"/>
    <col min="11269" max="11269" width="14" style="1820" customWidth="1"/>
    <col min="11270" max="11270" width="13.75" style="1820" customWidth="1"/>
    <col min="11271" max="11520" width="9" style="1820"/>
    <col min="11521" max="11521" width="23.25" style="1820" customWidth="1"/>
    <col min="11522" max="11522" width="16.75" style="1820" customWidth="1"/>
    <col min="11523" max="11523" width="4" style="1820" customWidth="1"/>
    <col min="11524" max="11524" width="13.5" style="1820" customWidth="1"/>
    <col min="11525" max="11525" width="14" style="1820" customWidth="1"/>
    <col min="11526" max="11526" width="13.75" style="1820" customWidth="1"/>
    <col min="11527" max="11776" width="9" style="1820"/>
    <col min="11777" max="11777" width="23.25" style="1820" customWidth="1"/>
    <col min="11778" max="11778" width="16.75" style="1820" customWidth="1"/>
    <col min="11779" max="11779" width="4" style="1820" customWidth="1"/>
    <col min="11780" max="11780" width="13.5" style="1820" customWidth="1"/>
    <col min="11781" max="11781" width="14" style="1820" customWidth="1"/>
    <col min="11782" max="11782" width="13.75" style="1820" customWidth="1"/>
    <col min="11783" max="12032" width="9" style="1820"/>
    <col min="12033" max="12033" width="23.25" style="1820" customWidth="1"/>
    <col min="12034" max="12034" width="16.75" style="1820" customWidth="1"/>
    <col min="12035" max="12035" width="4" style="1820" customWidth="1"/>
    <col min="12036" max="12036" width="13.5" style="1820" customWidth="1"/>
    <col min="12037" max="12037" width="14" style="1820" customWidth="1"/>
    <col min="12038" max="12038" width="13.75" style="1820" customWidth="1"/>
    <col min="12039" max="12288" width="9" style="1820"/>
    <col min="12289" max="12289" width="23.25" style="1820" customWidth="1"/>
    <col min="12290" max="12290" width="16.75" style="1820" customWidth="1"/>
    <col min="12291" max="12291" width="4" style="1820" customWidth="1"/>
    <col min="12292" max="12292" width="13.5" style="1820" customWidth="1"/>
    <col min="12293" max="12293" width="14" style="1820" customWidth="1"/>
    <col min="12294" max="12294" width="13.75" style="1820" customWidth="1"/>
    <col min="12295" max="12544" width="9" style="1820"/>
    <col min="12545" max="12545" width="23.25" style="1820" customWidth="1"/>
    <col min="12546" max="12546" width="16.75" style="1820" customWidth="1"/>
    <col min="12547" max="12547" width="4" style="1820" customWidth="1"/>
    <col min="12548" max="12548" width="13.5" style="1820" customWidth="1"/>
    <col min="12549" max="12549" width="14" style="1820" customWidth="1"/>
    <col min="12550" max="12550" width="13.75" style="1820" customWidth="1"/>
    <col min="12551" max="12800" width="9" style="1820"/>
    <col min="12801" max="12801" width="23.25" style="1820" customWidth="1"/>
    <col min="12802" max="12802" width="16.75" style="1820" customWidth="1"/>
    <col min="12803" max="12803" width="4" style="1820" customWidth="1"/>
    <col min="12804" max="12804" width="13.5" style="1820" customWidth="1"/>
    <col min="12805" max="12805" width="14" style="1820" customWidth="1"/>
    <col min="12806" max="12806" width="13.75" style="1820" customWidth="1"/>
    <col min="12807" max="13056" width="9" style="1820"/>
    <col min="13057" max="13057" width="23.25" style="1820" customWidth="1"/>
    <col min="13058" max="13058" width="16.75" style="1820" customWidth="1"/>
    <col min="13059" max="13059" width="4" style="1820" customWidth="1"/>
    <col min="13060" max="13060" width="13.5" style="1820" customWidth="1"/>
    <col min="13061" max="13061" width="14" style="1820" customWidth="1"/>
    <col min="13062" max="13062" width="13.75" style="1820" customWidth="1"/>
    <col min="13063" max="13312" width="9" style="1820"/>
    <col min="13313" max="13313" width="23.25" style="1820" customWidth="1"/>
    <col min="13314" max="13314" width="16.75" style="1820" customWidth="1"/>
    <col min="13315" max="13315" width="4" style="1820" customWidth="1"/>
    <col min="13316" max="13316" width="13.5" style="1820" customWidth="1"/>
    <col min="13317" max="13317" width="14" style="1820" customWidth="1"/>
    <col min="13318" max="13318" width="13.75" style="1820" customWidth="1"/>
    <col min="13319" max="13568" width="9" style="1820"/>
    <col min="13569" max="13569" width="23.25" style="1820" customWidth="1"/>
    <col min="13570" max="13570" width="16.75" style="1820" customWidth="1"/>
    <col min="13571" max="13571" width="4" style="1820" customWidth="1"/>
    <col min="13572" max="13572" width="13.5" style="1820" customWidth="1"/>
    <col min="13573" max="13573" width="14" style="1820" customWidth="1"/>
    <col min="13574" max="13574" width="13.75" style="1820" customWidth="1"/>
    <col min="13575" max="13824" width="9" style="1820"/>
    <col min="13825" max="13825" width="23.25" style="1820" customWidth="1"/>
    <col min="13826" max="13826" width="16.75" style="1820" customWidth="1"/>
    <col min="13827" max="13827" width="4" style="1820" customWidth="1"/>
    <col min="13828" max="13828" width="13.5" style="1820" customWidth="1"/>
    <col min="13829" max="13829" width="14" style="1820" customWidth="1"/>
    <col min="13830" max="13830" width="13.75" style="1820" customWidth="1"/>
    <col min="13831" max="14080" width="9" style="1820"/>
    <col min="14081" max="14081" width="23.25" style="1820" customWidth="1"/>
    <col min="14082" max="14082" width="16.75" style="1820" customWidth="1"/>
    <col min="14083" max="14083" width="4" style="1820" customWidth="1"/>
    <col min="14084" max="14084" width="13.5" style="1820" customWidth="1"/>
    <col min="14085" max="14085" width="14" style="1820" customWidth="1"/>
    <col min="14086" max="14086" width="13.75" style="1820" customWidth="1"/>
    <col min="14087" max="14336" width="9" style="1820"/>
    <col min="14337" max="14337" width="23.25" style="1820" customWidth="1"/>
    <col min="14338" max="14338" width="16.75" style="1820" customWidth="1"/>
    <col min="14339" max="14339" width="4" style="1820" customWidth="1"/>
    <col min="14340" max="14340" width="13.5" style="1820" customWidth="1"/>
    <col min="14341" max="14341" width="14" style="1820" customWidth="1"/>
    <col min="14342" max="14342" width="13.75" style="1820" customWidth="1"/>
    <col min="14343" max="14592" width="9" style="1820"/>
    <col min="14593" max="14593" width="23.25" style="1820" customWidth="1"/>
    <col min="14594" max="14594" width="16.75" style="1820" customWidth="1"/>
    <col min="14595" max="14595" width="4" style="1820" customWidth="1"/>
    <col min="14596" max="14596" width="13.5" style="1820" customWidth="1"/>
    <col min="14597" max="14597" width="14" style="1820" customWidth="1"/>
    <col min="14598" max="14598" width="13.75" style="1820" customWidth="1"/>
    <col min="14599" max="14848" width="9" style="1820"/>
    <col min="14849" max="14849" width="23.25" style="1820" customWidth="1"/>
    <col min="14850" max="14850" width="16.75" style="1820" customWidth="1"/>
    <col min="14851" max="14851" width="4" style="1820" customWidth="1"/>
    <col min="14852" max="14852" width="13.5" style="1820" customWidth="1"/>
    <col min="14853" max="14853" width="14" style="1820" customWidth="1"/>
    <col min="14854" max="14854" width="13.75" style="1820" customWidth="1"/>
    <col min="14855" max="15104" width="9" style="1820"/>
    <col min="15105" max="15105" width="23.25" style="1820" customWidth="1"/>
    <col min="15106" max="15106" width="16.75" style="1820" customWidth="1"/>
    <col min="15107" max="15107" width="4" style="1820" customWidth="1"/>
    <col min="15108" max="15108" width="13.5" style="1820" customWidth="1"/>
    <col min="15109" max="15109" width="14" style="1820" customWidth="1"/>
    <col min="15110" max="15110" width="13.75" style="1820" customWidth="1"/>
    <col min="15111" max="15360" width="9" style="1820"/>
    <col min="15361" max="15361" width="23.25" style="1820" customWidth="1"/>
    <col min="15362" max="15362" width="16.75" style="1820" customWidth="1"/>
    <col min="15363" max="15363" width="4" style="1820" customWidth="1"/>
    <col min="15364" max="15364" width="13.5" style="1820" customWidth="1"/>
    <col min="15365" max="15365" width="14" style="1820" customWidth="1"/>
    <col min="15366" max="15366" width="13.75" style="1820" customWidth="1"/>
    <col min="15367" max="15616" width="9" style="1820"/>
    <col min="15617" max="15617" width="23.25" style="1820" customWidth="1"/>
    <col min="15618" max="15618" width="16.75" style="1820" customWidth="1"/>
    <col min="15619" max="15619" width="4" style="1820" customWidth="1"/>
    <col min="15620" max="15620" width="13.5" style="1820" customWidth="1"/>
    <col min="15621" max="15621" width="14" style="1820" customWidth="1"/>
    <col min="15622" max="15622" width="13.75" style="1820" customWidth="1"/>
    <col min="15623" max="15872" width="9" style="1820"/>
    <col min="15873" max="15873" width="23.25" style="1820" customWidth="1"/>
    <col min="15874" max="15874" width="16.75" style="1820" customWidth="1"/>
    <col min="15875" max="15875" width="4" style="1820" customWidth="1"/>
    <col min="15876" max="15876" width="13.5" style="1820" customWidth="1"/>
    <col min="15877" max="15877" width="14" style="1820" customWidth="1"/>
    <col min="15878" max="15878" width="13.75" style="1820" customWidth="1"/>
    <col min="15879" max="16128" width="9" style="1820"/>
    <col min="16129" max="16129" width="23.25" style="1820" customWidth="1"/>
    <col min="16130" max="16130" width="16.75" style="1820" customWidth="1"/>
    <col min="16131" max="16131" width="4" style="1820" customWidth="1"/>
    <col min="16132" max="16132" width="13.5" style="1820" customWidth="1"/>
    <col min="16133" max="16133" width="14" style="1820" customWidth="1"/>
    <col min="16134" max="16134" width="13.75" style="1820" customWidth="1"/>
    <col min="16135" max="16384" width="9" style="1820"/>
  </cols>
  <sheetData>
    <row r="1" spans="1:9" ht="41.25" customHeight="1">
      <c r="A1" s="3876" t="s">
        <v>5977</v>
      </c>
      <c r="B1" s="3876"/>
      <c r="C1" s="3876"/>
      <c r="D1" s="3876"/>
      <c r="E1" s="3856"/>
      <c r="F1" s="3856"/>
    </row>
    <row r="2" spans="1:9" ht="21.75" customHeight="1">
      <c r="A2" s="3860" t="s">
        <v>5978</v>
      </c>
      <c r="B2" s="3860"/>
      <c r="C2" s="3860"/>
      <c r="D2" s="3860"/>
      <c r="E2" s="1821"/>
    </row>
    <row r="3" spans="1:9" ht="21.75" customHeight="1">
      <c r="A3" s="3867" t="s">
        <v>5979</v>
      </c>
      <c r="B3" s="3867"/>
      <c r="C3" s="3868" t="str">
        <f>基本情况!C25&amp;""</f>
        <v>0</v>
      </c>
      <c r="D3" s="3868"/>
      <c r="E3" s="3869"/>
      <c r="F3" s="3869"/>
      <c r="I3" s="1822"/>
    </row>
    <row r="4" spans="1:9" ht="21.75" customHeight="1">
      <c r="A4" s="3867" t="s">
        <v>5980</v>
      </c>
      <c r="B4" s="3867"/>
      <c r="C4" s="3868" t="str">
        <f>基本情况!C11&amp;""</f>
        <v>0</v>
      </c>
      <c r="D4" s="3868"/>
      <c r="E4" s="3869"/>
      <c r="F4" s="3869"/>
    </row>
    <row r="5" spans="1:9" ht="21.75" customHeight="1">
      <c r="A5" s="3867" t="s">
        <v>5981</v>
      </c>
      <c r="B5" s="3867"/>
      <c r="C5" s="3868" t="str">
        <f>基本情况!C12&amp;""</f>
        <v>0</v>
      </c>
      <c r="D5" s="3868"/>
      <c r="E5" s="3869"/>
      <c r="F5" s="3869"/>
    </row>
    <row r="6" spans="1:9" ht="21.75" customHeight="1">
      <c r="A6" s="3867" t="s">
        <v>5982</v>
      </c>
      <c r="B6" s="3867"/>
      <c r="C6" s="3868" t="str">
        <f>基本情况!C15&amp;""</f>
        <v>0</v>
      </c>
      <c r="D6" s="3868"/>
      <c r="E6" s="3869"/>
      <c r="F6" s="3869"/>
    </row>
    <row r="7" spans="1:9" ht="21.75" customHeight="1">
      <c r="A7" s="3867" t="s">
        <v>5983</v>
      </c>
      <c r="B7" s="3867"/>
      <c r="C7" s="3873" t="str">
        <f>TEXT(基本情况!C53/10000,"#,##0.00")</f>
        <v>0.00</v>
      </c>
      <c r="D7" s="3873"/>
      <c r="E7" s="3874"/>
      <c r="F7" s="3874"/>
    </row>
    <row r="8" spans="1:9" ht="21.75" customHeight="1">
      <c r="A8" s="3867" t="s">
        <v>5984</v>
      </c>
      <c r="B8" s="3867"/>
      <c r="C8" s="3873" t="str">
        <f>TEXT(基本情况!F53/10000,"#,##0.00")</f>
        <v>0.00</v>
      </c>
      <c r="D8" s="3873"/>
      <c r="E8" s="3874"/>
      <c r="F8" s="3874"/>
    </row>
    <row r="9" spans="1:9" ht="21.75" customHeight="1">
      <c r="A9" s="3867" t="s">
        <v>5985</v>
      </c>
      <c r="B9" s="3867"/>
      <c r="C9" s="3868" t="e">
        <f>基本情况!D21</f>
        <v>#N/A</v>
      </c>
      <c r="D9" s="3868"/>
      <c r="E9" s="3869"/>
      <c r="F9" s="3869"/>
    </row>
    <row r="10" spans="1:9" ht="26.45" customHeight="1">
      <c r="A10" s="3867" t="s">
        <v>5986</v>
      </c>
      <c r="B10" s="3867"/>
      <c r="C10" s="3872" t="str">
        <f>基本情况!B26&amp;""</f>
        <v/>
      </c>
      <c r="D10" s="3872"/>
      <c r="E10" s="3875"/>
      <c r="F10" s="3875"/>
    </row>
    <row r="11" spans="1:9" ht="21.75" customHeight="1">
      <c r="A11" s="3867" t="s">
        <v>5987</v>
      </c>
      <c r="B11" s="3867"/>
      <c r="C11" s="3868" t="e">
        <f>基本情况!D22</f>
        <v>#N/A</v>
      </c>
      <c r="D11" s="3868"/>
      <c r="E11" s="3869"/>
      <c r="F11" s="3869"/>
    </row>
    <row r="12" spans="1:9" ht="21.75" customHeight="1">
      <c r="A12" s="3865" t="s">
        <v>5988</v>
      </c>
      <c r="B12" s="3865"/>
      <c r="C12" s="3868"/>
      <c r="D12" s="3868"/>
      <c r="E12" s="3869"/>
      <c r="F12" s="3869"/>
    </row>
    <row r="13" spans="1:9" ht="21.75" customHeight="1">
      <c r="A13" s="3865" t="str">
        <f>"   10．"&amp;IF(LEN(C13)=18,"统一社会代码","税务登记证号")</f>
        <v xml:space="preserve">   10．税务登记证号</v>
      </c>
      <c r="B13" s="3865"/>
      <c r="C13" s="3868" t="str">
        <f>基本情况!C32&amp;""</f>
        <v>0</v>
      </c>
      <c r="D13" s="3868"/>
      <c r="E13" s="3869"/>
      <c r="F13" s="3869"/>
    </row>
    <row r="14" spans="1:9" ht="21.75" customHeight="1">
      <c r="A14" s="3860" t="s">
        <v>5989</v>
      </c>
      <c r="B14" s="3860"/>
      <c r="C14" s="3860"/>
      <c r="D14" s="3860"/>
      <c r="E14" s="1823"/>
      <c r="F14" s="1824"/>
    </row>
    <row r="15" spans="1:9" ht="21.75" customHeight="1">
      <c r="A15" s="3867" t="s">
        <v>5990</v>
      </c>
      <c r="B15" s="3867"/>
      <c r="C15" s="3868" t="str">
        <f>基本情况!C18&amp;""</f>
        <v>小企业会计准则</v>
      </c>
      <c r="D15" s="3868"/>
      <c r="E15" s="3869"/>
      <c r="F15" s="3869"/>
    </row>
    <row r="16" spans="1:9" ht="21.75" customHeight="1">
      <c r="A16" s="1825" t="s">
        <v>5991</v>
      </c>
      <c r="B16" s="2119">
        <f>DATE(基本情况!$F$6,MONTH(基本情况!$F$7),DAY(基本情况!$F$7))</f>
        <v>42736</v>
      </c>
      <c r="C16" s="1826" t="s">
        <v>4804</v>
      </c>
      <c r="D16" s="3870">
        <f>DATE(基本情况!$F$6,MONTH(基本情况!$F$8),DAY(基本情况!$F$8))</f>
        <v>43100</v>
      </c>
      <c r="E16" s="3871">
        <f>DATE(基本情况!$F$6,MONTH(基本情况!$F$7),DAY(基本情况!$F$7))</f>
        <v>42736</v>
      </c>
      <c r="F16" s="1824"/>
    </row>
    <row r="17" spans="1:8" ht="53.25" customHeight="1">
      <c r="A17" s="1827" t="s">
        <v>5992</v>
      </c>
      <c r="B17" s="3872" t="s">
        <v>6358</v>
      </c>
      <c r="C17" s="3872"/>
      <c r="D17" s="3869"/>
      <c r="E17" s="3869"/>
      <c r="F17" s="3869"/>
    </row>
    <row r="18" spans="1:8" ht="27.75" customHeight="1">
      <c r="A18" s="3865" t="s">
        <v>5993</v>
      </c>
      <c r="B18" s="3865"/>
      <c r="C18" s="3865"/>
      <c r="D18" s="3865"/>
      <c r="E18" s="3856"/>
      <c r="F18" s="3856"/>
    </row>
    <row r="19" spans="1:8" ht="21.75" customHeight="1">
      <c r="A19" s="3865" t="s">
        <v>5994</v>
      </c>
      <c r="B19" s="3865"/>
      <c r="C19" s="3855"/>
      <c r="D19" s="3855"/>
      <c r="E19" s="1828"/>
    </row>
    <row r="20" spans="1:8" ht="21.75" customHeight="1">
      <c r="A20" s="3866" t="s">
        <v>5995</v>
      </c>
      <c r="B20" s="3866"/>
      <c r="C20" s="3866"/>
      <c r="D20" s="3866"/>
      <c r="E20" s="1821"/>
    </row>
    <row r="21" spans="1:8" ht="21.75" customHeight="1">
      <c r="A21" s="3860" t="str">
        <f>"   （一）纳税调整增加额为"&amp;TEXT(SUMIF(E23:E76,"&lt;9.99E+307"),"#,##0.00")&amp;"元，明细如下："</f>
        <v xml:space="preserve">   （一）纳税调整增加额为0.00元，明细如下：</v>
      </c>
      <c r="B21" s="3860"/>
      <c r="C21" s="3860"/>
      <c r="D21" s="3860"/>
      <c r="E21" s="3860"/>
      <c r="H21" s="1820" t="s">
        <v>5996</v>
      </c>
    </row>
    <row r="22" spans="1:8" ht="21.75" customHeight="1">
      <c r="A22" s="1829" t="s">
        <v>5424</v>
      </c>
      <c r="B22" s="1830" t="s">
        <v>5387</v>
      </c>
      <c r="C22" s="3864" t="s">
        <v>5349</v>
      </c>
      <c r="D22" s="3853"/>
      <c r="E22" s="1831" t="s">
        <v>5997</v>
      </c>
      <c r="F22" s="1829" t="s">
        <v>5998</v>
      </c>
      <c r="H22" s="1820">
        <f>IF(E23="",0,1)</f>
        <v>0</v>
      </c>
    </row>
    <row r="23" spans="1:8" ht="24" customHeight="1">
      <c r="A23" s="1832" t="str">
        <f>IFERROR(INDEX(调整事项!$C$8:$C$94,MATCH($G23,调整事项!$K$8:$K$94,0)),"")</f>
        <v/>
      </c>
      <c r="B23" s="1835" t="str">
        <f>IFERROR(INDEX(调整事项!$F$8:$F$94,MATCH($G23,调整事项!$K$8:$K$94,0)),"")</f>
        <v/>
      </c>
      <c r="C23" s="3859" t="str">
        <f>IFERROR(INDEX(调整事项!$G$8:$G$94,MATCH($G23,调整事项!$K$8:$K$94,0)),"")</f>
        <v/>
      </c>
      <c r="D23" s="3862"/>
      <c r="E23" s="2120" t="str">
        <f>IFERROR(INDEX(调整事项!$H$8:$H$94,MATCH($G23,调整事项!$K$8:$K$94,0)),"")</f>
        <v/>
      </c>
      <c r="F23" s="1835" t="s">
        <v>6357</v>
      </c>
      <c r="G23" s="1833" t="s">
        <v>6263</v>
      </c>
      <c r="H23" s="1820">
        <f>IF(E23="",0,1)</f>
        <v>0</v>
      </c>
    </row>
    <row r="24" spans="1:8" ht="24" customHeight="1">
      <c r="A24" s="1832" t="str">
        <f>IFERROR(INDEX(调整事项!$C$8:$C$94,MATCH($G24,调整事项!$K$8:$K$94,0)),"")</f>
        <v/>
      </c>
      <c r="B24" s="1835" t="str">
        <f>IFERROR(INDEX(调整事项!$F$8:$F$94,MATCH($G24,调整事项!$K$8:$K$94,0)),"")</f>
        <v/>
      </c>
      <c r="C24" s="3859" t="str">
        <f>IFERROR(INDEX(调整事项!$G$8:$G$94,MATCH($G24,调整事项!$K$8:$K$94,0)),"")</f>
        <v/>
      </c>
      <c r="D24" s="3862"/>
      <c r="E24" s="2120" t="str">
        <f>IFERROR(INDEX(调整事项!$H$8:$H$94,MATCH($G24,调整事项!$K$8:$K$94,0)),"")</f>
        <v/>
      </c>
      <c r="F24" s="1835" t="s">
        <v>6357</v>
      </c>
      <c r="G24" s="1833" t="s">
        <v>6264</v>
      </c>
      <c r="H24" s="1820">
        <f t="shared" ref="H24:H76" si="0">IF(E24="",0,1)</f>
        <v>0</v>
      </c>
    </row>
    <row r="25" spans="1:8" ht="24" customHeight="1">
      <c r="A25" s="1832" t="str">
        <f>IFERROR(INDEX(调整事项!$C$8:$C$94,MATCH($G25,调整事项!$K$8:$K$94,0)),"")</f>
        <v/>
      </c>
      <c r="B25" s="1835" t="str">
        <f>IFERROR(INDEX(调整事项!$F$8:$F$94,MATCH($G25,调整事项!$K$8:$K$94,0)),"")</f>
        <v/>
      </c>
      <c r="C25" s="3859" t="str">
        <f>IFERROR(INDEX(调整事项!$G$8:$G$94,MATCH($G25,调整事项!$K$8:$K$94,0)),"")</f>
        <v/>
      </c>
      <c r="D25" s="3862"/>
      <c r="E25" s="2120" t="str">
        <f>IFERROR(INDEX(调整事项!$H$8:$H$94,MATCH($G25,调整事项!$K$8:$K$94,0)),"")</f>
        <v/>
      </c>
      <c r="F25" s="1835" t="s">
        <v>6357</v>
      </c>
      <c r="G25" s="1833" t="s">
        <v>6265</v>
      </c>
      <c r="H25" s="1820">
        <f t="shared" si="0"/>
        <v>0</v>
      </c>
    </row>
    <row r="26" spans="1:8" ht="24" customHeight="1">
      <c r="A26" s="1832" t="str">
        <f>IFERROR(INDEX(调整事项!$C$8:$C$94,MATCH($G26,调整事项!$K$8:$K$94,0)),"")</f>
        <v/>
      </c>
      <c r="B26" s="1835" t="str">
        <f>IFERROR(INDEX(调整事项!$F$8:$F$94,MATCH($G26,调整事项!$K$8:$K$94,0)),"")</f>
        <v/>
      </c>
      <c r="C26" s="3859" t="str">
        <f>IFERROR(INDEX(调整事项!$G$8:$G$94,MATCH($G26,调整事项!$K$8:$K$94,0)),"")</f>
        <v/>
      </c>
      <c r="D26" s="3862"/>
      <c r="E26" s="2120" t="str">
        <f>IFERROR(INDEX(调整事项!$H$8:$H$94,MATCH($G26,调整事项!$K$8:$K$94,0)),"")</f>
        <v/>
      </c>
      <c r="F26" s="1835" t="s">
        <v>6357</v>
      </c>
      <c r="G26" s="1833" t="s">
        <v>6266</v>
      </c>
      <c r="H26" s="1820">
        <f t="shared" si="0"/>
        <v>0</v>
      </c>
    </row>
    <row r="27" spans="1:8" ht="24" customHeight="1">
      <c r="A27" s="1832" t="str">
        <f>IFERROR(INDEX(调整事项!$C$8:$C$94,MATCH($G27,调整事项!$K$8:$K$94,0)),"")</f>
        <v/>
      </c>
      <c r="B27" s="1835" t="str">
        <f>IFERROR(INDEX(调整事项!$F$8:$F$94,MATCH($G27,调整事项!$K$8:$K$94,0)),"")</f>
        <v/>
      </c>
      <c r="C27" s="3859" t="str">
        <f>IFERROR(INDEX(调整事项!$G$8:$G$94,MATCH($G27,调整事项!$K$8:$K$94,0)),"")</f>
        <v/>
      </c>
      <c r="D27" s="3862"/>
      <c r="E27" s="2120" t="str">
        <f>IFERROR(INDEX(调整事项!$H$8:$H$94,MATCH($G27,调整事项!$K$8:$K$94,0)),"")</f>
        <v/>
      </c>
      <c r="F27" s="1835" t="s">
        <v>6357</v>
      </c>
      <c r="G27" s="1833" t="s">
        <v>6267</v>
      </c>
      <c r="H27" s="1820">
        <f t="shared" si="0"/>
        <v>0</v>
      </c>
    </row>
    <row r="28" spans="1:8" ht="24" customHeight="1">
      <c r="A28" s="1832" t="str">
        <f>IFERROR(INDEX(调整事项!$C$8:$C$94,MATCH($G28,调整事项!$K$8:$K$94,0)),"")</f>
        <v/>
      </c>
      <c r="B28" s="1835" t="str">
        <f>IFERROR(INDEX(调整事项!$F$8:$F$94,MATCH($G28,调整事项!$K$8:$K$94,0)),"")</f>
        <v/>
      </c>
      <c r="C28" s="3859" t="str">
        <f>IFERROR(INDEX(调整事项!$G$8:$G$94,MATCH($G28,调整事项!$K$8:$K$94,0)),"")</f>
        <v/>
      </c>
      <c r="D28" s="3862"/>
      <c r="E28" s="2120" t="str">
        <f>IFERROR(INDEX(调整事项!$H$8:$H$94,MATCH($G28,调整事项!$K$8:$K$94,0)),"")</f>
        <v/>
      </c>
      <c r="F28" s="1835" t="s">
        <v>6357</v>
      </c>
      <c r="G28" s="1833" t="s">
        <v>6268</v>
      </c>
      <c r="H28" s="1820">
        <f t="shared" si="0"/>
        <v>0</v>
      </c>
    </row>
    <row r="29" spans="1:8" ht="24" customHeight="1">
      <c r="A29" s="1832" t="str">
        <f>IFERROR(INDEX(调整事项!$C$8:$C$94,MATCH($G29,调整事项!$K$8:$K$94,0)),"")</f>
        <v/>
      </c>
      <c r="B29" s="1835" t="str">
        <f>IFERROR(INDEX(调整事项!$F$8:$F$94,MATCH($G29,调整事项!$K$8:$K$94,0)),"")</f>
        <v/>
      </c>
      <c r="C29" s="3859" t="str">
        <f>IFERROR(INDEX(调整事项!$G$8:$G$94,MATCH($G29,调整事项!$K$8:$K$94,0)),"")</f>
        <v/>
      </c>
      <c r="D29" s="3862"/>
      <c r="E29" s="2120" t="str">
        <f>IFERROR(INDEX(调整事项!$H$8:$H$94,MATCH($G29,调整事项!$K$8:$K$94,0)),"")</f>
        <v/>
      </c>
      <c r="F29" s="1835" t="s">
        <v>6357</v>
      </c>
      <c r="G29" s="1833" t="s">
        <v>6269</v>
      </c>
      <c r="H29" s="1820">
        <f t="shared" si="0"/>
        <v>0</v>
      </c>
    </row>
    <row r="30" spans="1:8" ht="24" customHeight="1">
      <c r="A30" s="1832" t="str">
        <f>IFERROR(INDEX(调整事项!$C$8:$C$94,MATCH($G30,调整事项!$K$8:$K$94,0)),"")</f>
        <v/>
      </c>
      <c r="B30" s="1835" t="str">
        <f>IFERROR(INDEX(调整事项!$F$8:$F$94,MATCH($G30,调整事项!$K$8:$K$94,0)),"")</f>
        <v/>
      </c>
      <c r="C30" s="3859" t="str">
        <f>IFERROR(INDEX(调整事项!$G$8:$G$94,MATCH($G30,调整事项!$K$8:$K$94,0)),"")</f>
        <v/>
      </c>
      <c r="D30" s="3862"/>
      <c r="E30" s="2120" t="str">
        <f>IFERROR(INDEX(调整事项!$H$8:$H$94,MATCH($G30,调整事项!$K$8:$K$94,0)),"")</f>
        <v/>
      </c>
      <c r="F30" s="1835" t="s">
        <v>6357</v>
      </c>
      <c r="G30" s="1833" t="s">
        <v>6270</v>
      </c>
      <c r="H30" s="1820">
        <f t="shared" si="0"/>
        <v>0</v>
      </c>
    </row>
    <row r="31" spans="1:8" ht="24" customHeight="1">
      <c r="A31" s="1832" t="str">
        <f>IFERROR(INDEX(调整事项!$C$8:$C$94,MATCH($G31,调整事项!$K$8:$K$94,0)),"")</f>
        <v/>
      </c>
      <c r="B31" s="1835" t="str">
        <f>IFERROR(INDEX(调整事项!$F$8:$F$94,MATCH($G31,调整事项!$K$8:$K$94,0)),"")</f>
        <v/>
      </c>
      <c r="C31" s="3859" t="str">
        <f>IFERROR(INDEX(调整事项!$G$8:$G$94,MATCH($G31,调整事项!$K$8:$K$94,0)),"")</f>
        <v/>
      </c>
      <c r="D31" s="3862"/>
      <c r="E31" s="2120" t="str">
        <f>IFERROR(INDEX(调整事项!$H$8:$H$94,MATCH($G31,调整事项!$K$8:$K$94,0)),"")</f>
        <v/>
      </c>
      <c r="F31" s="1835" t="s">
        <v>6357</v>
      </c>
      <c r="G31" s="1833" t="s">
        <v>6271</v>
      </c>
      <c r="H31" s="1820">
        <f t="shared" si="0"/>
        <v>0</v>
      </c>
    </row>
    <row r="32" spans="1:8" ht="24" customHeight="1">
      <c r="A32" s="1832" t="str">
        <f>IFERROR(INDEX(调整事项!$C$8:$C$94,MATCH($G32,调整事项!$K$8:$K$94,0)),"")</f>
        <v/>
      </c>
      <c r="B32" s="1835" t="str">
        <f>IFERROR(INDEX(调整事项!$F$8:$F$94,MATCH($G32,调整事项!$K$8:$K$94,0)),"")</f>
        <v/>
      </c>
      <c r="C32" s="3859" t="str">
        <f>IFERROR(INDEX(调整事项!$G$8:$G$94,MATCH($G32,调整事项!$K$8:$K$94,0)),"")</f>
        <v/>
      </c>
      <c r="D32" s="3862"/>
      <c r="E32" s="2120" t="str">
        <f>IFERROR(INDEX(调整事项!$H$8:$H$94,MATCH($G32,调整事项!$K$8:$K$94,0)),"")</f>
        <v/>
      </c>
      <c r="F32" s="1835" t="s">
        <v>6357</v>
      </c>
      <c r="G32" s="1833" t="s">
        <v>6272</v>
      </c>
      <c r="H32" s="1820">
        <f t="shared" si="0"/>
        <v>0</v>
      </c>
    </row>
    <row r="33" spans="1:8" ht="24" customHeight="1">
      <c r="A33" s="1832" t="str">
        <f>IFERROR(INDEX(调整事项!$C$8:$C$94,MATCH($G33,调整事项!$K$8:$K$94,0)),"")</f>
        <v/>
      </c>
      <c r="B33" s="1835" t="str">
        <f>IFERROR(INDEX(调整事项!$F$8:$F$94,MATCH($G33,调整事项!$K$8:$K$94,0)),"")</f>
        <v/>
      </c>
      <c r="C33" s="3859" t="str">
        <f>IFERROR(INDEX(调整事项!$G$8:$G$94,MATCH($G33,调整事项!$K$8:$K$94,0)),"")</f>
        <v/>
      </c>
      <c r="D33" s="3862"/>
      <c r="E33" s="2120" t="str">
        <f>IFERROR(INDEX(调整事项!$H$8:$H$94,MATCH($G33,调整事项!$K$8:$K$94,0)),"")</f>
        <v/>
      </c>
      <c r="F33" s="1835" t="s">
        <v>6357</v>
      </c>
      <c r="G33" s="1833" t="s">
        <v>6273</v>
      </c>
      <c r="H33" s="1820">
        <f t="shared" si="0"/>
        <v>0</v>
      </c>
    </row>
    <row r="34" spans="1:8" ht="24" customHeight="1">
      <c r="A34" s="1832" t="str">
        <f>IFERROR(INDEX(调整事项!$C$8:$C$94,MATCH($G34,调整事项!$K$8:$K$94,0)),"")</f>
        <v/>
      </c>
      <c r="B34" s="1835" t="str">
        <f>IFERROR(INDEX(调整事项!$F$8:$F$94,MATCH($G34,调整事项!$K$8:$K$94,0)),"")</f>
        <v/>
      </c>
      <c r="C34" s="3859" t="str">
        <f>IFERROR(INDEX(调整事项!$G$8:$G$94,MATCH($G34,调整事项!$K$8:$K$94,0)),"")</f>
        <v/>
      </c>
      <c r="D34" s="3862"/>
      <c r="E34" s="2120" t="str">
        <f>IFERROR(INDEX(调整事项!$H$8:$H$94,MATCH($G34,调整事项!$K$8:$K$94,0)),"")</f>
        <v/>
      </c>
      <c r="F34" s="1835" t="s">
        <v>6357</v>
      </c>
      <c r="G34" s="1833" t="s">
        <v>6274</v>
      </c>
      <c r="H34" s="1820">
        <f t="shared" si="0"/>
        <v>0</v>
      </c>
    </row>
    <row r="35" spans="1:8" ht="24" customHeight="1">
      <c r="A35" s="1832" t="str">
        <f>IFERROR(INDEX(调整事项!$C$8:$C$94,MATCH($G35,调整事项!$K$8:$K$94,0)),"")</f>
        <v/>
      </c>
      <c r="B35" s="1835" t="str">
        <f>IFERROR(INDEX(调整事项!$F$8:$F$94,MATCH($G35,调整事项!$K$8:$K$94,0)),"")</f>
        <v/>
      </c>
      <c r="C35" s="3859" t="str">
        <f>IFERROR(INDEX(调整事项!$G$8:$G$94,MATCH($G35,调整事项!$K$8:$K$94,0)),"")</f>
        <v/>
      </c>
      <c r="D35" s="3862"/>
      <c r="E35" s="2120" t="str">
        <f>IFERROR(INDEX(调整事项!$H$8:$H$94,MATCH($G35,调整事项!$K$8:$K$94,0)),"")</f>
        <v/>
      </c>
      <c r="F35" s="1835" t="s">
        <v>6357</v>
      </c>
      <c r="G35" s="1833" t="s">
        <v>6275</v>
      </c>
      <c r="H35" s="1820">
        <f t="shared" si="0"/>
        <v>0</v>
      </c>
    </row>
    <row r="36" spans="1:8" ht="24" customHeight="1">
      <c r="A36" s="1832" t="str">
        <f>IFERROR(INDEX(调整事项!$C$8:$C$94,MATCH($G36,调整事项!$K$8:$K$94,0)),"")</f>
        <v/>
      </c>
      <c r="B36" s="1835" t="str">
        <f>IFERROR(INDEX(调整事项!$F$8:$F$94,MATCH($G36,调整事项!$K$8:$K$94,0)),"")</f>
        <v/>
      </c>
      <c r="C36" s="3859" t="str">
        <f>IFERROR(INDEX(调整事项!$G$8:$G$94,MATCH($G36,调整事项!$K$8:$K$94,0)),"")</f>
        <v/>
      </c>
      <c r="D36" s="3862"/>
      <c r="E36" s="2120" t="str">
        <f>IFERROR(INDEX(调整事项!$H$8:$H$94,MATCH($G36,调整事项!$K$8:$K$94,0)),"")</f>
        <v/>
      </c>
      <c r="F36" s="1835" t="s">
        <v>6357</v>
      </c>
      <c r="G36" s="1833" t="s">
        <v>6276</v>
      </c>
      <c r="H36" s="1820">
        <f t="shared" si="0"/>
        <v>0</v>
      </c>
    </row>
    <row r="37" spans="1:8" ht="24" customHeight="1">
      <c r="A37" s="1832" t="str">
        <f>IFERROR(INDEX(调整事项!$C$8:$C$94,MATCH($G37,调整事项!$K$8:$K$94,0)),"")</f>
        <v/>
      </c>
      <c r="B37" s="1835" t="str">
        <f>IFERROR(INDEX(调整事项!$F$8:$F$94,MATCH($G37,调整事项!$K$8:$K$94,0)),"")</f>
        <v/>
      </c>
      <c r="C37" s="3859" t="str">
        <f>IFERROR(INDEX(调整事项!$G$8:$G$94,MATCH($G37,调整事项!$K$8:$K$94,0)),"")</f>
        <v/>
      </c>
      <c r="D37" s="3862"/>
      <c r="E37" s="2120" t="str">
        <f>IFERROR(INDEX(调整事项!$H$8:$H$94,MATCH($G37,调整事项!$K$8:$K$94,0)),"")</f>
        <v/>
      </c>
      <c r="F37" s="1835" t="s">
        <v>6357</v>
      </c>
      <c r="G37" s="1833" t="s">
        <v>6277</v>
      </c>
      <c r="H37" s="1820">
        <f t="shared" si="0"/>
        <v>0</v>
      </c>
    </row>
    <row r="38" spans="1:8" ht="24" customHeight="1">
      <c r="A38" s="1832" t="str">
        <f>IFERROR(INDEX(调整事项!$C$8:$C$94,MATCH($G38,调整事项!$K$8:$K$94,0)),"")</f>
        <v/>
      </c>
      <c r="B38" s="1835" t="str">
        <f>IFERROR(INDEX(调整事项!$F$8:$F$94,MATCH($G38,调整事项!$K$8:$K$94,0)),"")</f>
        <v/>
      </c>
      <c r="C38" s="3859" t="str">
        <f>IFERROR(INDEX(调整事项!$G$8:$G$94,MATCH($G38,调整事项!$K$8:$K$94,0)),"")</f>
        <v/>
      </c>
      <c r="D38" s="3862"/>
      <c r="E38" s="2120" t="str">
        <f>IFERROR(INDEX(调整事项!$H$8:$H$94,MATCH($G38,调整事项!$K$8:$K$94,0)),"")</f>
        <v/>
      </c>
      <c r="F38" s="1835" t="s">
        <v>6357</v>
      </c>
      <c r="G38" s="1833" t="s">
        <v>6278</v>
      </c>
      <c r="H38" s="1820">
        <f t="shared" si="0"/>
        <v>0</v>
      </c>
    </row>
    <row r="39" spans="1:8" ht="24" customHeight="1">
      <c r="A39" s="1832" t="str">
        <f>IFERROR(INDEX(调整事项!$C$8:$C$94,MATCH($G39,调整事项!$K$8:$K$94,0)),"")</f>
        <v/>
      </c>
      <c r="B39" s="1835" t="str">
        <f>IFERROR(INDEX(调整事项!$F$8:$F$94,MATCH($G39,调整事项!$K$8:$K$94,0)),"")</f>
        <v/>
      </c>
      <c r="C39" s="3859" t="str">
        <f>IFERROR(INDEX(调整事项!$G$8:$G$94,MATCH($G39,调整事项!$K$8:$K$94,0)),"")</f>
        <v/>
      </c>
      <c r="D39" s="3862"/>
      <c r="E39" s="2120" t="str">
        <f>IFERROR(INDEX(调整事项!$H$8:$H$94,MATCH($G39,调整事项!$K$8:$K$94,0)),"")</f>
        <v/>
      </c>
      <c r="F39" s="1835" t="s">
        <v>6357</v>
      </c>
      <c r="G39" s="1833" t="s">
        <v>6279</v>
      </c>
      <c r="H39" s="1820">
        <f t="shared" si="0"/>
        <v>0</v>
      </c>
    </row>
    <row r="40" spans="1:8" ht="24" customHeight="1">
      <c r="A40" s="1832" t="str">
        <f>IFERROR(INDEX(调整事项!$C$8:$C$94,MATCH($G40,调整事项!$K$8:$K$94,0)),"")</f>
        <v/>
      </c>
      <c r="B40" s="1835" t="str">
        <f>IFERROR(INDEX(调整事项!$F$8:$F$94,MATCH($G40,调整事项!$K$8:$K$94,0)),"")</f>
        <v/>
      </c>
      <c r="C40" s="3859" t="str">
        <f>IFERROR(INDEX(调整事项!$G$8:$G$94,MATCH($G40,调整事项!$K$8:$K$94,0)),"")</f>
        <v/>
      </c>
      <c r="D40" s="3862"/>
      <c r="E40" s="2120" t="str">
        <f>IFERROR(INDEX(调整事项!$H$8:$H$94,MATCH($G40,调整事项!$K$8:$K$94,0)),"")</f>
        <v/>
      </c>
      <c r="F40" s="1835" t="s">
        <v>6357</v>
      </c>
      <c r="G40" s="1833" t="s">
        <v>6280</v>
      </c>
      <c r="H40" s="1820">
        <f t="shared" si="0"/>
        <v>0</v>
      </c>
    </row>
    <row r="41" spans="1:8" ht="24" customHeight="1">
      <c r="A41" s="1832" t="str">
        <f>IFERROR(INDEX(调整事项!$C$8:$C$94,MATCH($G41,调整事项!$K$8:$K$94,0)),"")</f>
        <v/>
      </c>
      <c r="B41" s="1835" t="str">
        <f>IFERROR(INDEX(调整事项!$F$8:$F$94,MATCH($G41,调整事项!$K$8:$K$94,0)),"")</f>
        <v/>
      </c>
      <c r="C41" s="3859" t="str">
        <f>IFERROR(INDEX(调整事项!$G$8:$G$94,MATCH($G41,调整事项!$K$8:$K$94,0)),"")</f>
        <v/>
      </c>
      <c r="D41" s="3862"/>
      <c r="E41" s="2120" t="str">
        <f>IFERROR(INDEX(调整事项!$H$8:$H$94,MATCH($G41,调整事项!$K$8:$K$94,0)),"")</f>
        <v/>
      </c>
      <c r="F41" s="1835" t="s">
        <v>6357</v>
      </c>
      <c r="G41" s="1833" t="s">
        <v>6281</v>
      </c>
      <c r="H41" s="1820">
        <f t="shared" si="0"/>
        <v>0</v>
      </c>
    </row>
    <row r="42" spans="1:8" ht="24" customHeight="1">
      <c r="A42" s="1832" t="str">
        <f>IFERROR(INDEX(调整事项!$C$8:$C$94,MATCH($G42,调整事项!$K$8:$K$94,0)),"")</f>
        <v/>
      </c>
      <c r="B42" s="1835" t="str">
        <f>IFERROR(INDEX(调整事项!$F$8:$F$94,MATCH($G42,调整事项!$K$8:$K$94,0)),"")</f>
        <v/>
      </c>
      <c r="C42" s="3859" t="str">
        <f>IFERROR(INDEX(调整事项!$G$8:$G$94,MATCH($G42,调整事项!$K$8:$K$94,0)),"")</f>
        <v/>
      </c>
      <c r="D42" s="3862"/>
      <c r="E42" s="2120" t="str">
        <f>IFERROR(INDEX(调整事项!$H$8:$H$94,MATCH($G42,调整事项!$K$8:$K$94,0)),"")</f>
        <v/>
      </c>
      <c r="F42" s="1835" t="s">
        <v>6357</v>
      </c>
      <c r="G42" s="1833" t="s">
        <v>6282</v>
      </c>
      <c r="H42" s="1820">
        <f t="shared" si="0"/>
        <v>0</v>
      </c>
    </row>
    <row r="43" spans="1:8" ht="24" customHeight="1">
      <c r="A43" s="1832" t="str">
        <f>IFERROR(INDEX(调整事项!$C$8:$C$94,MATCH($G43,调整事项!$K$8:$K$94,0)),"")</f>
        <v/>
      </c>
      <c r="B43" s="1835" t="str">
        <f>IFERROR(INDEX(调整事项!$F$8:$F$94,MATCH($G43,调整事项!$K$8:$K$94,0)),"")</f>
        <v/>
      </c>
      <c r="C43" s="3859" t="str">
        <f>IFERROR(INDEX(调整事项!$G$8:$G$94,MATCH($G43,调整事项!$K$8:$K$94,0)),"")</f>
        <v/>
      </c>
      <c r="D43" s="3862"/>
      <c r="E43" s="2120" t="str">
        <f>IFERROR(INDEX(调整事项!$H$8:$H$94,MATCH($G43,调整事项!$K$8:$K$94,0)),"")</f>
        <v/>
      </c>
      <c r="F43" s="1835" t="s">
        <v>6357</v>
      </c>
      <c r="G43" s="1833" t="s">
        <v>6283</v>
      </c>
      <c r="H43" s="1820">
        <f t="shared" si="0"/>
        <v>0</v>
      </c>
    </row>
    <row r="44" spans="1:8" ht="24" customHeight="1">
      <c r="A44" s="1832" t="str">
        <f>IFERROR(INDEX(调整事项!$C$8:$C$94,MATCH($G44,调整事项!$K$8:$K$94,0)),"")</f>
        <v/>
      </c>
      <c r="B44" s="1835" t="str">
        <f>IFERROR(INDEX(调整事项!$F$8:$F$94,MATCH($G44,调整事项!$K$8:$K$94,0)),"")</f>
        <v/>
      </c>
      <c r="C44" s="3859" t="str">
        <f>IFERROR(INDEX(调整事项!$G$8:$G$94,MATCH($G44,调整事项!$K$8:$K$94,0)),"")</f>
        <v/>
      </c>
      <c r="D44" s="3862"/>
      <c r="E44" s="2120" t="str">
        <f>IFERROR(INDEX(调整事项!$H$8:$H$94,MATCH($G44,调整事项!$K$8:$K$94,0)),"")</f>
        <v/>
      </c>
      <c r="F44" s="1835" t="s">
        <v>6357</v>
      </c>
      <c r="G44" s="1833" t="s">
        <v>6284</v>
      </c>
      <c r="H44" s="1820">
        <f t="shared" si="0"/>
        <v>0</v>
      </c>
    </row>
    <row r="45" spans="1:8" ht="24" customHeight="1">
      <c r="A45" s="1832" t="str">
        <f>IFERROR(INDEX(调整事项!$C$8:$C$94,MATCH($G45,调整事项!$K$8:$K$94,0)),"")</f>
        <v/>
      </c>
      <c r="B45" s="1835" t="str">
        <f>IFERROR(INDEX(调整事项!$F$8:$F$94,MATCH($G45,调整事项!$K$8:$K$94,0)),"")</f>
        <v/>
      </c>
      <c r="C45" s="3859" t="str">
        <f>IFERROR(INDEX(调整事项!$G$8:$G$94,MATCH($G45,调整事项!$K$8:$K$94,0)),"")</f>
        <v/>
      </c>
      <c r="D45" s="3862"/>
      <c r="E45" s="2120" t="str">
        <f>IFERROR(INDEX(调整事项!$H$8:$H$94,MATCH($G45,调整事项!$K$8:$K$94,0)),"")</f>
        <v/>
      </c>
      <c r="F45" s="1835" t="s">
        <v>6357</v>
      </c>
      <c r="G45" s="1833" t="s">
        <v>6285</v>
      </c>
      <c r="H45" s="1820">
        <f t="shared" si="0"/>
        <v>0</v>
      </c>
    </row>
    <row r="46" spans="1:8" ht="24" customHeight="1">
      <c r="A46" s="1832" t="str">
        <f>IFERROR(INDEX(调整事项!$C$8:$C$94,MATCH($G46,调整事项!$K$8:$K$94,0)),"")</f>
        <v/>
      </c>
      <c r="B46" s="1835" t="str">
        <f>IFERROR(INDEX(调整事项!$F$8:$F$94,MATCH($G46,调整事项!$K$8:$K$94,0)),"")</f>
        <v/>
      </c>
      <c r="C46" s="3859" t="str">
        <f>IFERROR(INDEX(调整事项!$G$8:$G$94,MATCH($G46,调整事项!$K$8:$K$94,0)),"")</f>
        <v/>
      </c>
      <c r="D46" s="3862"/>
      <c r="E46" s="2120" t="str">
        <f>IFERROR(INDEX(调整事项!$H$8:$H$94,MATCH($G46,调整事项!$K$8:$K$94,0)),"")</f>
        <v/>
      </c>
      <c r="F46" s="1835" t="s">
        <v>6357</v>
      </c>
      <c r="G46" s="1833" t="s">
        <v>6286</v>
      </c>
      <c r="H46" s="1820">
        <f t="shared" si="0"/>
        <v>0</v>
      </c>
    </row>
    <row r="47" spans="1:8" ht="24" customHeight="1">
      <c r="A47" s="1832" t="str">
        <f>IFERROR(INDEX(调整事项!$C$8:$C$94,MATCH($G47,调整事项!$K$8:$K$94,0)),"")</f>
        <v/>
      </c>
      <c r="B47" s="1835" t="str">
        <f>IFERROR(INDEX(调整事项!$F$8:$F$94,MATCH($G47,调整事项!$K$8:$K$94,0)),"")</f>
        <v/>
      </c>
      <c r="C47" s="3859" t="str">
        <f>IFERROR(INDEX(调整事项!$G$8:$G$94,MATCH($G47,调整事项!$K$8:$K$94,0)),"")</f>
        <v/>
      </c>
      <c r="D47" s="3862"/>
      <c r="E47" s="2120" t="str">
        <f>IFERROR(INDEX(调整事项!$H$8:$H$94,MATCH($G47,调整事项!$K$8:$K$94,0)),"")</f>
        <v/>
      </c>
      <c r="F47" s="1835" t="s">
        <v>6357</v>
      </c>
      <c r="G47" s="1833" t="s">
        <v>6287</v>
      </c>
      <c r="H47" s="1820">
        <f t="shared" si="0"/>
        <v>0</v>
      </c>
    </row>
    <row r="48" spans="1:8" ht="24" customHeight="1">
      <c r="A48" s="1832" t="str">
        <f>IFERROR(INDEX(调整事项!$C$8:$C$94,MATCH($G48,调整事项!$K$8:$K$94,0)),"")</f>
        <v/>
      </c>
      <c r="B48" s="1835" t="str">
        <f>IFERROR(INDEX(调整事项!$F$8:$F$94,MATCH($G48,调整事项!$K$8:$K$94,0)),"")</f>
        <v/>
      </c>
      <c r="C48" s="3859" t="str">
        <f>IFERROR(INDEX(调整事项!$G$8:$G$94,MATCH($G48,调整事项!$K$8:$K$94,0)),"")</f>
        <v/>
      </c>
      <c r="D48" s="3862"/>
      <c r="E48" s="2120" t="str">
        <f>IFERROR(INDEX(调整事项!$H$8:$H$94,MATCH($G48,调整事项!$K$8:$K$94,0)),"")</f>
        <v/>
      </c>
      <c r="F48" s="1835" t="s">
        <v>6357</v>
      </c>
      <c r="G48" s="1833" t="s">
        <v>6288</v>
      </c>
      <c r="H48" s="1820">
        <f t="shared" si="0"/>
        <v>0</v>
      </c>
    </row>
    <row r="49" spans="1:8" ht="24" customHeight="1">
      <c r="A49" s="1832" t="str">
        <f>IFERROR(INDEX(调整事项!$C$8:$C$94,MATCH($G49,调整事项!$K$8:$K$94,0)),"")</f>
        <v/>
      </c>
      <c r="B49" s="1835" t="str">
        <f>IFERROR(INDEX(调整事项!$F$8:$F$94,MATCH($G49,调整事项!$K$8:$K$94,0)),"")</f>
        <v/>
      </c>
      <c r="C49" s="3859" t="str">
        <f>IFERROR(INDEX(调整事项!$G$8:$G$94,MATCH($G49,调整事项!$K$8:$K$94,0)),"")</f>
        <v/>
      </c>
      <c r="D49" s="3862"/>
      <c r="E49" s="2120" t="str">
        <f>IFERROR(INDEX(调整事项!$H$8:$H$94,MATCH($G49,调整事项!$K$8:$K$94,0)),"")</f>
        <v/>
      </c>
      <c r="F49" s="1835" t="s">
        <v>6357</v>
      </c>
      <c r="G49" s="1833" t="s">
        <v>6289</v>
      </c>
      <c r="H49" s="1820">
        <f t="shared" si="0"/>
        <v>0</v>
      </c>
    </row>
    <row r="50" spans="1:8" ht="24" customHeight="1">
      <c r="A50" s="1832" t="str">
        <f>IFERROR(INDEX(调整事项!$C$8:$C$94,MATCH($G50,调整事项!$K$8:$K$94,0)),"")</f>
        <v/>
      </c>
      <c r="B50" s="1835" t="str">
        <f>IFERROR(INDEX(调整事项!$F$8:$F$94,MATCH($G50,调整事项!$K$8:$K$94,0)),"")</f>
        <v/>
      </c>
      <c r="C50" s="3859" t="str">
        <f>IFERROR(INDEX(调整事项!$G$8:$G$94,MATCH($G50,调整事项!$K$8:$K$94,0)),"")</f>
        <v/>
      </c>
      <c r="D50" s="3862"/>
      <c r="E50" s="2120" t="str">
        <f>IFERROR(INDEX(调整事项!$H$8:$H$94,MATCH($G50,调整事项!$K$8:$K$94,0)),"")</f>
        <v/>
      </c>
      <c r="F50" s="1835" t="s">
        <v>6357</v>
      </c>
      <c r="G50" s="1833" t="s">
        <v>6290</v>
      </c>
      <c r="H50" s="1820">
        <f t="shared" si="0"/>
        <v>0</v>
      </c>
    </row>
    <row r="51" spans="1:8" ht="24" customHeight="1">
      <c r="A51" s="1832" t="str">
        <f>IFERROR(INDEX(调整事项!$C$8:$C$94,MATCH($G51,调整事项!$K$8:$K$94,0)),"")</f>
        <v/>
      </c>
      <c r="B51" s="1835" t="str">
        <f>IFERROR(INDEX(调整事项!$F$8:$F$94,MATCH($G51,调整事项!$K$8:$K$94,0)),"")</f>
        <v/>
      </c>
      <c r="C51" s="3859" t="str">
        <f>IFERROR(INDEX(调整事项!$G$8:$G$94,MATCH($G51,调整事项!$K$8:$K$94,0)),"")</f>
        <v/>
      </c>
      <c r="D51" s="3862"/>
      <c r="E51" s="2120" t="str">
        <f>IFERROR(INDEX(调整事项!$H$8:$H$94,MATCH($G51,调整事项!$K$8:$K$94,0)),"")</f>
        <v/>
      </c>
      <c r="F51" s="1835" t="s">
        <v>6357</v>
      </c>
      <c r="G51" s="1833" t="s">
        <v>6291</v>
      </c>
      <c r="H51" s="1820">
        <f t="shared" si="0"/>
        <v>0</v>
      </c>
    </row>
    <row r="52" spans="1:8" ht="24" customHeight="1">
      <c r="A52" s="1832" t="str">
        <f>IFERROR(INDEX(调整事项!$C$8:$C$94,MATCH($G52,调整事项!$K$8:$K$94,0)),"")</f>
        <v/>
      </c>
      <c r="B52" s="1835" t="str">
        <f>IFERROR(INDEX(调整事项!$F$8:$F$94,MATCH($G52,调整事项!$K$8:$K$94,0)),"")</f>
        <v/>
      </c>
      <c r="C52" s="3859" t="str">
        <f>IFERROR(INDEX(调整事项!$G$8:$G$94,MATCH($G52,调整事项!$K$8:$K$94,0)),"")</f>
        <v/>
      </c>
      <c r="D52" s="3862"/>
      <c r="E52" s="2120" t="str">
        <f>IFERROR(INDEX(调整事项!$H$8:$H$94,MATCH($G52,调整事项!$K$8:$K$94,0)),"")</f>
        <v/>
      </c>
      <c r="F52" s="1835" t="s">
        <v>6357</v>
      </c>
      <c r="G52" s="1833" t="s">
        <v>6292</v>
      </c>
      <c r="H52" s="1820">
        <f t="shared" si="0"/>
        <v>0</v>
      </c>
    </row>
    <row r="53" spans="1:8" ht="24" customHeight="1">
      <c r="A53" s="1832" t="str">
        <f>IFERROR(INDEX(调整事项!$C$8:$C$94,MATCH($G53,调整事项!$K$8:$K$94,0)),"")</f>
        <v/>
      </c>
      <c r="B53" s="1835" t="str">
        <f>IFERROR(INDEX(调整事项!$F$8:$F$94,MATCH($G53,调整事项!$K$8:$K$94,0)),"")</f>
        <v/>
      </c>
      <c r="C53" s="3859" t="str">
        <f>IFERROR(INDEX(调整事项!$G$8:$G$94,MATCH($G53,调整事项!$K$8:$K$94,0)),"")</f>
        <v/>
      </c>
      <c r="D53" s="3862"/>
      <c r="E53" s="2120" t="str">
        <f>IFERROR(INDEX(调整事项!$H$8:$H$94,MATCH($G53,调整事项!$K$8:$K$94,0)),"")</f>
        <v/>
      </c>
      <c r="F53" s="1835" t="s">
        <v>6357</v>
      </c>
      <c r="G53" s="1833" t="s">
        <v>6293</v>
      </c>
      <c r="H53" s="1820">
        <f t="shared" si="0"/>
        <v>0</v>
      </c>
    </row>
    <row r="54" spans="1:8" ht="24" customHeight="1">
      <c r="A54" s="1832" t="str">
        <f>IFERROR(INDEX(调整事项!$C$8:$C$94,MATCH($G54,调整事项!$K$8:$K$94,0)),"")</f>
        <v/>
      </c>
      <c r="B54" s="1835" t="str">
        <f>IFERROR(INDEX(调整事项!$F$8:$F$94,MATCH($G54,调整事项!$K$8:$K$94,0)),"")</f>
        <v/>
      </c>
      <c r="C54" s="3859" t="str">
        <f>IFERROR(INDEX(调整事项!$G$8:$G$94,MATCH($G54,调整事项!$K$8:$K$94,0)),"")</f>
        <v/>
      </c>
      <c r="D54" s="3862"/>
      <c r="E54" s="2120" t="str">
        <f>IFERROR(INDEX(调整事项!$H$8:$H$94,MATCH($G54,调整事项!$K$8:$K$94,0)),"")</f>
        <v/>
      </c>
      <c r="F54" s="1835" t="s">
        <v>6357</v>
      </c>
      <c r="G54" s="1833" t="s">
        <v>6294</v>
      </c>
      <c r="H54" s="1820">
        <f t="shared" si="0"/>
        <v>0</v>
      </c>
    </row>
    <row r="55" spans="1:8" ht="24" customHeight="1">
      <c r="A55" s="1832" t="str">
        <f>IFERROR(INDEX(调整事项!$C$8:$C$94,MATCH($G55,调整事项!$K$8:$K$94,0)),"")</f>
        <v/>
      </c>
      <c r="B55" s="1835" t="str">
        <f>IFERROR(INDEX(调整事项!$F$8:$F$94,MATCH($G55,调整事项!$K$8:$K$94,0)),"")</f>
        <v/>
      </c>
      <c r="C55" s="3859" t="str">
        <f>IFERROR(INDEX(调整事项!$G$8:$G$94,MATCH($G55,调整事项!$K$8:$K$94,0)),"")</f>
        <v/>
      </c>
      <c r="D55" s="3862"/>
      <c r="E55" s="2120" t="str">
        <f>IFERROR(INDEX(调整事项!$H$8:$H$94,MATCH($G55,调整事项!$K$8:$K$94,0)),"")</f>
        <v/>
      </c>
      <c r="F55" s="1835" t="s">
        <v>6357</v>
      </c>
      <c r="G55" s="1833" t="s">
        <v>6295</v>
      </c>
      <c r="H55" s="1820">
        <f t="shared" si="0"/>
        <v>0</v>
      </c>
    </row>
    <row r="56" spans="1:8" ht="24" customHeight="1">
      <c r="A56" s="1832" t="str">
        <f>IFERROR(INDEX(调整事项!$C$8:$C$94,MATCH($G56,调整事项!$K$8:$K$94,0)),"")</f>
        <v/>
      </c>
      <c r="B56" s="1835" t="str">
        <f>IFERROR(INDEX(调整事项!$F$8:$F$94,MATCH($G56,调整事项!$K$8:$K$94,0)),"")</f>
        <v/>
      </c>
      <c r="C56" s="3859" t="str">
        <f>IFERROR(INDEX(调整事项!$G$8:$G$94,MATCH($G56,调整事项!$K$8:$K$94,0)),"")</f>
        <v/>
      </c>
      <c r="D56" s="3862"/>
      <c r="E56" s="2120" t="str">
        <f>IFERROR(INDEX(调整事项!$H$8:$H$94,MATCH($G56,调整事项!$K$8:$K$94,0)),"")</f>
        <v/>
      </c>
      <c r="F56" s="1835" t="s">
        <v>6357</v>
      </c>
      <c r="G56" s="1833" t="s">
        <v>6296</v>
      </c>
      <c r="H56" s="1820">
        <f t="shared" si="0"/>
        <v>0</v>
      </c>
    </row>
    <row r="57" spans="1:8" ht="24" customHeight="1">
      <c r="A57" s="1832" t="str">
        <f>IFERROR(INDEX(调整事项!$C$8:$C$94,MATCH($G57,调整事项!$K$8:$K$94,0)),"")</f>
        <v/>
      </c>
      <c r="B57" s="1835" t="str">
        <f>IFERROR(INDEX(调整事项!$F$8:$F$94,MATCH($G57,调整事项!$K$8:$K$94,0)),"")</f>
        <v/>
      </c>
      <c r="C57" s="3859" t="str">
        <f>IFERROR(INDEX(调整事项!$G$8:$G$94,MATCH($G57,调整事项!$K$8:$K$94,0)),"")</f>
        <v/>
      </c>
      <c r="D57" s="3862"/>
      <c r="E57" s="2120" t="str">
        <f>IFERROR(INDEX(调整事项!$H$8:$H$94,MATCH($G57,调整事项!$K$8:$K$94,0)),"")</f>
        <v/>
      </c>
      <c r="F57" s="1835" t="s">
        <v>6357</v>
      </c>
      <c r="G57" s="1833" t="s">
        <v>6297</v>
      </c>
      <c r="H57" s="1820">
        <f t="shared" si="0"/>
        <v>0</v>
      </c>
    </row>
    <row r="58" spans="1:8" ht="24" customHeight="1">
      <c r="A58" s="1832" t="str">
        <f>IFERROR(INDEX(调整事项!$C$8:$C$94,MATCH($G58,调整事项!$K$8:$K$94,0)),"")</f>
        <v/>
      </c>
      <c r="B58" s="1835" t="str">
        <f>IFERROR(INDEX(调整事项!$F$8:$F$94,MATCH($G58,调整事项!$K$8:$K$94,0)),"")</f>
        <v/>
      </c>
      <c r="C58" s="3859" t="str">
        <f>IFERROR(INDEX(调整事项!$G$8:$G$94,MATCH($G58,调整事项!$K$8:$K$94,0)),"")</f>
        <v/>
      </c>
      <c r="D58" s="3862"/>
      <c r="E58" s="2120" t="str">
        <f>IFERROR(INDEX(调整事项!$H$8:$H$94,MATCH($G58,调整事项!$K$8:$K$94,0)),"")</f>
        <v/>
      </c>
      <c r="F58" s="1835" t="s">
        <v>6357</v>
      </c>
      <c r="G58" s="1833" t="s">
        <v>6298</v>
      </c>
      <c r="H58" s="1820">
        <f t="shared" si="0"/>
        <v>0</v>
      </c>
    </row>
    <row r="59" spans="1:8" ht="24" customHeight="1">
      <c r="A59" s="1832" t="str">
        <f>IFERROR(INDEX(调整事项!$C$8:$C$94,MATCH($G59,调整事项!$K$8:$K$94,0)),"")</f>
        <v/>
      </c>
      <c r="B59" s="1835" t="str">
        <f>IFERROR(INDEX(调整事项!$F$8:$F$94,MATCH($G59,调整事项!$K$8:$K$94,0)),"")</f>
        <v/>
      </c>
      <c r="C59" s="3859" t="str">
        <f>IFERROR(INDEX(调整事项!$G$8:$G$94,MATCH($G59,调整事项!$K$8:$K$94,0)),"")</f>
        <v/>
      </c>
      <c r="D59" s="3862"/>
      <c r="E59" s="2120" t="str">
        <f>IFERROR(INDEX(调整事项!$H$8:$H$94,MATCH($G59,调整事项!$K$8:$K$94,0)),"")</f>
        <v/>
      </c>
      <c r="F59" s="1835" t="s">
        <v>6357</v>
      </c>
      <c r="G59" s="1833" t="s">
        <v>6299</v>
      </c>
      <c r="H59" s="1820">
        <f t="shared" si="0"/>
        <v>0</v>
      </c>
    </row>
    <row r="60" spans="1:8" ht="24" customHeight="1">
      <c r="A60" s="1832" t="str">
        <f>IFERROR(INDEX(调整事项!$C$8:$C$94,MATCH($G60,调整事项!$K$8:$K$94,0)),"")</f>
        <v/>
      </c>
      <c r="B60" s="1835" t="str">
        <f>IFERROR(INDEX(调整事项!$F$8:$F$94,MATCH($G60,调整事项!$K$8:$K$94,0)),"")</f>
        <v/>
      </c>
      <c r="C60" s="3859" t="str">
        <f>IFERROR(INDEX(调整事项!$G$8:$G$94,MATCH($G60,调整事项!$K$8:$K$94,0)),"")</f>
        <v/>
      </c>
      <c r="D60" s="3862"/>
      <c r="E60" s="2120" t="str">
        <f>IFERROR(INDEX(调整事项!$H$8:$H$94,MATCH($G60,调整事项!$K$8:$K$94,0)),"")</f>
        <v/>
      </c>
      <c r="F60" s="1835" t="s">
        <v>6357</v>
      </c>
      <c r="G60" s="1833" t="s">
        <v>6300</v>
      </c>
      <c r="H60" s="1820">
        <f t="shared" si="0"/>
        <v>0</v>
      </c>
    </row>
    <row r="61" spans="1:8" ht="24" customHeight="1">
      <c r="A61" s="1832" t="str">
        <f>IFERROR(INDEX(调整事项!$C$8:$C$94,MATCH($G61,调整事项!$K$8:$K$94,0)),"")</f>
        <v/>
      </c>
      <c r="B61" s="1835" t="str">
        <f>IFERROR(INDEX(调整事项!$F$8:$F$94,MATCH($G61,调整事项!$K$8:$K$94,0)),"")</f>
        <v/>
      </c>
      <c r="C61" s="3859" t="str">
        <f>IFERROR(INDEX(调整事项!$G$8:$G$94,MATCH($G61,调整事项!$K$8:$K$94,0)),"")</f>
        <v/>
      </c>
      <c r="D61" s="3862"/>
      <c r="E61" s="2120" t="str">
        <f>IFERROR(INDEX(调整事项!$H$8:$H$94,MATCH($G61,调整事项!$K$8:$K$94,0)),"")</f>
        <v/>
      </c>
      <c r="F61" s="1835" t="s">
        <v>6357</v>
      </c>
      <c r="G61" s="1833" t="s">
        <v>6301</v>
      </c>
      <c r="H61" s="1820">
        <f t="shared" si="0"/>
        <v>0</v>
      </c>
    </row>
    <row r="62" spans="1:8" ht="24" customHeight="1">
      <c r="A62" s="1832" t="str">
        <f>IFERROR(INDEX(调整事项!$C$8:$C$94,MATCH($G62,调整事项!$K$8:$K$94,0)),"")</f>
        <v/>
      </c>
      <c r="B62" s="1835" t="str">
        <f>IFERROR(INDEX(调整事项!$F$8:$F$94,MATCH($G62,调整事项!$K$8:$K$94,0)),"")</f>
        <v/>
      </c>
      <c r="C62" s="3859" t="str">
        <f>IFERROR(INDEX(调整事项!$G$8:$G$94,MATCH($G62,调整事项!$K$8:$K$94,0)),"")</f>
        <v/>
      </c>
      <c r="D62" s="3862"/>
      <c r="E62" s="2120" t="str">
        <f>IFERROR(INDEX(调整事项!$H$8:$H$94,MATCH($G62,调整事项!$K$8:$K$94,0)),"")</f>
        <v/>
      </c>
      <c r="F62" s="1835" t="s">
        <v>6357</v>
      </c>
      <c r="G62" s="1833" t="s">
        <v>6302</v>
      </c>
      <c r="H62" s="1820">
        <f t="shared" si="0"/>
        <v>0</v>
      </c>
    </row>
    <row r="63" spans="1:8" ht="24" customHeight="1">
      <c r="A63" s="1832" t="str">
        <f>IFERROR(INDEX(调整事项!$C$8:$C$94,MATCH($G63,调整事项!$K$8:$K$94,0)),"")</f>
        <v/>
      </c>
      <c r="B63" s="1835" t="str">
        <f>IFERROR(INDEX(调整事项!$F$8:$F$94,MATCH($G63,调整事项!$K$8:$K$94,0)),"")</f>
        <v/>
      </c>
      <c r="C63" s="3859" t="str">
        <f>IFERROR(INDEX(调整事项!$G$8:$G$94,MATCH($G63,调整事项!$K$8:$K$94,0)),"")</f>
        <v/>
      </c>
      <c r="D63" s="3862"/>
      <c r="E63" s="2120" t="str">
        <f>IFERROR(INDEX(调整事项!$H$8:$H$94,MATCH($G63,调整事项!$K$8:$K$94,0)),"")</f>
        <v/>
      </c>
      <c r="F63" s="1835" t="s">
        <v>6357</v>
      </c>
      <c r="G63" s="1833" t="s">
        <v>6303</v>
      </c>
      <c r="H63" s="1820">
        <f t="shared" si="0"/>
        <v>0</v>
      </c>
    </row>
    <row r="64" spans="1:8" ht="24" customHeight="1">
      <c r="A64" s="1832" t="str">
        <f>IFERROR(INDEX(调整事项!$C$8:$C$94,MATCH($G64,调整事项!$K$8:$K$94,0)),"")</f>
        <v/>
      </c>
      <c r="B64" s="1835" t="str">
        <f>IFERROR(INDEX(调整事项!$F$8:$F$94,MATCH($G64,调整事项!$K$8:$K$94,0)),"")</f>
        <v/>
      </c>
      <c r="C64" s="3859" t="str">
        <f>IFERROR(INDEX(调整事项!$G$8:$G$94,MATCH($G64,调整事项!$K$8:$K$94,0)),"")</f>
        <v/>
      </c>
      <c r="D64" s="3862"/>
      <c r="E64" s="2120" t="str">
        <f>IFERROR(INDEX(调整事项!$H$8:$H$94,MATCH($G64,调整事项!$K$8:$K$94,0)),"")</f>
        <v/>
      </c>
      <c r="F64" s="1835" t="s">
        <v>6357</v>
      </c>
      <c r="G64" s="1833" t="s">
        <v>6304</v>
      </c>
      <c r="H64" s="1820">
        <f t="shared" si="0"/>
        <v>0</v>
      </c>
    </row>
    <row r="65" spans="1:8" ht="24" customHeight="1">
      <c r="A65" s="1832" t="str">
        <f>IFERROR(INDEX(调整事项!$C$8:$C$94,MATCH($G65,调整事项!$K$8:$K$94,0)),"")</f>
        <v/>
      </c>
      <c r="B65" s="1835" t="str">
        <f>IFERROR(INDEX(调整事项!$F$8:$F$94,MATCH($G65,调整事项!$K$8:$K$94,0)),"")</f>
        <v/>
      </c>
      <c r="C65" s="3859" t="str">
        <f>IFERROR(INDEX(调整事项!$G$8:$G$94,MATCH($G65,调整事项!$K$8:$K$94,0)),"")</f>
        <v/>
      </c>
      <c r="D65" s="3862"/>
      <c r="E65" s="2120" t="str">
        <f>IFERROR(INDEX(调整事项!$H$8:$H$94,MATCH($G65,调整事项!$K$8:$K$94,0)),"")</f>
        <v/>
      </c>
      <c r="F65" s="1835" t="s">
        <v>6357</v>
      </c>
      <c r="G65" s="1833" t="s">
        <v>6305</v>
      </c>
      <c r="H65" s="1820">
        <f t="shared" si="0"/>
        <v>0</v>
      </c>
    </row>
    <row r="66" spans="1:8" ht="24" customHeight="1">
      <c r="A66" s="1832" t="str">
        <f>IFERROR(INDEX(调整事项!$C$8:$C$94,MATCH($G66,调整事项!$K$8:$K$94,0)),"")</f>
        <v/>
      </c>
      <c r="B66" s="1835" t="str">
        <f>IFERROR(INDEX(调整事项!$F$8:$F$94,MATCH($G66,调整事项!$K$8:$K$94,0)),"")</f>
        <v/>
      </c>
      <c r="C66" s="3859" t="str">
        <f>IFERROR(INDEX(调整事项!$G$8:$G$94,MATCH($G66,调整事项!$K$8:$K$94,0)),"")</f>
        <v/>
      </c>
      <c r="D66" s="3862"/>
      <c r="E66" s="2120" t="str">
        <f>IFERROR(INDEX(调整事项!$H$8:$H$94,MATCH($G66,调整事项!$K$8:$K$94,0)),"")</f>
        <v/>
      </c>
      <c r="F66" s="1835" t="s">
        <v>6357</v>
      </c>
      <c r="G66" s="1833" t="s">
        <v>6306</v>
      </c>
      <c r="H66" s="1820">
        <f t="shared" si="0"/>
        <v>0</v>
      </c>
    </row>
    <row r="67" spans="1:8" ht="24" customHeight="1">
      <c r="A67" s="1832" t="str">
        <f>IFERROR(INDEX(调整事项!$C$8:$C$94,MATCH($G67,调整事项!$K$8:$K$94,0)),"")</f>
        <v/>
      </c>
      <c r="B67" s="1835" t="str">
        <f>IFERROR(INDEX(调整事项!$F$8:$F$94,MATCH($G67,调整事项!$K$8:$K$94,0)),"")</f>
        <v/>
      </c>
      <c r="C67" s="3859" t="str">
        <f>IFERROR(INDEX(调整事项!$G$8:$G$94,MATCH($G67,调整事项!$K$8:$K$94,0)),"")</f>
        <v/>
      </c>
      <c r="D67" s="3862"/>
      <c r="E67" s="2120" t="str">
        <f>IFERROR(INDEX(调整事项!$H$8:$H$94,MATCH($G67,调整事项!$K$8:$K$94,0)),"")</f>
        <v/>
      </c>
      <c r="F67" s="1835" t="s">
        <v>6357</v>
      </c>
      <c r="G67" s="1833" t="s">
        <v>6307</v>
      </c>
      <c r="H67" s="1820">
        <f t="shared" si="0"/>
        <v>0</v>
      </c>
    </row>
    <row r="68" spans="1:8" ht="24" customHeight="1">
      <c r="A68" s="1832" t="str">
        <f>IFERROR(INDEX(调整事项!$C$8:$C$94,MATCH($G68,调整事项!$K$8:$K$94,0)),"")</f>
        <v/>
      </c>
      <c r="B68" s="1835" t="str">
        <f>IFERROR(INDEX(调整事项!$F$8:$F$94,MATCH($G68,调整事项!$K$8:$K$94,0)),"")</f>
        <v/>
      </c>
      <c r="C68" s="3859" t="str">
        <f>IFERROR(INDEX(调整事项!$G$8:$G$94,MATCH($G68,调整事项!$K$8:$K$94,0)),"")</f>
        <v/>
      </c>
      <c r="D68" s="3862"/>
      <c r="E68" s="2120" t="str">
        <f>IFERROR(INDEX(调整事项!$H$8:$H$94,MATCH($G68,调整事项!$K$8:$K$94,0)),"")</f>
        <v/>
      </c>
      <c r="F68" s="1835" t="s">
        <v>6357</v>
      </c>
      <c r="G68" s="1833" t="s">
        <v>6308</v>
      </c>
      <c r="H68" s="1820">
        <f t="shared" si="0"/>
        <v>0</v>
      </c>
    </row>
    <row r="69" spans="1:8" ht="24" customHeight="1">
      <c r="A69" s="1832" t="str">
        <f>IFERROR(INDEX(调整事项!$C$8:$C$94,MATCH($G69,调整事项!$K$8:$K$94,0)),"")</f>
        <v/>
      </c>
      <c r="B69" s="1835" t="str">
        <f>IFERROR(INDEX(调整事项!$F$8:$F$94,MATCH($G69,调整事项!$K$8:$K$94,0)),"")</f>
        <v/>
      </c>
      <c r="C69" s="3859" t="str">
        <f>IFERROR(INDEX(调整事项!$G$8:$G$94,MATCH($G69,调整事项!$K$8:$K$94,0)),"")</f>
        <v/>
      </c>
      <c r="D69" s="3862"/>
      <c r="E69" s="2120" t="str">
        <f>IFERROR(INDEX(调整事项!$H$8:$H$94,MATCH($G69,调整事项!$K$8:$K$94,0)),"")</f>
        <v/>
      </c>
      <c r="F69" s="1835" t="s">
        <v>6357</v>
      </c>
      <c r="G69" s="1833" t="s">
        <v>6309</v>
      </c>
      <c r="H69" s="1820">
        <f t="shared" si="0"/>
        <v>0</v>
      </c>
    </row>
    <row r="70" spans="1:8" ht="24" customHeight="1">
      <c r="A70" s="1832" t="str">
        <f>IFERROR(INDEX(调整事项!$C$8:$C$94,MATCH($G70,调整事项!$K$8:$K$94,0)),"")</f>
        <v/>
      </c>
      <c r="B70" s="1835" t="str">
        <f>IFERROR(INDEX(调整事项!$F$8:$F$94,MATCH($G70,调整事项!$K$8:$K$94,0)),"")</f>
        <v/>
      </c>
      <c r="C70" s="3859" t="str">
        <f>IFERROR(INDEX(调整事项!$G$8:$G$94,MATCH($G70,调整事项!$K$8:$K$94,0)),"")</f>
        <v/>
      </c>
      <c r="D70" s="3862"/>
      <c r="E70" s="2120" t="str">
        <f>IFERROR(INDEX(调整事项!$H$8:$H$94,MATCH($G70,调整事项!$K$8:$K$94,0)),"")</f>
        <v/>
      </c>
      <c r="F70" s="1835" t="s">
        <v>6357</v>
      </c>
      <c r="G70" s="1833" t="s">
        <v>6310</v>
      </c>
      <c r="H70" s="1820">
        <f t="shared" si="0"/>
        <v>0</v>
      </c>
    </row>
    <row r="71" spans="1:8" ht="24" customHeight="1">
      <c r="A71" s="1832" t="str">
        <f>IFERROR(INDEX(调整事项!$C$8:$C$94,MATCH($G71,调整事项!$K$8:$K$94,0)),"")</f>
        <v/>
      </c>
      <c r="B71" s="1835" t="str">
        <f>IFERROR(INDEX(调整事项!$F$8:$F$94,MATCH($G71,调整事项!$K$8:$K$94,0)),"")</f>
        <v/>
      </c>
      <c r="C71" s="3859" t="str">
        <f>IFERROR(INDEX(调整事项!$G$8:$G$94,MATCH($G71,调整事项!$K$8:$K$94,0)),"")</f>
        <v/>
      </c>
      <c r="D71" s="3862"/>
      <c r="E71" s="2120" t="str">
        <f>IFERROR(INDEX(调整事项!$H$8:$H$94,MATCH($G71,调整事项!$K$8:$K$94,0)),"")</f>
        <v/>
      </c>
      <c r="F71" s="1835" t="s">
        <v>6357</v>
      </c>
      <c r="G71" s="1833" t="s">
        <v>6311</v>
      </c>
      <c r="H71" s="1820">
        <f t="shared" si="0"/>
        <v>0</v>
      </c>
    </row>
    <row r="72" spans="1:8" ht="24" customHeight="1">
      <c r="A72" s="1832" t="str">
        <f>IFERROR(INDEX(调整事项!$C$8:$C$94,MATCH($G72,调整事项!$K$8:$K$94,0)),"")</f>
        <v/>
      </c>
      <c r="B72" s="1835" t="str">
        <f>IFERROR(INDEX(调整事项!$F$8:$F$94,MATCH($G72,调整事项!$K$8:$K$94,0)),"")</f>
        <v/>
      </c>
      <c r="C72" s="3859" t="str">
        <f>IFERROR(INDEX(调整事项!$G$8:$G$94,MATCH($G72,调整事项!$K$8:$K$94,0)),"")</f>
        <v/>
      </c>
      <c r="D72" s="3862"/>
      <c r="E72" s="2120" t="str">
        <f>IFERROR(INDEX(调整事项!$H$8:$H$94,MATCH($G72,调整事项!$K$8:$K$94,0)),"")</f>
        <v/>
      </c>
      <c r="F72" s="1835" t="s">
        <v>6357</v>
      </c>
      <c r="G72" s="1833" t="s">
        <v>6312</v>
      </c>
      <c r="H72" s="1820">
        <f t="shared" si="0"/>
        <v>0</v>
      </c>
    </row>
    <row r="73" spans="1:8" ht="24" customHeight="1">
      <c r="A73" s="1832" t="str">
        <f>IFERROR(INDEX(调整事项!$C$8:$C$94,MATCH($G73,调整事项!$K$8:$K$94,0)),"")</f>
        <v/>
      </c>
      <c r="B73" s="1835" t="str">
        <f>IFERROR(INDEX(调整事项!$F$8:$F$94,MATCH($G73,调整事项!$K$8:$K$94,0)),"")</f>
        <v/>
      </c>
      <c r="C73" s="3859" t="str">
        <f>IFERROR(INDEX(调整事项!$G$8:$G$94,MATCH($G73,调整事项!$K$8:$K$94,0)),"")</f>
        <v/>
      </c>
      <c r="D73" s="3862"/>
      <c r="E73" s="2120" t="str">
        <f>IFERROR(INDEX(调整事项!$H$8:$H$94,MATCH($G73,调整事项!$K$8:$K$94,0)),"")</f>
        <v/>
      </c>
      <c r="F73" s="1835" t="s">
        <v>6357</v>
      </c>
      <c r="G73" s="1833" t="s">
        <v>6313</v>
      </c>
      <c r="H73" s="1820">
        <f t="shared" si="0"/>
        <v>0</v>
      </c>
    </row>
    <row r="74" spans="1:8" ht="24" customHeight="1">
      <c r="A74" s="1832" t="str">
        <f>IFERROR(INDEX(调整事项!$C$8:$C$94,MATCH($G74,调整事项!$K$8:$K$94,0)),"")</f>
        <v/>
      </c>
      <c r="B74" s="1835" t="str">
        <f>IFERROR(INDEX(调整事项!$F$8:$F$94,MATCH($G74,调整事项!$K$8:$K$94,0)),"")</f>
        <v/>
      </c>
      <c r="C74" s="3859" t="str">
        <f>IFERROR(INDEX(调整事项!$G$8:$G$94,MATCH($G74,调整事项!$K$8:$K$94,0)),"")</f>
        <v/>
      </c>
      <c r="D74" s="3862"/>
      <c r="E74" s="2120" t="str">
        <f>IFERROR(INDEX(调整事项!$H$8:$H$94,MATCH($G74,调整事项!$K$8:$K$94,0)),"")</f>
        <v/>
      </c>
      <c r="F74" s="1835" t="s">
        <v>6357</v>
      </c>
      <c r="G74" s="1833" t="s">
        <v>6314</v>
      </c>
      <c r="H74" s="1820">
        <f t="shared" si="0"/>
        <v>0</v>
      </c>
    </row>
    <row r="75" spans="1:8" ht="24" customHeight="1">
      <c r="A75" s="1832" t="str">
        <f>IFERROR(INDEX(调整事项!$C$8:$C$94,MATCH($G75,调整事项!$K$8:$K$94,0)),"")</f>
        <v/>
      </c>
      <c r="B75" s="1835" t="str">
        <f>IFERROR(INDEX(调整事项!$F$8:$F$94,MATCH($G75,调整事项!$K$8:$K$94,0)),"")</f>
        <v/>
      </c>
      <c r="C75" s="3859" t="str">
        <f>IFERROR(INDEX(调整事项!$G$8:$G$94,MATCH($G75,调整事项!$K$8:$K$94,0)),"")</f>
        <v/>
      </c>
      <c r="D75" s="3862"/>
      <c r="E75" s="2120" t="str">
        <f>IFERROR(INDEX(调整事项!$H$8:$H$94,MATCH($G75,调整事项!$K$8:$K$94,0)),"")</f>
        <v/>
      </c>
      <c r="F75" s="1835" t="s">
        <v>6357</v>
      </c>
      <c r="G75" s="1833" t="s">
        <v>6315</v>
      </c>
      <c r="H75" s="1820">
        <f t="shared" si="0"/>
        <v>0</v>
      </c>
    </row>
    <row r="76" spans="1:8" ht="24" customHeight="1">
      <c r="A76" s="1832" t="str">
        <f>IFERROR(INDEX(调整事项!$C$8:$C$94,MATCH($G76,调整事项!$K$8:$K$94,0)),"")</f>
        <v/>
      </c>
      <c r="B76" s="1835" t="str">
        <f>IFERROR(INDEX(调整事项!$F$8:$F$94,MATCH($G76,调整事项!$K$8:$K$94,0)),"")</f>
        <v/>
      </c>
      <c r="C76" s="3859" t="str">
        <f>IFERROR(INDEX(调整事项!$G$8:$G$94,MATCH($G76,调整事项!$K$8:$K$94,0)),"")</f>
        <v/>
      </c>
      <c r="D76" s="3862"/>
      <c r="E76" s="2120" t="str">
        <f>IFERROR(INDEX(调整事项!$H$8:$H$94,MATCH($G76,调整事项!$K$8:$K$94,0)),"")</f>
        <v/>
      </c>
      <c r="F76" s="1835" t="s">
        <v>6357</v>
      </c>
      <c r="G76" s="1833" t="s">
        <v>6316</v>
      </c>
      <c r="H76" s="1820">
        <f t="shared" si="0"/>
        <v>0</v>
      </c>
    </row>
    <row r="77" spans="1:8" ht="18" customHeight="1">
      <c r="A77" s="1834" t="s">
        <v>5999</v>
      </c>
      <c r="B77" s="1834"/>
      <c r="C77" s="1834"/>
      <c r="D77" s="1834"/>
      <c r="E77" s="1834"/>
      <c r="H77" s="1820">
        <f>IF(E23="",1,0)</f>
        <v>1</v>
      </c>
    </row>
    <row r="78" spans="1:8" ht="21.6" customHeight="1">
      <c r="A78" s="3863" t="str">
        <f>"   （二）纳税调整减少额为"&amp;TEXT(SUMIF(E80:E119,"&lt;9.99E+307"),"#,##0.00")&amp;"元，明细如下："</f>
        <v xml:space="preserve">   （二）纳税调整减少额为0.00元，明细如下：</v>
      </c>
      <c r="B78" s="3863"/>
      <c r="C78" s="3863"/>
      <c r="D78" s="3863"/>
      <c r="E78" s="3863"/>
      <c r="H78" s="1820">
        <v>1</v>
      </c>
    </row>
    <row r="79" spans="1:8" ht="21.75" customHeight="1">
      <c r="A79" s="1829" t="s">
        <v>5424</v>
      </c>
      <c r="B79" s="1830" t="s">
        <v>5387</v>
      </c>
      <c r="C79" s="3864" t="s">
        <v>5349</v>
      </c>
      <c r="D79" s="3853"/>
      <c r="E79" s="1831" t="s">
        <v>6000</v>
      </c>
      <c r="F79" s="1829" t="s">
        <v>5998</v>
      </c>
      <c r="H79" s="1820">
        <f>IF(E80="",0,1)</f>
        <v>0</v>
      </c>
    </row>
    <row r="80" spans="1:8" ht="24" customHeight="1">
      <c r="A80" s="1832" t="str">
        <f>IFERROR(INDEX(调整事项!$C$8:$C$94,MATCH($G80,调整事项!$K$8:$K$94,0)),"")</f>
        <v/>
      </c>
      <c r="B80" s="1835" t="str">
        <f>IFERROR(INDEX(调整事项!$F$8:$F$94,MATCH($G80,调整事项!$K$8:$K$94,0)),"")</f>
        <v/>
      </c>
      <c r="C80" s="3859" t="str">
        <f>IFERROR(INDEX(调整事项!$G$8:$G$94,MATCH($G80,调整事项!$K$8:$K$94,0)),"")</f>
        <v/>
      </c>
      <c r="D80" s="3797"/>
      <c r="E80" s="2121" t="str">
        <f>IFERROR(INDEX(调整事项!$I$8:$I$94,MATCH($G80,调整事项!$K$8:$K$94,0)),"")</f>
        <v/>
      </c>
      <c r="F80" s="1835" t="s">
        <v>5169</v>
      </c>
      <c r="G80" s="1833" t="s">
        <v>6317</v>
      </c>
      <c r="H80" s="1820">
        <f>IF(E80="",0,1)</f>
        <v>0</v>
      </c>
    </row>
    <row r="81" spans="1:8" ht="24" customHeight="1">
      <c r="A81" s="1832" t="str">
        <f>IFERROR(INDEX(调整事项!$C$8:$C$94,MATCH($G81,调整事项!$K$8:$K$94,0)),"")</f>
        <v/>
      </c>
      <c r="B81" s="1835" t="str">
        <f>IFERROR(INDEX(调整事项!$F$8:$F$94,MATCH($G81,调整事项!$K$8:$K$94,0)),"")</f>
        <v/>
      </c>
      <c r="C81" s="3859" t="str">
        <f>IFERROR(INDEX(调整事项!$G$8:$G$94,MATCH($G81,调整事项!$K$8:$K$94,0)),"")</f>
        <v/>
      </c>
      <c r="D81" s="3797"/>
      <c r="E81" s="2121" t="str">
        <f>IFERROR(INDEX(调整事项!$I$8:$I$94,MATCH($G81,调整事项!$K$8:$K$94,0)),"")</f>
        <v/>
      </c>
      <c r="F81" s="1835" t="s">
        <v>5169</v>
      </c>
      <c r="G81" s="1833" t="s">
        <v>6318</v>
      </c>
      <c r="H81" s="1820">
        <f t="shared" ref="H81:H119" si="1">IF(E81="",0,1)</f>
        <v>0</v>
      </c>
    </row>
    <row r="82" spans="1:8" ht="24" customHeight="1">
      <c r="A82" s="1832" t="str">
        <f>IFERROR(INDEX(调整事项!$C$8:$C$94,MATCH($G82,调整事项!$K$8:$K$94,0)),"")</f>
        <v/>
      </c>
      <c r="B82" s="1835" t="str">
        <f>IFERROR(INDEX(调整事项!$F$8:$F$94,MATCH($G82,调整事项!$K$8:$K$94,0)),"")</f>
        <v/>
      </c>
      <c r="C82" s="3859" t="str">
        <f>IFERROR(INDEX(调整事项!$G$8:$G$94,MATCH($G82,调整事项!$K$8:$K$94,0)),"")</f>
        <v/>
      </c>
      <c r="D82" s="3797"/>
      <c r="E82" s="2121" t="str">
        <f>IFERROR(INDEX(调整事项!$I$8:$I$94,MATCH($G82,调整事项!$K$8:$K$94,0)),"")</f>
        <v/>
      </c>
      <c r="F82" s="1835" t="s">
        <v>5169</v>
      </c>
      <c r="G82" s="1833" t="s">
        <v>6319</v>
      </c>
      <c r="H82" s="1820">
        <f t="shared" si="1"/>
        <v>0</v>
      </c>
    </row>
    <row r="83" spans="1:8" ht="24" customHeight="1">
      <c r="A83" s="1832" t="str">
        <f>IFERROR(INDEX(调整事项!$C$8:$C$94,MATCH($G83,调整事项!$K$8:$K$94,0)),"")</f>
        <v/>
      </c>
      <c r="B83" s="1835" t="str">
        <f>IFERROR(INDEX(调整事项!$F$8:$F$94,MATCH($G83,调整事项!$K$8:$K$94,0)),"")</f>
        <v/>
      </c>
      <c r="C83" s="3859" t="str">
        <f>IFERROR(INDEX(调整事项!$G$8:$G$94,MATCH($G83,调整事项!$K$8:$K$94,0)),"")</f>
        <v/>
      </c>
      <c r="D83" s="3797"/>
      <c r="E83" s="2121" t="str">
        <f>IFERROR(INDEX(调整事项!$I$8:$I$94,MATCH($G83,调整事项!$K$8:$K$94,0)),"")</f>
        <v/>
      </c>
      <c r="F83" s="1835" t="s">
        <v>5169</v>
      </c>
      <c r="G83" s="1833" t="s">
        <v>6320</v>
      </c>
      <c r="H83" s="1820">
        <f t="shared" si="1"/>
        <v>0</v>
      </c>
    </row>
    <row r="84" spans="1:8" ht="24" customHeight="1">
      <c r="A84" s="1832" t="str">
        <f>IFERROR(INDEX(调整事项!$C$8:$C$94,MATCH($G84,调整事项!$K$8:$K$94,0)),"")</f>
        <v/>
      </c>
      <c r="B84" s="1835" t="str">
        <f>IFERROR(INDEX(调整事项!$F$8:$F$94,MATCH($G84,调整事项!$K$8:$K$94,0)),"")</f>
        <v/>
      </c>
      <c r="C84" s="3859" t="str">
        <f>IFERROR(INDEX(调整事项!$G$8:$G$94,MATCH($G84,调整事项!$K$8:$K$94,0)),"")</f>
        <v/>
      </c>
      <c r="D84" s="3797"/>
      <c r="E84" s="2121" t="str">
        <f>IFERROR(INDEX(调整事项!$I$8:$I$94,MATCH($G84,调整事项!$K$8:$K$94,0)),"")</f>
        <v/>
      </c>
      <c r="F84" s="1835" t="s">
        <v>5169</v>
      </c>
      <c r="G84" s="1833" t="s">
        <v>6321</v>
      </c>
      <c r="H84" s="1820">
        <f t="shared" si="1"/>
        <v>0</v>
      </c>
    </row>
    <row r="85" spans="1:8" ht="24" customHeight="1">
      <c r="A85" s="1832" t="str">
        <f>IFERROR(INDEX(调整事项!$C$8:$C$94,MATCH($G85,调整事项!$K$8:$K$94,0)),"")</f>
        <v/>
      </c>
      <c r="B85" s="1835" t="str">
        <f>IFERROR(INDEX(调整事项!$F$8:$F$94,MATCH($G85,调整事项!$K$8:$K$94,0)),"")</f>
        <v/>
      </c>
      <c r="C85" s="3859" t="str">
        <f>IFERROR(INDEX(调整事项!$G$8:$G$94,MATCH($G85,调整事项!$K$8:$K$94,0)),"")</f>
        <v/>
      </c>
      <c r="D85" s="3797"/>
      <c r="E85" s="2121" t="str">
        <f>IFERROR(INDEX(调整事项!$I$8:$I$94,MATCH($G85,调整事项!$K$8:$K$94,0)),"")</f>
        <v/>
      </c>
      <c r="F85" s="1835" t="s">
        <v>5169</v>
      </c>
      <c r="G85" s="1833" t="s">
        <v>6322</v>
      </c>
      <c r="H85" s="1820">
        <f t="shared" si="1"/>
        <v>0</v>
      </c>
    </row>
    <row r="86" spans="1:8" ht="24" customHeight="1">
      <c r="A86" s="1832" t="str">
        <f>IFERROR(INDEX(调整事项!$C$8:$C$94,MATCH($G86,调整事项!$K$8:$K$94,0)),"")</f>
        <v/>
      </c>
      <c r="B86" s="1835" t="str">
        <f>IFERROR(INDEX(调整事项!$F$8:$F$94,MATCH($G86,调整事项!$K$8:$K$94,0)),"")</f>
        <v/>
      </c>
      <c r="C86" s="3859" t="str">
        <f>IFERROR(INDEX(调整事项!$G$8:$G$94,MATCH($G86,调整事项!$K$8:$K$94,0)),"")</f>
        <v/>
      </c>
      <c r="D86" s="3797"/>
      <c r="E86" s="2121" t="str">
        <f>IFERROR(INDEX(调整事项!$I$8:$I$94,MATCH($G86,调整事项!$K$8:$K$94,0)),"")</f>
        <v/>
      </c>
      <c r="F86" s="1835" t="s">
        <v>5169</v>
      </c>
      <c r="G86" s="1833" t="s">
        <v>6323</v>
      </c>
      <c r="H86" s="1820">
        <f t="shared" si="1"/>
        <v>0</v>
      </c>
    </row>
    <row r="87" spans="1:8" ht="24" customHeight="1">
      <c r="A87" s="1832" t="str">
        <f>IFERROR(INDEX(调整事项!$C$8:$C$94,MATCH($G87,调整事项!$K$8:$K$94,0)),"")</f>
        <v/>
      </c>
      <c r="B87" s="1835" t="str">
        <f>IFERROR(INDEX(调整事项!$F$8:$F$94,MATCH($G87,调整事项!$K$8:$K$94,0)),"")</f>
        <v/>
      </c>
      <c r="C87" s="3859" t="str">
        <f>IFERROR(INDEX(调整事项!$G$8:$G$94,MATCH($G87,调整事项!$K$8:$K$94,0)),"")</f>
        <v/>
      </c>
      <c r="D87" s="3797"/>
      <c r="E87" s="2121" t="str">
        <f>IFERROR(INDEX(调整事项!$I$8:$I$94,MATCH($G87,调整事项!$K$8:$K$94,0)),"")</f>
        <v/>
      </c>
      <c r="F87" s="1835" t="s">
        <v>5169</v>
      </c>
      <c r="G87" s="1833" t="s">
        <v>6324</v>
      </c>
      <c r="H87" s="1820">
        <f t="shared" si="1"/>
        <v>0</v>
      </c>
    </row>
    <row r="88" spans="1:8" ht="24" customHeight="1">
      <c r="A88" s="1832" t="str">
        <f>IFERROR(INDEX(调整事项!$C$8:$C$94,MATCH($G88,调整事项!$K$8:$K$94,0)),"")</f>
        <v/>
      </c>
      <c r="B88" s="1835" t="str">
        <f>IFERROR(INDEX(调整事项!$F$8:$F$94,MATCH($G88,调整事项!$K$8:$K$94,0)),"")</f>
        <v/>
      </c>
      <c r="C88" s="3859" t="str">
        <f>IFERROR(INDEX(调整事项!$G$8:$G$94,MATCH($G88,调整事项!$K$8:$K$94,0)),"")</f>
        <v/>
      </c>
      <c r="D88" s="3797"/>
      <c r="E88" s="2121" t="str">
        <f>IFERROR(INDEX(调整事项!$I$8:$I$94,MATCH($G88,调整事项!$K$8:$K$94,0)),"")</f>
        <v/>
      </c>
      <c r="F88" s="1835" t="s">
        <v>5169</v>
      </c>
      <c r="G88" s="1833" t="s">
        <v>6325</v>
      </c>
      <c r="H88" s="1820">
        <f t="shared" si="1"/>
        <v>0</v>
      </c>
    </row>
    <row r="89" spans="1:8" ht="24" customHeight="1">
      <c r="A89" s="1832" t="str">
        <f>IFERROR(INDEX(调整事项!$C$8:$C$94,MATCH($G89,调整事项!$K$8:$K$94,0)),"")</f>
        <v/>
      </c>
      <c r="B89" s="1835" t="str">
        <f>IFERROR(INDEX(调整事项!$F$8:$F$94,MATCH($G89,调整事项!$K$8:$K$94,0)),"")</f>
        <v/>
      </c>
      <c r="C89" s="3859" t="str">
        <f>IFERROR(INDEX(调整事项!$G$8:$G$94,MATCH($G89,调整事项!$K$8:$K$94,0)),"")</f>
        <v/>
      </c>
      <c r="D89" s="3797"/>
      <c r="E89" s="2121" t="str">
        <f>IFERROR(INDEX(调整事项!$I$8:$I$94,MATCH($G89,调整事项!$K$8:$K$94,0)),"")</f>
        <v/>
      </c>
      <c r="F89" s="1835" t="s">
        <v>5169</v>
      </c>
      <c r="G89" s="1833" t="s">
        <v>6326</v>
      </c>
      <c r="H89" s="1820">
        <f t="shared" si="1"/>
        <v>0</v>
      </c>
    </row>
    <row r="90" spans="1:8" ht="24" customHeight="1">
      <c r="A90" s="1832" t="str">
        <f>IFERROR(INDEX(调整事项!$C$8:$C$94,MATCH($G90,调整事项!$K$8:$K$94,0)),"")</f>
        <v/>
      </c>
      <c r="B90" s="1835" t="str">
        <f>IFERROR(INDEX(调整事项!$F$8:$F$94,MATCH($G90,调整事项!$K$8:$K$94,0)),"")</f>
        <v/>
      </c>
      <c r="C90" s="3859" t="str">
        <f>IFERROR(INDEX(调整事项!$G$8:$G$94,MATCH($G90,调整事项!$K$8:$K$94,0)),"")</f>
        <v/>
      </c>
      <c r="D90" s="3797"/>
      <c r="E90" s="2121" t="str">
        <f>IFERROR(INDEX(调整事项!$I$8:$I$94,MATCH($G90,调整事项!$K$8:$K$94,0)),"")</f>
        <v/>
      </c>
      <c r="F90" s="1835" t="s">
        <v>5169</v>
      </c>
      <c r="G90" s="1833" t="s">
        <v>6327</v>
      </c>
      <c r="H90" s="1820">
        <f t="shared" si="1"/>
        <v>0</v>
      </c>
    </row>
    <row r="91" spans="1:8" ht="24" customHeight="1">
      <c r="A91" s="1832" t="str">
        <f>IFERROR(INDEX(调整事项!$C$8:$C$94,MATCH($G91,调整事项!$K$8:$K$94,0)),"")</f>
        <v/>
      </c>
      <c r="B91" s="1835" t="str">
        <f>IFERROR(INDEX(调整事项!$F$8:$F$94,MATCH($G91,调整事项!$K$8:$K$94,0)),"")</f>
        <v/>
      </c>
      <c r="C91" s="3859" t="str">
        <f>IFERROR(INDEX(调整事项!$G$8:$G$94,MATCH($G91,调整事项!$K$8:$K$94,0)),"")</f>
        <v/>
      </c>
      <c r="D91" s="3797"/>
      <c r="E91" s="2121" t="str">
        <f>IFERROR(INDEX(调整事项!$I$8:$I$94,MATCH($G91,调整事项!$K$8:$K$94,0)),"")</f>
        <v/>
      </c>
      <c r="F91" s="1835" t="s">
        <v>5169</v>
      </c>
      <c r="G91" s="1833" t="s">
        <v>6328</v>
      </c>
      <c r="H91" s="1820">
        <f t="shared" si="1"/>
        <v>0</v>
      </c>
    </row>
    <row r="92" spans="1:8" ht="24" customHeight="1">
      <c r="A92" s="1832" t="str">
        <f>IFERROR(INDEX(调整事项!$C$8:$C$94,MATCH($G92,调整事项!$K$8:$K$94,0)),"")</f>
        <v/>
      </c>
      <c r="B92" s="1835" t="str">
        <f>IFERROR(INDEX(调整事项!$F$8:$F$94,MATCH($G92,调整事项!$K$8:$K$94,0)),"")</f>
        <v/>
      </c>
      <c r="C92" s="3859" t="str">
        <f>IFERROR(INDEX(调整事项!$G$8:$G$94,MATCH($G92,调整事项!$K$8:$K$94,0)),"")</f>
        <v/>
      </c>
      <c r="D92" s="3797"/>
      <c r="E92" s="2121" t="str">
        <f>IFERROR(INDEX(调整事项!$I$8:$I$94,MATCH($G92,调整事项!$K$8:$K$94,0)),"")</f>
        <v/>
      </c>
      <c r="F92" s="1835" t="s">
        <v>5169</v>
      </c>
      <c r="G92" s="1833" t="s">
        <v>6329</v>
      </c>
      <c r="H92" s="1820">
        <f t="shared" si="1"/>
        <v>0</v>
      </c>
    </row>
    <row r="93" spans="1:8" ht="24" customHeight="1">
      <c r="A93" s="1832" t="str">
        <f>IFERROR(INDEX(调整事项!$C$8:$C$94,MATCH($G93,调整事项!$K$8:$K$94,0)),"")</f>
        <v/>
      </c>
      <c r="B93" s="1835" t="str">
        <f>IFERROR(INDEX(调整事项!$F$8:$F$94,MATCH($G93,调整事项!$K$8:$K$94,0)),"")</f>
        <v/>
      </c>
      <c r="C93" s="3859" t="str">
        <f>IFERROR(INDEX(调整事项!$G$8:$G$94,MATCH($G93,调整事项!$K$8:$K$94,0)),"")</f>
        <v/>
      </c>
      <c r="D93" s="3797"/>
      <c r="E93" s="2121" t="str">
        <f>IFERROR(INDEX(调整事项!$I$8:$I$94,MATCH($G93,调整事项!$K$8:$K$94,0)),"")</f>
        <v/>
      </c>
      <c r="F93" s="1835" t="s">
        <v>5169</v>
      </c>
      <c r="G93" s="1833" t="s">
        <v>6330</v>
      </c>
      <c r="H93" s="1820">
        <f t="shared" si="1"/>
        <v>0</v>
      </c>
    </row>
    <row r="94" spans="1:8" ht="24" customHeight="1">
      <c r="A94" s="1832" t="str">
        <f>IFERROR(INDEX(调整事项!$C$8:$C$94,MATCH($G94,调整事项!$K$8:$K$94,0)),"")</f>
        <v/>
      </c>
      <c r="B94" s="1835" t="str">
        <f>IFERROR(INDEX(调整事项!$F$8:$F$94,MATCH($G94,调整事项!$K$8:$K$94,0)),"")</f>
        <v/>
      </c>
      <c r="C94" s="3859" t="str">
        <f>IFERROR(INDEX(调整事项!$G$8:$G$94,MATCH($G94,调整事项!$K$8:$K$94,0)),"")</f>
        <v/>
      </c>
      <c r="D94" s="3797"/>
      <c r="E94" s="2121" t="str">
        <f>IFERROR(INDEX(调整事项!$I$8:$I$94,MATCH($G94,调整事项!$K$8:$K$94,0)),"")</f>
        <v/>
      </c>
      <c r="F94" s="1835" t="s">
        <v>5169</v>
      </c>
      <c r="G94" s="1833" t="s">
        <v>6331</v>
      </c>
      <c r="H94" s="1820">
        <f t="shared" si="1"/>
        <v>0</v>
      </c>
    </row>
    <row r="95" spans="1:8" ht="24" customHeight="1">
      <c r="A95" s="1832" t="str">
        <f>IFERROR(INDEX(调整事项!$C$8:$C$94,MATCH($G95,调整事项!$K$8:$K$94,0)),"")</f>
        <v/>
      </c>
      <c r="B95" s="1835" t="str">
        <f>IFERROR(INDEX(调整事项!$F$8:$F$94,MATCH($G95,调整事项!$K$8:$K$94,0)),"")</f>
        <v/>
      </c>
      <c r="C95" s="3859" t="str">
        <f>IFERROR(INDEX(调整事项!$G$8:$G$94,MATCH($G95,调整事项!$K$8:$K$94,0)),"")</f>
        <v/>
      </c>
      <c r="D95" s="3797"/>
      <c r="E95" s="2121" t="str">
        <f>IFERROR(INDEX(调整事项!$I$8:$I$94,MATCH($G95,调整事项!$K$8:$K$94,0)),"")</f>
        <v/>
      </c>
      <c r="F95" s="1835" t="s">
        <v>5169</v>
      </c>
      <c r="G95" s="1833" t="s">
        <v>6332</v>
      </c>
      <c r="H95" s="1820">
        <f t="shared" si="1"/>
        <v>0</v>
      </c>
    </row>
    <row r="96" spans="1:8" ht="24" customHeight="1">
      <c r="A96" s="1832" t="str">
        <f>IFERROR(INDEX(调整事项!$C$8:$C$94,MATCH($G96,调整事项!$K$8:$K$94,0)),"")</f>
        <v/>
      </c>
      <c r="B96" s="1835" t="str">
        <f>IFERROR(INDEX(调整事项!$F$8:$F$94,MATCH($G96,调整事项!$K$8:$K$94,0)),"")</f>
        <v/>
      </c>
      <c r="C96" s="3859" t="str">
        <f>IFERROR(INDEX(调整事项!$G$8:$G$94,MATCH($G96,调整事项!$K$8:$K$94,0)),"")</f>
        <v/>
      </c>
      <c r="D96" s="3797"/>
      <c r="E96" s="2121" t="str">
        <f>IFERROR(INDEX(调整事项!$I$8:$I$94,MATCH($G96,调整事项!$K$8:$K$94,0)),"")</f>
        <v/>
      </c>
      <c r="F96" s="1835" t="s">
        <v>5169</v>
      </c>
      <c r="G96" s="1833" t="s">
        <v>6333</v>
      </c>
      <c r="H96" s="1820">
        <f t="shared" si="1"/>
        <v>0</v>
      </c>
    </row>
    <row r="97" spans="1:8" ht="24" customHeight="1">
      <c r="A97" s="1832" t="str">
        <f>IFERROR(INDEX(调整事项!$C$8:$C$94,MATCH($G97,调整事项!$K$8:$K$94,0)),"")</f>
        <v/>
      </c>
      <c r="B97" s="1835" t="str">
        <f>IFERROR(INDEX(调整事项!$F$8:$F$94,MATCH($G97,调整事项!$K$8:$K$94,0)),"")</f>
        <v/>
      </c>
      <c r="C97" s="3859" t="str">
        <f>IFERROR(INDEX(调整事项!$G$8:$G$94,MATCH($G97,调整事项!$K$8:$K$94,0)),"")</f>
        <v/>
      </c>
      <c r="D97" s="3797"/>
      <c r="E97" s="2121" t="str">
        <f>IFERROR(INDEX(调整事项!$I$8:$I$94,MATCH($G97,调整事项!$K$8:$K$94,0)),"")</f>
        <v/>
      </c>
      <c r="F97" s="1835" t="s">
        <v>5169</v>
      </c>
      <c r="G97" s="1833" t="s">
        <v>6334</v>
      </c>
      <c r="H97" s="1820">
        <f t="shared" si="1"/>
        <v>0</v>
      </c>
    </row>
    <row r="98" spans="1:8" ht="24" customHeight="1">
      <c r="A98" s="1832" t="str">
        <f>IFERROR(INDEX(调整事项!$C$8:$C$94,MATCH($G98,调整事项!$K$8:$K$94,0)),"")</f>
        <v/>
      </c>
      <c r="B98" s="1835" t="str">
        <f>IFERROR(INDEX(调整事项!$F$8:$F$94,MATCH($G98,调整事项!$K$8:$K$94,0)),"")</f>
        <v/>
      </c>
      <c r="C98" s="3859" t="str">
        <f>IFERROR(INDEX(调整事项!$G$8:$G$94,MATCH($G98,调整事项!$K$8:$K$94,0)),"")</f>
        <v/>
      </c>
      <c r="D98" s="3797"/>
      <c r="E98" s="2121" t="str">
        <f>IFERROR(INDEX(调整事项!$I$8:$I$94,MATCH($G98,调整事项!$K$8:$K$94,0)),"")</f>
        <v/>
      </c>
      <c r="F98" s="1835" t="s">
        <v>5169</v>
      </c>
      <c r="G98" s="1833" t="s">
        <v>6335</v>
      </c>
      <c r="H98" s="1820">
        <f t="shared" si="1"/>
        <v>0</v>
      </c>
    </row>
    <row r="99" spans="1:8" ht="24" customHeight="1">
      <c r="A99" s="1832" t="str">
        <f>IFERROR(INDEX(调整事项!$C$8:$C$94,MATCH($G99,调整事项!$K$8:$K$94,0)),"")</f>
        <v/>
      </c>
      <c r="B99" s="1835" t="str">
        <f>IFERROR(INDEX(调整事项!$F$8:$F$94,MATCH($G99,调整事项!$K$8:$K$94,0)),"")</f>
        <v/>
      </c>
      <c r="C99" s="3859" t="str">
        <f>IFERROR(INDEX(调整事项!$G$8:$G$94,MATCH($G99,调整事项!$K$8:$K$94,0)),"")</f>
        <v/>
      </c>
      <c r="D99" s="3797"/>
      <c r="E99" s="2121" t="str">
        <f>IFERROR(INDEX(调整事项!$I$8:$I$94,MATCH($G99,调整事项!$K$8:$K$94,0)),"")</f>
        <v/>
      </c>
      <c r="F99" s="1835" t="s">
        <v>5169</v>
      </c>
      <c r="G99" s="1833" t="s">
        <v>6336</v>
      </c>
      <c r="H99" s="1820">
        <f t="shared" si="1"/>
        <v>0</v>
      </c>
    </row>
    <row r="100" spans="1:8" ht="24" customHeight="1">
      <c r="A100" s="1832" t="str">
        <f>IFERROR(INDEX(调整事项!$C$8:$C$94,MATCH($G100,调整事项!$K$8:$K$94,0)),"")</f>
        <v/>
      </c>
      <c r="B100" s="1835" t="str">
        <f>IFERROR(INDEX(调整事项!$F$8:$F$94,MATCH($G100,调整事项!$K$8:$K$94,0)),"")</f>
        <v/>
      </c>
      <c r="C100" s="3859" t="str">
        <f>IFERROR(INDEX(调整事项!$G$8:$G$94,MATCH($G100,调整事项!$K$8:$K$94,0)),"")</f>
        <v/>
      </c>
      <c r="D100" s="3797"/>
      <c r="E100" s="2121" t="str">
        <f>IFERROR(INDEX(调整事项!$I$8:$I$94,MATCH($G100,调整事项!$K$8:$K$94,0)),"")</f>
        <v/>
      </c>
      <c r="F100" s="1835" t="s">
        <v>5169</v>
      </c>
      <c r="G100" s="1833" t="s">
        <v>6337</v>
      </c>
      <c r="H100" s="1820">
        <f t="shared" si="1"/>
        <v>0</v>
      </c>
    </row>
    <row r="101" spans="1:8" ht="24" customHeight="1">
      <c r="A101" s="1832" t="str">
        <f>IFERROR(INDEX(调整事项!$C$8:$C$94,MATCH($G101,调整事项!$K$8:$K$94,0)),"")</f>
        <v/>
      </c>
      <c r="B101" s="1835" t="str">
        <f>IFERROR(INDEX(调整事项!$F$8:$F$94,MATCH($G101,调整事项!$K$8:$K$94,0)),"")</f>
        <v/>
      </c>
      <c r="C101" s="3859" t="str">
        <f>IFERROR(INDEX(调整事项!$G$8:$G$94,MATCH($G101,调整事项!$K$8:$K$94,0)),"")</f>
        <v/>
      </c>
      <c r="D101" s="3797"/>
      <c r="E101" s="2121" t="str">
        <f>IFERROR(INDEX(调整事项!$I$8:$I$94,MATCH($G101,调整事项!$K$8:$K$94,0)),"")</f>
        <v/>
      </c>
      <c r="F101" s="1835" t="s">
        <v>5169</v>
      </c>
      <c r="G101" s="1833" t="s">
        <v>6338</v>
      </c>
      <c r="H101" s="1820">
        <f t="shared" si="1"/>
        <v>0</v>
      </c>
    </row>
    <row r="102" spans="1:8" ht="24" customHeight="1">
      <c r="A102" s="1832" t="str">
        <f>IFERROR(INDEX(调整事项!$C$8:$C$94,MATCH($G102,调整事项!$K$8:$K$94,0)),"")</f>
        <v/>
      </c>
      <c r="B102" s="1835" t="str">
        <f>IFERROR(INDEX(调整事项!$F$8:$F$94,MATCH($G102,调整事项!$K$8:$K$94,0)),"")</f>
        <v/>
      </c>
      <c r="C102" s="3859" t="str">
        <f>IFERROR(INDEX(调整事项!$G$8:$G$94,MATCH($G102,调整事项!$K$8:$K$94,0)),"")</f>
        <v/>
      </c>
      <c r="D102" s="3797"/>
      <c r="E102" s="2121" t="str">
        <f>IFERROR(INDEX(调整事项!$I$8:$I$94,MATCH($G102,调整事项!$K$8:$K$94,0)),"")</f>
        <v/>
      </c>
      <c r="F102" s="1835" t="s">
        <v>5169</v>
      </c>
      <c r="G102" s="1833" t="s">
        <v>6339</v>
      </c>
      <c r="H102" s="1820">
        <f t="shared" si="1"/>
        <v>0</v>
      </c>
    </row>
    <row r="103" spans="1:8" ht="24" customHeight="1">
      <c r="A103" s="1832" t="str">
        <f>IFERROR(INDEX(调整事项!$C$8:$C$94,MATCH($G103,调整事项!$K$8:$K$94,0)),"")</f>
        <v/>
      </c>
      <c r="B103" s="1835" t="str">
        <f>IFERROR(INDEX(调整事项!$F$8:$F$94,MATCH($G103,调整事项!$K$8:$K$94,0)),"")</f>
        <v/>
      </c>
      <c r="C103" s="3859" t="str">
        <f>IFERROR(INDEX(调整事项!$G$8:$G$94,MATCH($G103,调整事项!$K$8:$K$94,0)),"")</f>
        <v/>
      </c>
      <c r="D103" s="3797"/>
      <c r="E103" s="2121" t="str">
        <f>IFERROR(INDEX(调整事项!$I$8:$I$94,MATCH($G103,调整事项!$K$8:$K$94,0)),"")</f>
        <v/>
      </c>
      <c r="F103" s="1835" t="s">
        <v>5169</v>
      </c>
      <c r="G103" s="1833" t="s">
        <v>6340</v>
      </c>
      <c r="H103" s="1820">
        <f t="shared" si="1"/>
        <v>0</v>
      </c>
    </row>
    <row r="104" spans="1:8" ht="24" customHeight="1">
      <c r="A104" s="1832" t="str">
        <f>IFERROR(INDEX(调整事项!$C$8:$C$94,MATCH($G104,调整事项!$K$8:$K$94,0)),"")</f>
        <v/>
      </c>
      <c r="B104" s="1835" t="str">
        <f>IFERROR(INDEX(调整事项!$F$8:$F$94,MATCH($G104,调整事项!$K$8:$K$94,0)),"")</f>
        <v/>
      </c>
      <c r="C104" s="3859" t="str">
        <f>IFERROR(INDEX(调整事项!$G$8:$G$94,MATCH($G104,调整事项!$K$8:$K$94,0)),"")</f>
        <v/>
      </c>
      <c r="D104" s="3797"/>
      <c r="E104" s="2121" t="str">
        <f>IFERROR(INDEX(调整事项!$I$8:$I$94,MATCH($G104,调整事项!$K$8:$K$94,0)),"")</f>
        <v/>
      </c>
      <c r="F104" s="1835" t="s">
        <v>5169</v>
      </c>
      <c r="G104" s="1833" t="s">
        <v>6341</v>
      </c>
      <c r="H104" s="1820">
        <f t="shared" si="1"/>
        <v>0</v>
      </c>
    </row>
    <row r="105" spans="1:8" ht="24" customHeight="1">
      <c r="A105" s="1832" t="str">
        <f>IFERROR(INDEX(调整事项!$C$8:$C$94,MATCH($G105,调整事项!$K$8:$K$94,0)),"")</f>
        <v/>
      </c>
      <c r="B105" s="1835" t="str">
        <f>IFERROR(INDEX(调整事项!$F$8:$F$94,MATCH($G105,调整事项!$K$8:$K$94,0)),"")</f>
        <v/>
      </c>
      <c r="C105" s="3859" t="str">
        <f>IFERROR(INDEX(调整事项!$G$8:$G$94,MATCH($G105,调整事项!$K$8:$K$94,0)),"")</f>
        <v/>
      </c>
      <c r="D105" s="3797"/>
      <c r="E105" s="2121" t="str">
        <f>IFERROR(INDEX(调整事项!$I$8:$I$94,MATCH($G105,调整事项!$K$8:$K$94,0)),"")</f>
        <v/>
      </c>
      <c r="F105" s="1835" t="s">
        <v>5169</v>
      </c>
      <c r="G105" s="1833" t="s">
        <v>6342</v>
      </c>
      <c r="H105" s="1820">
        <f t="shared" si="1"/>
        <v>0</v>
      </c>
    </row>
    <row r="106" spans="1:8" ht="24" customHeight="1">
      <c r="A106" s="1832" t="str">
        <f>IFERROR(INDEX(调整事项!$C$8:$C$94,MATCH($G106,调整事项!$K$8:$K$94,0)),"")</f>
        <v/>
      </c>
      <c r="B106" s="1835" t="str">
        <f>IFERROR(INDEX(调整事项!$F$8:$F$94,MATCH($G106,调整事项!$K$8:$K$94,0)),"")</f>
        <v/>
      </c>
      <c r="C106" s="3859" t="str">
        <f>IFERROR(INDEX(调整事项!$G$8:$G$94,MATCH($G106,调整事项!$K$8:$K$94,0)),"")</f>
        <v/>
      </c>
      <c r="D106" s="3797"/>
      <c r="E106" s="2121" t="str">
        <f>IFERROR(INDEX(调整事项!$I$8:$I$94,MATCH($G106,调整事项!$K$8:$K$94,0)),"")</f>
        <v/>
      </c>
      <c r="F106" s="1835" t="s">
        <v>5169</v>
      </c>
      <c r="G106" s="1833" t="s">
        <v>6343</v>
      </c>
      <c r="H106" s="1820">
        <f t="shared" si="1"/>
        <v>0</v>
      </c>
    </row>
    <row r="107" spans="1:8" ht="24" customHeight="1">
      <c r="A107" s="1832" t="str">
        <f>IFERROR(INDEX(调整事项!$C$8:$C$94,MATCH($G107,调整事项!$K$8:$K$94,0)),"")</f>
        <v/>
      </c>
      <c r="B107" s="1835" t="str">
        <f>IFERROR(INDEX(调整事项!$F$8:$F$94,MATCH($G107,调整事项!$K$8:$K$94,0)),"")</f>
        <v/>
      </c>
      <c r="C107" s="3859" t="str">
        <f>IFERROR(INDEX(调整事项!$G$8:$G$94,MATCH($G107,调整事项!$K$8:$K$94,0)),"")</f>
        <v/>
      </c>
      <c r="D107" s="3797"/>
      <c r="E107" s="2121" t="str">
        <f>IFERROR(INDEX(调整事项!$I$8:$I$94,MATCH($G107,调整事项!$K$8:$K$94,0)),"")</f>
        <v/>
      </c>
      <c r="F107" s="1835" t="s">
        <v>5169</v>
      </c>
      <c r="G107" s="1833" t="s">
        <v>6344</v>
      </c>
      <c r="H107" s="1820">
        <f t="shared" si="1"/>
        <v>0</v>
      </c>
    </row>
    <row r="108" spans="1:8" ht="24" customHeight="1">
      <c r="A108" s="1832" t="str">
        <f>IFERROR(INDEX(调整事项!$C$8:$C$94,MATCH($G108,调整事项!$K$8:$K$94,0)),"")</f>
        <v/>
      </c>
      <c r="B108" s="1835" t="str">
        <f>IFERROR(INDEX(调整事项!$F$8:$F$94,MATCH($G108,调整事项!$K$8:$K$94,0)),"")</f>
        <v/>
      </c>
      <c r="C108" s="3859" t="str">
        <f>IFERROR(INDEX(调整事项!$G$8:$G$94,MATCH($G108,调整事项!$K$8:$K$94,0)),"")</f>
        <v/>
      </c>
      <c r="D108" s="3797"/>
      <c r="E108" s="2121" t="str">
        <f>IFERROR(INDEX(调整事项!$I$8:$I$94,MATCH($G108,调整事项!$K$8:$K$94,0)),"")</f>
        <v/>
      </c>
      <c r="F108" s="1835" t="s">
        <v>5169</v>
      </c>
      <c r="G108" s="1833" t="s">
        <v>6345</v>
      </c>
      <c r="H108" s="1820">
        <f t="shared" si="1"/>
        <v>0</v>
      </c>
    </row>
    <row r="109" spans="1:8" ht="24" customHeight="1">
      <c r="A109" s="1832" t="str">
        <f>IFERROR(INDEX(调整事项!$C$8:$C$94,MATCH($G109,调整事项!$K$8:$K$94,0)),"")</f>
        <v/>
      </c>
      <c r="B109" s="1835" t="str">
        <f>IFERROR(INDEX(调整事项!$F$8:$F$94,MATCH($G109,调整事项!$K$8:$K$94,0)),"")</f>
        <v/>
      </c>
      <c r="C109" s="3859" t="str">
        <f>IFERROR(INDEX(调整事项!$G$8:$G$94,MATCH($G109,调整事项!$K$8:$K$94,0)),"")</f>
        <v/>
      </c>
      <c r="D109" s="3797"/>
      <c r="E109" s="2121" t="str">
        <f>IFERROR(INDEX(调整事项!$I$8:$I$94,MATCH($G109,调整事项!$K$8:$K$94,0)),"")</f>
        <v/>
      </c>
      <c r="F109" s="1835" t="s">
        <v>5169</v>
      </c>
      <c r="G109" s="1833" t="s">
        <v>6346</v>
      </c>
      <c r="H109" s="1820">
        <f t="shared" si="1"/>
        <v>0</v>
      </c>
    </row>
    <row r="110" spans="1:8" ht="24" customHeight="1">
      <c r="A110" s="1832" t="str">
        <f>IFERROR(INDEX(调整事项!$C$8:$C$94,MATCH($G110,调整事项!$K$8:$K$94,0)),"")</f>
        <v/>
      </c>
      <c r="B110" s="1835" t="str">
        <f>IFERROR(INDEX(调整事项!$F$8:$F$94,MATCH($G110,调整事项!$K$8:$K$94,0)),"")</f>
        <v/>
      </c>
      <c r="C110" s="3859" t="str">
        <f>IFERROR(INDEX(调整事项!$G$8:$G$94,MATCH($G110,调整事项!$K$8:$K$94,0)),"")</f>
        <v/>
      </c>
      <c r="D110" s="3797"/>
      <c r="E110" s="2121" t="str">
        <f>IFERROR(INDEX(调整事项!$I$8:$I$94,MATCH($G110,调整事项!$K$8:$K$94,0)),"")</f>
        <v/>
      </c>
      <c r="F110" s="1835" t="s">
        <v>5169</v>
      </c>
      <c r="G110" s="1833" t="s">
        <v>6347</v>
      </c>
      <c r="H110" s="1820">
        <f t="shared" si="1"/>
        <v>0</v>
      </c>
    </row>
    <row r="111" spans="1:8" ht="24" customHeight="1">
      <c r="A111" s="1832" t="str">
        <f>IFERROR(INDEX(调整事项!$C$8:$C$94,MATCH($G111,调整事项!$K$8:$K$94,0)),"")</f>
        <v/>
      </c>
      <c r="B111" s="1835" t="str">
        <f>IFERROR(INDEX(调整事项!$F$8:$F$94,MATCH($G111,调整事项!$K$8:$K$94,0)),"")</f>
        <v/>
      </c>
      <c r="C111" s="3859" t="str">
        <f>IFERROR(INDEX(调整事项!$G$8:$G$94,MATCH($G111,调整事项!$K$8:$K$94,0)),"")</f>
        <v/>
      </c>
      <c r="D111" s="3797"/>
      <c r="E111" s="2121" t="str">
        <f>IFERROR(INDEX(调整事项!$I$8:$I$94,MATCH($G111,调整事项!$K$8:$K$94,0)),"")</f>
        <v/>
      </c>
      <c r="F111" s="1835" t="s">
        <v>5169</v>
      </c>
      <c r="G111" s="1833" t="s">
        <v>6348</v>
      </c>
      <c r="H111" s="1820">
        <f t="shared" si="1"/>
        <v>0</v>
      </c>
    </row>
    <row r="112" spans="1:8" ht="24" customHeight="1">
      <c r="A112" s="1832" t="str">
        <f>IFERROR(INDEX(调整事项!$C$8:$C$94,MATCH($G112,调整事项!$K$8:$K$94,0)),"")</f>
        <v/>
      </c>
      <c r="B112" s="1835" t="str">
        <f>IFERROR(INDEX(调整事项!$F$8:$F$94,MATCH($G112,调整事项!$K$8:$K$94,0)),"")</f>
        <v/>
      </c>
      <c r="C112" s="3859" t="str">
        <f>IFERROR(INDEX(调整事项!$G$8:$G$94,MATCH($G112,调整事项!$K$8:$K$94,0)),"")</f>
        <v/>
      </c>
      <c r="D112" s="3797"/>
      <c r="E112" s="2121" t="str">
        <f>IFERROR(INDEX(调整事项!$I$8:$I$94,MATCH($G112,调整事项!$K$8:$K$94,0)),"")</f>
        <v/>
      </c>
      <c r="F112" s="1835" t="s">
        <v>5169</v>
      </c>
      <c r="G112" s="1833" t="s">
        <v>6349</v>
      </c>
      <c r="H112" s="1820">
        <f t="shared" si="1"/>
        <v>0</v>
      </c>
    </row>
    <row r="113" spans="1:8" ht="24" customHeight="1">
      <c r="A113" s="1832" t="str">
        <f>IFERROR(INDEX(调整事项!$C$8:$C$94,MATCH($G113,调整事项!$K$8:$K$94,0)),"")</f>
        <v/>
      </c>
      <c r="B113" s="1835" t="str">
        <f>IFERROR(INDEX(调整事项!$F$8:$F$94,MATCH($G113,调整事项!$K$8:$K$94,0)),"")</f>
        <v/>
      </c>
      <c r="C113" s="3859" t="str">
        <f>IFERROR(INDEX(调整事项!$G$8:$G$94,MATCH($G113,调整事项!$K$8:$K$94,0)),"")</f>
        <v/>
      </c>
      <c r="D113" s="3797"/>
      <c r="E113" s="2121" t="str">
        <f>IFERROR(INDEX(调整事项!$I$8:$I$94,MATCH($G113,调整事项!$K$8:$K$94,0)),"")</f>
        <v/>
      </c>
      <c r="F113" s="1835" t="s">
        <v>5169</v>
      </c>
      <c r="G113" s="1833" t="s">
        <v>6350</v>
      </c>
      <c r="H113" s="1820">
        <f t="shared" si="1"/>
        <v>0</v>
      </c>
    </row>
    <row r="114" spans="1:8" ht="24" customHeight="1">
      <c r="A114" s="1832" t="str">
        <f>IFERROR(INDEX(调整事项!$C$8:$C$94,MATCH($G114,调整事项!$K$8:$K$94,0)),"")</f>
        <v/>
      </c>
      <c r="B114" s="1835" t="str">
        <f>IFERROR(INDEX(调整事项!$F$8:$F$94,MATCH($G114,调整事项!$K$8:$K$94,0)),"")</f>
        <v/>
      </c>
      <c r="C114" s="3859" t="str">
        <f>IFERROR(INDEX(调整事项!$G$8:$G$94,MATCH($G114,调整事项!$K$8:$K$94,0)),"")</f>
        <v/>
      </c>
      <c r="D114" s="3797"/>
      <c r="E114" s="2121" t="str">
        <f>IFERROR(INDEX(调整事项!$I$8:$I$94,MATCH($G114,调整事项!$K$8:$K$94,0)),"")</f>
        <v/>
      </c>
      <c r="F114" s="1835" t="s">
        <v>5169</v>
      </c>
      <c r="G114" s="1833" t="s">
        <v>6351</v>
      </c>
      <c r="H114" s="1820">
        <f t="shared" si="1"/>
        <v>0</v>
      </c>
    </row>
    <row r="115" spans="1:8" ht="24" customHeight="1">
      <c r="A115" s="1832" t="str">
        <f>IFERROR(INDEX(调整事项!$C$8:$C$94,MATCH($G115,调整事项!$K$8:$K$94,0)),"")</f>
        <v/>
      </c>
      <c r="B115" s="1835" t="str">
        <f>IFERROR(INDEX(调整事项!$F$8:$F$94,MATCH($G115,调整事项!$K$8:$K$94,0)),"")</f>
        <v/>
      </c>
      <c r="C115" s="3859" t="str">
        <f>IFERROR(INDEX(调整事项!$G$8:$G$94,MATCH($G115,调整事项!$K$8:$K$94,0)),"")</f>
        <v/>
      </c>
      <c r="D115" s="3797"/>
      <c r="E115" s="2121" t="str">
        <f>IFERROR(INDEX(调整事项!$I$8:$I$94,MATCH($G115,调整事项!$K$8:$K$94,0)),"")</f>
        <v/>
      </c>
      <c r="F115" s="1835" t="s">
        <v>5169</v>
      </c>
      <c r="G115" s="1833" t="s">
        <v>6352</v>
      </c>
      <c r="H115" s="1820">
        <f t="shared" si="1"/>
        <v>0</v>
      </c>
    </row>
    <row r="116" spans="1:8" ht="24" customHeight="1">
      <c r="A116" s="1832" t="str">
        <f>IFERROR(INDEX(调整事项!$C$8:$C$94,MATCH($G116,调整事项!$K$8:$K$94,0)),"")</f>
        <v/>
      </c>
      <c r="B116" s="1835" t="str">
        <f>IFERROR(INDEX(调整事项!$F$8:$F$94,MATCH($G116,调整事项!$K$8:$K$94,0)),"")</f>
        <v/>
      </c>
      <c r="C116" s="3859" t="str">
        <f>IFERROR(INDEX(调整事项!$G$8:$G$94,MATCH($G116,调整事项!$K$8:$K$94,0)),"")</f>
        <v/>
      </c>
      <c r="D116" s="3797"/>
      <c r="E116" s="2121" t="str">
        <f>IFERROR(INDEX(调整事项!$I$8:$I$94,MATCH($G116,调整事项!$K$8:$K$94,0)),"")</f>
        <v/>
      </c>
      <c r="F116" s="1835" t="s">
        <v>5169</v>
      </c>
      <c r="G116" s="1833" t="s">
        <v>6353</v>
      </c>
      <c r="H116" s="1820">
        <f t="shared" si="1"/>
        <v>0</v>
      </c>
    </row>
    <row r="117" spans="1:8" ht="24" customHeight="1">
      <c r="A117" s="1832" t="str">
        <f>IFERROR(INDEX(调整事项!$C$8:$C$94,MATCH($G117,调整事项!$K$8:$K$94,0)),"")</f>
        <v/>
      </c>
      <c r="B117" s="1835" t="str">
        <f>IFERROR(INDEX(调整事项!$F$8:$F$94,MATCH($G117,调整事项!$K$8:$K$94,0)),"")</f>
        <v/>
      </c>
      <c r="C117" s="3859" t="str">
        <f>IFERROR(INDEX(调整事项!$G$8:$G$94,MATCH($G117,调整事项!$K$8:$K$94,0)),"")</f>
        <v/>
      </c>
      <c r="D117" s="3797"/>
      <c r="E117" s="2121" t="str">
        <f>IFERROR(INDEX(调整事项!$I$8:$I$94,MATCH($G117,调整事项!$K$8:$K$94,0)),"")</f>
        <v/>
      </c>
      <c r="F117" s="1835" t="s">
        <v>5169</v>
      </c>
      <c r="G117" s="1833" t="s">
        <v>6354</v>
      </c>
      <c r="H117" s="1820">
        <f t="shared" si="1"/>
        <v>0</v>
      </c>
    </row>
    <row r="118" spans="1:8" ht="24" customHeight="1">
      <c r="A118" s="1832" t="str">
        <f>IFERROR(INDEX(调整事项!$C$8:$C$94,MATCH($G118,调整事项!$K$8:$K$94,0)),"")</f>
        <v/>
      </c>
      <c r="B118" s="1835" t="str">
        <f>IFERROR(INDEX(调整事项!$F$8:$F$94,MATCH($G118,调整事项!$K$8:$K$94,0)),"")</f>
        <v/>
      </c>
      <c r="C118" s="3859" t="str">
        <f>IFERROR(INDEX(调整事项!$G$8:$G$94,MATCH($G118,调整事项!$K$8:$K$94,0)),"")</f>
        <v/>
      </c>
      <c r="D118" s="3797"/>
      <c r="E118" s="2121" t="str">
        <f>IFERROR(INDEX(调整事项!$I$8:$I$94,MATCH($G118,调整事项!$K$8:$K$94,0)),"")</f>
        <v/>
      </c>
      <c r="F118" s="1835" t="s">
        <v>5169</v>
      </c>
      <c r="G118" s="1833" t="s">
        <v>6355</v>
      </c>
      <c r="H118" s="1820">
        <f t="shared" si="1"/>
        <v>0</v>
      </c>
    </row>
    <row r="119" spans="1:8" ht="24" customHeight="1">
      <c r="A119" s="1832" t="str">
        <f>IFERROR(INDEX(调整事项!$C$8:$C$94,MATCH($G119,调整事项!$K$8:$K$94,0)),"")</f>
        <v/>
      </c>
      <c r="B119" s="1835" t="str">
        <f>IFERROR(INDEX(调整事项!$F$8:$F$94,MATCH($G119,调整事项!$K$8:$K$94,0)),"")</f>
        <v/>
      </c>
      <c r="C119" s="3859" t="str">
        <f>IFERROR(INDEX(调整事项!$G$8:$G$94,MATCH($G119,调整事项!$K$8:$K$94,0)),"")</f>
        <v/>
      </c>
      <c r="D119" s="3797"/>
      <c r="E119" s="2121" t="str">
        <f>IFERROR(INDEX(调整事项!$I$8:$I$94,MATCH($G119,调整事项!$K$8:$K$94,0)),"")</f>
        <v/>
      </c>
      <c r="F119" s="1835" t="s">
        <v>5169</v>
      </c>
      <c r="G119" s="1833" t="s">
        <v>6356</v>
      </c>
      <c r="H119" s="1820">
        <f t="shared" si="1"/>
        <v>0</v>
      </c>
    </row>
    <row r="120" spans="1:8" ht="18" customHeight="1">
      <c r="A120" s="1834" t="s">
        <v>6001</v>
      </c>
      <c r="B120" s="1834"/>
      <c r="C120" s="1834"/>
      <c r="D120" s="1834"/>
      <c r="E120" s="1834"/>
      <c r="H120" s="1820">
        <f>IF(E80="",1,0)</f>
        <v>1</v>
      </c>
    </row>
    <row r="121" spans="1:8">
      <c r="A121" s="3860" t="s">
        <v>6002</v>
      </c>
      <c r="B121" s="3860"/>
      <c r="C121" s="3860"/>
      <c r="D121" s="3860"/>
      <c r="E121" s="1821"/>
      <c r="H121" s="1820">
        <v>1</v>
      </c>
    </row>
    <row r="122" spans="1:8">
      <c r="A122" s="3850" t="s">
        <v>6003</v>
      </c>
      <c r="B122" s="3851"/>
      <c r="C122" s="3861" t="s">
        <v>1747</v>
      </c>
      <c r="D122" s="3851"/>
      <c r="E122" s="1836" t="s">
        <v>1748</v>
      </c>
      <c r="F122" s="1836" t="s">
        <v>1749</v>
      </c>
      <c r="H122" s="1820">
        <v>1</v>
      </c>
    </row>
    <row r="123" spans="1:8" ht="23.25" customHeight="1">
      <c r="A123" s="3850" t="s">
        <v>1751</v>
      </c>
      <c r="B123" s="3851"/>
      <c r="C123" s="3852" t="str">
        <f>基本情况!C56</f>
        <v>否</v>
      </c>
      <c r="D123" s="3853"/>
      <c r="E123" s="1837" t="str">
        <f>基本情况!D56&amp;""</f>
        <v/>
      </c>
      <c r="F123" s="2122">
        <f>基本情况!E56</f>
        <v>0</v>
      </c>
      <c r="H123" s="1820">
        <v>1</v>
      </c>
    </row>
    <row r="124" spans="1:8" ht="38.450000000000003" customHeight="1">
      <c r="A124" s="3850" t="s">
        <v>1754</v>
      </c>
      <c r="B124" s="3851"/>
      <c r="C124" s="3852" t="str">
        <f>基本情况!C57</f>
        <v>否</v>
      </c>
      <c r="D124" s="3853"/>
      <c r="E124" s="2094" t="str">
        <f>基本情况!D57&amp;""</f>
        <v/>
      </c>
      <c r="F124" s="2122">
        <f>基本情况!E57</f>
        <v>0</v>
      </c>
      <c r="H124" s="1820">
        <v>1</v>
      </c>
    </row>
    <row r="125" spans="1:8" ht="21" customHeight="1">
      <c r="A125" s="3850" t="s">
        <v>1757</v>
      </c>
      <c r="B125" s="3851"/>
      <c r="C125" s="3852" t="str">
        <f>基本情况!C58</f>
        <v>否</v>
      </c>
      <c r="D125" s="3853"/>
      <c r="E125" s="2094" t="str">
        <f>基本情况!D58&amp;""</f>
        <v/>
      </c>
      <c r="F125" s="2122">
        <f>基本情况!E58</f>
        <v>0</v>
      </c>
      <c r="H125" s="1820">
        <v>1</v>
      </c>
    </row>
    <row r="126" spans="1:8" ht="21" customHeight="1">
      <c r="A126" s="3850" t="s">
        <v>1760</v>
      </c>
      <c r="B126" s="3851"/>
      <c r="C126" s="3852" t="str">
        <f>基本情况!C59</f>
        <v>否</v>
      </c>
      <c r="D126" s="3853"/>
      <c r="E126" s="2094" t="str">
        <f>基本情况!D59&amp;""</f>
        <v/>
      </c>
      <c r="F126" s="2122">
        <f>基本情况!E59</f>
        <v>0</v>
      </c>
      <c r="H126" s="1820">
        <v>1</v>
      </c>
    </row>
    <row r="127" spans="1:8" ht="17.25" customHeight="1">
      <c r="A127" s="1838" t="s">
        <v>6004</v>
      </c>
      <c r="B127" s="1839"/>
      <c r="C127" s="3854"/>
      <c r="D127" s="3854"/>
      <c r="E127" s="1821"/>
      <c r="H127" s="1820">
        <v>1</v>
      </c>
    </row>
    <row r="128" spans="1:8" ht="72.599999999999994" customHeight="1">
      <c r="A128" s="3855" t="str">
        <f>基本情况!D60</f>
        <v>1、本报告仅供贵单位向主管税务机关办理企业所得税年度纳税申报时使用，不作其他用途。因使用不当造成的后果，与执行本审核业务的税务师事务所及其注册税务师无关。</v>
      </c>
      <c r="B128" s="3855"/>
      <c r="C128" s="3855"/>
      <c r="D128" s="3855"/>
      <c r="E128" s="3855"/>
      <c r="F128" s="3856"/>
      <c r="H128" s="1820">
        <v>1</v>
      </c>
    </row>
    <row r="129" spans="1:5">
      <c r="A129" s="1840"/>
      <c r="B129" s="1840"/>
      <c r="C129" s="1840"/>
      <c r="D129" s="1840"/>
      <c r="E129" s="1841"/>
    </row>
    <row r="130" spans="1:5">
      <c r="A130" s="1840"/>
      <c r="B130" s="1840"/>
      <c r="C130" s="1840"/>
      <c r="D130" s="1840"/>
      <c r="E130" s="1841"/>
    </row>
    <row r="131" spans="1:5">
      <c r="A131" s="1840"/>
      <c r="B131" s="1840"/>
      <c r="C131" s="1840"/>
      <c r="D131" s="1840"/>
      <c r="E131" s="1841"/>
    </row>
    <row r="132" spans="1:5">
      <c r="A132" s="1840"/>
      <c r="B132" s="1840"/>
      <c r="C132" s="1840"/>
      <c r="D132" s="1840"/>
      <c r="E132" s="1841"/>
    </row>
    <row r="133" spans="1:5">
      <c r="A133" s="1840"/>
      <c r="B133" s="1840"/>
      <c r="C133" s="1840"/>
      <c r="D133" s="1840"/>
      <c r="E133" s="1841"/>
    </row>
    <row r="134" spans="1:5">
      <c r="A134" s="1840"/>
      <c r="B134" s="1840"/>
      <c r="C134" s="1840"/>
      <c r="D134" s="1840"/>
      <c r="E134" s="1841"/>
    </row>
    <row r="135" spans="1:5">
      <c r="A135" s="1840"/>
      <c r="B135" s="1840"/>
      <c r="C135" s="1840"/>
      <c r="D135" s="1840"/>
      <c r="E135" s="1841"/>
    </row>
    <row r="136" spans="1:5">
      <c r="A136" s="1840"/>
      <c r="B136" s="1840"/>
      <c r="C136" s="1840"/>
      <c r="D136" s="1840"/>
      <c r="E136" s="1841"/>
    </row>
    <row r="137" spans="1:5">
      <c r="A137" s="3857" t="s">
        <v>6005</v>
      </c>
      <c r="B137" s="3857"/>
      <c r="C137" s="3857"/>
      <c r="D137" s="3857"/>
      <c r="E137" s="3857"/>
    </row>
    <row r="138" spans="1:5">
      <c r="A138" s="3858" t="s">
        <v>1768</v>
      </c>
      <c r="B138" s="3858"/>
      <c r="C138" s="1842"/>
      <c r="D138" s="3858" t="s">
        <v>1769</v>
      </c>
      <c r="E138" s="3858"/>
    </row>
    <row r="139" spans="1:5">
      <c r="A139" s="1843" t="s">
        <v>6006</v>
      </c>
      <c r="B139" s="1844" t="s">
        <v>1860</v>
      </c>
      <c r="C139" s="1842"/>
      <c r="D139" s="1845" t="s">
        <v>6007</v>
      </c>
      <c r="E139" s="1844" t="s">
        <v>4179</v>
      </c>
    </row>
    <row r="140" spans="1:5">
      <c r="A140" s="1843" t="s">
        <v>6008</v>
      </c>
      <c r="B140" s="1844" t="s">
        <v>1861</v>
      </c>
      <c r="C140" s="1842"/>
      <c r="D140" s="1845" t="s">
        <v>6009</v>
      </c>
      <c r="E140" s="1844" t="s">
        <v>4180</v>
      </c>
    </row>
    <row r="141" spans="1:5">
      <c r="A141" s="1843" t="s">
        <v>6010</v>
      </c>
      <c r="B141" s="1844" t="s">
        <v>1862</v>
      </c>
      <c r="C141" s="1842"/>
      <c r="D141" s="1845" t="s">
        <v>1772</v>
      </c>
      <c r="E141" s="1844" t="s">
        <v>4181</v>
      </c>
    </row>
    <row r="142" spans="1:5">
      <c r="A142" s="1843" t="s">
        <v>6011</v>
      </c>
      <c r="B142" s="1844" t="s">
        <v>1863</v>
      </c>
      <c r="C142" s="1842"/>
      <c r="D142" s="1845" t="s">
        <v>1773</v>
      </c>
      <c r="E142" s="1844" t="s">
        <v>4182</v>
      </c>
    </row>
    <row r="143" spans="1:5">
      <c r="A143" s="1843" t="s">
        <v>6012</v>
      </c>
      <c r="B143" s="1844" t="s">
        <v>1864</v>
      </c>
      <c r="C143" s="1842"/>
      <c r="D143" s="1845" t="s">
        <v>1774</v>
      </c>
      <c r="E143" s="1844" t="s">
        <v>4183</v>
      </c>
    </row>
    <row r="144" spans="1:5">
      <c r="A144" s="1843" t="s">
        <v>6013</v>
      </c>
      <c r="B144" s="1844" t="s">
        <v>1865</v>
      </c>
      <c r="C144" s="1842"/>
      <c r="D144" s="1845" t="s">
        <v>1775</v>
      </c>
      <c r="E144" s="1844" t="s">
        <v>4184</v>
      </c>
    </row>
    <row r="145" spans="1:5">
      <c r="A145" s="1843" t="s">
        <v>6014</v>
      </c>
      <c r="B145" s="1844" t="s">
        <v>1866</v>
      </c>
      <c r="C145" s="1842"/>
      <c r="D145" s="1845" t="s">
        <v>1776</v>
      </c>
      <c r="E145" s="1844" t="s">
        <v>4185</v>
      </c>
    </row>
    <row r="146" spans="1:5">
      <c r="A146" s="1843" t="s">
        <v>6015</v>
      </c>
      <c r="B146" s="1844" t="s">
        <v>1867</v>
      </c>
      <c r="C146" s="1842"/>
      <c r="D146" s="1845" t="s">
        <v>1777</v>
      </c>
      <c r="E146" s="1844" t="s">
        <v>4186</v>
      </c>
    </row>
    <row r="147" spans="1:5">
      <c r="A147" s="1843" t="s">
        <v>6016</v>
      </c>
      <c r="B147" s="1844" t="s">
        <v>1868</v>
      </c>
      <c r="C147" s="1842"/>
      <c r="D147" s="1845" t="s">
        <v>1778</v>
      </c>
      <c r="E147" s="1844" t="s">
        <v>4187</v>
      </c>
    </row>
    <row r="148" spans="1:5">
      <c r="A148" s="1843" t="s">
        <v>6017</v>
      </c>
      <c r="B148" s="1844" t="s">
        <v>1869</v>
      </c>
      <c r="C148" s="1842"/>
      <c r="D148" s="1845" t="s">
        <v>1779</v>
      </c>
      <c r="E148" s="1844" t="s">
        <v>4188</v>
      </c>
    </row>
    <row r="149" spans="1:5">
      <c r="A149" s="1843" t="s">
        <v>6018</v>
      </c>
      <c r="B149" s="1844" t="s">
        <v>1870</v>
      </c>
      <c r="C149" s="1842"/>
      <c r="D149" s="1845" t="s">
        <v>1780</v>
      </c>
      <c r="E149" s="1844" t="s">
        <v>4189</v>
      </c>
    </row>
    <row r="150" spans="1:5">
      <c r="A150" s="1843" t="s">
        <v>6019</v>
      </c>
      <c r="B150" s="1844" t="s">
        <v>1871</v>
      </c>
      <c r="C150" s="1842"/>
      <c r="D150" s="1845" t="s">
        <v>1781</v>
      </c>
      <c r="E150" s="1844" t="s">
        <v>4190</v>
      </c>
    </row>
    <row r="151" spans="1:5">
      <c r="A151" s="1843" t="s">
        <v>6020</v>
      </c>
      <c r="B151" s="1844" t="s">
        <v>1872</v>
      </c>
      <c r="C151" s="1842"/>
      <c r="D151" s="1845" t="s">
        <v>1782</v>
      </c>
      <c r="E151" s="1844" t="s">
        <v>4191</v>
      </c>
    </row>
    <row r="152" spans="1:5">
      <c r="A152" s="1843" t="s">
        <v>6021</v>
      </c>
      <c r="B152" s="1844" t="s">
        <v>1873</v>
      </c>
      <c r="C152" s="1842"/>
      <c r="D152" s="1845" t="s">
        <v>1783</v>
      </c>
      <c r="E152" s="1844" t="s">
        <v>4192</v>
      </c>
    </row>
    <row r="153" spans="1:5">
      <c r="A153" s="1843" t="s">
        <v>6022</v>
      </c>
      <c r="B153" s="1844" t="s">
        <v>1874</v>
      </c>
      <c r="C153" s="1842"/>
      <c r="D153" s="1845" t="s">
        <v>1784</v>
      </c>
      <c r="E153" s="1844" t="s">
        <v>4193</v>
      </c>
    </row>
    <row r="154" spans="1:5">
      <c r="A154" s="1843" t="s">
        <v>6023</v>
      </c>
      <c r="B154" s="1844" t="s">
        <v>1875</v>
      </c>
      <c r="C154" s="1842"/>
      <c r="D154" s="1845" t="s">
        <v>1785</v>
      </c>
      <c r="E154" s="1844" t="s">
        <v>4194</v>
      </c>
    </row>
    <row r="155" spans="1:5">
      <c r="A155" s="1843" t="s">
        <v>6024</v>
      </c>
      <c r="B155" s="1844" t="s">
        <v>1876</v>
      </c>
      <c r="C155" s="1842"/>
      <c r="D155" s="1845" t="s">
        <v>1786</v>
      </c>
      <c r="E155" s="1844" t="s">
        <v>4195</v>
      </c>
    </row>
    <row r="156" spans="1:5">
      <c r="A156" s="1843" t="s">
        <v>6025</v>
      </c>
      <c r="B156" s="1844" t="s">
        <v>1877</v>
      </c>
      <c r="C156" s="1842"/>
      <c r="D156" s="1845" t="s">
        <v>1787</v>
      </c>
      <c r="E156" s="1844" t="s">
        <v>4196</v>
      </c>
    </row>
    <row r="157" spans="1:5">
      <c r="A157" s="1843" t="s">
        <v>6026</v>
      </c>
      <c r="B157" s="1844" t="s">
        <v>1878</v>
      </c>
      <c r="C157" s="1842"/>
      <c r="D157" s="1845" t="s">
        <v>1788</v>
      </c>
      <c r="E157" s="1844" t="s">
        <v>4197</v>
      </c>
    </row>
    <row r="158" spans="1:5">
      <c r="A158" s="1843" t="s">
        <v>6027</v>
      </c>
      <c r="B158" s="1844" t="s">
        <v>1879</v>
      </c>
      <c r="C158" s="1842"/>
      <c r="D158" s="1845" t="s">
        <v>1789</v>
      </c>
      <c r="E158" s="1844" t="s">
        <v>4177</v>
      </c>
    </row>
    <row r="159" spans="1:5">
      <c r="A159" s="1843" t="s">
        <v>6028</v>
      </c>
      <c r="B159" s="1844" t="s">
        <v>1880</v>
      </c>
      <c r="C159" s="1842"/>
      <c r="D159" s="1842"/>
      <c r="E159" s="1846"/>
    </row>
    <row r="160" spans="1:5">
      <c r="A160" s="1843" t="s">
        <v>6029</v>
      </c>
      <c r="B160" s="1844" t="s">
        <v>1881</v>
      </c>
      <c r="C160" s="1842"/>
      <c r="D160" s="1842"/>
      <c r="E160" s="1846"/>
    </row>
    <row r="161" spans="1:5">
      <c r="A161" s="1843" t="s">
        <v>6030</v>
      </c>
      <c r="B161" s="1844" t="s">
        <v>1882</v>
      </c>
      <c r="C161" s="1842"/>
      <c r="D161" s="1842"/>
      <c r="E161" s="1846"/>
    </row>
    <row r="162" spans="1:5">
      <c r="A162" s="1843" t="s">
        <v>6031</v>
      </c>
      <c r="B162" s="1844" t="s">
        <v>1883</v>
      </c>
      <c r="C162" s="1842"/>
      <c r="D162" s="1842"/>
      <c r="E162" s="1846"/>
    </row>
    <row r="163" spans="1:5">
      <c r="A163" s="1843" t="s">
        <v>6032</v>
      </c>
      <c r="B163" s="1844" t="s">
        <v>1884</v>
      </c>
      <c r="C163" s="1842"/>
      <c r="D163" s="1842"/>
      <c r="E163" s="1846"/>
    </row>
    <row r="164" spans="1:5">
      <c r="A164" s="1843" t="s">
        <v>6033</v>
      </c>
      <c r="B164" s="1844" t="s">
        <v>1885</v>
      </c>
      <c r="C164" s="1842"/>
      <c r="D164" s="1842"/>
      <c r="E164" s="1846"/>
    </row>
    <row r="165" spans="1:5">
      <c r="A165" s="1843" t="s">
        <v>6034</v>
      </c>
      <c r="B165" s="1844" t="s">
        <v>1886</v>
      </c>
      <c r="C165" s="1842"/>
      <c r="D165" s="1842"/>
      <c r="E165" s="1846"/>
    </row>
    <row r="166" spans="1:5">
      <c r="A166" s="1843" t="s">
        <v>6035</v>
      </c>
      <c r="B166" s="1844" t="s">
        <v>1887</v>
      </c>
      <c r="C166" s="1842"/>
      <c r="D166" s="1842"/>
      <c r="E166" s="1846"/>
    </row>
    <row r="167" spans="1:5">
      <c r="A167" s="1843" t="s">
        <v>6036</v>
      </c>
      <c r="B167" s="1844" t="s">
        <v>1888</v>
      </c>
      <c r="C167" s="1842"/>
      <c r="D167" s="1842"/>
      <c r="E167" s="1846"/>
    </row>
    <row r="168" spans="1:5">
      <c r="A168" s="1843" t="s">
        <v>6037</v>
      </c>
      <c r="B168" s="1844" t="s">
        <v>1889</v>
      </c>
      <c r="C168" s="1842"/>
      <c r="D168" s="1842"/>
      <c r="E168" s="1846"/>
    </row>
    <row r="169" spans="1:5">
      <c r="A169" s="1843" t="s">
        <v>6038</v>
      </c>
      <c r="B169" s="1844" t="s">
        <v>1890</v>
      </c>
      <c r="C169" s="1842"/>
      <c r="D169" s="1842"/>
      <c r="E169" s="1846"/>
    </row>
    <row r="170" spans="1:5">
      <c r="A170" s="1843" t="s">
        <v>6039</v>
      </c>
      <c r="B170" s="1844" t="s">
        <v>1891</v>
      </c>
      <c r="C170" s="1842"/>
      <c r="D170" s="1842"/>
      <c r="E170" s="1846"/>
    </row>
    <row r="171" spans="1:5">
      <c r="A171" s="1843" t="s">
        <v>6040</v>
      </c>
      <c r="B171" s="1844" t="s">
        <v>1892</v>
      </c>
      <c r="C171" s="1842"/>
      <c r="D171" s="1842"/>
      <c r="E171" s="1846"/>
    </row>
    <row r="172" spans="1:5">
      <c r="A172" s="1843" t="s">
        <v>6041</v>
      </c>
      <c r="B172" s="1844" t="s">
        <v>1893</v>
      </c>
      <c r="C172" s="1842"/>
      <c r="D172" s="1842"/>
      <c r="E172" s="1846"/>
    </row>
    <row r="173" spans="1:5">
      <c r="A173" s="1843" t="s">
        <v>6042</v>
      </c>
      <c r="B173" s="1844" t="s">
        <v>1894</v>
      </c>
      <c r="C173" s="1842"/>
      <c r="D173" s="1842"/>
      <c r="E173" s="1846"/>
    </row>
    <row r="174" spans="1:5">
      <c r="A174" s="1843" t="s">
        <v>6043</v>
      </c>
      <c r="B174" s="1844" t="s">
        <v>1895</v>
      </c>
      <c r="C174" s="1842"/>
      <c r="D174" s="1842"/>
      <c r="E174" s="1846"/>
    </row>
    <row r="175" spans="1:5">
      <c r="A175" s="1843" t="s">
        <v>6044</v>
      </c>
      <c r="B175" s="1844" t="s">
        <v>1896</v>
      </c>
      <c r="C175" s="1842"/>
      <c r="D175" s="1842"/>
      <c r="E175" s="1846"/>
    </row>
    <row r="176" spans="1:5">
      <c r="A176" s="1843" t="s">
        <v>6045</v>
      </c>
      <c r="B176" s="1844" t="s">
        <v>1897</v>
      </c>
      <c r="C176" s="1842"/>
      <c r="D176" s="1842"/>
      <c r="E176" s="1846"/>
    </row>
    <row r="177" spans="1:5">
      <c r="A177" s="1843" t="s">
        <v>6046</v>
      </c>
      <c r="B177" s="1844" t="s">
        <v>1898</v>
      </c>
      <c r="C177" s="1842"/>
      <c r="D177" s="1842"/>
      <c r="E177" s="1846"/>
    </row>
    <row r="178" spans="1:5">
      <c r="A178" s="1843" t="s">
        <v>6047</v>
      </c>
      <c r="B178" s="1844" t="s">
        <v>1899</v>
      </c>
      <c r="C178" s="1842"/>
      <c r="D178" s="1842"/>
      <c r="E178" s="1846"/>
    </row>
    <row r="179" spans="1:5">
      <c r="A179" s="1843" t="s">
        <v>6048</v>
      </c>
      <c r="B179" s="1844" t="s">
        <v>1900</v>
      </c>
      <c r="C179" s="1842"/>
      <c r="D179" s="1842"/>
      <c r="E179" s="1846"/>
    </row>
    <row r="180" spans="1:5">
      <c r="A180" s="1843" t="s">
        <v>6049</v>
      </c>
      <c r="B180" s="1844" t="s">
        <v>1901</v>
      </c>
      <c r="C180" s="1842"/>
      <c r="D180" s="1842"/>
      <c r="E180" s="1846"/>
    </row>
    <row r="181" spans="1:5">
      <c r="A181" s="1843" t="s">
        <v>6050</v>
      </c>
      <c r="B181" s="1844" t="s">
        <v>1902</v>
      </c>
      <c r="C181" s="1842"/>
      <c r="D181" s="1842"/>
      <c r="E181" s="1846"/>
    </row>
    <row r="182" spans="1:5">
      <c r="A182" s="1843" t="s">
        <v>6051</v>
      </c>
      <c r="B182" s="1844" t="s">
        <v>1903</v>
      </c>
      <c r="C182" s="1842"/>
      <c r="D182" s="1842"/>
      <c r="E182" s="1846"/>
    </row>
    <row r="183" spans="1:5">
      <c r="A183" s="1843" t="s">
        <v>6052</v>
      </c>
      <c r="B183" s="1844" t="s">
        <v>1904</v>
      </c>
      <c r="C183" s="1842"/>
      <c r="D183" s="1842"/>
      <c r="E183" s="1846"/>
    </row>
    <row r="184" spans="1:5">
      <c r="A184" s="1843" t="s">
        <v>6053</v>
      </c>
      <c r="B184" s="1844" t="s">
        <v>1905</v>
      </c>
      <c r="C184" s="1842"/>
      <c r="D184" s="1842"/>
      <c r="E184" s="1846"/>
    </row>
    <row r="185" spans="1:5">
      <c r="A185" s="1843" t="s">
        <v>6054</v>
      </c>
      <c r="B185" s="1844" t="s">
        <v>1906</v>
      </c>
      <c r="C185" s="1842"/>
      <c r="D185" s="1842"/>
      <c r="E185" s="1846"/>
    </row>
    <row r="186" spans="1:5">
      <c r="A186" s="1843" t="s">
        <v>6055</v>
      </c>
      <c r="B186" s="1844" t="s">
        <v>1907</v>
      </c>
      <c r="C186" s="1842"/>
      <c r="D186" s="1842"/>
      <c r="E186" s="1846"/>
    </row>
    <row r="187" spans="1:5">
      <c r="A187" s="1843" t="s">
        <v>6056</v>
      </c>
      <c r="B187" s="1844" t="s">
        <v>1908</v>
      </c>
      <c r="C187" s="1842"/>
      <c r="D187" s="1842"/>
      <c r="E187" s="1846"/>
    </row>
    <row r="188" spans="1:5">
      <c r="A188" s="1843" t="s">
        <v>6057</v>
      </c>
      <c r="B188" s="1844" t="s">
        <v>1909</v>
      </c>
      <c r="C188" s="1842"/>
      <c r="D188" s="1842"/>
      <c r="E188" s="1846"/>
    </row>
    <row r="189" spans="1:5">
      <c r="A189" s="1843" t="s">
        <v>6058</v>
      </c>
      <c r="B189" s="1844" t="s">
        <v>1910</v>
      </c>
      <c r="C189" s="1842"/>
      <c r="D189" s="1842"/>
      <c r="E189" s="1846"/>
    </row>
    <row r="190" spans="1:5">
      <c r="A190" s="1843" t="s">
        <v>6059</v>
      </c>
      <c r="B190" s="1844" t="s">
        <v>1911</v>
      </c>
      <c r="C190" s="1842"/>
      <c r="D190" s="1842"/>
      <c r="E190" s="1846"/>
    </row>
    <row r="191" spans="1:5">
      <c r="A191" s="1843" t="s">
        <v>6060</v>
      </c>
      <c r="B191" s="1844" t="s">
        <v>1912</v>
      </c>
      <c r="C191" s="1842"/>
      <c r="D191" s="1842"/>
      <c r="E191" s="1846"/>
    </row>
    <row r="192" spans="1:5">
      <c r="A192" s="1843" t="s">
        <v>6061</v>
      </c>
      <c r="B192" s="1844" t="s">
        <v>1913</v>
      </c>
      <c r="C192" s="1842"/>
      <c r="D192" s="1842"/>
      <c r="E192" s="1846"/>
    </row>
    <row r="193" spans="1:5">
      <c r="A193" s="1843" t="s">
        <v>6062</v>
      </c>
      <c r="B193" s="1844" t="s">
        <v>1914</v>
      </c>
      <c r="C193" s="1842"/>
      <c r="D193" s="1842"/>
      <c r="E193" s="1846"/>
    </row>
    <row r="194" spans="1:5">
      <c r="A194" s="1843" t="s">
        <v>6063</v>
      </c>
      <c r="B194" s="1844" t="s">
        <v>1915</v>
      </c>
      <c r="C194" s="1842"/>
      <c r="D194" s="1842"/>
      <c r="E194" s="1846"/>
    </row>
    <row r="195" spans="1:5">
      <c r="A195" s="1843" t="s">
        <v>6064</v>
      </c>
      <c r="B195" s="1844" t="s">
        <v>1916</v>
      </c>
      <c r="C195" s="1842"/>
      <c r="D195" s="1842"/>
      <c r="E195" s="1846"/>
    </row>
    <row r="196" spans="1:5">
      <c r="A196" s="1843" t="s">
        <v>6065</v>
      </c>
      <c r="B196" s="1844" t="s">
        <v>1917</v>
      </c>
      <c r="C196" s="1842"/>
      <c r="D196" s="1842"/>
      <c r="E196" s="1846"/>
    </row>
    <row r="197" spans="1:5">
      <c r="A197" s="1843" t="s">
        <v>6066</v>
      </c>
      <c r="B197" s="1844" t="s">
        <v>1918</v>
      </c>
      <c r="C197" s="1842"/>
      <c r="D197" s="1842"/>
      <c r="E197" s="1846"/>
    </row>
    <row r="198" spans="1:5">
      <c r="A198" s="1843" t="s">
        <v>6067</v>
      </c>
      <c r="B198" s="1844" t="s">
        <v>1919</v>
      </c>
      <c r="C198" s="1842"/>
      <c r="D198" s="1842"/>
      <c r="E198" s="1846"/>
    </row>
    <row r="199" spans="1:5">
      <c r="A199" s="1843" t="s">
        <v>6068</v>
      </c>
      <c r="B199" s="1844" t="s">
        <v>1920</v>
      </c>
      <c r="C199" s="1842"/>
      <c r="D199" s="1842"/>
      <c r="E199" s="1846"/>
    </row>
    <row r="200" spans="1:5">
      <c r="A200" s="1843" t="s">
        <v>6069</v>
      </c>
      <c r="B200" s="1844" t="s">
        <v>1921</v>
      </c>
      <c r="C200" s="1842"/>
      <c r="D200" s="1842"/>
      <c r="E200" s="1846"/>
    </row>
    <row r="201" spans="1:5">
      <c r="A201" s="1843" t="s">
        <v>6070</v>
      </c>
      <c r="B201" s="1844" t="s">
        <v>1922</v>
      </c>
      <c r="C201" s="1842"/>
      <c r="D201" s="1842"/>
      <c r="E201" s="1846"/>
    </row>
    <row r="202" spans="1:5">
      <c r="A202" s="1843" t="s">
        <v>6071</v>
      </c>
      <c r="B202" s="1844" t="s">
        <v>1923</v>
      </c>
      <c r="C202" s="1842"/>
      <c r="D202" s="1842"/>
      <c r="E202" s="1846"/>
    </row>
    <row r="203" spans="1:5">
      <c r="A203" s="1843" t="s">
        <v>6072</v>
      </c>
      <c r="B203" s="1844" t="s">
        <v>1924</v>
      </c>
      <c r="C203" s="1842"/>
      <c r="D203" s="1842"/>
      <c r="E203" s="1846"/>
    </row>
    <row r="204" spans="1:5">
      <c r="A204" s="1847"/>
      <c r="B204" s="1847"/>
      <c r="C204" s="1847"/>
      <c r="D204" s="1847"/>
      <c r="E204" s="1847"/>
    </row>
    <row r="205" spans="1:5">
      <c r="A205" s="1847"/>
      <c r="B205" s="1847"/>
      <c r="C205" s="1847"/>
      <c r="D205" s="1847"/>
      <c r="E205" s="1847"/>
    </row>
    <row r="206" spans="1:5">
      <c r="A206" s="1847"/>
      <c r="B206" s="1847"/>
      <c r="C206" s="1847"/>
      <c r="D206" s="1847"/>
      <c r="E206" s="1847"/>
    </row>
    <row r="207" spans="1:5">
      <c r="A207" s="1847"/>
      <c r="B207" s="1847"/>
      <c r="C207" s="1847"/>
      <c r="D207" s="1847"/>
      <c r="E207" s="1847"/>
    </row>
  </sheetData>
  <autoFilter ref="H21:H128"/>
  <mergeCells count="146">
    <mergeCell ref="A5:B5"/>
    <mergeCell ref="C5:F5"/>
    <mergeCell ref="A6:B6"/>
    <mergeCell ref="C6:F6"/>
    <mergeCell ref="A7:B7"/>
    <mergeCell ref="C7:F7"/>
    <mergeCell ref="A1:F1"/>
    <mergeCell ref="A2:D2"/>
    <mergeCell ref="A3:B3"/>
    <mergeCell ref="C3:F3"/>
    <mergeCell ref="A4:B4"/>
    <mergeCell ref="C4:F4"/>
    <mergeCell ref="A11:B11"/>
    <mergeCell ref="C11:F11"/>
    <mergeCell ref="A12:B12"/>
    <mergeCell ref="C12:F12"/>
    <mergeCell ref="A13:B13"/>
    <mergeCell ref="C13:F13"/>
    <mergeCell ref="A8:B8"/>
    <mergeCell ref="C8:F8"/>
    <mergeCell ref="A9:B9"/>
    <mergeCell ref="C9:F9"/>
    <mergeCell ref="A10:B10"/>
    <mergeCell ref="C10:F10"/>
    <mergeCell ref="A19:D19"/>
    <mergeCell ref="A20:D20"/>
    <mergeCell ref="A21:E21"/>
    <mergeCell ref="C22:D22"/>
    <mergeCell ref="C23:D23"/>
    <mergeCell ref="C24:D24"/>
    <mergeCell ref="A14:D14"/>
    <mergeCell ref="A15:B15"/>
    <mergeCell ref="C15:F15"/>
    <mergeCell ref="D16:E16"/>
    <mergeCell ref="B17:F17"/>
    <mergeCell ref="A18:F18"/>
    <mergeCell ref="C31:D31"/>
    <mergeCell ref="C32:D32"/>
    <mergeCell ref="C33:D33"/>
    <mergeCell ref="C34:D34"/>
    <mergeCell ref="C35:D35"/>
    <mergeCell ref="C36:D36"/>
    <mergeCell ref="C25:D25"/>
    <mergeCell ref="C26:D26"/>
    <mergeCell ref="C27:D27"/>
    <mergeCell ref="C28:D28"/>
    <mergeCell ref="C29:D29"/>
    <mergeCell ref="C30:D30"/>
    <mergeCell ref="C43:D43"/>
    <mergeCell ref="C44:D44"/>
    <mergeCell ref="C45:D45"/>
    <mergeCell ref="C46:D46"/>
    <mergeCell ref="C47:D47"/>
    <mergeCell ref="C48:D48"/>
    <mergeCell ref="C37:D37"/>
    <mergeCell ref="C38:D38"/>
    <mergeCell ref="C39:D39"/>
    <mergeCell ref="C40:D40"/>
    <mergeCell ref="C41:D41"/>
    <mergeCell ref="C42:D42"/>
    <mergeCell ref="C55:D55"/>
    <mergeCell ref="C56:D56"/>
    <mergeCell ref="C57:D57"/>
    <mergeCell ref="C58:D58"/>
    <mergeCell ref="C59:D59"/>
    <mergeCell ref="C60:D60"/>
    <mergeCell ref="C49:D49"/>
    <mergeCell ref="C50:D50"/>
    <mergeCell ref="C51:D51"/>
    <mergeCell ref="C52:D52"/>
    <mergeCell ref="C53:D53"/>
    <mergeCell ref="C54:D54"/>
    <mergeCell ref="C67:D67"/>
    <mergeCell ref="C68:D68"/>
    <mergeCell ref="C69:D69"/>
    <mergeCell ref="C70:D70"/>
    <mergeCell ref="C71:D71"/>
    <mergeCell ref="C72:D72"/>
    <mergeCell ref="C61:D61"/>
    <mergeCell ref="C62:D62"/>
    <mergeCell ref="C63:D63"/>
    <mergeCell ref="C64:D64"/>
    <mergeCell ref="C65:D65"/>
    <mergeCell ref="C66:D66"/>
    <mergeCell ref="C80:D80"/>
    <mergeCell ref="C81:D81"/>
    <mergeCell ref="C82:D82"/>
    <mergeCell ref="C83:D83"/>
    <mergeCell ref="C84:D84"/>
    <mergeCell ref="C85:D85"/>
    <mergeCell ref="C73:D73"/>
    <mergeCell ref="C74:D74"/>
    <mergeCell ref="C75:D75"/>
    <mergeCell ref="C76:D76"/>
    <mergeCell ref="A78:E78"/>
    <mergeCell ref="C79:D79"/>
    <mergeCell ref="C92:D92"/>
    <mergeCell ref="C93:D93"/>
    <mergeCell ref="C94:D94"/>
    <mergeCell ref="C95:D95"/>
    <mergeCell ref="C96:D96"/>
    <mergeCell ref="C97:D97"/>
    <mergeCell ref="C86:D86"/>
    <mergeCell ref="C87:D87"/>
    <mergeCell ref="C88:D88"/>
    <mergeCell ref="C89:D89"/>
    <mergeCell ref="C90:D90"/>
    <mergeCell ref="C91:D91"/>
    <mergeCell ref="C104:D104"/>
    <mergeCell ref="C105:D105"/>
    <mergeCell ref="C106:D106"/>
    <mergeCell ref="C107:D107"/>
    <mergeCell ref="C108:D108"/>
    <mergeCell ref="C109:D109"/>
    <mergeCell ref="C98:D98"/>
    <mergeCell ref="C99:D99"/>
    <mergeCell ref="C100:D100"/>
    <mergeCell ref="C101:D101"/>
    <mergeCell ref="C102:D102"/>
    <mergeCell ref="C103:D103"/>
    <mergeCell ref="C116:D116"/>
    <mergeCell ref="C117:D117"/>
    <mergeCell ref="C118:D118"/>
    <mergeCell ref="C119:D119"/>
    <mergeCell ref="A121:D121"/>
    <mergeCell ref="A122:B122"/>
    <mergeCell ref="C122:D122"/>
    <mergeCell ref="C110:D110"/>
    <mergeCell ref="C111:D111"/>
    <mergeCell ref="C112:D112"/>
    <mergeCell ref="C113:D113"/>
    <mergeCell ref="C114:D114"/>
    <mergeCell ref="C115:D115"/>
    <mergeCell ref="A126:B126"/>
    <mergeCell ref="C126:D126"/>
    <mergeCell ref="C127:D127"/>
    <mergeCell ref="A128:F128"/>
    <mergeCell ref="A137:E137"/>
    <mergeCell ref="A138:B138"/>
    <mergeCell ref="D138:E138"/>
    <mergeCell ref="A123:B123"/>
    <mergeCell ref="C123:D123"/>
    <mergeCell ref="A124:B124"/>
    <mergeCell ref="C124:D124"/>
    <mergeCell ref="A125:B125"/>
    <mergeCell ref="C125:D125"/>
  </mergeCells>
  <phoneticPr fontId="135" type="noConversion"/>
  <pageMargins left="0.78740157480314965" right="0.31496062992125984" top="0.70866141732283472" bottom="0.55118110236220474" header="0.31496062992125984" footer="0.31496062992125984"/>
  <pageSetup paperSize="9" orientation="portrait" blackAndWhite="1"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J37"/>
  <sheetViews>
    <sheetView workbookViewId="0">
      <selection activeCell="A5" sqref="A5:I5"/>
    </sheetView>
  </sheetViews>
  <sheetFormatPr defaultColWidth="8.75" defaultRowHeight="16.5"/>
  <cols>
    <col min="1" max="2" width="8.75" style="2" customWidth="1"/>
    <col min="3" max="3" width="8.875" style="2" customWidth="1"/>
    <col min="4" max="5" width="8.75" style="2" customWidth="1"/>
    <col min="6" max="6" width="9.25" style="2" customWidth="1"/>
    <col min="7" max="8" width="8.75" style="2" customWidth="1"/>
    <col min="9" max="9" width="9.25" style="2" customWidth="1"/>
    <col min="10" max="10" width="1.75" style="2" customWidth="1"/>
    <col min="11" max="16384" width="8.75" style="2"/>
  </cols>
  <sheetData>
    <row r="1" spans="1:10" ht="14.45" customHeight="1">
      <c r="A1" s="3879"/>
      <c r="B1" s="3879"/>
      <c r="C1" s="3879"/>
      <c r="D1" s="3879"/>
      <c r="E1" s="3879"/>
      <c r="F1" s="3879"/>
      <c r="G1" s="3879"/>
      <c r="H1" s="3879"/>
      <c r="I1" s="3879"/>
    </row>
    <row r="2" spans="1:10" ht="25.5" customHeight="1">
      <c r="A2" s="3879"/>
      <c r="B2" s="3879"/>
      <c r="C2" s="3879"/>
      <c r="D2" s="3879"/>
      <c r="E2" s="3879"/>
      <c r="F2" s="3879"/>
      <c r="G2" s="3879"/>
      <c r="H2" s="3879"/>
      <c r="I2" s="3879"/>
    </row>
    <row r="3" spans="1:10">
      <c r="A3" s="3879"/>
      <c r="B3" s="3879"/>
      <c r="C3" s="3879"/>
      <c r="D3" s="3879"/>
      <c r="E3" s="3879"/>
      <c r="F3" s="3879"/>
      <c r="G3" s="3879"/>
      <c r="H3" s="3879"/>
      <c r="I3" s="3879"/>
    </row>
    <row r="4" spans="1:10" s="4" customFormat="1" ht="28.15" customHeight="1">
      <c r="A4" s="3880" t="s">
        <v>0</v>
      </c>
      <c r="B4" s="3880"/>
      <c r="C4" s="3880"/>
      <c r="D4" s="3880"/>
      <c r="E4" s="3880"/>
      <c r="F4" s="3880"/>
      <c r="G4" s="3880"/>
      <c r="H4" s="3880"/>
      <c r="I4" s="3880"/>
      <c r="J4" s="3"/>
    </row>
    <row r="5" spans="1:10" s="4" customFormat="1" ht="27">
      <c r="A5" s="3881" t="s">
        <v>15</v>
      </c>
      <c r="B5" s="3881"/>
      <c r="C5" s="3881"/>
      <c r="D5" s="3881"/>
      <c r="E5" s="3881"/>
      <c r="F5" s="3881"/>
      <c r="G5" s="3881"/>
      <c r="H5" s="3881"/>
      <c r="I5" s="3881"/>
      <c r="J5" s="3"/>
    </row>
    <row r="6" spans="1:10" s="4" customFormat="1" ht="27">
      <c r="A6" s="3882"/>
      <c r="B6" s="3882"/>
      <c r="C6" s="3882"/>
      <c r="D6" s="3882"/>
      <c r="E6" s="3882"/>
      <c r="F6" s="3882"/>
      <c r="G6" s="3882"/>
      <c r="H6" s="3882"/>
      <c r="I6" s="3882"/>
      <c r="J6" s="3"/>
    </row>
    <row r="7" spans="1:10" ht="17.45" customHeight="1">
      <c r="A7" s="3877" t="str">
        <f>"税款所属期间："&amp;基本情况!$F$9</f>
        <v>税款所属期间：2017年01月01日至2017年12月31日</v>
      </c>
      <c r="B7" s="3877"/>
      <c r="C7" s="3877"/>
      <c r="D7" s="3877"/>
      <c r="E7" s="3877"/>
      <c r="F7" s="3877"/>
      <c r="G7" s="3877"/>
      <c r="H7" s="3877"/>
      <c r="I7" s="3877"/>
      <c r="J7" s="5"/>
    </row>
    <row r="8" spans="1:10" ht="18.75">
      <c r="A8" s="3877"/>
      <c r="B8" s="3877"/>
      <c r="C8" s="3877"/>
      <c r="D8" s="3877"/>
      <c r="E8" s="3877"/>
      <c r="F8" s="3877"/>
      <c r="G8" s="3877"/>
      <c r="H8" s="3877"/>
      <c r="I8" s="3877"/>
      <c r="J8" s="5"/>
    </row>
    <row r="9" spans="1:10" ht="18.75">
      <c r="A9" s="3877"/>
      <c r="B9" s="3877"/>
      <c r="C9" s="3877"/>
      <c r="D9" s="3877"/>
      <c r="E9" s="3877"/>
      <c r="F9" s="3877"/>
      <c r="G9" s="3877"/>
      <c r="H9" s="3877"/>
      <c r="I9" s="3877"/>
      <c r="J9" s="5"/>
    </row>
    <row r="10" spans="1:10" ht="33" customHeight="1">
      <c r="A10" s="3878" t="str">
        <f>"        纳税人统一社会信用代码："&amp;LEFT(基本情况!C24&amp;REPT("□",18),18)&amp;CHAR(10)&amp;"           （纳税人识别号）"</f>
        <v xml:space="preserve">        纳税人统一社会信用代码：0□□□□□□□□□□□□□□□□□
           （纳税人识别号）</v>
      </c>
      <c r="B10" s="3878"/>
      <c r="C10" s="3878"/>
      <c r="D10" s="3878"/>
      <c r="E10" s="3878"/>
      <c r="F10" s="3878"/>
      <c r="G10" s="3878"/>
      <c r="H10" s="3878"/>
      <c r="I10" s="3878"/>
      <c r="J10" s="5"/>
    </row>
    <row r="11" spans="1:10" ht="18.75">
      <c r="A11" s="3877"/>
      <c r="B11" s="3877"/>
      <c r="C11" s="3877"/>
      <c r="D11" s="3877"/>
      <c r="E11" s="3877"/>
      <c r="F11" s="3877"/>
      <c r="G11" s="3877"/>
      <c r="H11" s="3877"/>
      <c r="I11" s="3877"/>
      <c r="J11" s="5"/>
    </row>
    <row r="12" spans="1:10" ht="18.75">
      <c r="A12" s="3878" t="str">
        <f>"        纳税人名称:"&amp;基本情况!$C$3</f>
        <v xml:space="preserve">        纳税人名称:</v>
      </c>
      <c r="B12" s="3878"/>
      <c r="C12" s="3878"/>
      <c r="D12" s="3878"/>
      <c r="E12" s="3878"/>
      <c r="F12" s="3878"/>
      <c r="G12" s="3878"/>
      <c r="H12" s="3878"/>
      <c r="I12" s="3878"/>
      <c r="J12" s="5"/>
    </row>
    <row r="13" spans="1:10" ht="17.45" customHeight="1">
      <c r="A13" s="6"/>
      <c r="B13" s="6"/>
      <c r="C13" s="6"/>
      <c r="D13" s="6"/>
      <c r="E13" s="6"/>
      <c r="F13" s="6"/>
      <c r="G13" s="6"/>
      <c r="H13" s="6"/>
      <c r="I13" s="6"/>
      <c r="J13" s="5"/>
    </row>
    <row r="14" spans="1:10" ht="18.75">
      <c r="A14" s="3878" t="s">
        <v>1</v>
      </c>
      <c r="B14" s="3878"/>
      <c r="C14" s="3878"/>
      <c r="D14" s="3878"/>
      <c r="E14" s="3878"/>
      <c r="F14" s="3878"/>
      <c r="G14" s="3878"/>
      <c r="H14" s="3878"/>
      <c r="I14" s="3878"/>
      <c r="J14" s="5"/>
    </row>
    <row r="15" spans="1:10" ht="18.75">
      <c r="A15" s="6"/>
      <c r="B15" s="6"/>
      <c r="C15" s="6"/>
      <c r="D15" s="6"/>
      <c r="E15" s="6"/>
      <c r="F15" s="6"/>
      <c r="G15" s="6"/>
      <c r="H15" s="6"/>
      <c r="I15" s="6"/>
      <c r="J15" s="5"/>
    </row>
    <row r="16" spans="1:10" ht="18.75">
      <c r="A16" s="6"/>
      <c r="B16" s="6"/>
      <c r="C16" s="6"/>
      <c r="D16" s="6"/>
      <c r="E16" s="6"/>
      <c r="F16" s="6"/>
      <c r="G16" s="6"/>
      <c r="H16" s="6"/>
      <c r="I16" s="6"/>
      <c r="J16" s="5"/>
    </row>
    <row r="17" spans="1:10" ht="18.75">
      <c r="A17" s="6"/>
      <c r="B17" s="6"/>
      <c r="C17" s="6"/>
      <c r="D17" s="6"/>
      <c r="E17" s="6"/>
      <c r="F17" s="6"/>
      <c r="G17" s="6"/>
      <c r="H17" s="6"/>
      <c r="I17" s="6"/>
      <c r="J17" s="5"/>
    </row>
    <row r="18" spans="1:10" ht="18.75">
      <c r="A18" s="6"/>
      <c r="B18" s="6"/>
      <c r="C18" s="6"/>
      <c r="D18" s="6"/>
      <c r="E18" s="6"/>
      <c r="F18" s="6"/>
      <c r="G18" s="6"/>
      <c r="H18" s="6"/>
      <c r="I18" s="6"/>
      <c r="J18" s="5"/>
    </row>
    <row r="19" spans="1:10" ht="18.75">
      <c r="A19" s="3883"/>
      <c r="B19" s="3883"/>
      <c r="C19" s="3883"/>
      <c r="D19" s="3883"/>
      <c r="E19" s="3883"/>
      <c r="F19" s="3883"/>
      <c r="G19" s="3883"/>
      <c r="H19" s="3883"/>
      <c r="I19" s="3883"/>
      <c r="J19" s="5"/>
    </row>
    <row r="20" spans="1:10" s="8" customFormat="1" ht="18.75">
      <c r="A20" s="3884" t="s">
        <v>2</v>
      </c>
      <c r="B20" s="3884"/>
      <c r="C20" s="3884"/>
      <c r="D20" s="3884"/>
      <c r="E20" s="3884"/>
      <c r="F20" s="3884"/>
      <c r="G20" s="3884"/>
      <c r="H20" s="3884"/>
      <c r="I20" s="3884"/>
      <c r="J20" s="7"/>
    </row>
    <row r="21" spans="1:10" s="8" customFormat="1" ht="18.75">
      <c r="A21" s="3884"/>
      <c r="B21" s="3884"/>
      <c r="C21" s="3884"/>
      <c r="D21" s="3884"/>
      <c r="E21" s="3884"/>
      <c r="F21" s="3884"/>
      <c r="G21" s="3884"/>
      <c r="H21" s="3884"/>
      <c r="I21" s="3884"/>
      <c r="J21" s="7"/>
    </row>
    <row r="22" spans="1:10" s="8" customFormat="1" ht="18.75" customHeight="1">
      <c r="A22" s="3884"/>
      <c r="B22" s="3884"/>
      <c r="C22" s="3884"/>
      <c r="D22" s="3884"/>
      <c r="E22" s="3884"/>
      <c r="F22" s="3884"/>
      <c r="G22" s="3884"/>
      <c r="H22" s="3884"/>
      <c r="I22" s="3884"/>
      <c r="J22" s="7"/>
    </row>
    <row r="23" spans="1:10" s="8" customFormat="1" ht="18.75">
      <c r="A23" s="7"/>
      <c r="B23" s="7"/>
      <c r="C23" s="7"/>
      <c r="D23" s="7"/>
      <c r="E23" s="7"/>
      <c r="F23" s="7"/>
      <c r="G23" s="7"/>
      <c r="H23" s="7"/>
      <c r="I23" s="7"/>
      <c r="J23" s="7"/>
    </row>
    <row r="24" spans="1:10" ht="15.6" customHeight="1">
      <c r="A24" s="3885" t="s">
        <v>3</v>
      </c>
      <c r="B24" s="3885"/>
      <c r="C24" s="3885"/>
      <c r="D24" s="3885"/>
      <c r="E24" s="3885"/>
      <c r="F24" s="3885"/>
      <c r="G24" s="3885"/>
      <c r="H24" s="3885"/>
      <c r="I24" s="3885"/>
    </row>
    <row r="25" spans="1:10">
      <c r="A25" s="3877"/>
      <c r="B25" s="3877"/>
      <c r="C25" s="3877"/>
      <c r="D25" s="3877"/>
      <c r="E25" s="3877"/>
      <c r="F25" s="3877"/>
      <c r="G25" s="3877"/>
      <c r="H25" s="3877"/>
      <c r="I25" s="3877"/>
    </row>
    <row r="26" spans="1:10">
      <c r="A26" s="3886" t="s">
        <v>4</v>
      </c>
      <c r="B26" s="3887"/>
      <c r="C26" s="3888"/>
      <c r="D26" s="3892" t="s">
        <v>5</v>
      </c>
      <c r="E26" s="3893"/>
      <c r="F26" s="3894"/>
      <c r="G26" s="3892" t="s">
        <v>6</v>
      </c>
      <c r="H26" s="3893"/>
      <c r="I26" s="3894"/>
    </row>
    <row r="27" spans="1:10">
      <c r="A27" s="3889"/>
      <c r="B27" s="3890"/>
      <c r="C27" s="3891"/>
      <c r="D27" s="3895"/>
      <c r="E27" s="3896"/>
      <c r="F27" s="3897"/>
      <c r="G27" s="3895"/>
      <c r="H27" s="3896"/>
      <c r="I27" s="3897"/>
    </row>
    <row r="28" spans="1:10">
      <c r="A28" s="3889"/>
      <c r="B28" s="3890"/>
      <c r="C28" s="3891"/>
      <c r="D28" s="3895"/>
      <c r="E28" s="3896"/>
      <c r="F28" s="3897"/>
      <c r="G28" s="3895"/>
      <c r="H28" s="3896"/>
      <c r="I28" s="3897"/>
    </row>
    <row r="29" spans="1:10">
      <c r="A29" s="3889"/>
      <c r="B29" s="3890"/>
      <c r="C29" s="3891"/>
      <c r="D29" s="3895"/>
      <c r="E29" s="3896"/>
      <c r="F29" s="3897"/>
      <c r="G29" s="3895"/>
      <c r="H29" s="3896"/>
      <c r="I29" s="3897"/>
    </row>
    <row r="30" spans="1:10">
      <c r="A30" s="3889"/>
      <c r="B30" s="3890"/>
      <c r="C30" s="3891"/>
      <c r="D30" s="3895"/>
      <c r="E30" s="3896"/>
      <c r="F30" s="3897"/>
      <c r="G30" s="3895"/>
      <c r="H30" s="3896"/>
      <c r="I30" s="3897"/>
    </row>
    <row r="31" spans="1:10">
      <c r="A31" s="3901" t="s">
        <v>7</v>
      </c>
      <c r="B31" s="3902"/>
      <c r="C31" s="3903"/>
      <c r="D31" s="3895" t="s">
        <v>8</v>
      </c>
      <c r="E31" s="3896"/>
      <c r="F31" s="3897"/>
      <c r="G31" s="3904" t="s">
        <v>9</v>
      </c>
      <c r="H31" s="3905"/>
      <c r="I31" s="3906"/>
      <c r="J31" s="12"/>
    </row>
    <row r="32" spans="1:10">
      <c r="A32" s="11"/>
      <c r="B32" s="12"/>
      <c r="C32" s="13"/>
      <c r="D32" s="16" t="s">
        <v>10</v>
      </c>
      <c r="E32" s="9"/>
      <c r="F32" s="10"/>
      <c r="G32" s="14"/>
      <c r="H32" s="14"/>
      <c r="I32" s="15"/>
      <c r="J32" s="12"/>
    </row>
    <row r="33" spans="1:10">
      <c r="A33" s="3901"/>
      <c r="B33" s="3902"/>
      <c r="C33" s="3903"/>
      <c r="E33" s="17"/>
      <c r="F33" s="18"/>
      <c r="I33" s="19"/>
      <c r="J33" s="12"/>
    </row>
    <row r="34" spans="1:10">
      <c r="A34" s="3907" t="s">
        <v>11</v>
      </c>
      <c r="B34" s="3908"/>
      <c r="C34" s="3909"/>
      <c r="D34" s="3910" t="s">
        <v>12</v>
      </c>
      <c r="E34" s="3911"/>
      <c r="F34" s="3912"/>
      <c r="G34" s="3913" t="s">
        <v>13</v>
      </c>
      <c r="H34" s="3914"/>
      <c r="I34" s="3915"/>
      <c r="J34" s="12"/>
    </row>
    <row r="35" spans="1:10">
      <c r="A35" s="20"/>
      <c r="B35" s="20"/>
      <c r="C35" s="20"/>
      <c r="D35" s="9"/>
      <c r="E35" s="9"/>
      <c r="F35" s="9"/>
      <c r="G35" s="14"/>
      <c r="H35" s="14"/>
      <c r="I35" s="14"/>
      <c r="J35" s="12"/>
    </row>
    <row r="36" spans="1:10" ht="18.75">
      <c r="A36" s="3898" t="s">
        <v>14</v>
      </c>
      <c r="B36" s="3898"/>
      <c r="C36" s="3898"/>
      <c r="D36" s="3898"/>
      <c r="E36" s="3898"/>
      <c r="F36" s="3898"/>
      <c r="G36" s="3898"/>
      <c r="H36" s="3898"/>
      <c r="I36" s="3898"/>
    </row>
    <row r="37" spans="1:10" ht="18.75">
      <c r="A37" s="3899"/>
      <c r="B37" s="3900"/>
      <c r="C37" s="3900"/>
      <c r="D37" s="3900"/>
      <c r="E37" s="3900"/>
      <c r="F37" s="3900"/>
      <c r="G37" s="3900"/>
      <c r="H37" s="3900"/>
      <c r="I37" s="3900"/>
    </row>
  </sheetData>
  <mergeCells count="27">
    <mergeCell ref="A36:I36"/>
    <mergeCell ref="A37:I37"/>
    <mergeCell ref="A31:C31"/>
    <mergeCell ref="D31:F31"/>
    <mergeCell ref="G31:I31"/>
    <mergeCell ref="A33:C33"/>
    <mergeCell ref="A34:C34"/>
    <mergeCell ref="D34:F34"/>
    <mergeCell ref="G34:I34"/>
    <mergeCell ref="A24:I24"/>
    <mergeCell ref="A25:I25"/>
    <mergeCell ref="A26:C30"/>
    <mergeCell ref="D26:F30"/>
    <mergeCell ref="G26:I30"/>
    <mergeCell ref="A11:I11"/>
    <mergeCell ref="A12:I12"/>
    <mergeCell ref="A14:I14"/>
    <mergeCell ref="A19:I19"/>
    <mergeCell ref="A20:I22"/>
    <mergeCell ref="A8:I8"/>
    <mergeCell ref="A9:I9"/>
    <mergeCell ref="A10:I10"/>
    <mergeCell ref="A1:I3"/>
    <mergeCell ref="A4:I4"/>
    <mergeCell ref="A5:I5"/>
    <mergeCell ref="A6:I6"/>
    <mergeCell ref="A7:I7"/>
  </mergeCells>
  <phoneticPr fontId="1" type="noConversion"/>
  <pageMargins left="0.70866141732283472" right="0.70866141732283472" top="0.74803149606299213" bottom="0.74803149606299213" header="0.31496062992125984" footer="0.31496062992125984"/>
  <pageSetup paperSize="9" orientation="portrait" r:id="rId1"/>
  <legacyDrawing r:id="rId2"/>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G46"/>
  <sheetViews>
    <sheetView workbookViewId="0">
      <selection sqref="A1:D1"/>
    </sheetView>
  </sheetViews>
  <sheetFormatPr defaultColWidth="8.75" defaultRowHeight="12"/>
  <cols>
    <col min="1" max="1" width="11.25" style="201" customWidth="1"/>
    <col min="2" max="2" width="63.625" style="21" customWidth="1"/>
    <col min="3" max="3" width="5" style="31" customWidth="1"/>
    <col min="4" max="4" width="5.875" style="31" customWidth="1"/>
    <col min="5" max="5" width="1.25" style="21" customWidth="1"/>
    <col min="6" max="6" width="17.625" style="22" customWidth="1"/>
    <col min="7" max="16384" width="8.75" style="21"/>
  </cols>
  <sheetData>
    <row r="1" spans="1:7" ht="25.5" customHeight="1">
      <c r="A1" s="3918" t="s">
        <v>16</v>
      </c>
      <c r="B1" s="3918"/>
      <c r="C1" s="3918"/>
      <c r="D1" s="3918"/>
    </row>
    <row r="2" spans="1:7" ht="14.25" customHeight="1">
      <c r="A2" s="3919" t="s">
        <v>17</v>
      </c>
      <c r="B2" s="3920" t="s">
        <v>18</v>
      </c>
      <c r="C2" s="3921" t="s">
        <v>19</v>
      </c>
      <c r="D2" s="3921"/>
    </row>
    <row r="3" spans="1:7" ht="14.25" customHeight="1">
      <c r="A3" s="3919"/>
      <c r="B3" s="3920"/>
      <c r="C3" s="24" t="s">
        <v>20</v>
      </c>
      <c r="D3" s="24" t="s">
        <v>21</v>
      </c>
      <c r="F3" s="25"/>
    </row>
    <row r="4" spans="1:7" ht="14.25" customHeight="1">
      <c r="A4" s="197" t="s">
        <v>22</v>
      </c>
      <c r="B4" s="26" t="s">
        <v>23</v>
      </c>
      <c r="C4" s="24" t="str">
        <f>IF(G4,"√","□")</f>
        <v>√</v>
      </c>
      <c r="D4" s="24" t="str">
        <f>IF(NOT(G4),"√","□")</f>
        <v>□</v>
      </c>
      <c r="F4" s="27" t="s">
        <v>1321</v>
      </c>
      <c r="G4" s="21" t="b">
        <f>TRUE</f>
        <v>1</v>
      </c>
    </row>
    <row r="5" spans="1:7" ht="14.25" customHeight="1">
      <c r="A5" s="197" t="s">
        <v>24</v>
      </c>
      <c r="B5" s="26" t="s">
        <v>25</v>
      </c>
      <c r="C5" s="2349" t="str">
        <f t="shared" ref="C5:C40" si="0">IF(G5,"√","□")</f>
        <v>√</v>
      </c>
      <c r="D5" s="2349" t="str">
        <f t="shared" ref="D5:D40" si="1">IF(NOT(G5),"√","□")</f>
        <v>□</v>
      </c>
      <c r="F5" s="28" t="s">
        <v>26</v>
      </c>
      <c r="G5" s="21" t="b">
        <f>TRUE</f>
        <v>1</v>
      </c>
    </row>
    <row r="6" spans="1:7" ht="14.25" customHeight="1">
      <c r="A6" s="197" t="s">
        <v>27</v>
      </c>
      <c r="B6" s="26" t="s">
        <v>28</v>
      </c>
      <c r="C6" s="2349" t="str">
        <f t="shared" si="0"/>
        <v>□</v>
      </c>
      <c r="D6" s="2349" t="str">
        <f t="shared" si="1"/>
        <v>√</v>
      </c>
      <c r="F6" s="3922" t="s">
        <v>30</v>
      </c>
      <c r="G6" s="21" t="b">
        <f>OR('A101010 一般企业收入明细表'!C4&lt;&gt;0,'A101010 一般企业收入明细表'!C19&lt;&gt;0)</f>
        <v>0</v>
      </c>
    </row>
    <row r="7" spans="1:7" ht="14.25" customHeight="1">
      <c r="A7" s="197" t="s">
        <v>31</v>
      </c>
      <c r="B7" s="26" t="s">
        <v>32</v>
      </c>
      <c r="C7" s="2349" t="str">
        <f t="shared" si="0"/>
        <v>□</v>
      </c>
      <c r="D7" s="2349" t="str">
        <f t="shared" si="1"/>
        <v>√</v>
      </c>
      <c r="F7" s="3923"/>
      <c r="G7" s="21" t="b">
        <f>OR('A101020 金融企业收入明细表'!C4&lt;&gt;0,'A101020 金融企业收入明细表'!C38&lt;&gt;0)</f>
        <v>0</v>
      </c>
    </row>
    <row r="8" spans="1:7" ht="14.25" customHeight="1">
      <c r="A8" s="197" t="s">
        <v>33</v>
      </c>
      <c r="B8" s="26" t="s">
        <v>34</v>
      </c>
      <c r="C8" s="2349" t="str">
        <f t="shared" si="0"/>
        <v>□</v>
      </c>
      <c r="D8" s="2349" t="str">
        <f t="shared" si="1"/>
        <v>√</v>
      </c>
      <c r="F8" s="3924"/>
      <c r="G8" s="21" t="b">
        <f>OR('A102010 一般企业成本支出明细表'!C4&lt;&gt;0,'A102010 一般企业成本支出明细表'!C19&lt;&gt;0)</f>
        <v>0</v>
      </c>
    </row>
    <row r="9" spans="1:7" ht="14.25" customHeight="1">
      <c r="A9" s="197" t="s">
        <v>35</v>
      </c>
      <c r="B9" s="26" t="s">
        <v>36</v>
      </c>
      <c r="C9" s="2349" t="str">
        <f t="shared" si="0"/>
        <v>□</v>
      </c>
      <c r="D9" s="2349" t="str">
        <f t="shared" si="1"/>
        <v>√</v>
      </c>
      <c r="F9" s="3924"/>
      <c r="G9" s="21" t="b">
        <f>OR('A102020 金融企业支出明细表'!C4&lt;&gt;0,'A102020 金融企业支出明细表'!C36&lt;&gt;0)</f>
        <v>0</v>
      </c>
    </row>
    <row r="10" spans="1:7" ht="14.25" customHeight="1">
      <c r="A10" s="197" t="s">
        <v>37</v>
      </c>
      <c r="B10" s="26" t="s">
        <v>38</v>
      </c>
      <c r="C10" s="2349" t="str">
        <f t="shared" si="0"/>
        <v>□</v>
      </c>
      <c r="D10" s="2349" t="str">
        <f t="shared" si="1"/>
        <v>√</v>
      </c>
      <c r="F10" s="3924"/>
      <c r="G10" s="21" t="b">
        <f>OR(A103000事业单位、民间非营利组织收入、支出明细表!C4&lt;&gt;0,A103000事业单位、民间非营利组织收入、支出明细表!C13&lt;&gt;0,A103000事业单位、民间非营利组织收入、支出明细表!C21&lt;&gt;0,A103000事业单位、民间非营利组织收入、支出明细表!C27&lt;&gt;0)</f>
        <v>0</v>
      </c>
    </row>
    <row r="11" spans="1:7" ht="14.25" customHeight="1">
      <c r="A11" s="197" t="s">
        <v>39</v>
      </c>
      <c r="B11" s="26" t="s">
        <v>40</v>
      </c>
      <c r="C11" s="2349" t="str">
        <f t="shared" si="0"/>
        <v>□</v>
      </c>
      <c r="D11" s="2349" t="str">
        <f t="shared" si="1"/>
        <v>√</v>
      </c>
      <c r="F11" s="3924"/>
      <c r="G11" s="21" t="b">
        <f>OR(A104000期间费用明细表!C31&lt;&gt;0,A104000期间费用明细表!E31&lt;&gt;0,A104000期间费用明细表!G31&lt;&gt;0)</f>
        <v>0</v>
      </c>
    </row>
    <row r="12" spans="1:7" ht="14.25" customHeight="1">
      <c r="A12" s="197" t="s">
        <v>41</v>
      </c>
      <c r="B12" s="26" t="s">
        <v>42</v>
      </c>
      <c r="C12" s="2349" t="str">
        <f t="shared" si="0"/>
        <v>√</v>
      </c>
      <c r="D12" s="2349" t="str">
        <f t="shared" si="1"/>
        <v>□</v>
      </c>
      <c r="F12" s="3916" t="s">
        <v>43</v>
      </c>
      <c r="G12" s="21" t="b">
        <f>TRUE</f>
        <v>1</v>
      </c>
    </row>
    <row r="13" spans="1:7" ht="14.25" customHeight="1">
      <c r="A13" s="197" t="s">
        <v>44</v>
      </c>
      <c r="B13" s="26" t="s">
        <v>45</v>
      </c>
      <c r="C13" s="2349" t="str">
        <f t="shared" si="0"/>
        <v>□</v>
      </c>
      <c r="D13" s="2349" t="str">
        <f t="shared" si="1"/>
        <v>√</v>
      </c>
      <c r="F13" s="3917"/>
      <c r="G13" s="21" t="b">
        <f>SUM(A105010视同销售和房地产开发企业特定业务纳税调整明细表!C5:D5,A105010视同销售和房地产开发企业特定业务纳税调整明细表!C15:D15,A105010视同销售和房地产开发企业特定业务纳税调整明细表!C25:D25)&lt;&gt;0</f>
        <v>0</v>
      </c>
    </row>
    <row r="14" spans="1:7" ht="14.25" customHeight="1">
      <c r="A14" s="197" t="s">
        <v>46</v>
      </c>
      <c r="B14" s="26" t="s">
        <v>47</v>
      </c>
      <c r="C14" s="2349" t="str">
        <f t="shared" si="0"/>
        <v>□</v>
      </c>
      <c r="D14" s="2349" t="str">
        <f t="shared" si="1"/>
        <v>√</v>
      </c>
      <c r="F14" s="3917"/>
      <c r="G14" s="21" t="b">
        <f>A105020未按权责发生制确认收入纳税调整明细表!H20&lt;&gt;0</f>
        <v>0</v>
      </c>
    </row>
    <row r="15" spans="1:7" ht="14.25" customHeight="1">
      <c r="A15" s="473" t="s">
        <v>48</v>
      </c>
      <c r="B15" s="26" t="s">
        <v>49</v>
      </c>
      <c r="C15" s="2349" t="str">
        <f t="shared" si="0"/>
        <v>□</v>
      </c>
      <c r="D15" s="2349" t="str">
        <f t="shared" si="1"/>
        <v>√</v>
      </c>
      <c r="F15" s="3917"/>
      <c r="G15" s="21" t="b">
        <f>A105030投资收益纳税调整明细表!M18&lt;&gt;0</f>
        <v>0</v>
      </c>
    </row>
    <row r="16" spans="1:7" ht="14.25" customHeight="1">
      <c r="A16" s="197" t="s">
        <v>50</v>
      </c>
      <c r="B16" s="26" t="s">
        <v>51</v>
      </c>
      <c r="C16" s="2349" t="str">
        <f t="shared" si="0"/>
        <v>□</v>
      </c>
      <c r="D16" s="2349" t="str">
        <f t="shared" si="1"/>
        <v>√</v>
      </c>
      <c r="F16" s="3917"/>
      <c r="G16" s="2123" t="b">
        <f>SUM(A105040专项用途财政性资金纳税调整表!D14:F16,A105040专项用途财政性资金纳税调整表!L14:P16)&lt;&gt;0</f>
        <v>0</v>
      </c>
    </row>
    <row r="17" spans="1:7" ht="14.25" customHeight="1">
      <c r="A17" s="473" t="s">
        <v>1613</v>
      </c>
      <c r="B17" s="108" t="s">
        <v>522</v>
      </c>
      <c r="C17" s="2349" t="str">
        <f t="shared" si="0"/>
        <v>□</v>
      </c>
      <c r="D17" s="2349" t="str">
        <f t="shared" si="1"/>
        <v>√</v>
      </c>
      <c r="F17" s="3917"/>
      <c r="G17" s="21" t="b">
        <f>SUM(A105050职工薪酬支出及纳税调整明细表!C18:D18,A105050职工薪酬支出及纳税调整明细表!F18:I18)&lt;&gt;0</f>
        <v>0</v>
      </c>
    </row>
    <row r="18" spans="1:7" ht="14.25" customHeight="1">
      <c r="A18" s="197" t="s">
        <v>52</v>
      </c>
      <c r="B18" s="26" t="s">
        <v>53</v>
      </c>
      <c r="C18" s="2349" t="str">
        <f t="shared" si="0"/>
        <v>□</v>
      </c>
      <c r="D18" s="2349" t="str">
        <f t="shared" si="1"/>
        <v>√</v>
      </c>
      <c r="F18" s="3917"/>
      <c r="G18" s="21" t="b">
        <f>SUM(A105060广告费和业务宣传费跨年度纳税调整明细表!C16:C18)&lt;&gt;0</f>
        <v>0</v>
      </c>
    </row>
    <row r="19" spans="1:7" ht="14.25" customHeight="1">
      <c r="A19" s="473" t="s">
        <v>54</v>
      </c>
      <c r="B19" s="108" t="s">
        <v>542</v>
      </c>
      <c r="C19" s="2349" t="str">
        <f t="shared" si="0"/>
        <v>□</v>
      </c>
      <c r="D19" s="2349" t="str">
        <f t="shared" si="1"/>
        <v>√</v>
      </c>
      <c r="F19" s="3917"/>
      <c r="G19" s="21" t="b">
        <f>SUM(A105070捐赠支出及纳税调整明细表!C12:I12)&lt;&gt;0</f>
        <v>0</v>
      </c>
    </row>
    <row r="20" spans="1:7" ht="14.25" customHeight="1">
      <c r="A20" s="473" t="s">
        <v>55</v>
      </c>
      <c r="B20" s="26" t="s">
        <v>56</v>
      </c>
      <c r="C20" s="2349" t="str">
        <f t="shared" si="0"/>
        <v>□</v>
      </c>
      <c r="D20" s="2349" t="str">
        <f t="shared" si="1"/>
        <v>√</v>
      </c>
      <c r="F20" s="3917"/>
      <c r="G20" s="21" t="b">
        <f>SUM('A105080 资产折旧、摊销及纳税调整明细表'!D50:L50)&lt;&gt;0</f>
        <v>0</v>
      </c>
    </row>
    <row r="21" spans="1:7" ht="14.25" customHeight="1">
      <c r="A21" s="197" t="s">
        <v>57</v>
      </c>
      <c r="B21" s="26" t="s">
        <v>58</v>
      </c>
      <c r="C21" s="2349" t="str">
        <f t="shared" si="0"/>
        <v>□</v>
      </c>
      <c r="D21" s="2349" t="str">
        <f t="shared" si="1"/>
        <v>√</v>
      </c>
      <c r="F21" s="3917"/>
      <c r="G21" s="21" t="b">
        <f>SUM(A105090资产损失税前扣除及纳税调整明细表!C18:H18)&lt;&gt;0</f>
        <v>0</v>
      </c>
    </row>
    <row r="22" spans="1:7" ht="14.25" customHeight="1">
      <c r="A22" s="197" t="s">
        <v>59</v>
      </c>
      <c r="B22" s="26" t="s">
        <v>104</v>
      </c>
      <c r="C22" s="2349" t="str">
        <f t="shared" si="0"/>
        <v>□</v>
      </c>
      <c r="D22" s="2349" t="str">
        <f t="shared" si="1"/>
        <v>√</v>
      </c>
      <c r="F22" s="3917"/>
      <c r="G22" s="21" t="b">
        <f>SUM(A105100企业重组及递延纳税事项调整明细表!C21:I21)&lt;&gt;0</f>
        <v>0</v>
      </c>
    </row>
    <row r="23" spans="1:7" ht="14.25" customHeight="1">
      <c r="A23" s="197" t="s">
        <v>60</v>
      </c>
      <c r="B23" s="26" t="s">
        <v>61</v>
      </c>
      <c r="C23" s="2349" t="str">
        <f t="shared" si="0"/>
        <v>□</v>
      </c>
      <c r="D23" s="2349" t="str">
        <f t="shared" si="1"/>
        <v>√</v>
      </c>
      <c r="F23" s="3917"/>
      <c r="G23" s="21" t="b">
        <f>SUM(A105110政策性搬迁纳税调整明细表!C4,A105110政策性搬迁纳税调整明细表!C12,A105110政策性搬迁纳税调整明细表!C20,A105110政策性搬迁纳税调整明细表!C21,A105110政策性搬迁纳税调整明细表!C25:C27)&lt;&gt;0</f>
        <v>0</v>
      </c>
    </row>
    <row r="24" spans="1:7" ht="14.25" customHeight="1">
      <c r="A24" s="473" t="s">
        <v>62</v>
      </c>
      <c r="B24" s="26" t="s">
        <v>63</v>
      </c>
      <c r="C24" s="2349" t="str">
        <f t="shared" si="0"/>
        <v>□</v>
      </c>
      <c r="D24" s="2349" t="str">
        <f t="shared" si="1"/>
        <v>√</v>
      </c>
      <c r="F24" s="3917"/>
      <c r="G24" s="21" t="b">
        <f>SUM('A105120 特殊行业准备金及纳税调整明细表'!E47:G47)&lt;&gt;0</f>
        <v>0</v>
      </c>
    </row>
    <row r="25" spans="1:7" ht="14.25" customHeight="1">
      <c r="A25" s="197" t="s">
        <v>64</v>
      </c>
      <c r="B25" s="26" t="s">
        <v>65</v>
      </c>
      <c r="C25" s="2349" t="str">
        <f t="shared" si="0"/>
        <v>√</v>
      </c>
      <c r="D25" s="2349" t="str">
        <f t="shared" si="1"/>
        <v>□</v>
      </c>
      <c r="F25" s="29" t="s">
        <v>66</v>
      </c>
      <c r="G25" s="21" t="b">
        <f>TRUE</f>
        <v>1</v>
      </c>
    </row>
    <row r="26" spans="1:7" ht="14.25" customHeight="1">
      <c r="A26" s="197" t="s">
        <v>67</v>
      </c>
      <c r="B26" s="26" t="s">
        <v>68</v>
      </c>
      <c r="C26" s="2349" t="str">
        <f t="shared" si="0"/>
        <v>□</v>
      </c>
      <c r="D26" s="2349" t="str">
        <f t="shared" si="1"/>
        <v>√</v>
      </c>
      <c r="F26" s="3925" t="s">
        <v>69</v>
      </c>
      <c r="G26" s="21" t="b">
        <f>SUM(A107010免税、减计收入及加计扣除优惠明细表!C34)&lt;&gt;0</f>
        <v>0</v>
      </c>
    </row>
    <row r="27" spans="1:7" s="194" customFormat="1" ht="18.75" customHeight="1">
      <c r="A27" s="198" t="s">
        <v>70</v>
      </c>
      <c r="B27" s="23" t="s">
        <v>1169</v>
      </c>
      <c r="C27" s="2349" t="str">
        <f t="shared" si="0"/>
        <v>□</v>
      </c>
      <c r="D27" s="2349" t="str">
        <f t="shared" si="1"/>
        <v>√</v>
      </c>
      <c r="F27" s="3926"/>
      <c r="G27" s="194" t="b">
        <f>SUM(A107011符合条件的居民企业之间的股息、红利等…优惠明细表!R24)&lt;&gt;0</f>
        <v>0</v>
      </c>
    </row>
    <row r="28" spans="1:7" ht="14.25" customHeight="1">
      <c r="A28" s="197" t="s">
        <v>103</v>
      </c>
      <c r="B28" s="26" t="s">
        <v>71</v>
      </c>
      <c r="C28" s="2349" t="str">
        <f t="shared" si="0"/>
        <v>□</v>
      </c>
      <c r="D28" s="2349" t="str">
        <f t="shared" si="1"/>
        <v>√</v>
      </c>
      <c r="F28" s="3926"/>
      <c r="G28" s="21" t="b">
        <f>SUM('A107012 研发费用加计扣除优惠明细表'!D43,'A107012 研发费用加计扣除优惠明细表'!D46,'A107012 研发费用加计扣除优惠明细表'!D47,'A107012 研发费用加计扣除优惠明细表'!D48)&lt;&gt;0</f>
        <v>0</v>
      </c>
    </row>
    <row r="29" spans="1:7" ht="14.25" customHeight="1">
      <c r="A29" s="197" t="s">
        <v>72</v>
      </c>
      <c r="B29" s="26" t="s">
        <v>73</v>
      </c>
      <c r="C29" s="2349" t="str">
        <f t="shared" si="0"/>
        <v>□</v>
      </c>
      <c r="D29" s="2349" t="str">
        <f t="shared" si="1"/>
        <v>√</v>
      </c>
      <c r="F29" s="3926"/>
      <c r="G29" s="21" t="b">
        <f>SUM(A107020所得减免优惠明细表!F27:M27)&lt;&gt;0</f>
        <v>0</v>
      </c>
    </row>
    <row r="30" spans="1:7" ht="14.25" customHeight="1">
      <c r="A30" s="197" t="s">
        <v>74</v>
      </c>
      <c r="B30" s="26" t="s">
        <v>75</v>
      </c>
      <c r="C30" s="2349" t="str">
        <f t="shared" si="0"/>
        <v>□</v>
      </c>
      <c r="D30" s="2349" t="str">
        <f t="shared" si="1"/>
        <v>√</v>
      </c>
      <c r="F30" s="3926"/>
      <c r="G30" s="21" t="b">
        <f>SUM('A107030 抵扣应纳税所得额明细表'!C10,'A107030 抵扣应纳税所得额明细表'!C12,'A107030 抵扣应纳税所得额明细表'!C18,'A107030 抵扣应纳税所得额明细表'!C19,'A107030 抵扣应纳税所得额明细表'!C22)&lt;&gt;0</f>
        <v>0</v>
      </c>
    </row>
    <row r="31" spans="1:7" ht="14.25" customHeight="1">
      <c r="A31" s="197" t="s">
        <v>76</v>
      </c>
      <c r="B31" s="26" t="s">
        <v>77</v>
      </c>
      <c r="C31" s="2349" t="str">
        <f t="shared" si="0"/>
        <v>□</v>
      </c>
      <c r="D31" s="2349" t="str">
        <f t="shared" si="1"/>
        <v>√</v>
      </c>
      <c r="F31" s="3926"/>
      <c r="G31" s="21" t="b">
        <f>SUM(A107040减免所得税优惠明细表!C39)&lt;&gt;0</f>
        <v>0</v>
      </c>
    </row>
    <row r="32" spans="1:7" ht="14.25" customHeight="1">
      <c r="A32" s="197" t="s">
        <v>78</v>
      </c>
      <c r="B32" s="26" t="s">
        <v>79</v>
      </c>
      <c r="C32" s="2349" t="str">
        <f t="shared" si="0"/>
        <v>□</v>
      </c>
      <c r="D32" s="2349" t="str">
        <f t="shared" si="1"/>
        <v>√</v>
      </c>
      <c r="F32" s="3926"/>
      <c r="G32" s="21" t="b">
        <f>SUM('A107041 高新技术企业优惠情况及明细表'!I21,'A107041 高新技术企业优惠情况及明细表'!I37:I38,'A107041 高新技术企业优惠情况及明细表'!I9)&lt;&gt;0</f>
        <v>0</v>
      </c>
    </row>
    <row r="33" spans="1:7" ht="14.25" customHeight="1">
      <c r="A33" s="197" t="s">
        <v>80</v>
      </c>
      <c r="B33" s="26" t="s">
        <v>81</v>
      </c>
      <c r="C33" s="2349" t="str">
        <f t="shared" ca="1" si="0"/>
        <v>□</v>
      </c>
      <c r="D33" s="2349" t="str">
        <f t="shared" ca="1" si="1"/>
        <v>√</v>
      </c>
      <c r="F33" s="3926"/>
      <c r="G33" s="21" t="b">
        <f ca="1">SUM(A107042软件、集成电路企业优惠情况及明细表!E38)&lt;&gt;0</f>
        <v>0</v>
      </c>
    </row>
    <row r="34" spans="1:7" ht="14.25" customHeight="1">
      <c r="A34" s="197" t="s">
        <v>82</v>
      </c>
      <c r="B34" s="26" t="s">
        <v>83</v>
      </c>
      <c r="C34" s="2349" t="str">
        <f t="shared" si="0"/>
        <v>□</v>
      </c>
      <c r="D34" s="2349" t="str">
        <f t="shared" si="1"/>
        <v>√</v>
      </c>
      <c r="F34" s="3926"/>
      <c r="G34" s="21" t="b">
        <f>SUM('A107050 税额抵免优惠明细表'!F9:F14)&lt;&gt;0</f>
        <v>0</v>
      </c>
    </row>
    <row r="35" spans="1:7" ht="14.25" customHeight="1">
      <c r="A35" s="197" t="s">
        <v>84</v>
      </c>
      <c r="B35" s="26" t="s">
        <v>85</v>
      </c>
      <c r="C35" s="2349" t="str">
        <f t="shared" si="0"/>
        <v>□</v>
      </c>
      <c r="D35" s="2349" t="str">
        <f t="shared" si="1"/>
        <v>√</v>
      </c>
      <c r="F35" s="3927" t="s">
        <v>86</v>
      </c>
      <c r="G35" s="21" t="b">
        <f>SUM(A108000境外所得税收抵免明细表!C22:E22)&lt;&gt;0</f>
        <v>0</v>
      </c>
    </row>
    <row r="36" spans="1:7" ht="14.25" customHeight="1">
      <c r="A36" s="197" t="s">
        <v>87</v>
      </c>
      <c r="B36" s="26" t="s">
        <v>88</v>
      </c>
      <c r="C36" s="2349" t="str">
        <f t="shared" si="0"/>
        <v>□</v>
      </c>
      <c r="D36" s="2349" t="str">
        <f t="shared" si="1"/>
        <v>√</v>
      </c>
      <c r="F36" s="3928"/>
      <c r="G36" s="21" t="b">
        <f>SUM(A108010境外所得纳税调整后所得明细表!J23,A108010境外所得纳税调整后所得明细表!N23,A108010境外所得纳税调整后所得明细表!S23)&lt;&gt;0</f>
        <v>0</v>
      </c>
    </row>
    <row r="37" spans="1:7" ht="14.25" customHeight="1">
      <c r="A37" s="197" t="s">
        <v>89</v>
      </c>
      <c r="B37" s="26" t="s">
        <v>90</v>
      </c>
      <c r="C37" s="2349" t="str">
        <f t="shared" si="0"/>
        <v>□</v>
      </c>
      <c r="D37" s="2349" t="str">
        <f t="shared" si="1"/>
        <v>√</v>
      </c>
      <c r="F37" s="3928"/>
      <c r="G37" s="21" t="b">
        <f>SUM(A108020境外分支机构弥补亏损明细表!F22,A108020境外分支机构弥补亏损明细表!M22,A108020境外分支机构弥补亏损明细表!T22)&lt;&gt;0</f>
        <v>0</v>
      </c>
    </row>
    <row r="38" spans="1:7" ht="14.25" customHeight="1">
      <c r="A38" s="197" t="s">
        <v>91</v>
      </c>
      <c r="B38" s="26" t="s">
        <v>92</v>
      </c>
      <c r="C38" s="2349" t="str">
        <f t="shared" si="0"/>
        <v>□</v>
      </c>
      <c r="D38" s="2349" t="str">
        <f t="shared" si="1"/>
        <v>√</v>
      </c>
      <c r="F38" s="3928"/>
      <c r="G38" s="21" t="b">
        <f>SUM('A108030 跨年度结转抵免境外所得税明细表'!H17,'A108030 跨年度结转抵免境外所得税明细表'!N17,'A108030 跨年度结转抵免境外所得税明细表'!T17)&lt;&gt;0</f>
        <v>0</v>
      </c>
    </row>
    <row r="39" spans="1:7" ht="14.25" customHeight="1">
      <c r="A39" s="197" t="s">
        <v>93</v>
      </c>
      <c r="B39" s="26" t="s">
        <v>94</v>
      </c>
      <c r="C39" s="2349" t="str">
        <f t="shared" si="0"/>
        <v>□</v>
      </c>
      <c r="D39" s="2349" t="str">
        <f t="shared" si="1"/>
        <v>√</v>
      </c>
      <c r="F39" s="3929" t="s">
        <v>95</v>
      </c>
      <c r="G39" s="21" t="b">
        <f>SUM(A109000跨地区经营汇总纳税企业年度分摊企业所得税明细表!C4:C8)&lt;&gt;0</f>
        <v>0</v>
      </c>
    </row>
    <row r="40" spans="1:7" ht="14.25" customHeight="1">
      <c r="A40" s="197" t="s">
        <v>96</v>
      </c>
      <c r="B40" s="30" t="s">
        <v>97</v>
      </c>
      <c r="C40" s="2349" t="str">
        <f t="shared" si="0"/>
        <v>□</v>
      </c>
      <c r="D40" s="2349" t="str">
        <f t="shared" si="1"/>
        <v>√</v>
      </c>
      <c r="F40" s="3930"/>
      <c r="G40" s="21" t="b">
        <f>SUM('A109010 企业所得税汇总纳税分支机构所得税分配表'!H24)&lt;&gt;0</f>
        <v>0</v>
      </c>
    </row>
    <row r="41" spans="1:7" ht="14.25" customHeight="1">
      <c r="A41" s="3933" t="s">
        <v>102</v>
      </c>
      <c r="B41" s="3934"/>
      <c r="C41" s="3934"/>
      <c r="D41" s="3935"/>
    </row>
    <row r="42" spans="1:7" ht="14.25" customHeight="1">
      <c r="A42" s="3936"/>
      <c r="B42" s="3937"/>
      <c r="C42" s="3937"/>
      <c r="D42" s="3938"/>
    </row>
    <row r="43" spans="1:7" ht="14.25" customHeight="1">
      <c r="A43" s="199"/>
      <c r="B43" s="195"/>
      <c r="C43" s="195"/>
      <c r="D43" s="195"/>
    </row>
    <row r="45" spans="1:7" s="34" customFormat="1" ht="14.25" customHeight="1">
      <c r="A45" s="200" t="s">
        <v>98</v>
      </c>
      <c r="B45" s="32" t="s">
        <v>99</v>
      </c>
      <c r="C45" s="33" t="s">
        <v>29</v>
      </c>
      <c r="D45" s="33" t="s">
        <v>29</v>
      </c>
      <c r="F45" s="3931" t="s">
        <v>98</v>
      </c>
    </row>
    <row r="46" spans="1:7" s="34" customFormat="1" ht="14.25" customHeight="1">
      <c r="A46" s="200" t="s">
        <v>100</v>
      </c>
      <c r="B46" s="32" t="s">
        <v>101</v>
      </c>
      <c r="C46" s="33" t="s">
        <v>29</v>
      </c>
      <c r="D46" s="33" t="s">
        <v>29</v>
      </c>
      <c r="F46" s="3932"/>
    </row>
  </sheetData>
  <mergeCells count="11">
    <mergeCell ref="F26:F34"/>
    <mergeCell ref="F35:F38"/>
    <mergeCell ref="F39:F40"/>
    <mergeCell ref="F45:F46"/>
    <mergeCell ref="A41:D42"/>
    <mergeCell ref="F12:F24"/>
    <mergeCell ref="A1:D1"/>
    <mergeCell ref="A2:A3"/>
    <mergeCell ref="B2:B3"/>
    <mergeCell ref="C2:D2"/>
    <mergeCell ref="F6:F11"/>
  </mergeCells>
  <phoneticPr fontId="1" type="noConversion"/>
  <hyperlinks>
    <hyperlink ref="A4" location="'A000000 企业基础信息表'!A1" display="A000000"/>
    <hyperlink ref="A5" location="'A100000 中华人民共和国企业所得税年度纳税申报表（A类）'!A1" display="A100000"/>
    <hyperlink ref="A6" location="'A101010 一般企业收入明细表'!A1" display="A101010"/>
    <hyperlink ref="A7" location="'A101020 金融企业收入明细表'!A1" display="A101020"/>
    <hyperlink ref="A8" location="'A102010 一般企业成本支出明细表'!A1" display="A102010"/>
    <hyperlink ref="A9" location="'A102020 金融企业支出明细表'!A1" display="A102020"/>
    <hyperlink ref="A10" location="A103000事业单位、民间非营利组织收入、支出明细表!A1" display="A103000"/>
    <hyperlink ref="A11" location="A104000期间费用明细表!A1" display="A104000"/>
    <hyperlink ref="A12" location="A105000纳税调整项目明细表!A1" display="A105000"/>
    <hyperlink ref="A13" location="A105010视同销售和房地产开发企业特定业务纳税调整明细表!A1" display="A105010"/>
    <hyperlink ref="A14" location="A105020未按权责发生制确认收入纳税调整明细表!A1" display="A105020"/>
    <hyperlink ref="A15" location="A105030投资收益纳税调整明细表!A1" display="A105030"/>
    <hyperlink ref="A16" location="A105040专项用途财政性资金纳税调整表!A1" display="A105040"/>
    <hyperlink ref="A17" location="A105050职工薪酬支出及纳税调整明细表!A1" display="A105050"/>
    <hyperlink ref="A18" location="A105060广告费和业务宣传费跨年度纳税调整明细表!A1" display="A105060"/>
    <hyperlink ref="A19" location="A105070捐赠支出及纳税调整明细表!Print_Area" display="A105070"/>
    <hyperlink ref="A22" location="A105100企业重组及递延纳税事项调整明细表!A1" display="A105100"/>
    <hyperlink ref="A23" location="A105110政策性搬迁纳税调整明细表!A1" display="A105110"/>
    <hyperlink ref="A24" location="'A105120 特殊行业准备金及纳税调整明细表'!Print_Area" display="A105120"/>
    <hyperlink ref="A25" location="'A106000 企业所得税弥补亏损明细表'!A1" display="A106000"/>
    <hyperlink ref="A26" location="A107010免税、减计收入及加计扣除优惠明细表!A1" display="A107010"/>
    <hyperlink ref="A27" location="A107011符合条件的居民企业之间的股息、红利等…优惠明细表!A1" display="A107011"/>
    <hyperlink ref="A30" location="'A107030 抵扣应纳税所得额明细表'!A1" display="A107030"/>
    <hyperlink ref="A31" location="A107040减免所得税优惠明细表!A1" display="A107040"/>
    <hyperlink ref="A32" location="'A107041 高新技术企业优惠情况及明细表'!A1" display="A107041"/>
    <hyperlink ref="A33" location="A107042软件、集成电路企业优惠情况及明细表!A1" display="A107042"/>
    <hyperlink ref="A34" location="'A107050 税额抵免优惠明细表'!A1" display="A107050"/>
    <hyperlink ref="A35" location="A108000境外所得税收抵免明细表!A1" display="A108000"/>
    <hyperlink ref="A36" location="A108010境外所得纳税调整后所得明细表!A1" display="A108010"/>
    <hyperlink ref="A37" location="'A108030 跨年度结转抵免境外所得税明细表'!A1" display="A108020"/>
    <hyperlink ref="A38" location="'A108030 跨年度结转抵免境外所得税明细表'!A1" display="A108030"/>
    <hyperlink ref="A39" location="A109000跨地区经营汇总纳税企业年度分摊企业所得税明细表!A1" display="A109000"/>
    <hyperlink ref="A40" location="'A109010 企业所得税汇总纳税分支机构所得税分配表'!A1" display="A109010"/>
    <hyperlink ref="A45" location="研发项目可加计扣除研究开发费用情况归集表!A1" display="归集表"/>
    <hyperlink ref="A46" location="“研发支出”辅助账汇总表!A1" display="辅助账汇总表"/>
    <hyperlink ref="A21" location="A105090资产损失税前扣除及纳税调整明细表!A1" display="A105090"/>
    <hyperlink ref="A28" location="'A107012 研发费用加计扣除优惠明细表'!A1" display="A107012"/>
    <hyperlink ref="A29" location="A107020所得减免优惠明细表!A1" display="A107020"/>
    <hyperlink ref="A20" location="'A105080 资产折旧、摊销及纳税调整明细表'!Print_Area" display="A105080"/>
  </hyperlinks>
  <pageMargins left="0.70866141732283472" right="0.70866141732283472" top="0.74803149606299213" bottom="0.74803149606299213" header="0.31496062992125984" footer="0.31496062992125984"/>
  <pageSetup paperSize="9" orientation="portrait" verticalDpi="0"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pageSetUpPr fitToPage="1"/>
  </sheetPr>
  <dimension ref="A1:V41"/>
  <sheetViews>
    <sheetView workbookViewId="0">
      <selection sqref="A1:I1"/>
    </sheetView>
  </sheetViews>
  <sheetFormatPr defaultColWidth="10.875" defaultRowHeight="16.5"/>
  <cols>
    <col min="1" max="1" width="11.25" style="2" customWidth="1"/>
    <col min="2" max="2" width="5.5" style="2" customWidth="1"/>
    <col min="3" max="3" width="6.25" style="2" customWidth="1"/>
    <col min="4" max="4" width="12" style="2" customWidth="1"/>
    <col min="5" max="7" width="9.75" style="2" customWidth="1"/>
    <col min="8" max="8" width="13" style="2" customWidth="1"/>
    <col min="9" max="9" width="13.125" style="2" customWidth="1"/>
    <col min="10" max="13" width="10.875" style="2"/>
    <col min="14" max="14" width="5.875" style="2196" bestFit="1" customWidth="1"/>
    <col min="15" max="15" width="2.625" style="2196" bestFit="1" customWidth="1"/>
    <col min="16" max="19" width="2.5" style="2196" bestFit="1" customWidth="1"/>
    <col min="20" max="20" width="2.625" style="2196" bestFit="1" customWidth="1"/>
    <col min="21" max="22" width="10.875" style="2196"/>
    <col min="23" max="16384" width="10.875" style="2"/>
  </cols>
  <sheetData>
    <row r="1" spans="1:22" ht="20.100000000000001" customHeight="1">
      <c r="A1" s="3945" t="s">
        <v>22</v>
      </c>
      <c r="B1" s="3945"/>
      <c r="C1" s="3945"/>
      <c r="D1" s="3945"/>
      <c r="E1" s="3945"/>
      <c r="F1" s="3945"/>
      <c r="G1" s="3945"/>
      <c r="H1" s="3945"/>
      <c r="I1" s="3945"/>
    </row>
    <row r="2" spans="1:22" ht="25.5" customHeight="1" thickBot="1">
      <c r="A2" s="3946" t="s">
        <v>105</v>
      </c>
      <c r="B2" s="3946"/>
      <c r="C2" s="3946"/>
      <c r="D2" s="3946"/>
      <c r="E2" s="3946"/>
      <c r="F2" s="3946"/>
      <c r="G2" s="3946"/>
      <c r="H2" s="3946"/>
      <c r="I2" s="3946"/>
    </row>
    <row r="3" spans="1:22" s="36" customFormat="1" ht="27" customHeight="1">
      <c r="A3" s="3947" t="s">
        <v>106</v>
      </c>
      <c r="B3" s="3948"/>
      <c r="C3" s="3949"/>
      <c r="D3" s="3949"/>
      <c r="E3" s="3949"/>
      <c r="F3" s="3949"/>
      <c r="G3" s="3949"/>
      <c r="H3" s="3949"/>
      <c r="I3" s="3950"/>
      <c r="N3" s="2197"/>
      <c r="O3" s="2197"/>
      <c r="P3" s="2197"/>
      <c r="Q3" s="2197"/>
      <c r="R3" s="2197"/>
      <c r="S3" s="2197"/>
      <c r="T3" s="2197"/>
      <c r="U3" s="2197"/>
      <c r="V3" s="2197"/>
    </row>
    <row r="4" spans="1:22" ht="84.75" customHeight="1">
      <c r="A4" s="3961" t="s">
        <v>107</v>
      </c>
      <c r="B4" s="3962"/>
      <c r="C4" s="3963" t="str">
        <f>O4&amp; "总机构（跨省）——适用《跨地区经营汇总纳税企业所得税征收管理办法》"&amp;CHAR(10)&amp;
P4&amp; "总机构（跨省）——不适用《跨地区经营汇总纳税企业所得税征收管理办法》"&amp;CHAR(10)&amp;
Q4&amp; "总机构（省内）"&amp;CHAR(10)&amp;
R4&amp; "分支机构（须进行完整年度纳税申报且按比例纳税）——就地缴纳比例="&amp;N4&amp;CHAR(10)&amp;
S4&amp; "分支机构（须进行完整年度纳税申报但不就地缴纳）"&amp;CHAR(10)&amp;
T4&amp; "否"</f>
        <v>□总机构（跨省）——适用《跨地区经营汇总纳税企业所得税征收管理办法》
□总机构（跨省）——不适用《跨地区经营汇总纳税企业所得税征收管理办法》
□总机构（省内）
□分支机构（须进行完整年度纳税申报且按比例纳税）——就地缴纳比例=      %
□分支机构（须进行完整年度纳税申报但不就地缴纳）
√否</v>
      </c>
      <c r="D4" s="3964"/>
      <c r="E4" s="3964"/>
      <c r="F4" s="3964"/>
      <c r="G4" s="3964"/>
      <c r="H4" s="3964"/>
      <c r="I4" s="3965"/>
      <c r="N4" s="2196" t="str">
        <f>IF(R4="√",TEXT(基本情况!C5,"0.00%"),"      %")</f>
        <v xml:space="preserve">      %</v>
      </c>
      <c r="O4" s="2196" t="str">
        <f>IF(基本情况!C4="总机构（跨省）——适用《跨地区经营汇总纳税企业所得税征收管理办法》","√","□")</f>
        <v>□</v>
      </c>
      <c r="P4" s="2196" t="str">
        <f>IF(基本情况!C4="总机构（跨省）——不适用《跨地区经营汇总纳税企业所得税征收管理办法》","√","□")</f>
        <v>□</v>
      </c>
      <c r="Q4" s="2196" t="str">
        <f>IF(基本情况!C4="总机构（省内）","√","□")</f>
        <v>□</v>
      </c>
      <c r="R4" s="2196" t="str">
        <f>IF(基本情况!C4="分支机构（须进行完整年度纳税申报且按比例纳税）","√","□")</f>
        <v>□</v>
      </c>
      <c r="S4" s="2196" t="str">
        <f>IF(基本情况!C4="分支机构（须进行完整年度纳税申报但不就地缴纳）","√","□")</f>
        <v>□</v>
      </c>
      <c r="T4" s="2196" t="str">
        <f>IF(基本情况!C4="否","√","□")</f>
        <v>√</v>
      </c>
    </row>
    <row r="5" spans="1:22">
      <c r="A5" s="3957" t="s">
        <v>113</v>
      </c>
      <c r="B5" s="3958"/>
      <c r="C5" s="3959"/>
      <c r="D5" s="3960" t="str">
        <f>基本情况!C23</f>
        <v/>
      </c>
      <c r="E5" s="3959"/>
      <c r="F5" s="3960" t="s">
        <v>114</v>
      </c>
      <c r="G5" s="3959"/>
      <c r="H5" s="3960">
        <f>ROUND(资产负债表!M10/10000,2)</f>
        <v>0</v>
      </c>
      <c r="I5" s="3980"/>
    </row>
    <row r="6" spans="1:22">
      <c r="A6" s="3957" t="s">
        <v>115</v>
      </c>
      <c r="B6" s="3958"/>
      <c r="C6" s="3959"/>
      <c r="D6" s="3960">
        <f ca="1">IFERROR(ROUNDUP(SUM(INDIRECT("社保明细工资人数!J"&amp; 9+MONTH(基本情况!F7) &amp;":J" &amp; 9+MONTH(基本情况!F8)))/(MONTH(基本情况!F8)-MONTH(基本情况!F7) +1),0),0)</f>
        <v>0</v>
      </c>
      <c r="E6" s="3959"/>
      <c r="F6" s="3960" t="s">
        <v>116</v>
      </c>
      <c r="G6" s="3959"/>
      <c r="H6" s="3981" t="str">
        <f>N6&amp;"是   "&amp;O6&amp;"否"</f>
        <v>□是   √否</v>
      </c>
      <c r="I6" s="3982"/>
      <c r="N6" s="2196" t="str">
        <f>IF(基本情况!C6="是","√","□")</f>
        <v>□</v>
      </c>
      <c r="O6" s="2196" t="str">
        <f>IF(基本情况!C6="否","√","□")</f>
        <v>√</v>
      </c>
    </row>
    <row r="7" spans="1:22">
      <c r="A7" s="3983" t="s">
        <v>117</v>
      </c>
      <c r="B7" s="3984"/>
      <c r="C7" s="3985"/>
      <c r="D7" s="3814" t="str">
        <f>N7&amp;"是   "&amp;O7&amp;"否"</f>
        <v>□是   √否</v>
      </c>
      <c r="E7" s="3814"/>
      <c r="F7" s="3985" t="s">
        <v>118</v>
      </c>
      <c r="G7" s="3985"/>
      <c r="H7" s="3813" t="str">
        <f>P7&amp;"是   "&amp;Q7&amp;"否"</f>
        <v>□是   √否</v>
      </c>
      <c r="I7" s="3986"/>
      <c r="N7" s="2196" t="str">
        <f>IF(基本情况!C7="是","√","□")</f>
        <v>□</v>
      </c>
      <c r="O7" s="2196" t="str">
        <f>IF(基本情况!C7="否","√","□")</f>
        <v>√</v>
      </c>
      <c r="P7" s="2196" t="str">
        <f>IF(基本情况!C8="是","√","□")</f>
        <v>□</v>
      </c>
      <c r="Q7" s="2196" t="str">
        <f>IF(基本情况!C8="否","√","□")</f>
        <v>√</v>
      </c>
    </row>
    <row r="8" spans="1:22">
      <c r="A8" s="3983" t="s">
        <v>119</v>
      </c>
      <c r="B8" s="3984"/>
      <c r="C8" s="3985"/>
      <c r="D8" s="3985" t="str">
        <f>"是（"&amp;N8&amp;"境内 "&amp;O8&amp;"境外）"&amp;P8&amp;"否"</f>
        <v>是（□境内 □境外）√否</v>
      </c>
      <c r="E8" s="3985"/>
      <c r="F8" s="3954" t="s">
        <v>120</v>
      </c>
      <c r="G8" s="3954"/>
      <c r="H8" s="3813" t="str">
        <f>R8&amp;"是   "&amp;S8&amp;"否"</f>
        <v>□是   √否</v>
      </c>
      <c r="I8" s="3986"/>
      <c r="N8" s="2196" t="str">
        <f>IF(基本情况!C9="境内上市","√","□")</f>
        <v>□</v>
      </c>
      <c r="O8" s="2196" t="str">
        <f>IF(基本情况!C9="境外上市(含香港等)","√","□")</f>
        <v>□</v>
      </c>
      <c r="P8" s="2196" t="str">
        <f>IF(基本情况!C9="否","√","□")</f>
        <v>√</v>
      </c>
      <c r="R8" s="2196" t="str">
        <f>IF(基本情况!C10="是","√","□")</f>
        <v>□</v>
      </c>
      <c r="S8" s="2196" t="str">
        <f>IF(基本情况!C10="否","√","□")</f>
        <v>√</v>
      </c>
    </row>
    <row r="9" spans="1:22" ht="14.25" customHeight="1">
      <c r="A9" s="3966" t="s">
        <v>121</v>
      </c>
      <c r="B9" s="3967"/>
      <c r="C9" s="3971" t="str">
        <f>"企业会计准则（ "&amp;N10&amp;"一般企业    "&amp;O10&amp;"银行    "&amp;P10&amp;"证券    "&amp;Q10&amp;"保险    "&amp;R10&amp;"担保 ）
"&amp;N11&amp;"小企业会计准则
"&amp;N12&amp;"企业会计制度
事业单位会计准则（ "&amp;N13&amp;"事业单位会计制度  "&amp;O13&amp;"科学事业单位会计制度  "&amp;P13&amp;"医院会计制度
                  "&amp;Q13&amp;"高等学校会计制度  "&amp;R13&amp;"中小学校会计制度      "&amp;S13&amp;"彩票机构会计制度）
"&amp;N14&amp;"民间非营利组织会计制度
"&amp;N15&amp;"村集体经济组织会计制度
"&amp;N16&amp;"农民专业合作社财务会计制度（试行）
"&amp;N17&amp;"其他"</f>
        <v>企业会计准则（ □一般企业    □银行    □证券    □保险    □担保 ）
√小企业会计准则
□企业会计制度
事业单位会计准则（ □事业单位会计制度  □科学事业单位会计制度  □医院会计制度
                  □高等学校会计制度  □中小学校会计制度      □彩票机构会计制度）
□民间非营利组织会计制度
□村集体经济组织会计制度
□农民专业合作社财务会计制度（试行）
□其他</v>
      </c>
      <c r="D9" s="3972"/>
      <c r="E9" s="3972"/>
      <c r="F9" s="3972"/>
      <c r="G9" s="3972"/>
      <c r="H9" s="3972"/>
      <c r="I9" s="3973"/>
      <c r="U9" s="2196" t="s">
        <v>6359</v>
      </c>
    </row>
    <row r="10" spans="1:22">
      <c r="A10" s="3968"/>
      <c r="B10" s="3955"/>
      <c r="C10" s="3974"/>
      <c r="D10" s="3975"/>
      <c r="E10" s="3975"/>
      <c r="F10" s="3975"/>
      <c r="G10" s="3975"/>
      <c r="H10" s="3975"/>
      <c r="I10" s="3976"/>
      <c r="N10" s="2196" t="str">
        <f>IF(基本情况!$C$18="企业会计准则_一般企业","√","□")</f>
        <v>□</v>
      </c>
      <c r="O10" s="2196" t="str">
        <f>IF(基本情况!$C$18="企业会计准则_银行","√","□")</f>
        <v>□</v>
      </c>
      <c r="P10" s="2196" t="str">
        <f>IF(基本情况!$C$18="企业会计准则_证券","√","□")</f>
        <v>□</v>
      </c>
      <c r="Q10" s="2196" t="str">
        <f>IF(基本情况!$C$18="企业会计准则_保险","√","□")</f>
        <v>□</v>
      </c>
      <c r="R10" s="2196" t="str">
        <f>IF(基本情况!$C$18="企业会计准则_担保","√","□")</f>
        <v>□</v>
      </c>
      <c r="U10" s="2196" t="str">
        <f>"=IF(基本情况!$C$18=""" &amp;U9 &amp;""",""√"",""□"")"</f>
        <v>=IF(基本情况!$C$18="企业会计准则_一般企业","√","□")</v>
      </c>
    </row>
    <row r="11" spans="1:22">
      <c r="A11" s="3968"/>
      <c r="B11" s="3955"/>
      <c r="C11" s="3974"/>
      <c r="D11" s="3975"/>
      <c r="E11" s="3975"/>
      <c r="F11" s="3975"/>
      <c r="G11" s="3975"/>
      <c r="H11" s="3975"/>
      <c r="I11" s="3976"/>
      <c r="N11" s="2196" t="str">
        <f>IF(基本情况!$C$18="小企业会计准则","√","□")</f>
        <v>√</v>
      </c>
    </row>
    <row r="12" spans="1:22">
      <c r="A12" s="3968"/>
      <c r="B12" s="3955"/>
      <c r="C12" s="3974"/>
      <c r="D12" s="3975"/>
      <c r="E12" s="3975"/>
      <c r="F12" s="3975"/>
      <c r="G12" s="3975"/>
      <c r="H12" s="3975"/>
      <c r="I12" s="3976"/>
      <c r="N12" s="2196" t="str">
        <f>IF(基本情况!$C$18="企业会计制度","√","□")</f>
        <v>□</v>
      </c>
    </row>
    <row r="13" spans="1:22">
      <c r="A13" s="3968"/>
      <c r="B13" s="3955"/>
      <c r="C13" s="3974"/>
      <c r="D13" s="3975"/>
      <c r="E13" s="3975"/>
      <c r="F13" s="3975"/>
      <c r="G13" s="3975"/>
      <c r="H13" s="3975"/>
      <c r="I13" s="3976"/>
      <c r="N13" s="2196" t="str">
        <f>IF(基本情况!$C$18="事业单位会计准则_事业单位会计制度","√","□")</f>
        <v>□</v>
      </c>
      <c r="O13" s="2196" t="str">
        <f>IF(基本情况!$C$18="事业单位会计准则_科学事业单位会计制度","√","□")</f>
        <v>□</v>
      </c>
      <c r="P13" s="2196" t="str">
        <f>IF(基本情况!$C$18="事业单位会计准则_医院会计制度","√","□")</f>
        <v>□</v>
      </c>
      <c r="Q13" s="2196" t="str">
        <f>IF(基本情况!$C$18="事业单位会计准则_高等学校会计制度","√","□")</f>
        <v>□</v>
      </c>
      <c r="R13" s="2196" t="str">
        <f>IF(基本情况!$C$18="事业单位会计准则_中小学校会计制度","√","□")</f>
        <v>□</v>
      </c>
      <c r="S13" s="2196" t="str">
        <f>IF(基本情况!$C$18="事业单位会计准则_彩票机构会计制度","√","□")</f>
        <v>□</v>
      </c>
    </row>
    <row r="14" spans="1:22">
      <c r="A14" s="3968"/>
      <c r="B14" s="3955"/>
      <c r="C14" s="3974"/>
      <c r="D14" s="3975"/>
      <c r="E14" s="3975"/>
      <c r="F14" s="3975"/>
      <c r="G14" s="3975"/>
      <c r="H14" s="3975"/>
      <c r="I14" s="3976"/>
      <c r="N14" s="2196" t="str">
        <f>IF(基本情况!$C$18="民间非营利组织会计制度","√","□")</f>
        <v>□</v>
      </c>
    </row>
    <row r="15" spans="1:22">
      <c r="A15" s="3968"/>
      <c r="B15" s="3955"/>
      <c r="C15" s="3974"/>
      <c r="D15" s="3975"/>
      <c r="E15" s="3975"/>
      <c r="F15" s="3975"/>
      <c r="G15" s="3975"/>
      <c r="H15" s="3975"/>
      <c r="I15" s="3976"/>
      <c r="N15" s="2196" t="str">
        <f>IF(基本情况!$C$18="村集体经济组织会计制度","√","□")</f>
        <v>□</v>
      </c>
    </row>
    <row r="16" spans="1:22">
      <c r="A16" s="3968"/>
      <c r="B16" s="3955"/>
      <c r="C16" s="3974"/>
      <c r="D16" s="3975"/>
      <c r="E16" s="3975"/>
      <c r="F16" s="3975"/>
      <c r="G16" s="3975"/>
      <c r="H16" s="3975"/>
      <c r="I16" s="3976"/>
      <c r="N16" s="2196" t="str">
        <f>IF(基本情况!$C$18="农民专业合作社财务会计制度（试行）","√","□")</f>
        <v>□</v>
      </c>
    </row>
    <row r="17" spans="1:22" ht="14.25" customHeight="1" thickBot="1">
      <c r="A17" s="3969"/>
      <c r="B17" s="3970"/>
      <c r="C17" s="3977"/>
      <c r="D17" s="3978"/>
      <c r="E17" s="3978"/>
      <c r="F17" s="3978"/>
      <c r="G17" s="3978"/>
      <c r="H17" s="3978"/>
      <c r="I17" s="3979"/>
      <c r="N17" s="2196" t="str">
        <f>IF(基本情况!$C$18="其他","√","□")</f>
        <v>□</v>
      </c>
    </row>
    <row r="18" spans="1:22" ht="25.5" customHeight="1">
      <c r="A18" s="3990" t="s">
        <v>122</v>
      </c>
      <c r="B18" s="3991"/>
      <c r="C18" s="3991"/>
      <c r="D18" s="3991"/>
      <c r="E18" s="3991"/>
      <c r="F18" s="3991"/>
      <c r="G18" s="3991"/>
      <c r="H18" s="3991"/>
      <c r="I18" s="3992"/>
    </row>
    <row r="19" spans="1:22">
      <c r="A19" s="3993" t="s">
        <v>123</v>
      </c>
      <c r="B19" s="3994"/>
      <c r="C19" s="3994"/>
      <c r="D19" s="3994"/>
      <c r="E19" s="3995"/>
      <c r="F19" s="3814" t="str">
        <f>N19&amp;"是"</f>
        <v>□是</v>
      </c>
      <c r="G19" s="3814"/>
      <c r="H19" s="3814" t="str">
        <f>O19&amp;"否"</f>
        <v>√否</v>
      </c>
      <c r="I19" s="3987"/>
      <c r="N19" s="2196" t="str">
        <f>IF(基本情况!$C33="是","√","□")</f>
        <v>□</v>
      </c>
      <c r="O19" s="2196" t="str">
        <f>IF(基本情况!$C33="否","√","□")</f>
        <v>√</v>
      </c>
    </row>
    <row r="20" spans="1:22">
      <c r="A20" s="3983" t="s">
        <v>124</v>
      </c>
      <c r="B20" s="3984"/>
      <c r="C20" s="3985"/>
      <c r="D20" s="3985"/>
      <c r="E20" s="3985"/>
      <c r="F20" s="3814" t="str">
        <f>N20&amp;"是"</f>
        <v>□是</v>
      </c>
      <c r="G20" s="3814"/>
      <c r="H20" s="3814" t="str">
        <f>O20&amp;"否"</f>
        <v>√否</v>
      </c>
      <c r="I20" s="3987"/>
      <c r="N20" s="2196" t="str">
        <f>IF(基本情况!$C34="是","√","□")</f>
        <v>□</v>
      </c>
      <c r="O20" s="2196" t="str">
        <f>IF(基本情况!$C34="否","√","□")</f>
        <v>√</v>
      </c>
    </row>
    <row r="21" spans="1:22">
      <c r="A21" s="3983" t="s">
        <v>1822</v>
      </c>
      <c r="B21" s="3984"/>
      <c r="C21" s="3985"/>
      <c r="D21" s="3985"/>
      <c r="E21" s="3985"/>
      <c r="F21" s="3814" t="str">
        <f>N21&amp;"是"</f>
        <v>□是</v>
      </c>
      <c r="G21" s="3814"/>
      <c r="H21" s="3814" t="str">
        <f>O21&amp;"否"</f>
        <v>√否</v>
      </c>
      <c r="I21" s="3987"/>
      <c r="N21" s="2196" t="str">
        <f>IF(基本情况!$C35="是","√","□")</f>
        <v>□</v>
      </c>
      <c r="O21" s="2196" t="str">
        <f>IF(基本情况!$C35="否","√","□")</f>
        <v>√</v>
      </c>
    </row>
    <row r="22" spans="1:22" ht="24" customHeight="1">
      <c r="A22" s="4002" t="s">
        <v>125</v>
      </c>
      <c r="B22" s="4003"/>
      <c r="C22" s="3954"/>
      <c r="D22" s="3954"/>
      <c r="E22" s="3954"/>
      <c r="F22" s="3813" t="s">
        <v>126</v>
      </c>
      <c r="G22" s="3813"/>
      <c r="H22" s="3813"/>
      <c r="I22" s="3986"/>
      <c r="N22" s="2196" t="str">
        <f>IF(基本情况!$C$18="其他","√","□")</f>
        <v>□</v>
      </c>
      <c r="O22" s="2196" t="str">
        <f>IF(基本情况!$C$18="其他","√","□")</f>
        <v>□</v>
      </c>
      <c r="P22" s="2196" t="str">
        <f>IF(基本情况!$C$18="其他","√","□")</f>
        <v>□</v>
      </c>
    </row>
    <row r="23" spans="1:22" ht="14.25" customHeight="1">
      <c r="A23" s="3957" t="s">
        <v>127</v>
      </c>
      <c r="B23" s="3958"/>
      <c r="C23" s="3959"/>
      <c r="D23" s="3813" t="s">
        <v>128</v>
      </c>
      <c r="E23" s="3813"/>
      <c r="F23" s="3954" t="s">
        <v>1823</v>
      </c>
      <c r="G23" s="3954"/>
      <c r="H23" s="3955" t="s">
        <v>132</v>
      </c>
      <c r="I23" s="3956"/>
    </row>
    <row r="24" spans="1:22" ht="30" customHeight="1">
      <c r="A24" s="3951" t="s">
        <v>1824</v>
      </c>
      <c r="B24" s="3952"/>
      <c r="C24" s="3953"/>
      <c r="D24" s="2382" t="s">
        <v>129</v>
      </c>
      <c r="E24" s="2382" t="s">
        <v>130</v>
      </c>
      <c r="F24" s="2382" t="s">
        <v>135</v>
      </c>
      <c r="G24" s="2382" t="s">
        <v>136</v>
      </c>
      <c r="H24" s="2382" t="s">
        <v>137</v>
      </c>
      <c r="I24" s="2383" t="s">
        <v>138</v>
      </c>
    </row>
    <row r="25" spans="1:22" ht="50.25" customHeight="1" thickBot="1">
      <c r="A25" s="3999" t="s">
        <v>1825</v>
      </c>
      <c r="B25" s="4000"/>
      <c r="C25" s="4001"/>
      <c r="D25" s="2384" t="s">
        <v>134</v>
      </c>
      <c r="E25" s="2385" t="s">
        <v>131</v>
      </c>
      <c r="F25" s="2386" t="s">
        <v>139</v>
      </c>
      <c r="G25" s="2385" t="s">
        <v>140</v>
      </c>
      <c r="H25" s="2385" t="s">
        <v>141</v>
      </c>
      <c r="I25" s="2387" t="s">
        <v>142</v>
      </c>
    </row>
    <row r="26" spans="1:22" s="36" customFormat="1" ht="21.75" customHeight="1">
      <c r="A26" s="3996" t="s">
        <v>1616</v>
      </c>
      <c r="B26" s="3997"/>
      <c r="C26" s="3997"/>
      <c r="D26" s="3997"/>
      <c r="E26" s="3997"/>
      <c r="F26" s="3997"/>
      <c r="G26" s="3997"/>
      <c r="H26" s="3997"/>
      <c r="I26" s="3998"/>
      <c r="N26" s="2197"/>
      <c r="O26" s="2197"/>
      <c r="P26" s="2197"/>
      <c r="Q26" s="2197"/>
      <c r="R26" s="2197"/>
      <c r="S26" s="2197"/>
      <c r="T26" s="2197"/>
      <c r="U26" s="2197"/>
      <c r="V26" s="2197"/>
    </row>
    <row r="27" spans="1:22" ht="36.75" customHeight="1">
      <c r="A27" s="2388" t="s">
        <v>108</v>
      </c>
      <c r="B27" s="3988" t="s">
        <v>109</v>
      </c>
      <c r="C27" s="3989"/>
      <c r="D27" s="4005" t="s">
        <v>110</v>
      </c>
      <c r="E27" s="4006"/>
      <c r="F27" s="2389" t="s">
        <v>111</v>
      </c>
      <c r="G27" s="3981" t="s">
        <v>143</v>
      </c>
      <c r="H27" s="4008"/>
      <c r="I27" s="2390" t="s">
        <v>112</v>
      </c>
    </row>
    <row r="28" spans="1:22">
      <c r="A28" s="2380" t="str">
        <f>基本情况!A42</f>
        <v/>
      </c>
      <c r="B28" s="3941"/>
      <c r="C28" s="3942"/>
      <c r="D28" s="4007"/>
      <c r="E28" s="4007"/>
      <c r="F28" s="2381" t="str">
        <f>基本情况!E42</f>
        <v/>
      </c>
      <c r="G28" s="4004"/>
      <c r="H28" s="4004"/>
      <c r="I28" s="37"/>
    </row>
    <row r="29" spans="1:22">
      <c r="A29" s="2380" t="str">
        <f>基本情况!A43</f>
        <v/>
      </c>
      <c r="B29" s="3941"/>
      <c r="C29" s="3942"/>
      <c r="D29" s="4007"/>
      <c r="E29" s="4007"/>
      <c r="F29" s="2381" t="str">
        <f>基本情况!E43</f>
        <v/>
      </c>
      <c r="G29" s="4004"/>
      <c r="H29" s="4004"/>
      <c r="I29" s="37"/>
    </row>
    <row r="30" spans="1:22">
      <c r="A30" s="2380" t="str">
        <f>基本情况!A44</f>
        <v/>
      </c>
      <c r="B30" s="3941"/>
      <c r="C30" s="3942"/>
      <c r="D30" s="4007"/>
      <c r="E30" s="4007"/>
      <c r="F30" s="2381" t="str">
        <f>基本情况!E44</f>
        <v/>
      </c>
      <c r="G30" s="4004"/>
      <c r="H30" s="4004"/>
      <c r="I30" s="37"/>
    </row>
    <row r="31" spans="1:22">
      <c r="A31" s="2380" t="str">
        <f>基本情况!A45</f>
        <v/>
      </c>
      <c r="B31" s="3941"/>
      <c r="C31" s="3942"/>
      <c r="D31" s="4007"/>
      <c r="E31" s="4007"/>
      <c r="F31" s="2381" t="str">
        <f>基本情况!E45</f>
        <v/>
      </c>
      <c r="G31" s="4004"/>
      <c r="H31" s="4004"/>
      <c r="I31" s="37"/>
    </row>
    <row r="32" spans="1:22">
      <c r="A32" s="2380" t="str">
        <f>基本情况!A46</f>
        <v/>
      </c>
      <c r="B32" s="3941"/>
      <c r="C32" s="3942"/>
      <c r="D32" s="4007"/>
      <c r="E32" s="4007"/>
      <c r="F32" s="2381" t="str">
        <f>基本情况!E46</f>
        <v/>
      </c>
      <c r="G32" s="4004"/>
      <c r="H32" s="4004"/>
      <c r="I32" s="37"/>
    </row>
    <row r="33" spans="1:9">
      <c r="A33" s="2380" t="str">
        <f>基本情况!A47</f>
        <v/>
      </c>
      <c r="B33" s="3941"/>
      <c r="C33" s="3942"/>
      <c r="D33" s="4007"/>
      <c r="E33" s="4007"/>
      <c r="F33" s="2381" t="str">
        <f>基本情况!E47</f>
        <v/>
      </c>
      <c r="G33" s="4004"/>
      <c r="H33" s="4004"/>
      <c r="I33" s="37"/>
    </row>
    <row r="34" spans="1:9">
      <c r="A34" s="2380" t="str">
        <f>基本情况!A48</f>
        <v/>
      </c>
      <c r="B34" s="3941"/>
      <c r="C34" s="3942"/>
      <c r="D34" s="4007"/>
      <c r="E34" s="4007"/>
      <c r="F34" s="2381" t="str">
        <f>基本情况!E48</f>
        <v/>
      </c>
      <c r="G34" s="4004"/>
      <c r="H34" s="4004"/>
      <c r="I34" s="37"/>
    </row>
    <row r="35" spans="1:9">
      <c r="A35" s="2380" t="str">
        <f>基本情况!A49</f>
        <v/>
      </c>
      <c r="B35" s="3943"/>
      <c r="C35" s="3944"/>
      <c r="D35" s="4007"/>
      <c r="E35" s="4007"/>
      <c r="F35" s="2381" t="str">
        <f>基本情况!E49</f>
        <v/>
      </c>
      <c r="G35" s="4007"/>
      <c r="H35" s="4007"/>
      <c r="I35" s="38"/>
    </row>
    <row r="36" spans="1:9">
      <c r="A36" s="2380" t="str">
        <f>基本情况!A50</f>
        <v/>
      </c>
      <c r="B36" s="3943"/>
      <c r="C36" s="3944"/>
      <c r="D36" s="4007"/>
      <c r="E36" s="4007"/>
      <c r="F36" s="2381" t="str">
        <f>基本情况!E50</f>
        <v/>
      </c>
      <c r="G36" s="4007"/>
      <c r="H36" s="4007"/>
      <c r="I36" s="38"/>
    </row>
    <row r="37" spans="1:9">
      <c r="A37" s="2380" t="str">
        <f>基本情况!A51</f>
        <v/>
      </c>
      <c r="B37" s="3943"/>
      <c r="C37" s="3944"/>
      <c r="D37" s="4007"/>
      <c r="E37" s="4007"/>
      <c r="F37" s="2381" t="str">
        <f>基本情况!E51</f>
        <v/>
      </c>
      <c r="G37" s="4007"/>
      <c r="H37" s="4007"/>
      <c r="I37" s="38"/>
    </row>
    <row r="38" spans="1:9" ht="17.25" thickBot="1">
      <c r="A38" s="2392" t="s">
        <v>144</v>
      </c>
      <c r="B38" s="3939" t="s">
        <v>145</v>
      </c>
      <c r="C38" s="3940"/>
      <c r="D38" s="4009" t="s">
        <v>145</v>
      </c>
      <c r="E38" s="4009"/>
      <c r="F38" s="2393" t="str">
        <f>基本情况!E52</f>
        <v/>
      </c>
      <c r="G38" s="4010"/>
      <c r="H38" s="4010"/>
      <c r="I38" s="2391" t="s">
        <v>145</v>
      </c>
    </row>
    <row r="41" spans="1:9">
      <c r="A41" s="35"/>
      <c r="B41" s="74"/>
      <c r="C41" s="35"/>
      <c r="D41" s="35"/>
      <c r="E41" s="35"/>
      <c r="F41" s="35"/>
      <c r="G41" s="35"/>
      <c r="H41" s="35"/>
      <c r="I41" s="35"/>
    </row>
  </sheetData>
  <mergeCells count="78">
    <mergeCell ref="G38:H38"/>
    <mergeCell ref="G32:H32"/>
    <mergeCell ref="G33:H33"/>
    <mergeCell ref="G34:H34"/>
    <mergeCell ref="G35:H35"/>
    <mergeCell ref="G36:H36"/>
    <mergeCell ref="G37:H37"/>
    <mergeCell ref="D35:E35"/>
    <mergeCell ref="D36:E36"/>
    <mergeCell ref="D37:E37"/>
    <mergeCell ref="D38:E38"/>
    <mergeCell ref="D29:E29"/>
    <mergeCell ref="D30:E30"/>
    <mergeCell ref="D31:E31"/>
    <mergeCell ref="D32:E32"/>
    <mergeCell ref="D33:E33"/>
    <mergeCell ref="D34:E34"/>
    <mergeCell ref="G28:H28"/>
    <mergeCell ref="G29:H29"/>
    <mergeCell ref="G30:H30"/>
    <mergeCell ref="G31:H31"/>
    <mergeCell ref="D27:E27"/>
    <mergeCell ref="D28:E28"/>
    <mergeCell ref="G27:H27"/>
    <mergeCell ref="B27:C27"/>
    <mergeCell ref="A18:I18"/>
    <mergeCell ref="A19:E19"/>
    <mergeCell ref="A20:E20"/>
    <mergeCell ref="A21:E21"/>
    <mergeCell ref="F20:G20"/>
    <mergeCell ref="H20:I20"/>
    <mergeCell ref="F21:G21"/>
    <mergeCell ref="H21:I21"/>
    <mergeCell ref="A26:I26"/>
    <mergeCell ref="A25:C25"/>
    <mergeCell ref="A22:E22"/>
    <mergeCell ref="F22:I22"/>
    <mergeCell ref="A23:C23"/>
    <mergeCell ref="D23:E23"/>
    <mergeCell ref="F19:G19"/>
    <mergeCell ref="H19:I19"/>
    <mergeCell ref="A8:C8"/>
    <mergeCell ref="D8:E8"/>
    <mergeCell ref="F8:G8"/>
    <mergeCell ref="H8:I8"/>
    <mergeCell ref="F6:G6"/>
    <mergeCell ref="H6:I6"/>
    <mergeCell ref="A7:C7"/>
    <mergeCell ref="D7:E7"/>
    <mergeCell ref="F7:G7"/>
    <mergeCell ref="H7:I7"/>
    <mergeCell ref="A1:I1"/>
    <mergeCell ref="A2:I2"/>
    <mergeCell ref="A3:I3"/>
    <mergeCell ref="A24:C24"/>
    <mergeCell ref="F23:G23"/>
    <mergeCell ref="H23:I23"/>
    <mergeCell ref="A5:C5"/>
    <mergeCell ref="D5:E5"/>
    <mergeCell ref="A4:B4"/>
    <mergeCell ref="C4:I4"/>
    <mergeCell ref="A9:B17"/>
    <mergeCell ref="C9:I17"/>
    <mergeCell ref="F5:G5"/>
    <mergeCell ref="H5:I5"/>
    <mergeCell ref="A6:C6"/>
    <mergeCell ref="D6:E6"/>
    <mergeCell ref="B28:C28"/>
    <mergeCell ref="B29:C29"/>
    <mergeCell ref="B30:C30"/>
    <mergeCell ref="B31:C31"/>
    <mergeCell ref="B32:C32"/>
    <mergeCell ref="B38:C38"/>
    <mergeCell ref="B33:C33"/>
    <mergeCell ref="B34:C34"/>
    <mergeCell ref="B35:C35"/>
    <mergeCell ref="B36:C36"/>
    <mergeCell ref="B37:C37"/>
  </mergeCells>
  <phoneticPr fontId="1" type="noConversion"/>
  <pageMargins left="0.70866141732283472" right="0.70866141732283472" top="0.74803149606299213" bottom="0.74803149606299213" header="0.31496062992125984" footer="0.31496062992125984"/>
  <pageSetup paperSize="9" orientation="portrait" verticalDpi="0" r:id="rId1"/>
  <legacyDrawing r:id="rId2"/>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A1:F176"/>
  <sheetViews>
    <sheetView workbookViewId="0">
      <selection sqref="A1:D1"/>
    </sheetView>
  </sheetViews>
  <sheetFormatPr defaultColWidth="20.25" defaultRowHeight="22.5"/>
  <cols>
    <col min="1" max="1" width="5" style="4" customWidth="1"/>
    <col min="2" max="2" width="5" style="51" customWidth="1"/>
    <col min="3" max="3" width="55.75" style="4" customWidth="1"/>
    <col min="4" max="4" width="18.625" style="236" customWidth="1"/>
    <col min="5" max="5" width="4.625" style="4" customWidth="1"/>
    <col min="6" max="16384" width="20.25" style="4"/>
  </cols>
  <sheetData>
    <row r="1" spans="1:6" ht="20.100000000000001" customHeight="1">
      <c r="A1" s="4019">
        <f>MIN('A000000 企业基础信息表'!$H$5*10000,)</f>
        <v>0</v>
      </c>
      <c r="B1" s="4019"/>
      <c r="C1" s="4019"/>
      <c r="D1" s="4019"/>
    </row>
    <row r="2" spans="1:6" ht="25.5" customHeight="1">
      <c r="A2" s="4020" t="s">
        <v>146</v>
      </c>
      <c r="B2" s="4020"/>
      <c r="C2" s="4020"/>
      <c r="D2" s="4020"/>
      <c r="F2" s="196"/>
    </row>
    <row r="3" spans="1:6" s="40" customFormat="1" ht="14.25" customHeight="1">
      <c r="A3" s="24" t="s">
        <v>147</v>
      </c>
      <c r="B3" s="23" t="s">
        <v>148</v>
      </c>
      <c r="C3" s="39" t="s">
        <v>149</v>
      </c>
      <c r="D3" s="24" t="s">
        <v>150</v>
      </c>
    </row>
    <row r="4" spans="1:6" s="40" customFormat="1" ht="14.25" customHeight="1">
      <c r="A4" s="41">
        <v>1</v>
      </c>
      <c r="B4" s="4021" t="s">
        <v>151</v>
      </c>
      <c r="C4" s="42" t="s">
        <v>154</v>
      </c>
      <c r="D4" s="235">
        <f>ROUND('A101010 一般企业收入明细表'!C4,2)</f>
        <v>0</v>
      </c>
    </row>
    <row r="5" spans="1:6" s="40" customFormat="1" ht="14.25" customHeight="1">
      <c r="A5" s="41">
        <v>2</v>
      </c>
      <c r="B5" s="4021"/>
      <c r="C5" s="42" t="s">
        <v>155</v>
      </c>
      <c r="D5" s="235">
        <f>'A102010 一般企业成本支出明细表'!C4</f>
        <v>0</v>
      </c>
    </row>
    <row r="6" spans="1:6" s="40" customFormat="1" ht="14.25" customHeight="1">
      <c r="A6" s="41">
        <v>3</v>
      </c>
      <c r="B6" s="4021"/>
      <c r="C6" s="42" t="s">
        <v>157</v>
      </c>
      <c r="D6" s="43">
        <f>税金附加!I20</f>
        <v>0</v>
      </c>
    </row>
    <row r="7" spans="1:6" s="40" customFormat="1" ht="14.25" customHeight="1">
      <c r="A7" s="41">
        <v>4</v>
      </c>
      <c r="B7" s="4021"/>
      <c r="C7" s="42" t="s">
        <v>156</v>
      </c>
      <c r="D7" s="235">
        <f>A104000期间费用明细表!C31</f>
        <v>0</v>
      </c>
    </row>
    <row r="8" spans="1:6" s="40" customFormat="1" ht="14.25" customHeight="1">
      <c r="A8" s="41">
        <v>5</v>
      </c>
      <c r="B8" s="4021"/>
      <c r="C8" s="42" t="s">
        <v>158</v>
      </c>
      <c r="D8" s="235">
        <f>A104000期间费用明细表!E31</f>
        <v>0</v>
      </c>
    </row>
    <row r="9" spans="1:6" s="40" customFormat="1" ht="14.25" customHeight="1">
      <c r="A9" s="41">
        <v>6</v>
      </c>
      <c r="B9" s="4021"/>
      <c r="C9" s="42" t="s">
        <v>159</v>
      </c>
      <c r="D9" s="235">
        <f>A104000期间费用明细表!G31</f>
        <v>0</v>
      </c>
    </row>
    <row r="10" spans="1:6" s="40" customFormat="1" ht="14.25" customHeight="1">
      <c r="A10" s="41">
        <v>7</v>
      </c>
      <c r="B10" s="4021"/>
      <c r="C10" s="42" t="s">
        <v>160</v>
      </c>
      <c r="D10" s="43">
        <f>利润表!C15</f>
        <v>0</v>
      </c>
    </row>
    <row r="11" spans="1:6" s="40" customFormat="1" ht="14.25" customHeight="1">
      <c r="A11" s="41">
        <v>8</v>
      </c>
      <c r="B11" s="4021"/>
      <c r="C11" s="42" t="s">
        <v>161</v>
      </c>
      <c r="D11" s="43">
        <f>利润表!C16</f>
        <v>0</v>
      </c>
    </row>
    <row r="12" spans="1:6" s="40" customFormat="1" ht="14.25" customHeight="1">
      <c r="A12" s="41">
        <v>9</v>
      </c>
      <c r="B12" s="4021"/>
      <c r="C12" s="42" t="s">
        <v>162</v>
      </c>
      <c r="D12" s="43">
        <f>利润表!C17</f>
        <v>0</v>
      </c>
    </row>
    <row r="13" spans="1:6" s="40" customFormat="1" ht="14.25" customHeight="1">
      <c r="A13" s="41">
        <v>10</v>
      </c>
      <c r="B13" s="4021"/>
      <c r="C13" s="42" t="s">
        <v>163</v>
      </c>
      <c r="D13" s="235">
        <f>ROUND(D4-D5-D6-D7-D8-D9-D10+D11+D12,2)</f>
        <v>0</v>
      </c>
    </row>
    <row r="14" spans="1:6" s="40" customFormat="1" ht="14.25" customHeight="1">
      <c r="A14" s="41">
        <v>11</v>
      </c>
      <c r="B14" s="4021"/>
      <c r="C14" s="42" t="s">
        <v>164</v>
      </c>
      <c r="D14" s="235">
        <f>'A101010 一般企业收入明细表'!C19</f>
        <v>0</v>
      </c>
    </row>
    <row r="15" spans="1:6" s="40" customFormat="1" ht="14.25" customHeight="1">
      <c r="A15" s="41">
        <v>12</v>
      </c>
      <c r="B15" s="4021"/>
      <c r="C15" s="42" t="s">
        <v>165</v>
      </c>
      <c r="D15" s="235">
        <f>'A102010 一般企业成本支出明细表'!C19</f>
        <v>0</v>
      </c>
    </row>
    <row r="16" spans="1:6" s="40" customFormat="1" ht="14.25" customHeight="1">
      <c r="A16" s="41">
        <v>13</v>
      </c>
      <c r="B16" s="4021"/>
      <c r="C16" s="42" t="s">
        <v>166</v>
      </c>
      <c r="D16" s="235">
        <f>ROUND(D13+D14-D15,2)</f>
        <v>0</v>
      </c>
    </row>
    <row r="17" spans="1:6" s="40" customFormat="1" ht="14.25" customHeight="1">
      <c r="A17" s="41">
        <v>14</v>
      </c>
      <c r="B17" s="4022" t="s">
        <v>152</v>
      </c>
      <c r="C17" s="42" t="s">
        <v>167</v>
      </c>
      <c r="D17" s="235">
        <f>A108010境外所得纳税调整后所得明细表!O23-A108010境外所得纳税调整后所得明细表!L23</f>
        <v>0</v>
      </c>
      <c r="E17" s="45"/>
    </row>
    <row r="18" spans="1:6" s="40" customFormat="1" ht="14.25" customHeight="1">
      <c r="A18" s="41">
        <v>15</v>
      </c>
      <c r="B18" s="4023"/>
      <c r="C18" s="42" t="s">
        <v>168</v>
      </c>
      <c r="D18" s="206">
        <f>A105000纳税调整项目明细表!E49</f>
        <v>0</v>
      </c>
    </row>
    <row r="19" spans="1:6" s="40" customFormat="1" ht="14.25" customHeight="1">
      <c r="A19" s="41">
        <v>16</v>
      </c>
      <c r="B19" s="4023"/>
      <c r="C19" s="42" t="s">
        <v>169</v>
      </c>
      <c r="D19" s="206">
        <f>A105000纳税调整项目明细表!F49</f>
        <v>0</v>
      </c>
    </row>
    <row r="20" spans="1:6" s="40" customFormat="1" ht="14.25" customHeight="1">
      <c r="A20" s="41">
        <v>17</v>
      </c>
      <c r="B20" s="4023"/>
      <c r="C20" s="42" t="s">
        <v>170</v>
      </c>
      <c r="D20" s="206">
        <f>A107010免税、减计收入及加计扣除优惠明细表!C34</f>
        <v>0</v>
      </c>
    </row>
    <row r="21" spans="1:6" s="40" customFormat="1" ht="14.25" customHeight="1">
      <c r="A21" s="41">
        <v>18</v>
      </c>
      <c r="B21" s="4023"/>
      <c r="C21" s="42" t="s">
        <v>171</v>
      </c>
      <c r="D21" s="206">
        <f>ROUND(IF(AND(F21&lt;0,A108000境外所得税收抵免明细表!F22&gt;=0),MIN(A108000境外所得税收抵免明细表!F22,F21),0),2)</f>
        <v>0</v>
      </c>
      <c r="F21" s="2126">
        <f>D16-D17+D18-D19-D20</f>
        <v>0</v>
      </c>
    </row>
    <row r="22" spans="1:6" s="40" customFormat="1" ht="14.25" customHeight="1">
      <c r="A22" s="41">
        <v>19</v>
      </c>
      <c r="B22" s="4023"/>
      <c r="C22" s="42" t="s">
        <v>172</v>
      </c>
      <c r="D22" s="206">
        <f>ROUND(D16-D17+D18-D19-D20+D21,2)</f>
        <v>0</v>
      </c>
    </row>
    <row r="23" spans="1:6" s="40" customFormat="1" ht="14.1" customHeight="1">
      <c r="A23" s="41">
        <v>20</v>
      </c>
      <c r="B23" s="4023"/>
      <c r="C23" s="42" t="s">
        <v>173</v>
      </c>
      <c r="D23" s="206">
        <f>IF(D22&lt;=0,0,IF(A107020所得减免优惠明细表!M27&lt;='A100000 中华人民共和国企业所得税年度纳税申报表（A类）'!D22,A107020所得减免优惠明细表!M27,'A100000 中华人民共和国企业所得税年度纳税申报表（A类）'!D22))</f>
        <v>0</v>
      </c>
    </row>
    <row r="24" spans="1:6" s="40" customFormat="1" ht="14.1" customHeight="1">
      <c r="A24" s="41">
        <v>21</v>
      </c>
      <c r="B24" s="4023"/>
      <c r="C24" s="42" t="s">
        <v>174</v>
      </c>
      <c r="D24" s="206">
        <f>'A106000 企业所得税弥补亏损明细表'!L13</f>
        <v>0</v>
      </c>
    </row>
    <row r="25" spans="1:6" s="40" customFormat="1" ht="14.1" customHeight="1">
      <c r="A25" s="41">
        <v>22</v>
      </c>
      <c r="B25" s="4023"/>
      <c r="C25" s="42" t="s">
        <v>175</v>
      </c>
      <c r="D25" s="206">
        <f>'A107030 抵扣应纳税所得额明细表'!C22</f>
        <v>0</v>
      </c>
    </row>
    <row r="26" spans="1:6" s="40" customFormat="1" ht="14.1" customHeight="1">
      <c r="A26" s="41">
        <v>23</v>
      </c>
      <c r="B26" s="4024"/>
      <c r="C26" s="42" t="s">
        <v>176</v>
      </c>
      <c r="D26" s="206">
        <f>ROUND(D22-D23-D24-D25,2)</f>
        <v>0</v>
      </c>
    </row>
    <row r="27" spans="1:6" s="40" customFormat="1" ht="14.25" customHeight="1">
      <c r="A27" s="41">
        <v>24</v>
      </c>
      <c r="B27" s="4021" t="s">
        <v>153</v>
      </c>
      <c r="C27" s="471" t="s">
        <v>177</v>
      </c>
      <c r="D27" s="2127">
        <v>0.25</v>
      </c>
    </row>
    <row r="28" spans="1:6" s="40" customFormat="1" ht="14.25" customHeight="1">
      <c r="A28" s="41">
        <v>25</v>
      </c>
      <c r="B28" s="4021"/>
      <c r="C28" s="471" t="s">
        <v>178</v>
      </c>
      <c r="D28" s="206">
        <f>ROUND(D26*D27,2)</f>
        <v>0</v>
      </c>
    </row>
    <row r="29" spans="1:6" s="40" customFormat="1" ht="14.25" customHeight="1">
      <c r="A29" s="41">
        <v>26</v>
      </c>
      <c r="B29" s="4021"/>
      <c r="C29" s="471" t="s">
        <v>179</v>
      </c>
      <c r="D29" s="206">
        <f>A107040减免所得税优惠明细表!C39</f>
        <v>0</v>
      </c>
    </row>
    <row r="30" spans="1:6" s="40" customFormat="1" ht="14.25" customHeight="1">
      <c r="A30" s="41">
        <v>27</v>
      </c>
      <c r="B30" s="4021"/>
      <c r="C30" s="471" t="s">
        <v>180</v>
      </c>
      <c r="D30" s="206">
        <f>'A107050 税额抵免优惠明细表'!M15</f>
        <v>0</v>
      </c>
    </row>
    <row r="31" spans="1:6" s="40" customFormat="1" ht="14.25" customHeight="1">
      <c r="A31" s="41">
        <v>28</v>
      </c>
      <c r="B31" s="4021"/>
      <c r="C31" s="471" t="s">
        <v>181</v>
      </c>
      <c r="D31" s="206">
        <f>ROUND(D28-D29-D30,2)</f>
        <v>0</v>
      </c>
    </row>
    <row r="32" spans="1:6" s="40" customFormat="1" ht="14.25" customHeight="1">
      <c r="A32" s="41">
        <v>29</v>
      </c>
      <c r="B32" s="4021"/>
      <c r="C32" s="471" t="s">
        <v>182</v>
      </c>
      <c r="D32" s="206">
        <f>A108000境外所得税收抵免明细表!J22</f>
        <v>0</v>
      </c>
    </row>
    <row r="33" spans="1:4" s="40" customFormat="1" ht="14.25" customHeight="1">
      <c r="A33" s="41">
        <v>30</v>
      </c>
      <c r="B33" s="4021"/>
      <c r="C33" s="471" t="s">
        <v>183</v>
      </c>
      <c r="D33" s="206">
        <f>A108000境外所得税收抵免明细表!T22</f>
        <v>0</v>
      </c>
    </row>
    <row r="34" spans="1:4" s="40" customFormat="1" ht="14.25" customHeight="1">
      <c r="A34" s="41">
        <v>31</v>
      </c>
      <c r="B34" s="4021"/>
      <c r="C34" s="471" t="s">
        <v>184</v>
      </c>
      <c r="D34" s="206">
        <f>ROUND(D31+D32-D33,2)</f>
        <v>0</v>
      </c>
    </row>
    <row r="35" spans="1:4" s="40" customFormat="1" ht="14.25" customHeight="1">
      <c r="A35" s="41">
        <v>32</v>
      </c>
      <c r="B35" s="4021"/>
      <c r="C35" s="471" t="s">
        <v>185</v>
      </c>
      <c r="D35" s="44">
        <f>应交税费!H7</f>
        <v>0</v>
      </c>
    </row>
    <row r="36" spans="1:4" s="45" customFormat="1" ht="14.25" customHeight="1">
      <c r="A36" s="41">
        <v>33</v>
      </c>
      <c r="B36" s="4021"/>
      <c r="C36" s="471" t="s">
        <v>186</v>
      </c>
      <c r="D36" s="206">
        <f>ROUND(D34-D35,2)</f>
        <v>0</v>
      </c>
    </row>
    <row r="37" spans="1:4" s="40" customFormat="1" ht="14.25" customHeight="1">
      <c r="A37" s="41">
        <v>34</v>
      </c>
      <c r="B37" s="4021"/>
      <c r="C37" s="472" t="s">
        <v>187</v>
      </c>
      <c r="D37" s="206">
        <f>A109000跨地区经营汇总纳税企业年度分摊企业所得税明细表!C15+A109000跨地区经营汇总纳税企业年度分摊企业所得税明细表!C19</f>
        <v>0</v>
      </c>
    </row>
    <row r="38" spans="1:4" s="40" customFormat="1" ht="14.25" customHeight="1">
      <c r="A38" s="41">
        <v>35</v>
      </c>
      <c r="B38" s="4021"/>
      <c r="C38" s="472" t="s">
        <v>188</v>
      </c>
      <c r="D38" s="206">
        <f>A109000跨地区经营汇总纳税企业年度分摊企业所得税明细表!C16</f>
        <v>0</v>
      </c>
    </row>
    <row r="39" spans="1:4" s="40" customFormat="1" ht="27.75" customHeight="1">
      <c r="A39" s="41">
        <v>36</v>
      </c>
      <c r="B39" s="4021"/>
      <c r="C39" s="472" t="s">
        <v>1176</v>
      </c>
      <c r="D39" s="206">
        <f>A109000跨地区经营汇总纳税企业年度分摊企业所得税明细表!C18</f>
        <v>0</v>
      </c>
    </row>
    <row r="40" spans="1:4" s="46" customFormat="1" ht="14.25" customHeight="1">
      <c r="A40" s="4015"/>
      <c r="B40" s="4016"/>
      <c r="C40" s="4016"/>
      <c r="D40" s="4016"/>
    </row>
    <row r="41" spans="1:4" s="46" customFormat="1" ht="14.25" customHeight="1">
      <c r="A41" s="4017"/>
      <c r="B41" s="4018"/>
      <c r="C41" s="4018"/>
      <c r="D41" s="4018"/>
    </row>
    <row r="42" spans="1:4" s="46" customFormat="1" ht="29.25" customHeight="1">
      <c r="A42" s="4013"/>
      <c r="B42" s="4014"/>
      <c r="C42" s="4014"/>
      <c r="D42" s="4014"/>
    </row>
    <row r="43" spans="1:4" s="46" customFormat="1" ht="14.25" customHeight="1">
      <c r="A43" s="4011"/>
      <c r="B43" s="4012"/>
      <c r="C43" s="4012"/>
      <c r="D43" s="4012"/>
    </row>
    <row r="44" spans="1:4" s="46" customFormat="1" ht="14.25" customHeight="1">
      <c r="A44" s="4011"/>
      <c r="B44" s="4012"/>
      <c r="C44" s="4012"/>
      <c r="D44" s="4012"/>
    </row>
    <row r="45" spans="1:4" s="46" customFormat="1" ht="14.25" customHeight="1">
      <c r="A45" s="4011"/>
      <c r="B45" s="4012"/>
      <c r="C45" s="4012"/>
      <c r="D45" s="4012"/>
    </row>
    <row r="46" spans="1:4" s="46" customFormat="1" ht="14.25" customHeight="1">
      <c r="A46" s="4011"/>
      <c r="B46" s="4012"/>
      <c r="C46" s="4012"/>
      <c r="D46" s="4012"/>
    </row>
    <row r="47" spans="1:4" s="46" customFormat="1" ht="14.25" customHeight="1">
      <c r="A47" s="4011"/>
      <c r="B47" s="4012"/>
      <c r="C47" s="4012"/>
      <c r="D47" s="4012"/>
    </row>
    <row r="48" spans="1:4" s="46" customFormat="1" ht="14.25" customHeight="1">
      <c r="A48" s="47"/>
      <c r="B48" s="48"/>
      <c r="C48" s="49"/>
      <c r="D48" s="50"/>
    </row>
    <row r="49" spans="1:4" s="46" customFormat="1" ht="14.25" customHeight="1">
      <c r="A49" s="47"/>
      <c r="B49" s="48"/>
      <c r="C49" s="49"/>
      <c r="D49" s="50"/>
    </row>
    <row r="50" spans="1:4" s="46" customFormat="1" ht="14.25" customHeight="1">
      <c r="A50" s="47"/>
      <c r="B50" s="48"/>
      <c r="C50" s="49"/>
      <c r="D50" s="50"/>
    </row>
    <row r="51" spans="1:4" s="46" customFormat="1" ht="14.25" customHeight="1">
      <c r="A51" s="47"/>
      <c r="B51" s="48"/>
      <c r="C51" s="49"/>
      <c r="D51" s="50"/>
    </row>
    <row r="52" spans="1:4" s="46" customFormat="1" ht="14.25" customHeight="1">
      <c r="A52" s="47"/>
      <c r="B52" s="48"/>
      <c r="C52" s="49"/>
      <c r="D52" s="50"/>
    </row>
    <row r="53" spans="1:4" s="46" customFormat="1" ht="14.25" customHeight="1">
      <c r="A53" s="47"/>
      <c r="B53" s="48"/>
      <c r="C53" s="49"/>
      <c r="D53" s="50"/>
    </row>
    <row r="54" spans="1:4" s="46" customFormat="1" ht="14.25" customHeight="1">
      <c r="A54" s="47"/>
      <c r="B54" s="48"/>
      <c r="C54" s="49"/>
      <c r="D54" s="50"/>
    </row>
    <row r="55" spans="1:4" s="46" customFormat="1" ht="14.25" customHeight="1">
      <c r="A55" s="47"/>
      <c r="B55" s="48"/>
      <c r="C55" s="49"/>
      <c r="D55" s="50"/>
    </row>
    <row r="56" spans="1:4" s="46" customFormat="1" ht="14.25" customHeight="1">
      <c r="A56" s="47"/>
      <c r="B56" s="48"/>
      <c r="C56" s="49"/>
      <c r="D56" s="50"/>
    </row>
    <row r="57" spans="1:4" s="46" customFormat="1" ht="14.25" customHeight="1">
      <c r="A57" s="47"/>
      <c r="B57" s="48"/>
      <c r="C57" s="49"/>
      <c r="D57" s="50"/>
    </row>
    <row r="58" spans="1:4" s="46" customFormat="1" ht="14.25" customHeight="1">
      <c r="A58" s="47"/>
      <c r="B58" s="48"/>
      <c r="C58" s="49"/>
      <c r="D58" s="50"/>
    </row>
    <row r="59" spans="1:4" s="46" customFormat="1" ht="14.25" customHeight="1">
      <c r="A59" s="47"/>
      <c r="B59" s="48"/>
      <c r="C59" s="49"/>
      <c r="D59" s="50"/>
    </row>
    <row r="60" spans="1:4" s="46" customFormat="1" ht="14.25" customHeight="1">
      <c r="A60" s="47"/>
      <c r="B60" s="48"/>
      <c r="C60" s="49"/>
      <c r="D60" s="50"/>
    </row>
    <row r="61" spans="1:4" s="46" customFormat="1" ht="14.25" customHeight="1">
      <c r="A61" s="47"/>
      <c r="B61" s="48"/>
      <c r="C61" s="49"/>
      <c r="D61" s="50"/>
    </row>
    <row r="62" spans="1:4" s="46" customFormat="1" ht="14.25" customHeight="1">
      <c r="A62" s="47"/>
      <c r="B62" s="48"/>
      <c r="C62" s="49"/>
      <c r="D62" s="50"/>
    </row>
    <row r="63" spans="1:4" s="46" customFormat="1" ht="14.25" customHeight="1">
      <c r="A63" s="47"/>
      <c r="B63" s="48"/>
      <c r="C63" s="49"/>
      <c r="D63" s="50"/>
    </row>
    <row r="64" spans="1:4" s="46" customFormat="1" ht="14.25" customHeight="1">
      <c r="A64" s="47"/>
      <c r="B64" s="48"/>
      <c r="C64" s="49"/>
      <c r="D64" s="50"/>
    </row>
    <row r="65" spans="1:4" s="46" customFormat="1" ht="14.25" customHeight="1">
      <c r="A65" s="47"/>
      <c r="B65" s="48"/>
      <c r="C65" s="49"/>
      <c r="D65" s="50"/>
    </row>
    <row r="66" spans="1:4" s="46" customFormat="1" ht="14.25" customHeight="1">
      <c r="A66" s="47"/>
      <c r="B66" s="48"/>
      <c r="C66" s="49"/>
      <c r="D66" s="50"/>
    </row>
    <row r="67" spans="1:4" s="46" customFormat="1" ht="14.25" customHeight="1">
      <c r="A67" s="47"/>
      <c r="B67" s="48"/>
      <c r="C67" s="49"/>
      <c r="D67" s="50"/>
    </row>
    <row r="68" spans="1:4" s="46" customFormat="1" ht="14.25" customHeight="1">
      <c r="A68" s="47"/>
      <c r="B68" s="48"/>
      <c r="C68" s="49"/>
      <c r="D68" s="50"/>
    </row>
    <row r="69" spans="1:4" s="46" customFormat="1" ht="14.25" customHeight="1">
      <c r="A69" s="47"/>
      <c r="B69" s="48"/>
      <c r="C69" s="49"/>
      <c r="D69" s="50"/>
    </row>
    <row r="70" spans="1:4" s="46" customFormat="1" ht="14.25" customHeight="1">
      <c r="A70" s="47"/>
      <c r="B70" s="48"/>
      <c r="C70" s="49"/>
      <c r="D70" s="50"/>
    </row>
    <row r="71" spans="1:4" s="46" customFormat="1" ht="14.25" customHeight="1">
      <c r="A71" s="47"/>
      <c r="B71" s="48"/>
      <c r="C71" s="49"/>
      <c r="D71" s="50"/>
    </row>
    <row r="72" spans="1:4" s="46" customFormat="1" ht="14.25" customHeight="1">
      <c r="A72" s="47"/>
      <c r="B72" s="48"/>
      <c r="C72" s="49"/>
      <c r="D72" s="50"/>
    </row>
    <row r="73" spans="1:4" s="46" customFormat="1" ht="14.25" customHeight="1">
      <c r="A73" s="47"/>
      <c r="B73" s="48"/>
      <c r="C73" s="49"/>
      <c r="D73" s="50"/>
    </row>
    <row r="74" spans="1:4" s="46" customFormat="1" ht="14.25" customHeight="1">
      <c r="A74" s="47"/>
      <c r="B74" s="48"/>
      <c r="C74" s="49"/>
      <c r="D74" s="50"/>
    </row>
    <row r="75" spans="1:4" s="46" customFormat="1" ht="14.25" customHeight="1">
      <c r="A75" s="47"/>
      <c r="B75" s="48"/>
      <c r="C75" s="49"/>
      <c r="D75" s="50"/>
    </row>
    <row r="76" spans="1:4" s="46" customFormat="1" ht="14.25" customHeight="1">
      <c r="A76" s="47"/>
      <c r="B76" s="48"/>
      <c r="C76" s="49"/>
      <c r="D76" s="50"/>
    </row>
    <row r="77" spans="1:4" s="46" customFormat="1" ht="14.25" customHeight="1">
      <c r="A77" s="47"/>
      <c r="B77" s="48"/>
      <c r="C77" s="49"/>
      <c r="D77" s="50"/>
    </row>
    <row r="78" spans="1:4" s="46" customFormat="1" ht="14.25" customHeight="1">
      <c r="A78" s="47"/>
      <c r="B78" s="48"/>
      <c r="C78" s="49"/>
      <c r="D78" s="50"/>
    </row>
    <row r="79" spans="1:4" s="46" customFormat="1" ht="14.25" customHeight="1">
      <c r="A79" s="47"/>
      <c r="B79" s="48"/>
      <c r="C79" s="49"/>
      <c r="D79" s="50"/>
    </row>
    <row r="80" spans="1:4" s="46" customFormat="1" ht="14.25" customHeight="1">
      <c r="A80" s="47"/>
      <c r="B80" s="48"/>
      <c r="C80" s="49"/>
      <c r="D80" s="50"/>
    </row>
    <row r="81" spans="1:4" s="46" customFormat="1" ht="14.25" customHeight="1">
      <c r="A81" s="47"/>
      <c r="B81" s="48"/>
      <c r="C81" s="49"/>
      <c r="D81" s="50"/>
    </row>
    <row r="82" spans="1:4" s="46" customFormat="1" ht="14.25" customHeight="1">
      <c r="A82" s="47"/>
      <c r="B82" s="48"/>
      <c r="C82" s="49"/>
      <c r="D82" s="50"/>
    </row>
    <row r="83" spans="1:4" s="46" customFormat="1" ht="14.25" customHeight="1">
      <c r="A83" s="47"/>
      <c r="B83" s="48"/>
      <c r="C83" s="49"/>
      <c r="D83" s="50"/>
    </row>
    <row r="84" spans="1:4" s="46" customFormat="1" ht="14.25" customHeight="1">
      <c r="A84" s="47"/>
      <c r="B84" s="48"/>
      <c r="C84" s="49"/>
      <c r="D84" s="50"/>
    </row>
    <row r="85" spans="1:4" s="46" customFormat="1" ht="14.25" customHeight="1">
      <c r="A85" s="47"/>
      <c r="B85" s="48"/>
      <c r="C85" s="49"/>
      <c r="D85" s="50"/>
    </row>
    <row r="86" spans="1:4" s="46" customFormat="1" ht="14.25" customHeight="1">
      <c r="A86" s="47"/>
      <c r="B86" s="48"/>
      <c r="C86" s="49"/>
      <c r="D86" s="50"/>
    </row>
    <row r="87" spans="1:4" s="46" customFormat="1" ht="14.25" customHeight="1">
      <c r="A87" s="47"/>
      <c r="B87" s="48"/>
      <c r="C87" s="49"/>
      <c r="D87" s="50"/>
    </row>
    <row r="88" spans="1:4" s="46" customFormat="1" ht="14.25" customHeight="1">
      <c r="A88" s="47"/>
      <c r="B88" s="48"/>
      <c r="C88" s="49"/>
      <c r="D88" s="50"/>
    </row>
    <row r="89" spans="1:4" s="46" customFormat="1" ht="14.25" customHeight="1">
      <c r="A89" s="47"/>
      <c r="B89" s="48"/>
      <c r="C89" s="49"/>
      <c r="D89" s="50"/>
    </row>
    <row r="90" spans="1:4" s="46" customFormat="1" ht="14.25" customHeight="1">
      <c r="A90" s="47"/>
      <c r="B90" s="48"/>
      <c r="C90" s="49"/>
      <c r="D90" s="50"/>
    </row>
    <row r="91" spans="1:4" s="46" customFormat="1" ht="14.25" customHeight="1">
      <c r="A91" s="47"/>
      <c r="B91" s="48"/>
      <c r="C91" s="49"/>
      <c r="D91" s="50"/>
    </row>
    <row r="92" spans="1:4" s="46" customFormat="1" ht="14.25" customHeight="1">
      <c r="A92" s="47"/>
      <c r="B92" s="48"/>
      <c r="C92" s="49"/>
      <c r="D92" s="50"/>
    </row>
    <row r="93" spans="1:4" s="46" customFormat="1" ht="14.25" customHeight="1">
      <c r="A93" s="47"/>
      <c r="B93" s="48"/>
      <c r="C93" s="49"/>
      <c r="D93" s="50"/>
    </row>
    <row r="94" spans="1:4" s="46" customFormat="1" ht="14.25" customHeight="1">
      <c r="A94" s="47"/>
      <c r="B94" s="48"/>
      <c r="C94" s="49"/>
      <c r="D94" s="50"/>
    </row>
    <row r="95" spans="1:4" s="46" customFormat="1" ht="14.25" customHeight="1">
      <c r="A95" s="47"/>
      <c r="B95" s="48"/>
      <c r="C95" s="49"/>
      <c r="D95" s="50"/>
    </row>
    <row r="96" spans="1:4" s="46" customFormat="1" ht="14.25" customHeight="1">
      <c r="A96" s="47"/>
      <c r="B96" s="48"/>
      <c r="C96" s="49"/>
      <c r="D96" s="50"/>
    </row>
    <row r="97" spans="1:4" s="46" customFormat="1" ht="14.25" customHeight="1">
      <c r="A97" s="47"/>
      <c r="B97" s="48"/>
      <c r="C97" s="49"/>
      <c r="D97" s="50"/>
    </row>
    <row r="98" spans="1:4" s="46" customFormat="1" ht="14.25" customHeight="1">
      <c r="A98" s="47"/>
      <c r="B98" s="48"/>
      <c r="C98" s="49"/>
      <c r="D98" s="50"/>
    </row>
    <row r="99" spans="1:4" s="46" customFormat="1" ht="14.25" customHeight="1">
      <c r="A99" s="47"/>
      <c r="B99" s="48"/>
      <c r="C99" s="49"/>
      <c r="D99" s="50"/>
    </row>
    <row r="100" spans="1:4" s="46" customFormat="1" ht="14.25" customHeight="1">
      <c r="A100" s="47"/>
      <c r="B100" s="48"/>
      <c r="C100" s="49"/>
      <c r="D100" s="50"/>
    </row>
    <row r="101" spans="1:4" s="46" customFormat="1" ht="14.25" customHeight="1">
      <c r="A101" s="47"/>
      <c r="B101" s="48"/>
      <c r="C101" s="49"/>
      <c r="D101" s="50"/>
    </row>
    <row r="102" spans="1:4" s="46" customFormat="1" ht="14.25" customHeight="1">
      <c r="A102" s="47"/>
      <c r="B102" s="48"/>
      <c r="C102" s="49"/>
      <c r="D102" s="50"/>
    </row>
    <row r="103" spans="1:4" s="46" customFormat="1" ht="14.25" customHeight="1">
      <c r="A103" s="47"/>
      <c r="B103" s="48"/>
      <c r="C103" s="49"/>
      <c r="D103" s="50"/>
    </row>
    <row r="104" spans="1:4" s="46" customFormat="1" ht="14.25" customHeight="1">
      <c r="A104" s="47"/>
      <c r="B104" s="48"/>
      <c r="C104" s="49"/>
      <c r="D104" s="50"/>
    </row>
    <row r="105" spans="1:4" s="46" customFormat="1" ht="14.25" customHeight="1">
      <c r="A105" s="47"/>
      <c r="B105" s="48"/>
      <c r="C105" s="49"/>
      <c r="D105" s="50"/>
    </row>
    <row r="106" spans="1:4" s="46" customFormat="1" ht="14.25" customHeight="1">
      <c r="A106" s="47"/>
      <c r="B106" s="48"/>
      <c r="C106" s="49"/>
      <c r="D106" s="50"/>
    </row>
    <row r="107" spans="1:4" s="46" customFormat="1" ht="14.25" customHeight="1">
      <c r="A107" s="47"/>
      <c r="B107" s="48"/>
      <c r="C107" s="49"/>
      <c r="D107" s="50"/>
    </row>
    <row r="108" spans="1:4" s="46" customFormat="1" ht="14.25" customHeight="1">
      <c r="A108" s="47"/>
      <c r="B108" s="48"/>
      <c r="C108" s="49"/>
      <c r="D108" s="50"/>
    </row>
    <row r="109" spans="1:4" s="46" customFormat="1" ht="14.25" customHeight="1">
      <c r="A109" s="47"/>
      <c r="B109" s="48"/>
      <c r="C109" s="49"/>
      <c r="D109" s="50"/>
    </row>
    <row r="110" spans="1:4" s="46" customFormat="1" ht="14.25" customHeight="1">
      <c r="A110" s="47"/>
      <c r="B110" s="48"/>
      <c r="C110" s="49"/>
      <c r="D110" s="50"/>
    </row>
    <row r="111" spans="1:4" s="46" customFormat="1" ht="14.25" customHeight="1">
      <c r="A111" s="47"/>
      <c r="B111" s="48"/>
      <c r="C111" s="49"/>
      <c r="D111" s="50"/>
    </row>
    <row r="112" spans="1:4" s="46" customFormat="1" ht="14.25" customHeight="1">
      <c r="A112" s="47"/>
      <c r="B112" s="48"/>
      <c r="C112" s="49"/>
      <c r="D112" s="50"/>
    </row>
    <row r="113" spans="1:4" s="46" customFormat="1" ht="14.25" customHeight="1">
      <c r="A113" s="47"/>
      <c r="B113" s="48"/>
      <c r="C113" s="49"/>
      <c r="D113" s="50"/>
    </row>
    <row r="114" spans="1:4" s="46" customFormat="1" ht="14.25" customHeight="1">
      <c r="A114" s="47"/>
      <c r="B114" s="48"/>
      <c r="C114" s="49"/>
      <c r="D114" s="50"/>
    </row>
    <row r="115" spans="1:4" s="46" customFormat="1" ht="14.25" customHeight="1">
      <c r="A115" s="47"/>
      <c r="B115" s="48"/>
      <c r="C115" s="49"/>
      <c r="D115" s="50"/>
    </row>
    <row r="116" spans="1:4" s="46" customFormat="1" ht="14.25" customHeight="1">
      <c r="A116" s="47"/>
      <c r="B116" s="48"/>
      <c r="C116" s="49"/>
      <c r="D116" s="50"/>
    </row>
    <row r="117" spans="1:4" s="46" customFormat="1" ht="14.25" customHeight="1">
      <c r="A117" s="47"/>
      <c r="B117" s="48"/>
      <c r="C117" s="49"/>
      <c r="D117" s="50"/>
    </row>
    <row r="118" spans="1:4" s="46" customFormat="1" ht="14.25" customHeight="1">
      <c r="A118" s="47"/>
      <c r="B118" s="48"/>
      <c r="C118" s="49"/>
      <c r="D118" s="50"/>
    </row>
    <row r="119" spans="1:4" s="46" customFormat="1" ht="14.25" customHeight="1">
      <c r="A119" s="47"/>
      <c r="B119" s="48"/>
      <c r="C119" s="49"/>
      <c r="D119" s="50"/>
    </row>
    <row r="120" spans="1:4" s="46" customFormat="1" ht="14.25" customHeight="1">
      <c r="A120" s="47"/>
      <c r="B120" s="48"/>
      <c r="C120" s="49"/>
      <c r="D120" s="50"/>
    </row>
    <row r="121" spans="1:4" s="46" customFormat="1" ht="14.25" customHeight="1">
      <c r="A121" s="47"/>
      <c r="B121" s="48"/>
      <c r="C121" s="49"/>
      <c r="D121" s="50"/>
    </row>
    <row r="122" spans="1:4" s="46" customFormat="1" ht="14.25" customHeight="1">
      <c r="A122" s="47"/>
      <c r="B122" s="48"/>
      <c r="C122" s="49"/>
      <c r="D122" s="50"/>
    </row>
    <row r="123" spans="1:4" s="46" customFormat="1" ht="14.25" customHeight="1">
      <c r="A123" s="47"/>
      <c r="B123" s="48"/>
      <c r="C123" s="49"/>
      <c r="D123" s="50"/>
    </row>
    <row r="124" spans="1:4" s="46" customFormat="1" ht="14.25" customHeight="1">
      <c r="A124" s="47"/>
      <c r="B124" s="48"/>
      <c r="C124" s="49"/>
      <c r="D124" s="50"/>
    </row>
    <row r="125" spans="1:4" s="46" customFormat="1" ht="14.25" customHeight="1">
      <c r="A125" s="47"/>
      <c r="B125" s="48"/>
      <c r="C125" s="49"/>
      <c r="D125" s="50"/>
    </row>
    <row r="126" spans="1:4" s="46" customFormat="1" ht="14.25" customHeight="1">
      <c r="A126" s="47"/>
      <c r="B126" s="48"/>
      <c r="C126" s="49"/>
      <c r="D126" s="50"/>
    </row>
    <row r="127" spans="1:4" s="46" customFormat="1" ht="14.25" customHeight="1">
      <c r="A127" s="47"/>
      <c r="B127" s="48"/>
      <c r="C127" s="49"/>
      <c r="D127" s="50"/>
    </row>
    <row r="128" spans="1:4" s="46" customFormat="1" ht="14.25" customHeight="1">
      <c r="A128" s="47"/>
      <c r="B128" s="48"/>
      <c r="C128" s="49"/>
      <c r="D128" s="50"/>
    </row>
    <row r="129" spans="1:4" s="46" customFormat="1" ht="14.25" customHeight="1">
      <c r="A129" s="47"/>
      <c r="B129" s="48"/>
      <c r="C129" s="49"/>
      <c r="D129" s="50"/>
    </row>
    <row r="130" spans="1:4" s="46" customFormat="1" ht="14.25" customHeight="1">
      <c r="A130" s="47"/>
      <c r="B130" s="48"/>
      <c r="C130" s="49"/>
      <c r="D130" s="50"/>
    </row>
    <row r="131" spans="1:4" s="46" customFormat="1" ht="14.25" customHeight="1">
      <c r="A131" s="47"/>
      <c r="B131" s="48"/>
      <c r="C131" s="49"/>
      <c r="D131" s="50"/>
    </row>
    <row r="132" spans="1:4" s="46" customFormat="1" ht="14.25" customHeight="1">
      <c r="A132" s="47"/>
      <c r="B132" s="48"/>
      <c r="C132" s="49"/>
      <c r="D132" s="50"/>
    </row>
    <row r="133" spans="1:4" s="46" customFormat="1" ht="14.25" customHeight="1">
      <c r="A133" s="47"/>
      <c r="B133" s="48"/>
      <c r="C133" s="49"/>
      <c r="D133" s="50"/>
    </row>
    <row r="134" spans="1:4" s="46" customFormat="1" ht="14.25" customHeight="1">
      <c r="A134" s="47"/>
      <c r="B134" s="48"/>
      <c r="C134" s="49"/>
      <c r="D134" s="50"/>
    </row>
    <row r="135" spans="1:4" s="46" customFormat="1" ht="14.25" customHeight="1">
      <c r="A135" s="47"/>
      <c r="B135" s="48"/>
      <c r="C135" s="49"/>
      <c r="D135" s="50"/>
    </row>
    <row r="136" spans="1:4" s="46" customFormat="1" ht="14.25" customHeight="1">
      <c r="A136" s="47"/>
      <c r="B136" s="48"/>
      <c r="C136" s="49"/>
      <c r="D136" s="50"/>
    </row>
    <row r="137" spans="1:4" s="46" customFormat="1" ht="14.25" customHeight="1">
      <c r="A137" s="47"/>
      <c r="B137" s="48"/>
      <c r="C137" s="49"/>
      <c r="D137" s="50"/>
    </row>
    <row r="138" spans="1:4" s="46" customFormat="1" ht="14.25" customHeight="1">
      <c r="A138" s="47"/>
      <c r="B138" s="48"/>
      <c r="C138" s="49"/>
      <c r="D138" s="50"/>
    </row>
    <row r="139" spans="1:4" s="46" customFormat="1" ht="14.25" customHeight="1">
      <c r="A139" s="47"/>
      <c r="B139" s="48"/>
      <c r="C139" s="49"/>
      <c r="D139" s="50"/>
    </row>
    <row r="140" spans="1:4" s="46" customFormat="1" ht="14.25" customHeight="1">
      <c r="A140" s="47"/>
      <c r="B140" s="48"/>
      <c r="C140" s="49"/>
      <c r="D140" s="50"/>
    </row>
    <row r="141" spans="1:4" s="46" customFormat="1" ht="14.25" customHeight="1">
      <c r="A141" s="47"/>
      <c r="B141" s="48"/>
      <c r="C141" s="49"/>
      <c r="D141" s="50"/>
    </row>
    <row r="142" spans="1:4" s="46" customFormat="1" ht="14.25" customHeight="1">
      <c r="A142" s="47"/>
      <c r="B142" s="48"/>
      <c r="C142" s="49"/>
      <c r="D142" s="50"/>
    </row>
    <row r="143" spans="1:4" s="46" customFormat="1" ht="14.25" customHeight="1">
      <c r="A143" s="47"/>
      <c r="B143" s="48"/>
      <c r="C143" s="49"/>
      <c r="D143" s="50"/>
    </row>
    <row r="144" spans="1:4" s="46" customFormat="1" ht="14.25" customHeight="1">
      <c r="A144" s="47"/>
      <c r="B144" s="48"/>
      <c r="C144" s="49"/>
      <c r="D144" s="50"/>
    </row>
    <row r="145" spans="1:4" s="46" customFormat="1" ht="14.25" customHeight="1">
      <c r="A145" s="47"/>
      <c r="B145" s="48"/>
      <c r="C145" s="49"/>
      <c r="D145" s="50"/>
    </row>
    <row r="146" spans="1:4" s="46" customFormat="1" ht="14.25" customHeight="1">
      <c r="A146" s="47"/>
      <c r="B146" s="48"/>
      <c r="C146" s="49"/>
      <c r="D146" s="50"/>
    </row>
    <row r="147" spans="1:4" s="46" customFormat="1" ht="14.25" customHeight="1">
      <c r="A147" s="47"/>
      <c r="B147" s="48"/>
      <c r="C147" s="49"/>
      <c r="D147" s="50"/>
    </row>
    <row r="148" spans="1:4" s="46" customFormat="1" ht="14.25" customHeight="1">
      <c r="A148" s="47"/>
      <c r="B148" s="48"/>
      <c r="C148" s="49"/>
      <c r="D148" s="50"/>
    </row>
    <row r="149" spans="1:4" s="46" customFormat="1" ht="14.25" customHeight="1">
      <c r="A149" s="47"/>
      <c r="B149" s="48"/>
      <c r="C149" s="49"/>
      <c r="D149" s="50"/>
    </row>
    <row r="150" spans="1:4" s="46" customFormat="1" ht="14.25" customHeight="1">
      <c r="A150" s="47"/>
      <c r="B150" s="48"/>
      <c r="C150" s="49"/>
      <c r="D150" s="50"/>
    </row>
    <row r="151" spans="1:4" s="46" customFormat="1" ht="14.25" customHeight="1">
      <c r="A151" s="47"/>
      <c r="B151" s="48"/>
      <c r="C151" s="49"/>
      <c r="D151" s="50"/>
    </row>
    <row r="152" spans="1:4" s="46" customFormat="1" ht="14.25" customHeight="1">
      <c r="A152" s="47"/>
      <c r="B152" s="48"/>
      <c r="C152" s="49"/>
      <c r="D152" s="50"/>
    </row>
    <row r="153" spans="1:4" s="46" customFormat="1" ht="14.25" customHeight="1">
      <c r="A153" s="47"/>
      <c r="B153" s="48"/>
      <c r="C153" s="49"/>
      <c r="D153" s="50"/>
    </row>
    <row r="154" spans="1:4" s="46" customFormat="1" ht="14.25" customHeight="1">
      <c r="A154" s="47"/>
      <c r="B154" s="48"/>
      <c r="C154" s="49"/>
      <c r="D154" s="50"/>
    </row>
    <row r="155" spans="1:4" s="46" customFormat="1" ht="14.25" customHeight="1">
      <c r="A155" s="47"/>
      <c r="B155" s="48"/>
      <c r="C155" s="49"/>
      <c r="D155" s="50"/>
    </row>
    <row r="156" spans="1:4" s="46" customFormat="1" ht="14.25" customHeight="1">
      <c r="A156" s="47"/>
      <c r="B156" s="48"/>
      <c r="C156" s="49"/>
      <c r="D156" s="50"/>
    </row>
    <row r="157" spans="1:4" s="46" customFormat="1" ht="14.25" customHeight="1">
      <c r="A157" s="47"/>
      <c r="B157" s="48"/>
      <c r="C157" s="49"/>
      <c r="D157" s="50"/>
    </row>
    <row r="158" spans="1:4" s="46" customFormat="1" ht="14.25" customHeight="1">
      <c r="A158" s="47"/>
      <c r="B158" s="48"/>
      <c r="C158" s="49"/>
      <c r="D158" s="50"/>
    </row>
    <row r="159" spans="1:4" s="46" customFormat="1" ht="14.25" customHeight="1">
      <c r="A159" s="47"/>
      <c r="B159" s="48"/>
      <c r="C159" s="49"/>
      <c r="D159" s="50"/>
    </row>
    <row r="160" spans="1:4" s="46" customFormat="1" ht="14.25" customHeight="1">
      <c r="A160" s="47"/>
      <c r="B160" s="48"/>
      <c r="C160" s="49"/>
      <c r="D160" s="50"/>
    </row>
    <row r="161" spans="1:4" s="46" customFormat="1" ht="14.25" customHeight="1">
      <c r="A161" s="47"/>
      <c r="B161" s="48"/>
      <c r="C161" s="49"/>
      <c r="D161" s="50"/>
    </row>
    <row r="162" spans="1:4" s="46" customFormat="1" ht="14.25" customHeight="1">
      <c r="A162" s="47"/>
      <c r="B162" s="48"/>
      <c r="C162" s="49"/>
      <c r="D162" s="50"/>
    </row>
    <row r="163" spans="1:4" s="46" customFormat="1" ht="14.25" customHeight="1">
      <c r="A163" s="47"/>
      <c r="B163" s="48"/>
      <c r="C163" s="49"/>
      <c r="D163" s="50"/>
    </row>
    <row r="164" spans="1:4" s="46" customFormat="1" ht="14.25" customHeight="1">
      <c r="A164" s="47"/>
      <c r="B164" s="48"/>
      <c r="C164" s="49"/>
      <c r="D164" s="50"/>
    </row>
    <row r="165" spans="1:4" s="46" customFormat="1" ht="14.25" customHeight="1">
      <c r="A165" s="47"/>
      <c r="B165" s="48"/>
      <c r="C165" s="49"/>
      <c r="D165" s="50"/>
    </row>
    <row r="166" spans="1:4" s="46" customFormat="1" ht="14.25" customHeight="1">
      <c r="A166" s="47"/>
      <c r="B166" s="48"/>
      <c r="C166" s="49"/>
      <c r="D166" s="50"/>
    </row>
    <row r="167" spans="1:4" s="46" customFormat="1" ht="14.25" customHeight="1">
      <c r="A167" s="47"/>
      <c r="B167" s="48"/>
      <c r="C167" s="49"/>
      <c r="D167" s="50"/>
    </row>
    <row r="168" spans="1:4" s="46" customFormat="1" ht="14.25" customHeight="1">
      <c r="A168" s="47"/>
      <c r="B168" s="48"/>
      <c r="C168" s="49"/>
      <c r="D168" s="50"/>
    </row>
    <row r="169" spans="1:4" s="46" customFormat="1" ht="14.25" customHeight="1">
      <c r="A169" s="47"/>
      <c r="B169" s="48"/>
      <c r="C169" s="49"/>
      <c r="D169" s="50"/>
    </row>
    <row r="170" spans="1:4" s="46" customFormat="1" ht="14.25" customHeight="1">
      <c r="A170" s="47"/>
      <c r="B170" s="48"/>
      <c r="C170" s="49"/>
      <c r="D170" s="50"/>
    </row>
    <row r="171" spans="1:4" s="46" customFormat="1" ht="14.25" customHeight="1">
      <c r="A171" s="47"/>
      <c r="B171" s="48"/>
      <c r="C171" s="49"/>
      <c r="D171" s="50"/>
    </row>
    <row r="172" spans="1:4" s="46" customFormat="1" ht="14.25" customHeight="1">
      <c r="A172" s="47"/>
      <c r="B172" s="48"/>
      <c r="C172" s="49"/>
      <c r="D172" s="50"/>
    </row>
    <row r="173" spans="1:4" s="46" customFormat="1" ht="14.25" customHeight="1">
      <c r="A173" s="47"/>
      <c r="B173" s="48"/>
      <c r="C173" s="49"/>
      <c r="D173" s="50"/>
    </row>
    <row r="174" spans="1:4" s="46" customFormat="1" ht="14.25" customHeight="1">
      <c r="A174" s="47"/>
      <c r="B174" s="48"/>
      <c r="C174" s="49"/>
      <c r="D174" s="50"/>
    </row>
    <row r="175" spans="1:4" s="46" customFormat="1" ht="14.25" customHeight="1">
      <c r="A175" s="47"/>
      <c r="B175" s="48"/>
      <c r="C175" s="49"/>
      <c r="D175" s="50"/>
    </row>
    <row r="176" spans="1:4" s="46" customFormat="1" ht="14.25" customHeight="1">
      <c r="A176" s="47"/>
      <c r="B176" s="48"/>
      <c r="C176" s="49"/>
      <c r="D176" s="50"/>
    </row>
  </sheetData>
  <mergeCells count="13">
    <mergeCell ref="A40:D40"/>
    <mergeCell ref="A41:D41"/>
    <mergeCell ref="A1:D1"/>
    <mergeCell ref="A2:D2"/>
    <mergeCell ref="B4:B16"/>
    <mergeCell ref="B17:B26"/>
    <mergeCell ref="B27:B39"/>
    <mergeCell ref="A47:D47"/>
    <mergeCell ref="A42:D42"/>
    <mergeCell ref="A43:D43"/>
    <mergeCell ref="A44:D44"/>
    <mergeCell ref="A46:D46"/>
    <mergeCell ref="A45:D45"/>
  </mergeCells>
  <phoneticPr fontId="1" type="noConversion"/>
  <pageMargins left="0.70866141732283472" right="0.70866141732283472" top="0.74803149606299213" bottom="0.74803149606299213" header="0.31496062992125984" footer="0.31496062992125984"/>
  <pageSetup paperSize="9" scale="99" orientation="portrait" verticalDpi="0" r:id="rId1"/>
  <legacyDrawing r:id="rId2"/>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A1:E33"/>
  <sheetViews>
    <sheetView workbookViewId="0">
      <selection sqref="A1:C1"/>
    </sheetView>
  </sheetViews>
  <sheetFormatPr defaultColWidth="8.75" defaultRowHeight="14.25"/>
  <cols>
    <col min="1" max="1" width="5" style="356" customWidth="1"/>
    <col min="2" max="2" width="56.25" style="356" customWidth="1"/>
    <col min="3" max="3" width="19" style="356" customWidth="1"/>
    <col min="4" max="4" width="1.25" style="356" customWidth="1"/>
    <col min="5" max="5" width="31.875" style="356" customWidth="1"/>
    <col min="6" max="16384" width="8.75" style="356"/>
  </cols>
  <sheetData>
    <row r="1" spans="1:5">
      <c r="A1" s="4025" t="s">
        <v>1615</v>
      </c>
      <c r="B1" s="4025"/>
      <c r="C1" s="4025"/>
    </row>
    <row r="2" spans="1:5" ht="18.75">
      <c r="A2" s="4026" t="s">
        <v>1170</v>
      </c>
      <c r="B2" s="4026"/>
      <c r="C2" s="4026"/>
      <c r="E2" s="249" t="s">
        <v>189</v>
      </c>
    </row>
    <row r="3" spans="1:5" s="464" customFormat="1">
      <c r="A3" s="24" t="s">
        <v>147</v>
      </c>
      <c r="B3" s="24" t="s">
        <v>190</v>
      </c>
      <c r="C3" s="24" t="s">
        <v>150</v>
      </c>
      <c r="E3" s="465"/>
    </row>
    <row r="4" spans="1:5">
      <c r="A4" s="24">
        <v>1</v>
      </c>
      <c r="B4" s="53" t="s">
        <v>191</v>
      </c>
      <c r="C4" s="433">
        <f>ROUND(C5+C12,2)</f>
        <v>0</v>
      </c>
      <c r="E4" s="53"/>
    </row>
    <row r="5" spans="1:5">
      <c r="A5" s="24">
        <v>2</v>
      </c>
      <c r="B5" s="53" t="s">
        <v>192</v>
      </c>
      <c r="C5" s="433">
        <f>ROUND(SUM(C6:C11)-C7,2)</f>
        <v>0</v>
      </c>
      <c r="E5" s="53"/>
    </row>
    <row r="6" spans="1:5">
      <c r="A6" s="24">
        <v>3</v>
      </c>
      <c r="B6" s="53" t="s">
        <v>193</v>
      </c>
      <c r="C6" s="434">
        <f>ROUND(主营收支!$C$23,2)</f>
        <v>0</v>
      </c>
      <c r="E6" s="250" t="s">
        <v>1333</v>
      </c>
    </row>
    <row r="7" spans="1:5">
      <c r="A7" s="24">
        <v>4</v>
      </c>
      <c r="B7" s="53" t="s">
        <v>194</v>
      </c>
      <c r="C7" s="434">
        <f>ROUND(主营收支!$C$21,2)</f>
        <v>0</v>
      </c>
      <c r="E7" s="250" t="s">
        <v>1334</v>
      </c>
    </row>
    <row r="8" spans="1:5">
      <c r="A8" s="24">
        <v>5</v>
      </c>
      <c r="B8" s="53" t="s">
        <v>195</v>
      </c>
      <c r="C8" s="434">
        <f>ROUND(主营收支!$D$23,2)</f>
        <v>0</v>
      </c>
      <c r="E8" s="250" t="s">
        <v>1335</v>
      </c>
    </row>
    <row r="9" spans="1:5">
      <c r="A9" s="24">
        <v>6</v>
      </c>
      <c r="B9" s="53" t="s">
        <v>196</v>
      </c>
      <c r="C9" s="434">
        <f>ROUND(主营收支!$E$23,2)</f>
        <v>0</v>
      </c>
      <c r="E9" s="250" t="s">
        <v>1336</v>
      </c>
    </row>
    <row r="10" spans="1:5">
      <c r="A10" s="24">
        <v>7</v>
      </c>
      <c r="B10" s="53" t="s">
        <v>197</v>
      </c>
      <c r="C10" s="434">
        <f>ROUND(主营收支!$F$23,2)</f>
        <v>0</v>
      </c>
      <c r="E10" s="250" t="s">
        <v>1337</v>
      </c>
    </row>
    <row r="11" spans="1:5">
      <c r="A11" s="24">
        <v>8</v>
      </c>
      <c r="B11" s="53" t="s">
        <v>198</v>
      </c>
      <c r="C11" s="434">
        <f>ROUND(主营收支!$G$23,2)</f>
        <v>0</v>
      </c>
      <c r="E11" s="250" t="s">
        <v>1338</v>
      </c>
    </row>
    <row r="12" spans="1:5">
      <c r="A12" s="24">
        <v>9</v>
      </c>
      <c r="B12" s="53" t="s">
        <v>199</v>
      </c>
      <c r="C12" s="433">
        <f>ROUND(SUM(C13:C18)-C14,2)</f>
        <v>0</v>
      </c>
      <c r="E12" s="466"/>
    </row>
    <row r="13" spans="1:5">
      <c r="A13" s="24">
        <v>10</v>
      </c>
      <c r="B13" s="53" t="s">
        <v>200</v>
      </c>
      <c r="C13" s="434">
        <f>ROUND(其他业务!E9,2)</f>
        <v>0</v>
      </c>
      <c r="E13" s="250" t="s">
        <v>1339</v>
      </c>
    </row>
    <row r="14" spans="1:5">
      <c r="A14" s="24">
        <v>11</v>
      </c>
      <c r="B14" s="53" t="s">
        <v>201</v>
      </c>
      <c r="C14" s="440">
        <f>ROUND(其他业务!E10,2)</f>
        <v>0</v>
      </c>
      <c r="E14" s="250" t="s">
        <v>1340</v>
      </c>
    </row>
    <row r="15" spans="1:5">
      <c r="A15" s="24">
        <v>12</v>
      </c>
      <c r="B15" s="53" t="s">
        <v>202</v>
      </c>
      <c r="C15" s="440">
        <f>ROUND(其他业务!E11,2)</f>
        <v>0</v>
      </c>
      <c r="E15" s="250" t="s">
        <v>1341</v>
      </c>
    </row>
    <row r="16" spans="1:5">
      <c r="A16" s="24">
        <v>13</v>
      </c>
      <c r="B16" s="53" t="s">
        <v>203</v>
      </c>
      <c r="C16" s="440">
        <f>ROUND(其他业务!E12,2)</f>
        <v>0</v>
      </c>
      <c r="E16" s="250" t="s">
        <v>1341</v>
      </c>
    </row>
    <row r="17" spans="1:5">
      <c r="A17" s="24">
        <v>14</v>
      </c>
      <c r="B17" s="53" t="s">
        <v>204</v>
      </c>
      <c r="C17" s="440">
        <f>ROUND(其他业务!E13,2)</f>
        <v>0</v>
      </c>
      <c r="E17" s="250" t="s">
        <v>1341</v>
      </c>
    </row>
    <row r="18" spans="1:5">
      <c r="A18" s="24">
        <v>15</v>
      </c>
      <c r="B18" s="53" t="s">
        <v>205</v>
      </c>
      <c r="C18" s="440">
        <f>ROUND(其他业务!E18,2)</f>
        <v>0</v>
      </c>
      <c r="E18" s="250" t="s">
        <v>1342</v>
      </c>
    </row>
    <row r="19" spans="1:5">
      <c r="A19" s="24">
        <v>16</v>
      </c>
      <c r="B19" s="53" t="s">
        <v>206</v>
      </c>
      <c r="C19" s="433">
        <f>ROUND(SUM(C20:C29),2)</f>
        <v>0</v>
      </c>
      <c r="E19" s="466"/>
    </row>
    <row r="20" spans="1:5">
      <c r="A20" s="24">
        <v>17</v>
      </c>
      <c r="B20" s="53" t="s">
        <v>207</v>
      </c>
      <c r="C20" s="434">
        <f>ROUND(营外收支!E7,2)</f>
        <v>0</v>
      </c>
      <c r="E20" s="250" t="s">
        <v>1343</v>
      </c>
    </row>
    <row r="21" spans="1:5">
      <c r="A21" s="24">
        <v>18</v>
      </c>
      <c r="B21" s="53" t="s">
        <v>208</v>
      </c>
      <c r="C21" s="440">
        <f>ROUND(营外收支!E8,2)</f>
        <v>0</v>
      </c>
      <c r="E21" s="250" t="s">
        <v>1340</v>
      </c>
    </row>
    <row r="22" spans="1:5">
      <c r="A22" s="24">
        <v>19</v>
      </c>
      <c r="B22" s="53" t="s">
        <v>209</v>
      </c>
      <c r="C22" s="440">
        <f>ROUND(营外收支!E9,2)</f>
        <v>0</v>
      </c>
      <c r="E22" s="467" t="s">
        <v>1342</v>
      </c>
    </row>
    <row r="23" spans="1:5">
      <c r="A23" s="24">
        <v>20</v>
      </c>
      <c r="B23" s="53" t="s">
        <v>210</v>
      </c>
      <c r="C23" s="440">
        <f>ROUND(营外收支!E10,2)</f>
        <v>0</v>
      </c>
      <c r="E23" s="250" t="s">
        <v>1342</v>
      </c>
    </row>
    <row r="24" spans="1:5">
      <c r="A24" s="24">
        <v>21</v>
      </c>
      <c r="B24" s="53" t="s">
        <v>211</v>
      </c>
      <c r="C24" s="440">
        <f>ROUND(营外收支!E11,2)</f>
        <v>0</v>
      </c>
      <c r="E24" s="250" t="s">
        <v>1344</v>
      </c>
    </row>
    <row r="25" spans="1:5">
      <c r="A25" s="24">
        <v>22</v>
      </c>
      <c r="B25" s="53" t="s">
        <v>212</v>
      </c>
      <c r="C25" s="440">
        <f>ROUND(营外收支!E12,2)</f>
        <v>0</v>
      </c>
      <c r="E25" s="250" t="s">
        <v>1345</v>
      </c>
    </row>
    <row r="26" spans="1:5">
      <c r="A26" s="24">
        <v>23</v>
      </c>
      <c r="B26" s="53" t="s">
        <v>213</v>
      </c>
      <c r="C26" s="440">
        <f>ROUND(营外收支!E13,2)</f>
        <v>0</v>
      </c>
      <c r="E26" s="250" t="s">
        <v>1346</v>
      </c>
    </row>
    <row r="27" spans="1:5">
      <c r="A27" s="24">
        <v>24</v>
      </c>
      <c r="B27" s="53" t="s">
        <v>214</v>
      </c>
      <c r="C27" s="440">
        <f>ROUND(营外收支!E14,2)</f>
        <v>0</v>
      </c>
      <c r="E27" s="250" t="s">
        <v>1346</v>
      </c>
    </row>
    <row r="28" spans="1:5">
      <c r="A28" s="24">
        <v>25</v>
      </c>
      <c r="B28" s="53" t="s">
        <v>215</v>
      </c>
      <c r="C28" s="440">
        <f>ROUND(营外收支!E15,2)</f>
        <v>0</v>
      </c>
      <c r="E28" s="250" t="s">
        <v>1346</v>
      </c>
    </row>
    <row r="29" spans="1:5">
      <c r="A29" s="24">
        <v>26</v>
      </c>
      <c r="B29" s="53" t="s">
        <v>216</v>
      </c>
      <c r="C29" s="440">
        <f>ROUND(营外收支!E16,2)</f>
        <v>0</v>
      </c>
      <c r="E29" s="250" t="s">
        <v>1346</v>
      </c>
    </row>
    <row r="30" spans="1:5">
      <c r="A30" s="3934"/>
      <c r="B30" s="3934"/>
      <c r="C30" s="3934"/>
    </row>
    <row r="33" spans="1:1">
      <c r="A33" s="468"/>
    </row>
  </sheetData>
  <mergeCells count="3">
    <mergeCell ref="A1:C1"/>
    <mergeCell ref="A2:C2"/>
    <mergeCell ref="A30:C30"/>
  </mergeCells>
  <phoneticPr fontId="1" type="noConversion"/>
  <hyperlinks>
    <hyperlink ref="A1:C1" location="'A100000 中华人民共和国企业所得税年度纳税申报表（A类）'!A1" display="   返回主表（A100000）"/>
    <hyperlink ref="E15" r:id="rId1"/>
    <hyperlink ref="E16" r:id="rId2"/>
    <hyperlink ref="E17" r:id="rId3"/>
    <hyperlink ref="E18" r:id="rId4"/>
    <hyperlink ref="E20" r:id="rId5"/>
    <hyperlink ref="E21" r:id="rId6"/>
    <hyperlink ref="E22" r:id="rId7"/>
    <hyperlink ref="E23" r:id="rId8"/>
    <hyperlink ref="E24" r:id="rId9"/>
    <hyperlink ref="E25" r:id="rId10"/>
    <hyperlink ref="E26" r:id="rId11"/>
    <hyperlink ref="E27" r:id="rId12"/>
    <hyperlink ref="E28" r:id="rId13"/>
    <hyperlink ref="E29" r:id="rId14"/>
    <hyperlink ref="E14" r:id="rId15"/>
    <hyperlink ref="E13" r:id="rId16"/>
    <hyperlink ref="E11" r:id="rId17"/>
    <hyperlink ref="E10" r:id="rId18"/>
    <hyperlink ref="E9" r:id="rId19"/>
    <hyperlink ref="E8" r:id="rId20"/>
    <hyperlink ref="E7" r:id="rId21"/>
    <hyperlink ref="E6" r:id="rId22"/>
  </hyperlinks>
  <pageMargins left="0.70866141732283472" right="0.70866141732283472" top="0.74803149606299213" bottom="0.74803149606299213" header="0.31496062992125984" footer="0.31496062992125984"/>
  <pageSetup paperSize="9" orientation="portrait" verticalDpi="0" r:id="rId23"/>
  <legacyDrawing r:id="rId24"/>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pageSetUpPr fitToPage="1"/>
  </sheetPr>
  <dimension ref="A1:C45"/>
  <sheetViews>
    <sheetView workbookViewId="0">
      <selection sqref="A1:C1"/>
    </sheetView>
  </sheetViews>
  <sheetFormatPr defaultColWidth="10.875" defaultRowHeight="12"/>
  <cols>
    <col min="1" max="1" width="5" style="187" customWidth="1"/>
    <col min="2" max="2" width="56.25" style="187" customWidth="1"/>
    <col min="3" max="3" width="19" style="187" customWidth="1"/>
    <col min="4" max="4" width="22.25" style="187" customWidth="1"/>
    <col min="5" max="16384" width="10.875" style="187"/>
  </cols>
  <sheetData>
    <row r="1" spans="1:3" s="428" customFormat="1" ht="14.25">
      <c r="A1" s="4025" t="s">
        <v>1171</v>
      </c>
      <c r="B1" s="4025"/>
      <c r="C1" s="4025"/>
    </row>
    <row r="2" spans="1:3" ht="18.75">
      <c r="A2" s="4026" t="s">
        <v>1172</v>
      </c>
      <c r="B2" s="4026"/>
      <c r="C2" s="4026"/>
    </row>
    <row r="3" spans="1:3">
      <c r="A3" s="55" t="s">
        <v>147</v>
      </c>
      <c r="B3" s="55" t="s">
        <v>149</v>
      </c>
      <c r="C3" s="55" t="s">
        <v>217</v>
      </c>
    </row>
    <row r="4" spans="1:3">
      <c r="A4" s="55">
        <v>1</v>
      </c>
      <c r="B4" s="190" t="s">
        <v>218</v>
      </c>
      <c r="C4" s="370">
        <f>ROUND(C5+C21+C30+C35+C36+C37,2)</f>
        <v>0</v>
      </c>
    </row>
    <row r="5" spans="1:3">
      <c r="A5" s="55">
        <v>2</v>
      </c>
      <c r="B5" s="190" t="s">
        <v>219</v>
      </c>
      <c r="C5" s="370">
        <f>ROUND(C6+C13,2)</f>
        <v>0</v>
      </c>
    </row>
    <row r="6" spans="1:3">
      <c r="A6" s="55">
        <v>3</v>
      </c>
      <c r="B6" s="190" t="s">
        <v>220</v>
      </c>
      <c r="C6" s="370">
        <f>ROUND(SUM(C7:C12),2)</f>
        <v>0</v>
      </c>
    </row>
    <row r="7" spans="1:3">
      <c r="A7" s="55">
        <v>4</v>
      </c>
      <c r="B7" s="429" t="s">
        <v>221</v>
      </c>
      <c r="C7" s="56"/>
    </row>
    <row r="8" spans="1:3">
      <c r="A8" s="55">
        <v>5</v>
      </c>
      <c r="B8" s="429" t="s">
        <v>222</v>
      </c>
      <c r="C8" s="56"/>
    </row>
    <row r="9" spans="1:3">
      <c r="A9" s="55">
        <v>6</v>
      </c>
      <c r="B9" s="429" t="s">
        <v>223</v>
      </c>
      <c r="C9" s="56"/>
    </row>
    <row r="10" spans="1:3">
      <c r="A10" s="55">
        <v>7</v>
      </c>
      <c r="B10" s="429" t="s">
        <v>224</v>
      </c>
      <c r="C10" s="56"/>
    </row>
    <row r="11" spans="1:3">
      <c r="A11" s="55">
        <v>8</v>
      </c>
      <c r="B11" s="429" t="s">
        <v>225</v>
      </c>
      <c r="C11" s="56"/>
    </row>
    <row r="12" spans="1:3">
      <c r="A12" s="55">
        <v>9</v>
      </c>
      <c r="B12" s="429" t="s">
        <v>226</v>
      </c>
      <c r="C12" s="56"/>
    </row>
    <row r="13" spans="1:3">
      <c r="A13" s="55">
        <v>10</v>
      </c>
      <c r="B13" s="190" t="s">
        <v>227</v>
      </c>
      <c r="C13" s="370">
        <f>ROUND(SUM(C14:C20),2)</f>
        <v>0</v>
      </c>
    </row>
    <row r="14" spans="1:3">
      <c r="A14" s="55">
        <v>11</v>
      </c>
      <c r="B14" s="429" t="s">
        <v>228</v>
      </c>
      <c r="C14" s="56"/>
    </row>
    <row r="15" spans="1:3">
      <c r="A15" s="55">
        <v>12</v>
      </c>
      <c r="B15" s="429" t="s">
        <v>229</v>
      </c>
      <c r="C15" s="56"/>
    </row>
    <row r="16" spans="1:3">
      <c r="A16" s="55">
        <v>13</v>
      </c>
      <c r="B16" s="429" t="s">
        <v>230</v>
      </c>
      <c r="C16" s="56"/>
    </row>
    <row r="17" spans="1:3">
      <c r="A17" s="55">
        <v>14</v>
      </c>
      <c r="B17" s="429" t="s">
        <v>231</v>
      </c>
      <c r="C17" s="56"/>
    </row>
    <row r="18" spans="1:3">
      <c r="A18" s="55">
        <v>15</v>
      </c>
      <c r="B18" s="429" t="s">
        <v>232</v>
      </c>
      <c r="C18" s="56"/>
    </row>
    <row r="19" spans="1:3">
      <c r="A19" s="55">
        <v>16</v>
      </c>
      <c r="B19" s="429" t="s">
        <v>233</v>
      </c>
      <c r="C19" s="56"/>
    </row>
    <row r="20" spans="1:3">
      <c r="A20" s="55">
        <v>17</v>
      </c>
      <c r="B20" s="429" t="s">
        <v>234</v>
      </c>
      <c r="C20" s="56"/>
    </row>
    <row r="21" spans="1:3">
      <c r="A21" s="55">
        <v>18</v>
      </c>
      <c r="B21" s="429" t="s">
        <v>235</v>
      </c>
      <c r="C21" s="370">
        <f>ROUND(C22+C29,2)</f>
        <v>0</v>
      </c>
    </row>
    <row r="22" spans="1:3">
      <c r="A22" s="55">
        <v>19</v>
      </c>
      <c r="B22" s="429" t="s">
        <v>236</v>
      </c>
      <c r="C22" s="370">
        <f>ROUND(SUM(C23:C28),2)</f>
        <v>0</v>
      </c>
    </row>
    <row r="23" spans="1:3">
      <c r="A23" s="55">
        <v>20</v>
      </c>
      <c r="B23" s="430" t="s">
        <v>237</v>
      </c>
      <c r="C23" s="56"/>
    </row>
    <row r="24" spans="1:3">
      <c r="A24" s="55">
        <v>21</v>
      </c>
      <c r="B24" s="429" t="s">
        <v>238</v>
      </c>
      <c r="C24" s="56"/>
    </row>
    <row r="25" spans="1:3">
      <c r="A25" s="55">
        <v>22</v>
      </c>
      <c r="B25" s="429" t="s">
        <v>239</v>
      </c>
      <c r="C25" s="56"/>
    </row>
    <row r="26" spans="1:3">
      <c r="A26" s="55">
        <v>23</v>
      </c>
      <c r="B26" s="429" t="s">
        <v>240</v>
      </c>
      <c r="C26" s="56"/>
    </row>
    <row r="27" spans="1:3">
      <c r="A27" s="55">
        <v>24</v>
      </c>
      <c r="B27" s="429" t="s">
        <v>241</v>
      </c>
      <c r="C27" s="56"/>
    </row>
    <row r="28" spans="1:3">
      <c r="A28" s="55">
        <v>25</v>
      </c>
      <c r="B28" s="429" t="s">
        <v>226</v>
      </c>
      <c r="C28" s="56"/>
    </row>
    <row r="29" spans="1:3">
      <c r="A29" s="55">
        <v>26</v>
      </c>
      <c r="B29" s="429" t="s">
        <v>242</v>
      </c>
      <c r="C29" s="56"/>
    </row>
    <row r="30" spans="1:3">
      <c r="A30" s="55">
        <v>27</v>
      </c>
      <c r="B30" s="190" t="s">
        <v>243</v>
      </c>
      <c r="C30" s="370">
        <f>ROUND(C31-C33-C34,2)</f>
        <v>0</v>
      </c>
    </row>
    <row r="31" spans="1:3">
      <c r="A31" s="55">
        <v>28</v>
      </c>
      <c r="B31" s="190" t="s">
        <v>244</v>
      </c>
      <c r="C31" s="56"/>
    </row>
    <row r="32" spans="1:3">
      <c r="A32" s="55">
        <v>29</v>
      </c>
      <c r="B32" s="190" t="s">
        <v>245</v>
      </c>
      <c r="C32" s="56"/>
    </row>
    <row r="33" spans="1:3">
      <c r="A33" s="55">
        <v>30</v>
      </c>
      <c r="B33" s="190" t="s">
        <v>246</v>
      </c>
      <c r="C33" s="56"/>
    </row>
    <row r="34" spans="1:3">
      <c r="A34" s="55">
        <v>31</v>
      </c>
      <c r="B34" s="190" t="s">
        <v>247</v>
      </c>
      <c r="C34" s="56"/>
    </row>
    <row r="35" spans="1:3">
      <c r="A35" s="55">
        <v>32</v>
      </c>
      <c r="B35" s="190" t="s">
        <v>248</v>
      </c>
      <c r="C35" s="56"/>
    </row>
    <row r="36" spans="1:3">
      <c r="A36" s="55">
        <v>33</v>
      </c>
      <c r="B36" s="190" t="s">
        <v>249</v>
      </c>
      <c r="C36" s="56"/>
    </row>
    <row r="37" spans="1:3">
      <c r="A37" s="55">
        <v>34</v>
      </c>
      <c r="B37" s="190" t="s">
        <v>250</v>
      </c>
      <c r="C37" s="56"/>
    </row>
    <row r="38" spans="1:3">
      <c r="A38" s="55">
        <v>35</v>
      </c>
      <c r="B38" s="190" t="s">
        <v>251</v>
      </c>
      <c r="C38" s="370">
        <f>ROUND(SUM(C39:C45),2)</f>
        <v>0</v>
      </c>
    </row>
    <row r="39" spans="1:3">
      <c r="A39" s="55">
        <v>36</v>
      </c>
      <c r="B39" s="190" t="s">
        <v>207</v>
      </c>
      <c r="C39" s="56"/>
    </row>
    <row r="40" spans="1:3">
      <c r="A40" s="55">
        <v>37</v>
      </c>
      <c r="B40" s="190" t="s">
        <v>208</v>
      </c>
      <c r="C40" s="56"/>
    </row>
    <row r="41" spans="1:3">
      <c r="A41" s="55">
        <v>38</v>
      </c>
      <c r="B41" s="190" t="s">
        <v>209</v>
      </c>
      <c r="C41" s="56"/>
    </row>
    <row r="42" spans="1:3">
      <c r="A42" s="55">
        <v>39</v>
      </c>
      <c r="B42" s="190" t="s">
        <v>210</v>
      </c>
      <c r="C42" s="56"/>
    </row>
    <row r="43" spans="1:3">
      <c r="A43" s="55">
        <v>40</v>
      </c>
      <c r="B43" s="190" t="s">
        <v>211</v>
      </c>
      <c r="C43" s="56"/>
    </row>
    <row r="44" spans="1:3">
      <c r="A44" s="55">
        <v>41</v>
      </c>
      <c r="B44" s="190" t="s">
        <v>212</v>
      </c>
      <c r="C44" s="56"/>
    </row>
    <row r="45" spans="1:3">
      <c r="A45" s="55">
        <v>42</v>
      </c>
      <c r="B45" s="190" t="s">
        <v>252</v>
      </c>
      <c r="C45" s="56"/>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pageSetUpPr fitToPage="1"/>
  </sheetPr>
  <dimension ref="A1:E32"/>
  <sheetViews>
    <sheetView workbookViewId="0">
      <selection sqref="A1:C1"/>
    </sheetView>
  </sheetViews>
  <sheetFormatPr defaultColWidth="31.625" defaultRowHeight="14.25"/>
  <cols>
    <col min="1" max="1" width="5" style="356" customWidth="1"/>
    <col min="2" max="2" width="56.25" style="356" customWidth="1"/>
    <col min="3" max="3" width="19" style="356" customWidth="1"/>
    <col min="4" max="4" width="1.25" style="356" customWidth="1"/>
    <col min="5" max="5" width="31.625" style="356" customWidth="1"/>
    <col min="6" max="16384" width="31.625" style="356"/>
  </cols>
  <sheetData>
    <row r="1" spans="1:5" ht="20.100000000000001" customHeight="1">
      <c r="A1" s="4025" t="s">
        <v>1171</v>
      </c>
      <c r="B1" s="4025"/>
      <c r="C1" s="4025"/>
    </row>
    <row r="2" spans="1:5" s="431" customFormat="1" ht="25.5" customHeight="1">
      <c r="A2" s="4027" t="s">
        <v>1173</v>
      </c>
      <c r="B2" s="4027"/>
      <c r="C2" s="4027"/>
      <c r="E2" s="249" t="s">
        <v>189</v>
      </c>
    </row>
    <row r="3" spans="1:5" s="21" customFormat="1" ht="14.25" customHeight="1">
      <c r="A3" s="24" t="s">
        <v>147</v>
      </c>
      <c r="B3" s="24" t="s">
        <v>254</v>
      </c>
      <c r="C3" s="24" t="s">
        <v>150</v>
      </c>
      <c r="E3" s="432"/>
    </row>
    <row r="4" spans="1:5" s="21" customFormat="1" ht="14.25" customHeight="1">
      <c r="A4" s="24">
        <v>1</v>
      </c>
      <c r="B4" s="53" t="s">
        <v>255</v>
      </c>
      <c r="C4" s="433">
        <f>ROUND(C5+C12,2)</f>
        <v>0</v>
      </c>
      <c r="E4" s="432"/>
    </row>
    <row r="5" spans="1:5" s="21" customFormat="1" ht="14.25" customHeight="1">
      <c r="A5" s="24">
        <v>2</v>
      </c>
      <c r="B5" s="53" t="s">
        <v>256</v>
      </c>
      <c r="C5" s="433">
        <f>ROUND(SUM(C6:C11)-C7,2)</f>
        <v>0</v>
      </c>
      <c r="E5" s="432"/>
    </row>
    <row r="6" spans="1:5" s="21" customFormat="1" ht="14.25" customHeight="1">
      <c r="A6" s="24">
        <v>3</v>
      </c>
      <c r="B6" s="53" t="s">
        <v>257</v>
      </c>
      <c r="C6" s="434">
        <f>ROUND(主营收支!$C$40,2)</f>
        <v>0</v>
      </c>
      <c r="E6" s="210" t="s">
        <v>1347</v>
      </c>
    </row>
    <row r="7" spans="1:5" s="21" customFormat="1" ht="14.25" customHeight="1">
      <c r="A7" s="24">
        <v>4</v>
      </c>
      <c r="B7" s="53" t="s">
        <v>258</v>
      </c>
      <c r="C7" s="434">
        <f>ROUND(主营收支!$C$38,2)</f>
        <v>0</v>
      </c>
      <c r="E7" s="435" t="s">
        <v>1348</v>
      </c>
    </row>
    <row r="8" spans="1:5" s="21" customFormat="1" ht="14.25" customHeight="1">
      <c r="A8" s="24">
        <v>5</v>
      </c>
      <c r="B8" s="53" t="s">
        <v>259</v>
      </c>
      <c r="C8" s="434">
        <f>ROUND(主营收支!$D$40,2)</f>
        <v>0</v>
      </c>
      <c r="E8" s="210" t="s">
        <v>1349</v>
      </c>
    </row>
    <row r="9" spans="1:5" s="21" customFormat="1" ht="14.25" customHeight="1">
      <c r="A9" s="24">
        <v>6</v>
      </c>
      <c r="B9" s="53" t="s">
        <v>260</v>
      </c>
      <c r="C9" s="434">
        <f>ROUND(主营收支!$E$40,2)</f>
        <v>0</v>
      </c>
      <c r="E9" s="210" t="s">
        <v>1350</v>
      </c>
    </row>
    <row r="10" spans="1:5" s="21" customFormat="1" ht="27" customHeight="1">
      <c r="A10" s="24">
        <v>7</v>
      </c>
      <c r="B10" s="53" t="s">
        <v>261</v>
      </c>
      <c r="C10" s="434">
        <f>ROUND(主营收支!$F$40,2)</f>
        <v>0</v>
      </c>
      <c r="E10" s="210" t="s">
        <v>1351</v>
      </c>
    </row>
    <row r="11" spans="1:5" s="21" customFormat="1" ht="14.25" customHeight="1">
      <c r="A11" s="24">
        <v>8</v>
      </c>
      <c r="B11" s="53" t="s">
        <v>205</v>
      </c>
      <c r="C11" s="434">
        <f>ROUND(主营收支!$G$40,2)</f>
        <v>0</v>
      </c>
      <c r="E11" s="210" t="s">
        <v>1352</v>
      </c>
    </row>
    <row r="12" spans="1:5" s="21" customFormat="1" ht="14.25" customHeight="1">
      <c r="A12" s="24">
        <v>9</v>
      </c>
      <c r="B12" s="53" t="s">
        <v>262</v>
      </c>
      <c r="C12" s="433">
        <f>ROUND(SUM(C13:C18)-C14,2)</f>
        <v>0</v>
      </c>
      <c r="E12" s="4028" t="s">
        <v>1353</v>
      </c>
    </row>
    <row r="13" spans="1:5" s="21" customFormat="1" ht="14.25" customHeight="1">
      <c r="A13" s="24">
        <v>10</v>
      </c>
      <c r="B13" s="53" t="s">
        <v>263</v>
      </c>
      <c r="C13" s="434">
        <f>ROUND(其他业务!J9,2)</f>
        <v>0</v>
      </c>
      <c r="E13" s="4029"/>
    </row>
    <row r="14" spans="1:5" s="21" customFormat="1" ht="14.25" customHeight="1">
      <c r="A14" s="24">
        <v>11</v>
      </c>
      <c r="B14" s="53" t="s">
        <v>258</v>
      </c>
      <c r="C14" s="440">
        <f>ROUND(其他业务!J10,2)</f>
        <v>0</v>
      </c>
      <c r="E14" s="4029"/>
    </row>
    <row r="15" spans="1:5" s="21" customFormat="1" ht="14.25" customHeight="1">
      <c r="A15" s="24">
        <v>12</v>
      </c>
      <c r="B15" s="53" t="s">
        <v>264</v>
      </c>
      <c r="C15" s="440">
        <f>ROUND(其他业务!J11,2)</f>
        <v>0</v>
      </c>
      <c r="E15" s="4029"/>
    </row>
    <row r="16" spans="1:5" s="21" customFormat="1" ht="14.25" customHeight="1">
      <c r="A16" s="24">
        <v>13</v>
      </c>
      <c r="B16" s="53" t="s">
        <v>265</v>
      </c>
      <c r="C16" s="440">
        <f>ROUND(其他业务!J12,2)</f>
        <v>0</v>
      </c>
      <c r="E16" s="4029"/>
    </row>
    <row r="17" spans="1:5" s="21" customFormat="1" ht="14.25" customHeight="1">
      <c r="A17" s="24">
        <v>14</v>
      </c>
      <c r="B17" s="53" t="s">
        <v>266</v>
      </c>
      <c r="C17" s="440">
        <f>ROUND(其他业务!J13,2)</f>
        <v>0</v>
      </c>
      <c r="E17" s="4029"/>
    </row>
    <row r="18" spans="1:5" s="21" customFormat="1" ht="14.25" customHeight="1">
      <c r="A18" s="24">
        <v>15</v>
      </c>
      <c r="B18" s="53" t="s">
        <v>205</v>
      </c>
      <c r="C18" s="440">
        <f>ROUND(其他业务!J18,2)</f>
        <v>0</v>
      </c>
      <c r="E18" s="4030"/>
    </row>
    <row r="19" spans="1:5" s="21" customFormat="1" ht="14.25" customHeight="1">
      <c r="A19" s="24">
        <v>16</v>
      </c>
      <c r="B19" s="53" t="s">
        <v>267</v>
      </c>
      <c r="C19" s="433">
        <f>ROUND(SUM(C20:C29),2)</f>
        <v>0</v>
      </c>
      <c r="E19" s="436"/>
    </row>
    <row r="20" spans="1:5" s="21" customFormat="1" ht="14.25" customHeight="1">
      <c r="A20" s="24">
        <v>17</v>
      </c>
      <c r="B20" s="53" t="s">
        <v>268</v>
      </c>
      <c r="C20" s="434">
        <f>ROUND(营外收支!E23,2)</f>
        <v>0</v>
      </c>
      <c r="E20" s="210" t="s">
        <v>1354</v>
      </c>
    </row>
    <row r="21" spans="1:5" s="21" customFormat="1" ht="14.25" customHeight="1">
      <c r="A21" s="24">
        <v>18</v>
      </c>
      <c r="B21" s="53" t="s">
        <v>269</v>
      </c>
      <c r="C21" s="440">
        <f>ROUND(营外收支!E24,2)</f>
        <v>0</v>
      </c>
      <c r="E21" s="435" t="s">
        <v>1355</v>
      </c>
    </row>
    <row r="22" spans="1:5" s="21" customFormat="1" ht="14.25" customHeight="1">
      <c r="A22" s="24">
        <v>19</v>
      </c>
      <c r="B22" s="53" t="s">
        <v>270</v>
      </c>
      <c r="C22" s="440">
        <f>ROUND(营外收支!E25,2)</f>
        <v>0</v>
      </c>
      <c r="E22" s="210" t="s">
        <v>1356</v>
      </c>
    </row>
    <row r="23" spans="1:5" s="21" customFormat="1" ht="27" customHeight="1">
      <c r="A23" s="24">
        <v>20</v>
      </c>
      <c r="B23" s="53" t="s">
        <v>271</v>
      </c>
      <c r="C23" s="440">
        <f>ROUND(营外收支!E26,2)</f>
        <v>0</v>
      </c>
      <c r="E23" s="210" t="s">
        <v>1357</v>
      </c>
    </row>
    <row r="24" spans="1:5" s="21" customFormat="1" ht="14.1" customHeight="1">
      <c r="A24" s="24">
        <v>21</v>
      </c>
      <c r="B24" s="53" t="s">
        <v>272</v>
      </c>
      <c r="C24" s="440">
        <f>ROUND(营外收支!E27,2)</f>
        <v>0</v>
      </c>
      <c r="E24" s="210" t="s">
        <v>1358</v>
      </c>
    </row>
    <row r="25" spans="1:5" s="21" customFormat="1" ht="14.1" customHeight="1">
      <c r="A25" s="24">
        <v>22</v>
      </c>
      <c r="B25" s="53" t="s">
        <v>273</v>
      </c>
      <c r="C25" s="440">
        <f>ROUND(营外收支!E28,2)</f>
        <v>0</v>
      </c>
      <c r="E25" s="210" t="s">
        <v>1359</v>
      </c>
    </row>
    <row r="26" spans="1:5" s="21" customFormat="1" ht="14.25" customHeight="1">
      <c r="A26" s="24">
        <v>23</v>
      </c>
      <c r="B26" s="53" t="s">
        <v>274</v>
      </c>
      <c r="C26" s="440">
        <f>ROUND(营外收支!E29,2)</f>
        <v>0</v>
      </c>
      <c r="E26" s="210" t="s">
        <v>1359</v>
      </c>
    </row>
    <row r="27" spans="1:5" s="21" customFormat="1" ht="14.25" customHeight="1">
      <c r="A27" s="24">
        <v>24</v>
      </c>
      <c r="B27" s="53" t="s">
        <v>275</v>
      </c>
      <c r="C27" s="440">
        <f>ROUND(营外收支!E30,2)</f>
        <v>0</v>
      </c>
      <c r="E27" s="210" t="s">
        <v>1360</v>
      </c>
    </row>
    <row r="28" spans="1:5" s="21" customFormat="1" ht="14.25" customHeight="1">
      <c r="A28" s="24">
        <v>25</v>
      </c>
      <c r="B28" s="53" t="s">
        <v>276</v>
      </c>
      <c r="C28" s="440">
        <f>ROUND(营外收支!E31,2)</f>
        <v>0</v>
      </c>
      <c r="E28" s="210" t="s">
        <v>1361</v>
      </c>
    </row>
    <row r="29" spans="1:5" s="21" customFormat="1" ht="14.25" customHeight="1">
      <c r="A29" s="24">
        <v>26</v>
      </c>
      <c r="B29" s="53" t="s">
        <v>216</v>
      </c>
      <c r="C29" s="440">
        <f>ROUND(营外收支!E32,2)</f>
        <v>0</v>
      </c>
      <c r="E29" s="210" t="s">
        <v>1362</v>
      </c>
    </row>
    <row r="30" spans="1:5" s="21" customFormat="1" ht="12">
      <c r="A30" s="3934"/>
      <c r="B30" s="3934"/>
      <c r="C30" s="3934"/>
    </row>
    <row r="32" spans="1:5">
      <c r="B32" s="54"/>
    </row>
  </sheetData>
  <mergeCells count="4">
    <mergeCell ref="A1:C1"/>
    <mergeCell ref="A2:C2"/>
    <mergeCell ref="E12:E18"/>
    <mergeCell ref="A30:C30"/>
  </mergeCells>
  <phoneticPr fontId="1" type="noConversion"/>
  <hyperlinks>
    <hyperlink ref="A1:C1" location="'A100000 中华人民共和国企业所得税年度纳税申报表（A类）'!A1" display="   返回主表（A100000）"/>
    <hyperlink ref="E6" r:id="rId1"/>
    <hyperlink ref="E7" r:id="rId2"/>
    <hyperlink ref="E8" r:id="rId3"/>
    <hyperlink ref="E9" r:id="rId4"/>
    <hyperlink ref="E10" r:id="rId5"/>
    <hyperlink ref="E11" r:id="rId6"/>
    <hyperlink ref="E12:E18" r:id="rId7" display="税法与会计的成本概念比较[¶30-537] "/>
    <hyperlink ref="E20" r:id="rId8"/>
    <hyperlink ref="E21" r:id="rId9"/>
    <hyperlink ref="E22" r:id="rId10"/>
    <hyperlink ref="E23" r:id="rId11"/>
    <hyperlink ref="E24" r:id="rId12"/>
    <hyperlink ref="E25" r:id="rId13"/>
    <hyperlink ref="E26" r:id="rId14"/>
    <hyperlink ref="E27" r:id="rId15"/>
    <hyperlink ref="E28" r:id="rId16"/>
    <hyperlink ref="E29" r:id="rId17"/>
  </hyperlinks>
  <pageMargins left="0.70866141732283472" right="0.70866141732283472" top="0.74803149606299213" bottom="0.74803149606299213" header="0.31496062992125984" footer="0.31496062992125984"/>
  <pageSetup paperSize="9" orientation="portrait" verticalDpi="0" r:id="rId18"/>
  <legacyDrawing r:id="rId19"/>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pageSetUpPr fitToPage="1"/>
  </sheetPr>
  <dimension ref="A1:C42"/>
  <sheetViews>
    <sheetView workbookViewId="0">
      <selection sqref="A1:C1"/>
    </sheetView>
  </sheetViews>
  <sheetFormatPr defaultColWidth="10.875" defaultRowHeight="12"/>
  <cols>
    <col min="1" max="1" width="5" style="57" customWidth="1"/>
    <col min="2" max="2" width="56.25" style="57" customWidth="1"/>
    <col min="3" max="3" width="19" style="57" customWidth="1"/>
    <col min="4" max="16384" width="10.875" style="57"/>
  </cols>
  <sheetData>
    <row r="1" spans="1:3" ht="14.25">
      <c r="A1" s="4025" t="s">
        <v>1171</v>
      </c>
      <c r="B1" s="4025"/>
      <c r="C1" s="4025"/>
    </row>
    <row r="2" spans="1:3" ht="18.75">
      <c r="A2" s="4031" t="s">
        <v>1174</v>
      </c>
      <c r="B2" s="4031"/>
      <c r="C2" s="4031"/>
    </row>
    <row r="3" spans="1:3">
      <c r="A3" s="55" t="s">
        <v>147</v>
      </c>
      <c r="B3" s="55" t="s">
        <v>277</v>
      </c>
      <c r="C3" s="55" t="s">
        <v>278</v>
      </c>
    </row>
    <row r="4" spans="1:3">
      <c r="A4" s="55">
        <v>1</v>
      </c>
      <c r="B4" s="190" t="s">
        <v>279</v>
      </c>
      <c r="C4" s="370">
        <f>ROUND(C5+C18+C28+C34+C35,2)</f>
        <v>0</v>
      </c>
    </row>
    <row r="5" spans="1:3">
      <c r="A5" s="55">
        <v>2</v>
      </c>
      <c r="B5" s="190" t="s">
        <v>280</v>
      </c>
      <c r="C5" s="370">
        <f>ROUND(C6+C14,2)</f>
        <v>0</v>
      </c>
    </row>
    <row r="6" spans="1:3">
      <c r="A6" s="55">
        <v>3</v>
      </c>
      <c r="B6" s="190" t="s">
        <v>281</v>
      </c>
      <c r="C6" s="370">
        <f>ROUND(SUM(C7:C13),2)</f>
        <v>0</v>
      </c>
    </row>
    <row r="7" spans="1:3">
      <c r="A7" s="55">
        <v>4</v>
      </c>
      <c r="B7" s="190" t="s">
        <v>282</v>
      </c>
      <c r="C7" s="56"/>
    </row>
    <row r="8" spans="1:3">
      <c r="A8" s="55">
        <v>5</v>
      </c>
      <c r="B8" s="190" t="s">
        <v>283</v>
      </c>
      <c r="C8" s="56"/>
    </row>
    <row r="9" spans="1:3">
      <c r="A9" s="55">
        <v>6</v>
      </c>
      <c r="B9" s="190" t="s">
        <v>284</v>
      </c>
      <c r="C9" s="56"/>
    </row>
    <row r="10" spans="1:3">
      <c r="A10" s="55">
        <v>7</v>
      </c>
      <c r="B10" s="190" t="s">
        <v>285</v>
      </c>
      <c r="C10" s="56"/>
    </row>
    <row r="11" spans="1:3">
      <c r="A11" s="55">
        <v>8</v>
      </c>
      <c r="B11" s="190" t="s">
        <v>286</v>
      </c>
      <c r="C11" s="56"/>
    </row>
    <row r="12" spans="1:3">
      <c r="A12" s="55">
        <v>9</v>
      </c>
      <c r="B12" s="190" t="s">
        <v>287</v>
      </c>
      <c r="C12" s="56"/>
    </row>
    <row r="13" spans="1:3">
      <c r="A13" s="55">
        <v>10</v>
      </c>
      <c r="B13" s="190" t="s">
        <v>288</v>
      </c>
      <c r="C13" s="56"/>
    </row>
    <row r="14" spans="1:3">
      <c r="A14" s="55">
        <v>11</v>
      </c>
      <c r="B14" s="190" t="s">
        <v>289</v>
      </c>
      <c r="C14" s="370">
        <f>ROUND(SUM(C15:C17),2)</f>
        <v>0</v>
      </c>
    </row>
    <row r="15" spans="1:3">
      <c r="A15" s="55">
        <v>12</v>
      </c>
      <c r="B15" s="190" t="s">
        <v>290</v>
      </c>
      <c r="C15" s="56"/>
    </row>
    <row r="16" spans="1:3">
      <c r="A16" s="55">
        <v>13</v>
      </c>
      <c r="B16" s="190" t="s">
        <v>291</v>
      </c>
      <c r="C16" s="56"/>
    </row>
    <row r="17" spans="1:3">
      <c r="A17" s="55">
        <v>14</v>
      </c>
      <c r="B17" s="190" t="s">
        <v>292</v>
      </c>
      <c r="C17" s="56"/>
    </row>
    <row r="18" spans="1:3">
      <c r="A18" s="55">
        <v>15</v>
      </c>
      <c r="B18" s="190" t="s">
        <v>293</v>
      </c>
      <c r="C18" s="370">
        <f>ROUND(C19+C20-C21+C22-C23+C24+C25-C26+C27,2)</f>
        <v>0</v>
      </c>
    </row>
    <row r="19" spans="1:3">
      <c r="A19" s="55">
        <v>16</v>
      </c>
      <c r="B19" s="190" t="s">
        <v>294</v>
      </c>
      <c r="C19" s="56"/>
    </row>
    <row r="20" spans="1:3">
      <c r="A20" s="55">
        <v>17</v>
      </c>
      <c r="B20" s="190" t="s">
        <v>295</v>
      </c>
      <c r="C20" s="56"/>
    </row>
    <row r="21" spans="1:3">
      <c r="A21" s="55">
        <v>18</v>
      </c>
      <c r="B21" s="190" t="s">
        <v>296</v>
      </c>
      <c r="C21" s="56"/>
    </row>
    <row r="22" spans="1:3">
      <c r="A22" s="55">
        <v>19</v>
      </c>
      <c r="B22" s="190" t="s">
        <v>297</v>
      </c>
      <c r="C22" s="56"/>
    </row>
    <row r="23" spans="1:3">
      <c r="A23" s="55">
        <v>20</v>
      </c>
      <c r="B23" s="190" t="s">
        <v>298</v>
      </c>
      <c r="C23" s="56"/>
    </row>
    <row r="24" spans="1:3">
      <c r="A24" s="55">
        <v>21</v>
      </c>
      <c r="B24" s="190" t="s">
        <v>299</v>
      </c>
      <c r="C24" s="56"/>
    </row>
    <row r="25" spans="1:3">
      <c r="A25" s="55">
        <v>22</v>
      </c>
      <c r="B25" s="190" t="s">
        <v>300</v>
      </c>
      <c r="C25" s="56"/>
    </row>
    <row r="26" spans="1:3">
      <c r="A26" s="55">
        <v>23</v>
      </c>
      <c r="B26" s="190" t="s">
        <v>301</v>
      </c>
      <c r="C26" s="56"/>
    </row>
    <row r="27" spans="1:3">
      <c r="A27" s="55">
        <v>24</v>
      </c>
      <c r="B27" s="190" t="s">
        <v>302</v>
      </c>
      <c r="C27" s="56"/>
    </row>
    <row r="28" spans="1:3">
      <c r="A28" s="55">
        <v>25</v>
      </c>
      <c r="B28" s="190" t="s">
        <v>303</v>
      </c>
      <c r="C28" s="370">
        <f>ROUND(C29+C33,2)</f>
        <v>0</v>
      </c>
    </row>
    <row r="29" spans="1:3">
      <c r="A29" s="55">
        <v>26</v>
      </c>
      <c r="B29" s="190" t="s">
        <v>304</v>
      </c>
      <c r="C29" s="370">
        <f>ROUND(SUM(C30:C32),2)</f>
        <v>0</v>
      </c>
    </row>
    <row r="30" spans="1:3">
      <c r="A30" s="55">
        <v>27</v>
      </c>
      <c r="B30" s="190" t="s">
        <v>305</v>
      </c>
      <c r="C30" s="56"/>
    </row>
    <row r="31" spans="1:3">
      <c r="A31" s="55">
        <v>28</v>
      </c>
      <c r="B31" s="190" t="s">
        <v>291</v>
      </c>
      <c r="C31" s="56"/>
    </row>
    <row r="32" spans="1:3">
      <c r="A32" s="55">
        <v>29</v>
      </c>
      <c r="B32" s="190" t="s">
        <v>292</v>
      </c>
      <c r="C32" s="56"/>
    </row>
    <row r="33" spans="1:3">
      <c r="A33" s="55">
        <v>30</v>
      </c>
      <c r="B33" s="190" t="s">
        <v>306</v>
      </c>
      <c r="C33" s="56"/>
    </row>
    <row r="34" spans="1:3">
      <c r="A34" s="55">
        <v>31</v>
      </c>
      <c r="B34" s="190" t="s">
        <v>307</v>
      </c>
      <c r="C34" s="56"/>
    </row>
    <row r="35" spans="1:3">
      <c r="A35" s="55">
        <v>32</v>
      </c>
      <c r="B35" s="190" t="s">
        <v>308</v>
      </c>
      <c r="C35" s="56"/>
    </row>
    <row r="36" spans="1:3">
      <c r="A36" s="55">
        <v>33</v>
      </c>
      <c r="B36" s="190" t="s">
        <v>309</v>
      </c>
      <c r="C36" s="370">
        <f>ROUND(SUM(C37:C42),2)</f>
        <v>0</v>
      </c>
    </row>
    <row r="37" spans="1:3">
      <c r="A37" s="55">
        <v>34</v>
      </c>
      <c r="B37" s="190" t="s">
        <v>268</v>
      </c>
      <c r="C37" s="56"/>
    </row>
    <row r="38" spans="1:3">
      <c r="A38" s="55">
        <v>35</v>
      </c>
      <c r="B38" s="190" t="s">
        <v>269</v>
      </c>
      <c r="C38" s="56"/>
    </row>
    <row r="39" spans="1:3">
      <c r="A39" s="55">
        <v>36</v>
      </c>
      <c r="B39" s="190" t="s">
        <v>270</v>
      </c>
      <c r="C39" s="56"/>
    </row>
    <row r="40" spans="1:3">
      <c r="A40" s="55">
        <v>37</v>
      </c>
      <c r="B40" s="190" t="s">
        <v>310</v>
      </c>
      <c r="C40" s="56"/>
    </row>
    <row r="41" spans="1:3">
      <c r="A41" s="55">
        <v>38</v>
      </c>
      <c r="B41" s="190" t="s">
        <v>311</v>
      </c>
      <c r="C41" s="56"/>
    </row>
    <row r="42" spans="1:3">
      <c r="A42" s="55">
        <v>39</v>
      </c>
      <c r="B42" s="190" t="s">
        <v>312</v>
      </c>
      <c r="C42" s="56"/>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pageSetUpPr fitToPage="1"/>
  </sheetPr>
  <dimension ref="A1:C31"/>
  <sheetViews>
    <sheetView workbookViewId="0">
      <selection sqref="A1:C1"/>
    </sheetView>
  </sheetViews>
  <sheetFormatPr defaultColWidth="31.625" defaultRowHeight="14.25"/>
  <cols>
    <col min="1" max="1" width="5" style="356" customWidth="1"/>
    <col min="2" max="2" width="56.25" style="356" customWidth="1"/>
    <col min="3" max="3" width="19" style="356" customWidth="1"/>
    <col min="4" max="16384" width="31.625" style="356"/>
  </cols>
  <sheetData>
    <row r="1" spans="1:3">
      <c r="A1" s="4025" t="s">
        <v>1615</v>
      </c>
      <c r="B1" s="4025"/>
      <c r="C1" s="4025"/>
    </row>
    <row r="2" spans="1:3" ht="18.75">
      <c r="A2" s="4027" t="s">
        <v>1175</v>
      </c>
      <c r="B2" s="4027"/>
      <c r="C2" s="4027"/>
    </row>
    <row r="3" spans="1:3" s="21" customFormat="1" ht="12">
      <c r="A3" s="437" t="s">
        <v>147</v>
      </c>
      <c r="B3" s="437" t="s">
        <v>313</v>
      </c>
      <c r="C3" s="437" t="s">
        <v>314</v>
      </c>
    </row>
    <row r="4" spans="1:3" s="21" customFormat="1" ht="12">
      <c r="A4" s="437">
        <v>1</v>
      </c>
      <c r="B4" s="438" t="s">
        <v>315</v>
      </c>
      <c r="C4" s="439">
        <f>ROUND(SUM(C5:C10),2)</f>
        <v>0</v>
      </c>
    </row>
    <row r="5" spans="1:3" s="21" customFormat="1" ht="12">
      <c r="A5" s="437">
        <v>2</v>
      </c>
      <c r="B5" s="438" t="s">
        <v>316</v>
      </c>
      <c r="C5" s="440"/>
    </row>
    <row r="6" spans="1:3" s="21" customFormat="1" ht="12">
      <c r="A6" s="437">
        <v>3</v>
      </c>
      <c r="B6" s="438" t="s">
        <v>317</v>
      </c>
      <c r="C6" s="440"/>
    </row>
    <row r="7" spans="1:3" s="21" customFormat="1" ht="12">
      <c r="A7" s="437">
        <v>4</v>
      </c>
      <c r="B7" s="438" t="s">
        <v>318</v>
      </c>
      <c r="C7" s="440"/>
    </row>
    <row r="8" spans="1:3" s="21" customFormat="1" ht="12">
      <c r="A8" s="437">
        <v>5</v>
      </c>
      <c r="B8" s="438" t="s">
        <v>319</v>
      </c>
      <c r="C8" s="440"/>
    </row>
    <row r="9" spans="1:3" s="21" customFormat="1" ht="12">
      <c r="A9" s="437">
        <v>6</v>
      </c>
      <c r="B9" s="438" t="s">
        <v>320</v>
      </c>
      <c r="C9" s="440"/>
    </row>
    <row r="10" spans="1:3" s="21" customFormat="1" ht="12">
      <c r="A10" s="437">
        <v>7</v>
      </c>
      <c r="B10" s="438" t="s">
        <v>321</v>
      </c>
      <c r="C10" s="439">
        <f>SUM(C11:C12)</f>
        <v>0</v>
      </c>
    </row>
    <row r="11" spans="1:3" s="21" customFormat="1" ht="12">
      <c r="A11" s="437">
        <v>8</v>
      </c>
      <c r="B11" s="438" t="s">
        <v>322</v>
      </c>
      <c r="C11" s="440"/>
    </row>
    <row r="12" spans="1:3" s="21" customFormat="1" ht="12">
      <c r="A12" s="437">
        <v>9</v>
      </c>
      <c r="B12" s="438" t="s">
        <v>323</v>
      </c>
      <c r="C12" s="440"/>
    </row>
    <row r="13" spans="1:3" s="21" customFormat="1" ht="12">
      <c r="A13" s="437">
        <v>10</v>
      </c>
      <c r="B13" s="438" t="s">
        <v>324</v>
      </c>
      <c r="C13" s="439">
        <f>ROUND(SUM(C14:C20),2)</f>
        <v>0</v>
      </c>
    </row>
    <row r="14" spans="1:3" s="21" customFormat="1" ht="12">
      <c r="A14" s="437">
        <v>11</v>
      </c>
      <c r="B14" s="438" t="s">
        <v>325</v>
      </c>
      <c r="C14" s="440"/>
    </row>
    <row r="15" spans="1:3" s="21" customFormat="1" ht="12">
      <c r="A15" s="437">
        <v>12</v>
      </c>
      <c r="B15" s="438" t="s">
        <v>326</v>
      </c>
      <c r="C15" s="440"/>
    </row>
    <row r="16" spans="1:3">
      <c r="A16" s="437">
        <v>13</v>
      </c>
      <c r="B16" s="438" t="s">
        <v>327</v>
      </c>
      <c r="C16" s="440"/>
    </row>
    <row r="17" spans="1:3">
      <c r="A17" s="437">
        <v>14</v>
      </c>
      <c r="B17" s="438" t="s">
        <v>328</v>
      </c>
      <c r="C17" s="440"/>
    </row>
    <row r="18" spans="1:3">
      <c r="A18" s="437">
        <v>15</v>
      </c>
      <c r="B18" s="441" t="s">
        <v>329</v>
      </c>
      <c r="C18" s="440"/>
    </row>
    <row r="19" spans="1:3">
      <c r="A19" s="437">
        <v>16</v>
      </c>
      <c r="B19" s="438" t="s">
        <v>330</v>
      </c>
      <c r="C19" s="440"/>
    </row>
    <row r="20" spans="1:3">
      <c r="A20" s="437">
        <v>17</v>
      </c>
      <c r="B20" s="438" t="s">
        <v>331</v>
      </c>
      <c r="C20" s="440"/>
    </row>
    <row r="21" spans="1:3">
      <c r="A21" s="437">
        <v>18</v>
      </c>
      <c r="B21" s="438" t="s">
        <v>332</v>
      </c>
      <c r="C21" s="439">
        <f>ROUND(SUM(C22:C26),2)</f>
        <v>0</v>
      </c>
    </row>
    <row r="22" spans="1:3">
      <c r="A22" s="437">
        <v>19</v>
      </c>
      <c r="B22" s="438" t="s">
        <v>333</v>
      </c>
      <c r="C22" s="440"/>
    </row>
    <row r="23" spans="1:3">
      <c r="A23" s="437">
        <v>20</v>
      </c>
      <c r="B23" s="438" t="s">
        <v>334</v>
      </c>
      <c r="C23" s="440"/>
    </row>
    <row r="24" spans="1:3">
      <c r="A24" s="437">
        <v>21</v>
      </c>
      <c r="B24" s="438" t="s">
        <v>335</v>
      </c>
      <c r="C24" s="440"/>
    </row>
    <row r="25" spans="1:3">
      <c r="A25" s="437">
        <v>22</v>
      </c>
      <c r="B25" s="438" t="s">
        <v>336</v>
      </c>
      <c r="C25" s="440"/>
    </row>
    <row r="26" spans="1:3">
      <c r="A26" s="437">
        <v>23</v>
      </c>
      <c r="B26" s="438" t="s">
        <v>337</v>
      </c>
      <c r="C26" s="440"/>
    </row>
    <row r="27" spans="1:3">
      <c r="A27" s="437">
        <v>24</v>
      </c>
      <c r="B27" s="438" t="s">
        <v>338</v>
      </c>
      <c r="C27" s="439">
        <f>ROUND(SUM(C28:C31),2)</f>
        <v>0</v>
      </c>
    </row>
    <row r="28" spans="1:3">
      <c r="A28" s="437">
        <v>25</v>
      </c>
      <c r="B28" s="438" t="s">
        <v>339</v>
      </c>
      <c r="C28" s="440"/>
    </row>
    <row r="29" spans="1:3">
      <c r="A29" s="437">
        <v>26</v>
      </c>
      <c r="B29" s="438" t="s">
        <v>340</v>
      </c>
      <c r="C29" s="440"/>
    </row>
    <row r="30" spans="1:3">
      <c r="A30" s="437">
        <v>27</v>
      </c>
      <c r="B30" s="438" t="s">
        <v>341</v>
      </c>
      <c r="C30" s="440"/>
    </row>
    <row r="31" spans="1:3">
      <c r="A31" s="437">
        <v>28</v>
      </c>
      <c r="B31" s="438" t="s">
        <v>342</v>
      </c>
      <c r="C31" s="440"/>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legacyDrawing r:id="rId2"/>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J50"/>
  <sheetViews>
    <sheetView workbookViewId="0">
      <selection sqref="A1:H1"/>
    </sheetView>
  </sheetViews>
  <sheetFormatPr defaultColWidth="22.25" defaultRowHeight="22.5"/>
  <cols>
    <col min="1" max="1" width="5" style="452" customWidth="1"/>
    <col min="2" max="2" width="26" style="236" customWidth="1"/>
    <col min="3" max="8" width="12.625" style="236" customWidth="1"/>
    <col min="9" max="9" width="1.25" style="236" customWidth="1"/>
    <col min="10" max="10" width="33.25" style="236" customWidth="1"/>
    <col min="11" max="16384" width="22.25" style="236"/>
  </cols>
  <sheetData>
    <row r="1" spans="1:10" s="442" customFormat="1" ht="20.100000000000001" customHeight="1">
      <c r="A1" s="4025" t="s">
        <v>1180</v>
      </c>
      <c r="B1" s="4025"/>
      <c r="C1" s="4025"/>
      <c r="D1" s="4025"/>
      <c r="E1" s="4025"/>
      <c r="F1" s="4025"/>
      <c r="G1" s="4025"/>
      <c r="H1" s="4025"/>
    </row>
    <row r="2" spans="1:10" ht="25.5" customHeight="1">
      <c r="A2" s="4037" t="s">
        <v>1179</v>
      </c>
      <c r="B2" s="4026"/>
      <c r="C2" s="4026"/>
      <c r="D2" s="4026"/>
      <c r="E2" s="4026"/>
      <c r="F2" s="4026"/>
      <c r="G2" s="4026"/>
      <c r="H2" s="4026"/>
      <c r="J2" s="249" t="s">
        <v>253</v>
      </c>
    </row>
    <row r="3" spans="1:10" ht="14.25" customHeight="1">
      <c r="A3" s="4038" t="s">
        <v>147</v>
      </c>
      <c r="B3" s="4038" t="s">
        <v>313</v>
      </c>
      <c r="C3" s="4032" t="s">
        <v>343</v>
      </c>
      <c r="D3" s="4032" t="s">
        <v>344</v>
      </c>
      <c r="E3" s="4038" t="s">
        <v>345</v>
      </c>
      <c r="F3" s="4032" t="s">
        <v>344</v>
      </c>
      <c r="G3" s="4038" t="s">
        <v>346</v>
      </c>
      <c r="H3" s="4032" t="s">
        <v>344</v>
      </c>
      <c r="J3" s="4034"/>
    </row>
    <row r="4" spans="1:10" ht="14.25" customHeight="1">
      <c r="A4" s="4039"/>
      <c r="B4" s="4039"/>
      <c r="C4" s="4033"/>
      <c r="D4" s="4033"/>
      <c r="E4" s="4040"/>
      <c r="F4" s="4033"/>
      <c r="G4" s="4040"/>
      <c r="H4" s="4033"/>
      <c r="J4" s="4035"/>
    </row>
    <row r="5" spans="1:10" ht="14.25" customHeight="1">
      <c r="A5" s="4040"/>
      <c r="B5" s="4040"/>
      <c r="C5" s="58">
        <v>1</v>
      </c>
      <c r="D5" s="59">
        <v>2</v>
      </c>
      <c r="E5" s="443">
        <v>3</v>
      </c>
      <c r="F5" s="59">
        <v>4</v>
      </c>
      <c r="G5" s="444">
        <v>5</v>
      </c>
      <c r="H5" s="444">
        <v>6</v>
      </c>
      <c r="J5" s="4036"/>
    </row>
    <row r="6" spans="1:10" ht="14.25" customHeight="1">
      <c r="A6" s="445">
        <v>1</v>
      </c>
      <c r="B6" s="446" t="s">
        <v>347</v>
      </c>
      <c r="C6" s="60">
        <f>销售费用!H6+销售费用!H7+销售费用!H8+销售费用!H9+销售费用!H13+销售费用!H17+销售费用!H18+销售费用!H22</f>
        <v>0</v>
      </c>
      <c r="D6" s="60" t="s">
        <v>133</v>
      </c>
      <c r="E6" s="61">
        <f>管理费用!H6+管理费用!H7+管理费用!H8+管理费用!H9+管理费用!H13+管理费用!H17+管理费用!H18+管理费用!H22</f>
        <v>0</v>
      </c>
      <c r="F6" s="60" t="s">
        <v>133</v>
      </c>
      <c r="G6" s="60" t="s">
        <v>133</v>
      </c>
      <c r="H6" s="60" t="s">
        <v>133</v>
      </c>
      <c r="J6" s="262" t="s">
        <v>1363</v>
      </c>
    </row>
    <row r="7" spans="1:10" ht="14.25" customHeight="1">
      <c r="A7" s="445">
        <v>2</v>
      </c>
      <c r="B7" s="446" t="s">
        <v>348</v>
      </c>
      <c r="C7" s="2125">
        <f>销售费用!H29</f>
        <v>0</v>
      </c>
      <c r="D7" s="60">
        <f>销售费用!G29</f>
        <v>0</v>
      </c>
      <c r="E7" s="61">
        <f>管理费用!H29</f>
        <v>0</v>
      </c>
      <c r="F7" s="60">
        <f>管理费用!G29</f>
        <v>0</v>
      </c>
      <c r="G7" s="60" t="s">
        <v>133</v>
      </c>
      <c r="H7" s="60" t="s">
        <v>133</v>
      </c>
      <c r="J7" s="262" t="s">
        <v>1349</v>
      </c>
    </row>
    <row r="8" spans="1:10" ht="14.25" customHeight="1">
      <c r="A8" s="445">
        <v>3</v>
      </c>
      <c r="B8" s="446" t="s">
        <v>349</v>
      </c>
      <c r="C8" s="2125">
        <f>销售费用!H30</f>
        <v>0</v>
      </c>
      <c r="D8" s="60">
        <f>销售费用!G30</f>
        <v>0</v>
      </c>
      <c r="E8" s="61">
        <f>管理费用!H30</f>
        <v>0</v>
      </c>
      <c r="F8" s="60">
        <f>管理费用!G30</f>
        <v>0</v>
      </c>
      <c r="G8" s="60" t="s">
        <v>133</v>
      </c>
      <c r="H8" s="60" t="s">
        <v>133</v>
      </c>
      <c r="J8" s="262" t="s">
        <v>1364</v>
      </c>
    </row>
    <row r="9" spans="1:10" ht="14.25" customHeight="1">
      <c r="A9" s="445">
        <v>4</v>
      </c>
      <c r="B9" s="446" t="s">
        <v>350</v>
      </c>
      <c r="C9" s="2125">
        <f>销售费用!H10</f>
        <v>0</v>
      </c>
      <c r="D9" s="60" t="s">
        <v>133</v>
      </c>
      <c r="E9" s="61">
        <f>管理费用!H10</f>
        <v>0</v>
      </c>
      <c r="F9" s="60" t="s">
        <v>133</v>
      </c>
      <c r="G9" s="60" t="s">
        <v>133</v>
      </c>
      <c r="H9" s="60" t="s">
        <v>133</v>
      </c>
      <c r="J9" s="262" t="s">
        <v>1365</v>
      </c>
    </row>
    <row r="10" spans="1:10" ht="14.25" customHeight="1">
      <c r="A10" s="445">
        <v>5</v>
      </c>
      <c r="B10" s="446" t="s">
        <v>351</v>
      </c>
      <c r="C10" s="2125">
        <f>销售费用!H11</f>
        <v>0</v>
      </c>
      <c r="D10" s="60" t="s">
        <v>133</v>
      </c>
      <c r="E10" s="61">
        <f>管理费用!H11</f>
        <v>0</v>
      </c>
      <c r="F10" s="60" t="s">
        <v>133</v>
      </c>
      <c r="G10" s="60" t="s">
        <v>133</v>
      </c>
      <c r="H10" s="60" t="s">
        <v>133</v>
      </c>
      <c r="J10" s="262" t="s">
        <v>1366</v>
      </c>
    </row>
    <row r="11" spans="1:10" ht="14.25" customHeight="1">
      <c r="A11" s="445">
        <v>6</v>
      </c>
      <c r="B11" s="446" t="s">
        <v>352</v>
      </c>
      <c r="C11" s="2125">
        <f>销售费用!H31</f>
        <v>0</v>
      </c>
      <c r="D11" s="60">
        <f>销售费用!G31</f>
        <v>0</v>
      </c>
      <c r="E11" s="61">
        <f>管理费用!H31</f>
        <v>0</v>
      </c>
      <c r="F11" s="60">
        <f>管理费用!G31</f>
        <v>0</v>
      </c>
      <c r="G11" s="60">
        <f>财务费用!H6</f>
        <v>0</v>
      </c>
      <c r="H11" s="60">
        <f>财务费用!G6</f>
        <v>0</v>
      </c>
      <c r="J11" s="262" t="s">
        <v>1367</v>
      </c>
    </row>
    <row r="12" spans="1:10" ht="14.25" customHeight="1">
      <c r="A12" s="445">
        <v>7</v>
      </c>
      <c r="B12" s="446" t="s">
        <v>353</v>
      </c>
      <c r="C12" s="2125">
        <f>销售费用!H20+销售费用!H23+销售费用!H24</f>
        <v>0</v>
      </c>
      <c r="D12" s="60" t="s">
        <v>133</v>
      </c>
      <c r="E12" s="61">
        <f>管理费用!H20+管理费用!H23+管理费用!H24</f>
        <v>0</v>
      </c>
      <c r="F12" s="60" t="s">
        <v>133</v>
      </c>
      <c r="G12" s="60" t="s">
        <v>133</v>
      </c>
      <c r="H12" s="60" t="s">
        <v>133</v>
      </c>
      <c r="J12" s="262" t="s">
        <v>1364</v>
      </c>
    </row>
    <row r="13" spans="1:10" ht="14.25" customHeight="1">
      <c r="A13" s="445">
        <v>8</v>
      </c>
      <c r="B13" s="446" t="s">
        <v>354</v>
      </c>
      <c r="C13" s="2125">
        <f>销售费用!H19</f>
        <v>0</v>
      </c>
      <c r="D13" s="60" t="s">
        <v>133</v>
      </c>
      <c r="E13" s="61">
        <f>管理费用!H19</f>
        <v>0</v>
      </c>
      <c r="F13" s="60" t="s">
        <v>133</v>
      </c>
      <c r="G13" s="60" t="s">
        <v>133</v>
      </c>
      <c r="H13" s="60" t="s">
        <v>133</v>
      </c>
      <c r="J13" s="262" t="s">
        <v>1368</v>
      </c>
    </row>
    <row r="14" spans="1:10" ht="14.25" customHeight="1">
      <c r="A14" s="445">
        <v>9</v>
      </c>
      <c r="B14" s="446" t="s">
        <v>355</v>
      </c>
      <c r="C14" s="2125">
        <f>销售费用!H32</f>
        <v>0</v>
      </c>
      <c r="D14" s="60" t="s">
        <v>133</v>
      </c>
      <c r="E14" s="61">
        <f>管理费用!H32</f>
        <v>0</v>
      </c>
      <c r="F14" s="60" t="s">
        <v>133</v>
      </c>
      <c r="G14" s="60" t="s">
        <v>133</v>
      </c>
      <c r="H14" s="60" t="s">
        <v>133</v>
      </c>
      <c r="J14" s="262" t="s">
        <v>1364</v>
      </c>
    </row>
    <row r="15" spans="1:10" ht="14.25" customHeight="1">
      <c r="A15" s="445">
        <v>10</v>
      </c>
      <c r="B15" s="446" t="s">
        <v>356</v>
      </c>
      <c r="C15" s="2125">
        <f>销售费用!H33</f>
        <v>0</v>
      </c>
      <c r="D15" s="60" t="s">
        <v>133</v>
      </c>
      <c r="E15" s="61">
        <f>管理费用!H33</f>
        <v>0</v>
      </c>
      <c r="F15" s="60" t="s">
        <v>133</v>
      </c>
      <c r="G15" s="60" t="s">
        <v>133</v>
      </c>
      <c r="H15" s="60" t="s">
        <v>133</v>
      </c>
      <c r="J15" s="262" t="s">
        <v>1364</v>
      </c>
    </row>
    <row r="16" spans="1:10" ht="14.25" customHeight="1">
      <c r="A16" s="445">
        <v>11</v>
      </c>
      <c r="B16" s="446" t="s">
        <v>357</v>
      </c>
      <c r="C16" s="2125">
        <f>销售费用!H21</f>
        <v>0</v>
      </c>
      <c r="D16" s="60">
        <f>销售费用!G21</f>
        <v>0</v>
      </c>
      <c r="E16" s="61">
        <f>管理费用!H21</f>
        <v>0</v>
      </c>
      <c r="F16" s="60">
        <f>管理费用!G21</f>
        <v>0</v>
      </c>
      <c r="G16" s="60" t="s">
        <v>133</v>
      </c>
      <c r="H16" s="60" t="s">
        <v>133</v>
      </c>
      <c r="J16" s="262" t="s">
        <v>1369</v>
      </c>
    </row>
    <row r="17" spans="1:10" ht="14.25" customHeight="1">
      <c r="A17" s="445">
        <v>12</v>
      </c>
      <c r="B17" s="446" t="s">
        <v>358</v>
      </c>
      <c r="C17" s="2125">
        <f>销售费用!H34</f>
        <v>0</v>
      </c>
      <c r="D17" s="60" t="s">
        <v>133</v>
      </c>
      <c r="E17" s="61">
        <f>管理费用!H34</f>
        <v>0</v>
      </c>
      <c r="F17" s="60" t="s">
        <v>133</v>
      </c>
      <c r="G17" s="60" t="s">
        <v>133</v>
      </c>
      <c r="H17" s="60" t="s">
        <v>133</v>
      </c>
      <c r="J17" s="262" t="s">
        <v>1364</v>
      </c>
    </row>
    <row r="18" spans="1:10" ht="14.25" customHeight="1">
      <c r="A18" s="445">
        <v>13</v>
      </c>
      <c r="B18" s="446" t="s">
        <v>359</v>
      </c>
      <c r="C18" s="2125">
        <f>销售费用!H35</f>
        <v>0</v>
      </c>
      <c r="D18" s="60" t="s">
        <v>133</v>
      </c>
      <c r="E18" s="61">
        <f>管理费用!H35</f>
        <v>0</v>
      </c>
      <c r="F18" s="60" t="s">
        <v>133</v>
      </c>
      <c r="G18" s="60" t="s">
        <v>133</v>
      </c>
      <c r="H18" s="60" t="s">
        <v>133</v>
      </c>
      <c r="J18" s="262" t="s">
        <v>1364</v>
      </c>
    </row>
    <row r="19" spans="1:10" ht="14.25" customHeight="1">
      <c r="A19" s="445">
        <v>14</v>
      </c>
      <c r="B19" s="446" t="s">
        <v>360</v>
      </c>
      <c r="C19" s="2125">
        <f>销售费用!H36</f>
        <v>0</v>
      </c>
      <c r="D19" s="60" t="s">
        <v>133</v>
      </c>
      <c r="E19" s="60">
        <f>管理费用!H36</f>
        <v>0</v>
      </c>
      <c r="F19" s="60" t="s">
        <v>133</v>
      </c>
      <c r="G19" s="60" t="s">
        <v>133</v>
      </c>
      <c r="H19" s="60" t="s">
        <v>133</v>
      </c>
      <c r="J19" s="262" t="s">
        <v>1369</v>
      </c>
    </row>
    <row r="20" spans="1:10" ht="14.25" customHeight="1">
      <c r="A20" s="445">
        <v>15</v>
      </c>
      <c r="B20" s="446" t="s">
        <v>361</v>
      </c>
      <c r="C20" s="2125">
        <f>销售费用!H37</f>
        <v>0</v>
      </c>
      <c r="D20" s="60">
        <f>销售费用!G37</f>
        <v>0</v>
      </c>
      <c r="E20" s="60">
        <f>管理费用!H37</f>
        <v>0</v>
      </c>
      <c r="F20" s="60">
        <f>管理费用!G37</f>
        <v>0</v>
      </c>
      <c r="G20" s="60" t="s">
        <v>133</v>
      </c>
      <c r="H20" s="60" t="s">
        <v>133</v>
      </c>
      <c r="J20" s="262" t="s">
        <v>1369</v>
      </c>
    </row>
    <row r="21" spans="1:10" ht="14.25" customHeight="1">
      <c r="A21" s="445">
        <v>16</v>
      </c>
      <c r="B21" s="446" t="s">
        <v>362</v>
      </c>
      <c r="C21" s="2125">
        <f>销售费用!H38</f>
        <v>0</v>
      </c>
      <c r="D21" s="60">
        <f>销售费用!G38</f>
        <v>0</v>
      </c>
      <c r="E21" s="60">
        <f>管理费用!H38</f>
        <v>0</v>
      </c>
      <c r="F21" s="60">
        <f>管理费用!G38</f>
        <v>0</v>
      </c>
      <c r="G21" s="60" t="s">
        <v>133</v>
      </c>
      <c r="H21" s="60" t="s">
        <v>133</v>
      </c>
      <c r="J21" s="262" t="s">
        <v>1369</v>
      </c>
    </row>
    <row r="22" spans="1:10" ht="14.25" customHeight="1">
      <c r="A22" s="445">
        <v>17</v>
      </c>
      <c r="B22" s="446" t="s">
        <v>363</v>
      </c>
      <c r="C22" s="2125">
        <f>销售费用!H39</f>
        <v>0</v>
      </c>
      <c r="D22" s="60" t="s">
        <v>133</v>
      </c>
      <c r="E22" s="61">
        <f>管理费用!H39</f>
        <v>0</v>
      </c>
      <c r="F22" s="60" t="s">
        <v>133</v>
      </c>
      <c r="G22" s="60" t="s">
        <v>133</v>
      </c>
      <c r="H22" s="60" t="s">
        <v>133</v>
      </c>
      <c r="J22" s="262" t="s">
        <v>1369</v>
      </c>
    </row>
    <row r="23" spans="1:10" ht="14.25" customHeight="1">
      <c r="A23" s="445">
        <v>18</v>
      </c>
      <c r="B23" s="446" t="s">
        <v>364</v>
      </c>
      <c r="C23" s="2125">
        <f>销售费用!H40</f>
        <v>0</v>
      </c>
      <c r="D23" s="60">
        <f>销售费用!G40</f>
        <v>0</v>
      </c>
      <c r="E23" s="61">
        <f>管理费用!H40</f>
        <v>0</v>
      </c>
      <c r="F23" s="60">
        <f>管理费用!G40</f>
        <v>0</v>
      </c>
      <c r="G23" s="60" t="s">
        <v>133</v>
      </c>
      <c r="H23" s="60" t="s">
        <v>133</v>
      </c>
      <c r="J23" s="262" t="s">
        <v>1370</v>
      </c>
    </row>
    <row r="24" spans="1:10" ht="14.25" customHeight="1">
      <c r="A24" s="445">
        <v>19</v>
      </c>
      <c r="B24" s="446" t="s">
        <v>365</v>
      </c>
      <c r="C24" s="2125">
        <f>销售费用!H41</f>
        <v>0</v>
      </c>
      <c r="D24" s="60">
        <f>销售费用!G41</f>
        <v>0</v>
      </c>
      <c r="E24" s="61">
        <f>管理费用!H41</f>
        <v>0</v>
      </c>
      <c r="F24" s="60">
        <f>管理费用!G41</f>
        <v>0</v>
      </c>
      <c r="G24" s="60" t="s">
        <v>133</v>
      </c>
      <c r="H24" s="60" t="s">
        <v>133</v>
      </c>
      <c r="J24" s="262" t="s">
        <v>1371</v>
      </c>
    </row>
    <row r="25" spans="1:10" ht="14.1" customHeight="1">
      <c r="A25" s="445">
        <v>20</v>
      </c>
      <c r="B25" s="446" t="s">
        <v>366</v>
      </c>
      <c r="C25" s="2125">
        <f>销售费用!H25+销售费用!H26+销售费用!H27+销售费用!H28</f>
        <v>0</v>
      </c>
      <c r="D25" s="60" t="s">
        <v>133</v>
      </c>
      <c r="E25" s="61">
        <f>管理费用!H25+管理费用!H26+管理费用!H27+管理费用!H28</f>
        <v>0</v>
      </c>
      <c r="F25" s="60" t="s">
        <v>133</v>
      </c>
      <c r="G25" s="60" t="s">
        <v>133</v>
      </c>
      <c r="H25" s="60" t="s">
        <v>133</v>
      </c>
      <c r="J25" s="262" t="s">
        <v>1372</v>
      </c>
    </row>
    <row r="26" spans="1:10" ht="14.1" customHeight="1">
      <c r="A26" s="445">
        <v>21</v>
      </c>
      <c r="B26" s="446" t="s">
        <v>367</v>
      </c>
      <c r="C26" s="60" t="s">
        <v>133</v>
      </c>
      <c r="D26" s="60" t="s">
        <v>133</v>
      </c>
      <c r="E26" s="60" t="s">
        <v>133</v>
      </c>
      <c r="F26" s="60" t="s">
        <v>133</v>
      </c>
      <c r="G26" s="60">
        <f>财务费用!H7-财务费用!H11</f>
        <v>0</v>
      </c>
      <c r="H26" s="60">
        <f>财务费用!G7-财务费用!G11</f>
        <v>0</v>
      </c>
      <c r="J26" s="262" t="s">
        <v>1373</v>
      </c>
    </row>
    <row r="27" spans="1:10" ht="14.25" customHeight="1">
      <c r="A27" s="445">
        <v>22</v>
      </c>
      <c r="B27" s="446" t="s">
        <v>368</v>
      </c>
      <c r="C27" s="60" t="s">
        <v>133</v>
      </c>
      <c r="D27" s="60" t="s">
        <v>133</v>
      </c>
      <c r="E27" s="60" t="s">
        <v>133</v>
      </c>
      <c r="F27" s="60" t="s">
        <v>133</v>
      </c>
      <c r="G27" s="60">
        <f>财务费用!H9-财务费用!H13</f>
        <v>0</v>
      </c>
      <c r="H27" s="60">
        <f>财务费用!G9-财务费用!G13</f>
        <v>0</v>
      </c>
      <c r="J27" s="262" t="s">
        <v>1374</v>
      </c>
    </row>
    <row r="28" spans="1:10" ht="14.25" customHeight="1">
      <c r="A28" s="445">
        <v>23</v>
      </c>
      <c r="B28" s="446" t="s">
        <v>369</v>
      </c>
      <c r="C28" s="60" t="s">
        <v>133</v>
      </c>
      <c r="D28" s="60" t="s">
        <v>133</v>
      </c>
      <c r="E28" s="60" t="s">
        <v>133</v>
      </c>
      <c r="F28" s="60" t="s">
        <v>133</v>
      </c>
      <c r="G28" s="60">
        <f>财务费用!H10</f>
        <v>0</v>
      </c>
      <c r="H28" s="60" t="s">
        <v>133</v>
      </c>
      <c r="J28" s="262" t="s">
        <v>1375</v>
      </c>
    </row>
    <row r="29" spans="1:10" ht="14.25" customHeight="1">
      <c r="A29" s="445">
        <v>24</v>
      </c>
      <c r="B29" s="447" t="s">
        <v>497</v>
      </c>
      <c r="C29" s="60" t="s">
        <v>133</v>
      </c>
      <c r="D29" s="2125" t="s">
        <v>133</v>
      </c>
      <c r="E29" s="61">
        <f>管理费用!H42</f>
        <v>0</v>
      </c>
      <c r="F29" s="2125" t="s">
        <v>133</v>
      </c>
      <c r="G29" s="2125" t="s">
        <v>133</v>
      </c>
      <c r="H29" s="2125" t="s">
        <v>133</v>
      </c>
      <c r="J29" s="262"/>
    </row>
    <row r="30" spans="1:10" ht="14.25" customHeight="1">
      <c r="A30" s="445">
        <v>25</v>
      </c>
      <c r="B30" s="447" t="s">
        <v>498</v>
      </c>
      <c r="C30" s="2125">
        <f>销售费用!H12+销售费用!H14+销售费用!H15+销售费用!H16+销售费用!H42</f>
        <v>0</v>
      </c>
      <c r="D30" s="60">
        <f>销售费用!G12+销售费用!G14+销售费用!G15+销售费用!G16+销售费用!G42</f>
        <v>0</v>
      </c>
      <c r="E30" s="61">
        <f>管理费用!H12+管理费用!H14+管理费用!H15+管理费用!H16+管理费用!H43</f>
        <v>0</v>
      </c>
      <c r="F30" s="60">
        <f>管理费用!G12+管理费用!G14+管理费用!G15+管理费用!G16+管理费用!G43</f>
        <v>0</v>
      </c>
      <c r="G30" s="60">
        <f>财务费用!H14</f>
        <v>0</v>
      </c>
      <c r="H30" s="60">
        <f>财务费用!G14</f>
        <v>0</v>
      </c>
      <c r="J30" s="262" t="s">
        <v>1376</v>
      </c>
    </row>
    <row r="31" spans="1:10" ht="14.25" customHeight="1">
      <c r="A31" s="445">
        <v>26</v>
      </c>
      <c r="B31" s="447" t="s">
        <v>499</v>
      </c>
      <c r="C31" s="448">
        <f>ROUND(SUM(C6:C25)+C30,2)</f>
        <v>0</v>
      </c>
      <c r="D31" s="448">
        <f>ROUND(D7+D8+D11+D16+D20+D21+D23+D24+D30,2)</f>
        <v>0</v>
      </c>
      <c r="E31" s="448">
        <f>ROUND(SUM(E6:E25)+E29+E30,2)</f>
        <v>0</v>
      </c>
      <c r="F31" s="448">
        <f>ROUND(F7+F8+F11+F16+F20+F21+F23+F24+F30,2)</f>
        <v>0</v>
      </c>
      <c r="G31" s="448">
        <f>ROUND(G11+G26+G27+G28+G30,2)</f>
        <v>0</v>
      </c>
      <c r="H31" s="448">
        <f>ROUND(H11+H26+H27+H30,2)</f>
        <v>0</v>
      </c>
      <c r="J31" s="449"/>
    </row>
    <row r="32" spans="1:10" ht="14.25" customHeight="1">
      <c r="A32" s="236"/>
    </row>
    <row r="33" spans="1:1" ht="14.25" customHeight="1">
      <c r="A33" s="236"/>
    </row>
    <row r="34" spans="1:1" ht="14.25" customHeight="1">
      <c r="A34" s="236"/>
    </row>
    <row r="35" spans="1:1" ht="14.25" customHeight="1">
      <c r="A35" s="236"/>
    </row>
    <row r="36" spans="1:1" ht="14.25" customHeight="1">
      <c r="A36" s="236"/>
    </row>
    <row r="37" spans="1:1" ht="14.25" customHeight="1">
      <c r="A37" s="236"/>
    </row>
    <row r="38" spans="1:1" ht="14.25" customHeight="1">
      <c r="A38" s="236"/>
    </row>
    <row r="39" spans="1:1" ht="14.25" customHeight="1">
      <c r="A39" s="236"/>
    </row>
    <row r="40" spans="1:1" ht="14.25" customHeight="1">
      <c r="A40" s="236"/>
    </row>
    <row r="41" spans="1:1" ht="14.25" customHeight="1">
      <c r="A41" s="236"/>
    </row>
    <row r="42" spans="1:1" ht="14.25" customHeight="1">
      <c r="A42" s="236"/>
    </row>
    <row r="43" spans="1:1" ht="14.25" customHeight="1">
      <c r="A43" s="236"/>
    </row>
    <row r="44" spans="1:1" ht="14.25" customHeight="1">
      <c r="A44" s="236"/>
    </row>
    <row r="45" spans="1:1" ht="14.25" customHeight="1">
      <c r="A45" s="236"/>
    </row>
    <row r="46" spans="1:1" ht="14.25" customHeight="1">
      <c r="A46" s="236"/>
    </row>
    <row r="47" spans="1:1" ht="14.25" customHeight="1">
      <c r="A47" s="236"/>
    </row>
    <row r="48" spans="1:1" ht="14.25" customHeight="1">
      <c r="A48" s="236"/>
    </row>
    <row r="49" spans="1:8" ht="14.25" customHeight="1">
      <c r="A49" s="236"/>
    </row>
    <row r="50" spans="1:8">
      <c r="A50" s="450"/>
      <c r="B50" s="451"/>
      <c r="C50" s="451"/>
      <c r="D50" s="451"/>
      <c r="E50" s="451"/>
      <c r="F50" s="451"/>
      <c r="G50" s="451"/>
      <c r="H50" s="451"/>
    </row>
  </sheetData>
  <mergeCells count="11">
    <mergeCell ref="H3:H4"/>
    <mergeCell ref="J3:J5"/>
    <mergeCell ref="A1:H1"/>
    <mergeCell ref="A2:H2"/>
    <mergeCell ref="A3:A5"/>
    <mergeCell ref="B3:B5"/>
    <mergeCell ref="C3:C4"/>
    <mergeCell ref="D3:D4"/>
    <mergeCell ref="E3:E4"/>
    <mergeCell ref="F3:F4"/>
    <mergeCell ref="G3:G4"/>
  </mergeCells>
  <phoneticPr fontId="1" type="noConversion"/>
  <hyperlinks>
    <hyperlink ref="A1:H1" location="'A100000 中华人民共和国企业所得税年度纳税申报表（A类）'!A1" display="返回主表（A100000）"/>
    <hyperlink ref="J6" r:id="rId1"/>
    <hyperlink ref="J7" r:id="rId2"/>
    <hyperlink ref="J8" r:id="rId3"/>
    <hyperlink ref="J9" r:id="rId4"/>
    <hyperlink ref="J10" r:id="rId5"/>
    <hyperlink ref="J11" r:id="rId6"/>
    <hyperlink ref="J12" r:id="rId7"/>
    <hyperlink ref="J13" r:id="rId8"/>
    <hyperlink ref="J14" r:id="rId9"/>
    <hyperlink ref="J15" r:id="rId10"/>
    <hyperlink ref="J17" r:id="rId11"/>
    <hyperlink ref="J18" r:id="rId12"/>
    <hyperlink ref="J16" r:id="rId13"/>
    <hyperlink ref="J19" r:id="rId14"/>
    <hyperlink ref="J20" r:id="rId15"/>
    <hyperlink ref="J21" r:id="rId16"/>
    <hyperlink ref="J22" r:id="rId17"/>
    <hyperlink ref="J23" r:id="rId18"/>
    <hyperlink ref="J24" r:id="rId19"/>
    <hyperlink ref="J25" r:id="rId20"/>
    <hyperlink ref="J26" r:id="rId21"/>
    <hyperlink ref="J27" r:id="rId22"/>
    <hyperlink ref="J28" r:id="rId23"/>
    <hyperlink ref="J30" r:id="rId24"/>
  </hyperlinks>
  <pageMargins left="0.70866141732283472" right="0.70866141732283472" top="0.74803149606299213" bottom="0.74803149606299213" header="0.31496062992125984" footer="0.31496062992125984"/>
  <pageSetup paperSize="9" scale="78" orientation="portrait" verticalDpi="0" r:id="rId25"/>
  <legacyDrawing r:id="rId26"/>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61"/>
  <sheetViews>
    <sheetView workbookViewId="0">
      <selection sqref="A1:F1"/>
    </sheetView>
  </sheetViews>
  <sheetFormatPr defaultColWidth="10.875" defaultRowHeight="14.25"/>
  <cols>
    <col min="1" max="1" width="5" style="70" customWidth="1"/>
    <col min="2" max="2" width="48" style="478" customWidth="1"/>
    <col min="3" max="6" width="12.625" style="70" customWidth="1"/>
    <col min="7" max="7" width="1.25" style="69" customWidth="1"/>
    <col min="8" max="8" width="36.25" style="484" customWidth="1"/>
    <col min="9" max="16384" width="10.875" style="69"/>
  </cols>
  <sheetData>
    <row r="1" spans="1:10" ht="20.100000000000001" customHeight="1">
      <c r="A1" s="4025" t="s">
        <v>1177</v>
      </c>
      <c r="B1" s="4025"/>
      <c r="C1" s="4025"/>
      <c r="D1" s="4025"/>
      <c r="E1" s="4025"/>
      <c r="F1" s="4025"/>
    </row>
    <row r="2" spans="1:10" s="453" customFormat="1" ht="25.5" customHeight="1">
      <c r="A2" s="4037" t="s">
        <v>1178</v>
      </c>
      <c r="B2" s="4026"/>
      <c r="C2" s="4026"/>
      <c r="D2" s="4026"/>
      <c r="E2" s="4026"/>
      <c r="F2" s="4026"/>
      <c r="H2" s="485" t="s">
        <v>253</v>
      </c>
    </row>
    <row r="3" spans="1:10" ht="14.25" customHeight="1">
      <c r="A3" s="4041" t="s">
        <v>147</v>
      </c>
      <c r="B3" s="4043" t="s">
        <v>277</v>
      </c>
      <c r="C3" s="62" t="s">
        <v>370</v>
      </c>
      <c r="D3" s="62" t="s">
        <v>371</v>
      </c>
      <c r="E3" s="62" t="s">
        <v>372</v>
      </c>
      <c r="F3" s="62" t="s">
        <v>373</v>
      </c>
      <c r="H3" s="4047"/>
    </row>
    <row r="4" spans="1:10" ht="14.25" customHeight="1">
      <c r="A4" s="4042"/>
      <c r="B4" s="4043"/>
      <c r="C4" s="62">
        <v>1</v>
      </c>
      <c r="D4" s="62">
        <v>2</v>
      </c>
      <c r="E4" s="62">
        <v>3</v>
      </c>
      <c r="F4" s="62">
        <v>4</v>
      </c>
      <c r="H4" s="4048"/>
    </row>
    <row r="5" spans="1:10" ht="14.25" customHeight="1">
      <c r="A5" s="62">
        <v>1</v>
      </c>
      <c r="B5" s="475" t="s">
        <v>1325</v>
      </c>
      <c r="C5" s="63" t="s">
        <v>133</v>
      </c>
      <c r="D5" s="63" t="s">
        <v>133</v>
      </c>
      <c r="E5" s="454">
        <f>ROUND(E6+E7+E8+E10+E11+E12+E14+E15,2)</f>
        <v>0</v>
      </c>
      <c r="F5" s="454">
        <f>ROUND(F7+F8+F9+F11+F12+F14+F15,2)</f>
        <v>0</v>
      </c>
      <c r="H5" s="486"/>
    </row>
    <row r="6" spans="1:10" ht="27" customHeight="1">
      <c r="A6" s="62">
        <v>2</v>
      </c>
      <c r="B6" s="479" t="s">
        <v>1619</v>
      </c>
      <c r="C6" s="63" t="s">
        <v>133</v>
      </c>
      <c r="D6" s="454">
        <f>A105010视同销售和房地产开发企业特定业务纳税调整明细表!$C$5</f>
        <v>0</v>
      </c>
      <c r="E6" s="454">
        <f>A105010视同销售和房地产开发企业特定业务纳税调整明细表!$D$5</f>
        <v>0</v>
      </c>
      <c r="F6" s="63" t="s">
        <v>133</v>
      </c>
      <c r="H6" s="487" t="s">
        <v>1377</v>
      </c>
      <c r="J6" s="1175"/>
    </row>
    <row r="7" spans="1:10" s="68" customFormat="1" ht="14.25" customHeight="1">
      <c r="A7" s="62">
        <v>3</v>
      </c>
      <c r="B7" s="479" t="s">
        <v>1621</v>
      </c>
      <c r="C7" s="454">
        <f>A105020未按权责发生制确认收入纳税调整明细表!$D$20</f>
        <v>0</v>
      </c>
      <c r="D7" s="454">
        <f>A105020未按权责发生制确认收入纳税调整明细表!$F$20</f>
        <v>0</v>
      </c>
      <c r="E7" s="454">
        <f>IF(A105020未按权责发生制确认收入纳税调整明细表!$H$20&gt;=0,A105020未按权责发生制确认收入纳税调整明细表!$H$20,0)</f>
        <v>0</v>
      </c>
      <c r="F7" s="455">
        <f>IF(D7-C7&lt;0,ABS(D7-C7),0)</f>
        <v>0</v>
      </c>
      <c r="H7" s="486"/>
      <c r="J7" s="1175"/>
    </row>
    <row r="8" spans="1:10" s="68" customFormat="1" ht="14.25" customHeight="1">
      <c r="A8" s="62">
        <v>4</v>
      </c>
      <c r="B8" s="479" t="s">
        <v>1622</v>
      </c>
      <c r="C8" s="454">
        <f>A105030投资收益纳税调整明细表!$C$18+A105030投资收益纳税调整明细表!$J$18</f>
        <v>0</v>
      </c>
      <c r="D8" s="454">
        <f>A105030投资收益纳税调整明细表!$D$18+A105030投资收益纳税调整明细表!$K$18</f>
        <v>0</v>
      </c>
      <c r="E8" s="454">
        <f>IF(A105030投资收益纳税调整明细表!$M$18&gt;=0,A105030投资收益纳税调整明细表!$M$18,0)</f>
        <v>0</v>
      </c>
      <c r="F8" s="455">
        <f>IF(D8-C8&lt;0,ABS(D8-C8),0)</f>
        <v>0</v>
      </c>
      <c r="H8" s="487" t="s">
        <v>1378</v>
      </c>
      <c r="J8" s="1175"/>
    </row>
    <row r="9" spans="1:10" s="68" customFormat="1" ht="26.25" customHeight="1">
      <c r="A9" s="65">
        <v>5</v>
      </c>
      <c r="B9" s="476" t="s">
        <v>374</v>
      </c>
      <c r="C9" s="66" t="s">
        <v>133</v>
      </c>
      <c r="D9" s="66" t="s">
        <v>133</v>
      </c>
      <c r="E9" s="66" t="s">
        <v>133</v>
      </c>
      <c r="F9" s="67">
        <f>ROUND(调整事项!I11,2)</f>
        <v>0</v>
      </c>
      <c r="H9" s="487" t="s">
        <v>1379</v>
      </c>
      <c r="J9" s="1175"/>
    </row>
    <row r="10" spans="1:10" s="68" customFormat="1" ht="14.25" customHeight="1">
      <c r="A10" s="62">
        <v>6</v>
      </c>
      <c r="B10" s="475" t="s">
        <v>375</v>
      </c>
      <c r="C10" s="67" t="s">
        <v>133</v>
      </c>
      <c r="D10" s="67" t="s">
        <v>133</v>
      </c>
      <c r="E10" s="63">
        <f>ROUND(调整事项!H12,2)</f>
        <v>0</v>
      </c>
      <c r="F10" s="63" t="s">
        <v>133</v>
      </c>
      <c r="H10" s="487" t="s">
        <v>1379</v>
      </c>
      <c r="J10" s="1175"/>
    </row>
    <row r="11" spans="1:10" s="68" customFormat="1" ht="14.25" customHeight="1">
      <c r="A11" s="62">
        <v>7</v>
      </c>
      <c r="B11" s="475" t="s">
        <v>376</v>
      </c>
      <c r="C11" s="63">
        <f>ROUND(调整事项!F13,2)</f>
        <v>0</v>
      </c>
      <c r="D11" s="63" t="s">
        <v>133</v>
      </c>
      <c r="E11" s="454">
        <f>IF(C11&lt;0,ABS(C11),0)</f>
        <v>0</v>
      </c>
      <c r="F11" s="454">
        <f>IF(C11&gt;=0,C11,0)</f>
        <v>0</v>
      </c>
      <c r="H11" s="487" t="s">
        <v>1380</v>
      </c>
      <c r="J11" s="1175"/>
    </row>
    <row r="12" spans="1:10" s="68" customFormat="1" ht="14.25" customHeight="1">
      <c r="A12" s="62">
        <v>8</v>
      </c>
      <c r="B12" s="475" t="s">
        <v>377</v>
      </c>
      <c r="C12" s="63" t="s">
        <v>133</v>
      </c>
      <c r="D12" s="63" t="s">
        <v>133</v>
      </c>
      <c r="E12" s="63">
        <f>ROUND(调整事项!H14,2)</f>
        <v>0</v>
      </c>
      <c r="F12" s="63">
        <f>ROUND(调整事项!I14,2)</f>
        <v>0</v>
      </c>
      <c r="H12" s="487" t="s">
        <v>1381</v>
      </c>
      <c r="J12" s="1175"/>
    </row>
    <row r="13" spans="1:10" s="68" customFormat="1" ht="14.25" customHeight="1">
      <c r="A13" s="62">
        <v>9</v>
      </c>
      <c r="B13" s="479" t="s">
        <v>1623</v>
      </c>
      <c r="C13" s="63" t="s">
        <v>133</v>
      </c>
      <c r="D13" s="63" t="s">
        <v>133</v>
      </c>
      <c r="E13" s="454">
        <f>A105040专项用途财政性资金纳税调整表!$P$14</f>
        <v>0</v>
      </c>
      <c r="F13" s="454">
        <f>A105040专项用途财政性资金纳税调整表!$F$14</f>
        <v>0</v>
      </c>
      <c r="H13" s="487" t="s">
        <v>1382</v>
      </c>
      <c r="J13" s="1175"/>
    </row>
    <row r="14" spans="1:10" s="68" customFormat="1" ht="14.25" customHeight="1">
      <c r="A14" s="62">
        <v>10</v>
      </c>
      <c r="B14" s="475" t="s">
        <v>378</v>
      </c>
      <c r="C14" s="63">
        <f>ROUND(调整事项!F17,2)</f>
        <v>0</v>
      </c>
      <c r="D14" s="63">
        <f>ROUND(调整事项!G17,2)</f>
        <v>0</v>
      </c>
      <c r="E14" s="454">
        <f>IF(C14-D14&gt;=0,C14-D14,0)</f>
        <v>0</v>
      </c>
      <c r="F14" s="454">
        <f>IF(C14-D14&lt;0,ABS(C14-D14),0)</f>
        <v>0</v>
      </c>
      <c r="H14" s="487" t="s">
        <v>1383</v>
      </c>
      <c r="J14" s="1175"/>
    </row>
    <row r="15" spans="1:10" ht="14.25" customHeight="1">
      <c r="A15" s="62">
        <v>11</v>
      </c>
      <c r="B15" s="475" t="s">
        <v>379</v>
      </c>
      <c r="C15" s="63">
        <f>ROUND(调整事项!F18,2)</f>
        <v>0</v>
      </c>
      <c r="D15" s="63">
        <f>ROUND(调整事项!G18,2)</f>
        <v>0</v>
      </c>
      <c r="E15" s="454">
        <f>IF(D15&gt;=C15,D15-C15,0)</f>
        <v>0</v>
      </c>
      <c r="F15" s="454">
        <f>IF(D15&lt;C15,ABS(D15-C15),0)</f>
        <v>0</v>
      </c>
      <c r="H15" s="486"/>
      <c r="J15" s="1175"/>
    </row>
    <row r="16" spans="1:10" s="68" customFormat="1" ht="23.25" customHeight="1">
      <c r="A16" s="65">
        <v>12</v>
      </c>
      <c r="B16" s="476" t="s">
        <v>1326</v>
      </c>
      <c r="C16" s="67" t="s">
        <v>133</v>
      </c>
      <c r="D16" s="67" t="s">
        <v>133</v>
      </c>
      <c r="E16" s="103">
        <f>ROUND(E18+E19+E20+E21+E22+E23+E24+E25+E26+E27+E28+E30+E31+E32+E33+E34,2)</f>
        <v>0</v>
      </c>
      <c r="F16" s="103">
        <f>ROUND(F17+F18+F20+F21+F22+F26+F30+F34,2)</f>
        <v>0</v>
      </c>
      <c r="H16" s="486"/>
      <c r="J16" s="1175"/>
    </row>
    <row r="17" spans="1:10" s="68" customFormat="1" ht="25.5" customHeight="1">
      <c r="A17" s="62">
        <v>13</v>
      </c>
      <c r="B17" s="479" t="s">
        <v>1625</v>
      </c>
      <c r="C17" s="63" t="s">
        <v>133</v>
      </c>
      <c r="D17" s="454">
        <f>A105010视同销售和房地产开发企业特定业务纳税调整明细表!$C$15</f>
        <v>0</v>
      </c>
      <c r="E17" s="63" t="s">
        <v>133</v>
      </c>
      <c r="F17" s="454">
        <f>ABS(A105010视同销售和房地产开发企业特定业务纳税调整明细表!$D$15)</f>
        <v>0</v>
      </c>
      <c r="H17" s="487" t="s">
        <v>1384</v>
      </c>
      <c r="J17" s="1175"/>
    </row>
    <row r="18" spans="1:10" s="68" customFormat="1" ht="30.75" customHeight="1">
      <c r="A18" s="62">
        <v>14</v>
      </c>
      <c r="B18" s="479" t="s">
        <v>1627</v>
      </c>
      <c r="C18" s="454">
        <f>A105050职工薪酬支出及纳税调整明细表!$C$18</f>
        <v>0</v>
      </c>
      <c r="D18" s="454">
        <f>A105050职工薪酬支出及纳税调整明细表!$G$18</f>
        <v>0</v>
      </c>
      <c r="E18" s="454">
        <f>IF(A105050职工薪酬支出及纳税调整明细表!$H$18&gt;=0,A105050职工薪酬支出及纳税调整明细表!$H$18,0)</f>
        <v>0</v>
      </c>
      <c r="F18" s="454">
        <f>IF(A105050职工薪酬支出及纳税调整明细表!$H$18&lt;0,ABS(A105050职工薪酬支出及纳税调整明细表!$H$18),0)</f>
        <v>0</v>
      </c>
      <c r="H18" s="487" t="s">
        <v>1385</v>
      </c>
      <c r="J18" s="1175"/>
    </row>
    <row r="19" spans="1:10" s="68" customFormat="1" ht="14.25" customHeight="1">
      <c r="A19" s="62">
        <v>15</v>
      </c>
      <c r="B19" s="475" t="s">
        <v>1327</v>
      </c>
      <c r="C19" s="63">
        <f>ROUND(调整事项!F28,2)</f>
        <v>0</v>
      </c>
      <c r="D19" s="63">
        <f>ROUND(调整事项!G28,2)</f>
        <v>0</v>
      </c>
      <c r="E19" s="454">
        <f>IF(C19&gt;=D19,C19-D19,0)</f>
        <v>0</v>
      </c>
      <c r="F19" s="63" t="s">
        <v>133</v>
      </c>
      <c r="H19" s="487" t="s">
        <v>1386</v>
      </c>
      <c r="J19" s="1175"/>
    </row>
    <row r="20" spans="1:10" s="68" customFormat="1" ht="14.25" customHeight="1">
      <c r="A20" s="62">
        <v>16</v>
      </c>
      <c r="B20" s="479" t="s">
        <v>1628</v>
      </c>
      <c r="C20" s="63" t="s">
        <v>133</v>
      </c>
      <c r="D20" s="63" t="s">
        <v>133</v>
      </c>
      <c r="E20" s="454">
        <f>IF(A105060广告费和业务宣传费跨年度纳税调整明细表!$C$16&gt;=0,A105060广告费和业务宣传费跨年度纳税调整明细表!$C$16,0)</f>
        <v>0</v>
      </c>
      <c r="F20" s="454">
        <f>IF(A105060广告费和业务宣传费跨年度纳税调整明细表!$C$16&lt;0,ABS(A105060广告费和业务宣传费跨年度纳税调整明细表!$C$16),0)</f>
        <v>0</v>
      </c>
      <c r="H20" s="487" t="s">
        <v>1387</v>
      </c>
      <c r="J20" s="1175"/>
    </row>
    <row r="21" spans="1:10" s="68" customFormat="1" ht="14.25" customHeight="1">
      <c r="A21" s="62">
        <v>17</v>
      </c>
      <c r="B21" s="479" t="s">
        <v>1629</v>
      </c>
      <c r="C21" s="454">
        <f>A105070捐赠支出及纳税调整明细表!$C$12</f>
        <v>0</v>
      </c>
      <c r="D21" s="454">
        <f>A105070捐赠支出及纳税调整明细表!$F$12</f>
        <v>0</v>
      </c>
      <c r="E21" s="454">
        <f>A105070捐赠支出及纳税调整明细表!$G$12</f>
        <v>0</v>
      </c>
      <c r="F21" s="454">
        <f>A105070捐赠支出及纳税调整明细表!$H$12</f>
        <v>0</v>
      </c>
      <c r="H21" s="487" t="s">
        <v>1388</v>
      </c>
      <c r="J21" s="1175"/>
    </row>
    <row r="22" spans="1:10" s="68" customFormat="1" ht="14.25" customHeight="1">
      <c r="A22" s="62">
        <v>18</v>
      </c>
      <c r="B22" s="475" t="s">
        <v>380</v>
      </c>
      <c r="C22" s="63">
        <f>ROUND(调整事项!F37,2)</f>
        <v>0</v>
      </c>
      <c r="D22" s="63">
        <f>ROUND(调整事项!G37,2)</f>
        <v>0</v>
      </c>
      <c r="E22" s="454">
        <f>IF(C22&gt;=D22,C22-D22,0)</f>
        <v>0</v>
      </c>
      <c r="F22" s="454">
        <f>IF(C22&lt;D22,ABS(C22-D22),0)</f>
        <v>0</v>
      </c>
      <c r="H22" s="487" t="s">
        <v>1389</v>
      </c>
      <c r="J22" s="1175"/>
    </row>
    <row r="23" spans="1:10" s="68" customFormat="1" ht="14.25" customHeight="1">
      <c r="A23" s="62">
        <v>19</v>
      </c>
      <c r="B23" s="475" t="s">
        <v>381</v>
      </c>
      <c r="C23" s="63">
        <f>ROUND(调整事项!F38,2)</f>
        <v>0</v>
      </c>
      <c r="D23" s="63" t="s">
        <v>133</v>
      </c>
      <c r="E23" s="454">
        <f>C23</f>
        <v>0</v>
      </c>
      <c r="F23" s="63" t="s">
        <v>133</v>
      </c>
      <c r="H23" s="487" t="s">
        <v>1359</v>
      </c>
      <c r="J23" s="1175"/>
    </row>
    <row r="24" spans="1:10" s="68" customFormat="1" ht="14.25" customHeight="1">
      <c r="A24" s="62">
        <v>20</v>
      </c>
      <c r="B24" s="475" t="s">
        <v>382</v>
      </c>
      <c r="C24" s="63">
        <f>ROUND(调整事项!F39,2)</f>
        <v>0</v>
      </c>
      <c r="D24" s="63" t="s">
        <v>133</v>
      </c>
      <c r="E24" s="454">
        <f>C24</f>
        <v>0</v>
      </c>
      <c r="F24" s="63" t="s">
        <v>133</v>
      </c>
      <c r="H24" s="487" t="s">
        <v>1359</v>
      </c>
      <c r="J24" s="1175"/>
    </row>
    <row r="25" spans="1:10" s="68" customFormat="1" ht="14.25" customHeight="1">
      <c r="A25" s="62">
        <v>21</v>
      </c>
      <c r="B25" s="475" t="s">
        <v>383</v>
      </c>
      <c r="C25" s="63">
        <f>ROUND(调整事项!F40,2)</f>
        <v>0</v>
      </c>
      <c r="D25" s="63" t="s">
        <v>133</v>
      </c>
      <c r="E25" s="454">
        <f>C25</f>
        <v>0</v>
      </c>
      <c r="F25" s="63" t="s">
        <v>133</v>
      </c>
      <c r="H25" s="487" t="s">
        <v>1359</v>
      </c>
      <c r="J25" s="1175"/>
    </row>
    <row r="26" spans="1:10" s="68" customFormat="1" ht="14.25" customHeight="1">
      <c r="A26" s="62">
        <v>22</v>
      </c>
      <c r="B26" s="475" t="s">
        <v>384</v>
      </c>
      <c r="C26" s="63">
        <f>ROUND(调整事项!F41,2)</f>
        <v>0</v>
      </c>
      <c r="D26" s="63">
        <f>ROUND(调整事项!G41,2)</f>
        <v>0</v>
      </c>
      <c r="E26" s="454">
        <f>IF(C26&gt;=D26,C26-D26,0)</f>
        <v>0</v>
      </c>
      <c r="F26" s="454">
        <f>IF(C26&lt;D26,ABS(C26-D26),0)</f>
        <v>0</v>
      </c>
      <c r="H26" s="486"/>
      <c r="J26" s="1175"/>
    </row>
    <row r="27" spans="1:10" s="68" customFormat="1" ht="14.25" customHeight="1">
      <c r="A27" s="62">
        <v>23</v>
      </c>
      <c r="B27" s="475" t="s">
        <v>385</v>
      </c>
      <c r="C27" s="63">
        <f>ROUND(调整事项!F42,2)</f>
        <v>0</v>
      </c>
      <c r="D27" s="63">
        <f>ROUND(调整事项!G42,2)</f>
        <v>0</v>
      </c>
      <c r="E27" s="454">
        <f>C27-D27</f>
        <v>0</v>
      </c>
      <c r="F27" s="63" t="s">
        <v>133</v>
      </c>
      <c r="H27" s="487" t="s">
        <v>1390</v>
      </c>
      <c r="J27" s="1175"/>
    </row>
    <row r="28" spans="1:10" ht="14.25" customHeight="1">
      <c r="A28" s="62">
        <v>24</v>
      </c>
      <c r="B28" s="475" t="s">
        <v>386</v>
      </c>
      <c r="C28" s="63" t="s">
        <v>133</v>
      </c>
      <c r="D28" s="63" t="s">
        <v>133</v>
      </c>
      <c r="E28" s="63">
        <f>ROUND(调整事项!H43,2)</f>
        <v>0</v>
      </c>
      <c r="F28" s="63" t="s">
        <v>133</v>
      </c>
      <c r="H28" s="481" t="s">
        <v>1391</v>
      </c>
      <c r="I28" s="68"/>
      <c r="J28" s="1175"/>
    </row>
    <row r="29" spans="1:10" ht="24" customHeight="1">
      <c r="A29" s="2080">
        <v>25</v>
      </c>
      <c r="B29" s="2081" t="s">
        <v>1617</v>
      </c>
      <c r="C29" s="2082" t="s">
        <v>133</v>
      </c>
      <c r="D29" s="2082" t="s">
        <v>133</v>
      </c>
      <c r="E29" s="2083">
        <f>A105040专项用途财政性资金纳税调整表!$M$14</f>
        <v>0</v>
      </c>
      <c r="F29" s="2082" t="s">
        <v>133</v>
      </c>
      <c r="H29" s="482"/>
      <c r="J29" s="1175"/>
    </row>
    <row r="30" spans="1:10" s="68" customFormat="1" ht="14.25" customHeight="1">
      <c r="A30" s="65">
        <v>26</v>
      </c>
      <c r="B30" s="475" t="s">
        <v>387</v>
      </c>
      <c r="C30" s="63">
        <f>ROUND(调整事项!F46,2)</f>
        <v>0</v>
      </c>
      <c r="D30" s="63">
        <f>ROUND(调整事项!G46,2)</f>
        <v>0</v>
      </c>
      <c r="E30" s="454">
        <f>IF(C30&gt;=D30,C30-D30,0)</f>
        <v>0</v>
      </c>
      <c r="F30" s="454">
        <f>IF(C30&lt;D30,ABS(C30-D30),0)</f>
        <v>0</v>
      </c>
      <c r="H30" s="487"/>
      <c r="J30" s="1175"/>
    </row>
    <row r="31" spans="1:10" ht="14.25" customHeight="1">
      <c r="A31" s="65">
        <v>27</v>
      </c>
      <c r="B31" s="475" t="s">
        <v>388</v>
      </c>
      <c r="C31" s="63">
        <f>ROUND(调整事项!F47,2)</f>
        <v>0</v>
      </c>
      <c r="D31" s="63" t="s">
        <v>133</v>
      </c>
      <c r="E31" s="454">
        <f>C31</f>
        <v>0</v>
      </c>
      <c r="F31" s="63" t="s">
        <v>133</v>
      </c>
      <c r="H31" s="487" t="s">
        <v>1359</v>
      </c>
      <c r="J31" s="1175"/>
    </row>
    <row r="32" spans="1:10" ht="14.25" customHeight="1">
      <c r="A32" s="65">
        <v>28</v>
      </c>
      <c r="B32" s="475" t="s">
        <v>1328</v>
      </c>
      <c r="C32" s="63" t="s">
        <v>133</v>
      </c>
      <c r="D32" s="63" t="s">
        <v>133</v>
      </c>
      <c r="E32" s="454">
        <f>A108010境外所得纳税调整后所得明细表!$Q$23+A108010境外所得纳税调整后所得明细表!$R$23</f>
        <v>0</v>
      </c>
      <c r="F32" s="63" t="s">
        <v>133</v>
      </c>
      <c r="H32" s="486"/>
      <c r="J32" s="1175"/>
    </row>
    <row r="33" spans="1:10" ht="14.25" customHeight="1">
      <c r="A33" s="65">
        <v>29</v>
      </c>
      <c r="B33" s="475" t="s">
        <v>501</v>
      </c>
      <c r="C33" s="63">
        <f>ROUND(调整事项!F49,2)</f>
        <v>0</v>
      </c>
      <c r="D33" s="63">
        <f>ROUND(调整事项!G49,2)</f>
        <v>0</v>
      </c>
      <c r="E33" s="63">
        <f>ROUND(调整事项!H49,2)</f>
        <v>0</v>
      </c>
      <c r="F33" s="63">
        <f>ROUND(调整事项!I49,2)</f>
        <v>0</v>
      </c>
      <c r="H33" s="486"/>
      <c r="J33" s="1175"/>
    </row>
    <row r="34" spans="1:10" ht="14.25" customHeight="1">
      <c r="A34" s="65">
        <v>30</v>
      </c>
      <c r="B34" s="475" t="s">
        <v>500</v>
      </c>
      <c r="C34" s="63">
        <f>ROUND(调整事项!F50,2)</f>
        <v>0</v>
      </c>
      <c r="D34" s="63">
        <f>ROUND(调整事项!G50,2)</f>
        <v>0</v>
      </c>
      <c r="E34" s="454">
        <f>IF(C34&gt;=D34,C34-D34,0)</f>
        <v>0</v>
      </c>
      <c r="F34" s="454">
        <f>IF(C34&lt;D34,ABS(C34-D34),0)</f>
        <v>0</v>
      </c>
      <c r="H34" s="486"/>
      <c r="J34" s="1175"/>
    </row>
    <row r="35" spans="1:10" s="68" customFormat="1" ht="14.25" customHeight="1">
      <c r="A35" s="65">
        <v>31</v>
      </c>
      <c r="B35" s="475" t="s">
        <v>1329</v>
      </c>
      <c r="C35" s="63" t="s">
        <v>133</v>
      </c>
      <c r="D35" s="63" t="s">
        <v>133</v>
      </c>
      <c r="E35" s="454">
        <f>ROUND(E36+E37+E38+E39,2)</f>
        <v>0</v>
      </c>
      <c r="F35" s="454">
        <f>ROUND(F36+F37+F38+F39,2)</f>
        <v>0</v>
      </c>
      <c r="H35" s="4044" t="s">
        <v>1392</v>
      </c>
      <c r="J35" s="1175"/>
    </row>
    <row r="36" spans="1:10" s="68" customFormat="1" ht="14.25" customHeight="1">
      <c r="A36" s="65">
        <v>32</v>
      </c>
      <c r="B36" s="479" t="s">
        <v>1630</v>
      </c>
      <c r="C36" s="454">
        <f>'A105080 资产折旧、摊销及纳税调整明细表'!$E$50</f>
        <v>0</v>
      </c>
      <c r="D36" s="454">
        <f>'A105080 资产折旧、摊销及纳税调整明细表'!$H$50</f>
        <v>0</v>
      </c>
      <c r="E36" s="454">
        <f>IF('A105080 资产折旧、摊销及纳税调整明细表'!$L$50&gt;=0,'A105080 资产折旧、摊销及纳税调整明细表'!$L$50)</f>
        <v>0</v>
      </c>
      <c r="F36" s="454">
        <f>IF('A105080 资产折旧、摊销及纳税调整明细表'!$L$50&lt;0,ABS('A105080 资产折旧、摊销及纳税调整明细表'!$L$50),0)</f>
        <v>0</v>
      </c>
      <c r="H36" s="4045"/>
      <c r="J36" s="1175"/>
    </row>
    <row r="37" spans="1:10" ht="14.25" customHeight="1">
      <c r="A37" s="65">
        <v>33</v>
      </c>
      <c r="B37" s="475" t="s">
        <v>1330</v>
      </c>
      <c r="C37" s="63">
        <f>ROUND(调整事项!F62,2)</f>
        <v>0</v>
      </c>
      <c r="D37" s="63" t="s">
        <v>133</v>
      </c>
      <c r="E37" s="454">
        <f>IF(C37&gt;=0,C37,0)</f>
        <v>0</v>
      </c>
      <c r="F37" s="454">
        <f>IF(C37&lt;0,ABS(C37),0)</f>
        <v>0</v>
      </c>
      <c r="H37" s="4045"/>
      <c r="J37" s="1175"/>
    </row>
    <row r="38" spans="1:10" s="68" customFormat="1" ht="14.25" customHeight="1">
      <c r="A38" s="65">
        <v>34</v>
      </c>
      <c r="B38" s="479" t="s">
        <v>1631</v>
      </c>
      <c r="C38" s="454">
        <f>A105090资产损失税前扣除及纳税调整明细表!$C$18</f>
        <v>0</v>
      </c>
      <c r="D38" s="454">
        <f>A105090资产损失税前扣除及纳税调整明细表!$G$18</f>
        <v>0</v>
      </c>
      <c r="E38" s="454">
        <f>IF(A105090资产损失税前扣除及纳税调整明细表!$H$18&gt;=0,A105090资产损失税前扣除及纳税调整明细表!$H$18)</f>
        <v>0</v>
      </c>
      <c r="F38" s="454">
        <f>IF(A105090资产损失税前扣除及纳税调整明细表!$H$18&lt;0,ABS(A105090资产损失税前扣除及纳税调整明细表!$H$18),0)</f>
        <v>0</v>
      </c>
      <c r="H38" s="4045"/>
      <c r="J38" s="1175"/>
    </row>
    <row r="39" spans="1:10" s="68" customFormat="1">
      <c r="A39" s="65">
        <v>35</v>
      </c>
      <c r="B39" s="475" t="s">
        <v>389</v>
      </c>
      <c r="C39" s="63">
        <f>ROUND(调整事项!F64,2)</f>
        <v>0</v>
      </c>
      <c r="D39" s="63">
        <f>ROUND(调整事项!G64,2)</f>
        <v>0</v>
      </c>
      <c r="E39" s="454">
        <f>IF(C39&gt;=D39,C39-D39,0)</f>
        <v>0</v>
      </c>
      <c r="F39" s="454">
        <f>IF(C39&lt;D39,ABS(C39-D39),0)</f>
        <v>0</v>
      </c>
      <c r="H39" s="4046"/>
      <c r="J39" s="1175"/>
    </row>
    <row r="40" spans="1:10" s="68" customFormat="1" ht="14.25" customHeight="1">
      <c r="A40" s="65">
        <v>36</v>
      </c>
      <c r="B40" s="477" t="s">
        <v>1331</v>
      </c>
      <c r="C40" s="63" t="s">
        <v>133</v>
      </c>
      <c r="D40" s="63" t="s">
        <v>133</v>
      </c>
      <c r="E40" s="454">
        <f>ROUND(SUM(E41:E46),2)</f>
        <v>0</v>
      </c>
      <c r="F40" s="454">
        <f>ROUND(SUM(F41:F46),2)</f>
        <v>0</v>
      </c>
      <c r="H40" s="483"/>
      <c r="J40" s="1175"/>
    </row>
    <row r="41" spans="1:10" s="68" customFormat="1" ht="14.25" customHeight="1">
      <c r="A41" s="65">
        <v>37</v>
      </c>
      <c r="B41" s="479" t="s">
        <v>1632</v>
      </c>
      <c r="C41" s="454">
        <f>A105100企业重组及递延纳税事项调整明细表!$C$21+A105100企业重组及递延纳税事项调整明细表!$F$21</f>
        <v>0</v>
      </c>
      <c r="D41" s="454">
        <f>A105100企业重组及递延纳税事项调整明细表!$D$21+A105100企业重组及递延纳税事项调整明细表!$G$21</f>
        <v>0</v>
      </c>
      <c r="E41" s="454">
        <f>IF(A105100企业重组及递延纳税事项调整明细表!I21&gt;=0,A105100企业重组及递延纳税事项调整明细表!I21)</f>
        <v>0</v>
      </c>
      <c r="F41" s="454">
        <f>IF(A105100企业重组及递延纳税事项调整明细表!I21&lt;0,ABS(A105100企业重组及递延纳税事项调整明细表!I21),0)</f>
        <v>0</v>
      </c>
      <c r="H41" s="487" t="s">
        <v>1393</v>
      </c>
      <c r="J41" s="1175"/>
    </row>
    <row r="42" spans="1:10" s="68" customFormat="1" ht="14.25" customHeight="1">
      <c r="A42" s="65">
        <v>38</v>
      </c>
      <c r="B42" s="479" t="s">
        <v>1633</v>
      </c>
      <c r="C42" s="63" t="s">
        <v>133</v>
      </c>
      <c r="D42" s="63" t="s">
        <v>133</v>
      </c>
      <c r="E42" s="454">
        <f>IF(A105110政策性搬迁纳税调整明细表!$C$27&gt;=0,A105110政策性搬迁纳税调整明细表!$C$27)</f>
        <v>0</v>
      </c>
      <c r="F42" s="454">
        <f>IF(A105110政策性搬迁纳税调整明细表!$C$27&lt;0,ABS(A105110政策性搬迁纳税调整明细表!$C$27),0)</f>
        <v>0</v>
      </c>
      <c r="H42" s="487" t="s">
        <v>1394</v>
      </c>
      <c r="J42" s="1175"/>
    </row>
    <row r="43" spans="1:10" s="68" customFormat="1" ht="14.25" customHeight="1">
      <c r="A43" s="65">
        <v>39</v>
      </c>
      <c r="B43" s="479" t="s">
        <v>1634</v>
      </c>
      <c r="C43" s="454">
        <f>'A105120 特殊行业准备金及纳税调整明细表'!$E$47</f>
        <v>0</v>
      </c>
      <c r="D43" s="454">
        <f>'A105120 特殊行业准备金及纳税调整明细表'!$F$47</f>
        <v>0</v>
      </c>
      <c r="E43" s="454">
        <f>IF('A105120 特殊行业准备金及纳税调整明细表'!G47&gt;=0,'A105120 特殊行业准备金及纳税调整明细表'!G47)</f>
        <v>0</v>
      </c>
      <c r="F43" s="454">
        <f>IF('A105120 特殊行业准备金及纳税调整明细表'!G47&lt;0,ABS('A105120 特殊行业准备金及纳税调整明细表'!G47),0)</f>
        <v>0</v>
      </c>
      <c r="H43" s="487" t="s">
        <v>1395</v>
      </c>
      <c r="J43" s="1175"/>
    </row>
    <row r="44" spans="1:10" s="68" customFormat="1" ht="25.5" customHeight="1">
      <c r="A44" s="65">
        <v>40</v>
      </c>
      <c r="B44" s="480" t="s">
        <v>1618</v>
      </c>
      <c r="C44" s="67" t="s">
        <v>133</v>
      </c>
      <c r="D44" s="103">
        <f>A105010视同销售和房地产开发企业特定业务纳税调整明细表!$C$25</f>
        <v>0</v>
      </c>
      <c r="E44" s="103">
        <f>IF(A105010视同销售和房地产开发企业特定业务纳税调整明细表!$D$25&gt;=0,A105010视同销售和房地产开发企业特定业务纳税调整明细表!$C$25)</f>
        <v>0</v>
      </c>
      <c r="F44" s="103">
        <f>IF(A105010视同销售和房地产开发企业特定业务纳税调整明细表!$D$25&lt;0,ABS(A105010视同销售和房地产开发企业特定业务纳税调整明细表!$C$25),0)</f>
        <v>0</v>
      </c>
      <c r="H44" s="487" t="s">
        <v>1396</v>
      </c>
      <c r="J44" s="1175"/>
    </row>
    <row r="45" spans="1:10" s="68" customFormat="1" ht="15.75" customHeight="1">
      <c r="A45" s="65">
        <v>41</v>
      </c>
      <c r="B45" s="475" t="s">
        <v>502</v>
      </c>
      <c r="C45" s="67">
        <f>ROUND(调整事项!F73,2)</f>
        <v>0</v>
      </c>
      <c r="D45" s="103">
        <f>ROUND(调整事项!G73,2)</f>
        <v>0</v>
      </c>
      <c r="E45" s="103">
        <f>IF(C45&lt;=D45,D45-C45,0)</f>
        <v>0</v>
      </c>
      <c r="F45" s="103">
        <f>IF(C45&gt;D45,ABS(D45-C45),0)</f>
        <v>0</v>
      </c>
      <c r="H45" s="487"/>
      <c r="J45" s="1175"/>
    </row>
    <row r="46" spans="1:10" s="68" customFormat="1" ht="14.25" customHeight="1">
      <c r="A46" s="65">
        <v>42</v>
      </c>
      <c r="B46" s="475" t="s">
        <v>503</v>
      </c>
      <c r="C46" s="63" t="s">
        <v>133</v>
      </c>
      <c r="D46" s="203" t="s">
        <v>1322</v>
      </c>
      <c r="E46" s="63">
        <f>ROUND(调整事项!H74,2)</f>
        <v>0</v>
      </c>
      <c r="F46" s="63">
        <f>ROUND(调整事项!I74,2)</f>
        <v>0</v>
      </c>
      <c r="H46" s="488"/>
      <c r="J46" s="1175"/>
    </row>
    <row r="47" spans="1:10" s="68" customFormat="1" ht="14.25" customHeight="1">
      <c r="A47" s="65">
        <v>43</v>
      </c>
      <c r="B47" s="475" t="s">
        <v>390</v>
      </c>
      <c r="C47" s="63" t="s">
        <v>133</v>
      </c>
      <c r="D47" s="63" t="s">
        <v>133</v>
      </c>
      <c r="E47" s="63">
        <f>ROUND(调整事项!H81,2)</f>
        <v>0</v>
      </c>
      <c r="F47" s="63">
        <f>ROUND(调整事项!I81,2)</f>
        <v>0</v>
      </c>
      <c r="H47" s="486"/>
      <c r="J47" s="1175"/>
    </row>
    <row r="48" spans="1:10" s="68" customFormat="1" ht="14.25" customHeight="1">
      <c r="A48" s="65">
        <v>44</v>
      </c>
      <c r="B48" s="475" t="s">
        <v>391</v>
      </c>
      <c r="C48" s="63" t="s">
        <v>133</v>
      </c>
      <c r="D48" s="63" t="s">
        <v>133</v>
      </c>
      <c r="E48" s="63">
        <f>ROUND(调整事项!H88,2)</f>
        <v>0</v>
      </c>
      <c r="F48" s="63">
        <f>ROUND(调整事项!I88,2)</f>
        <v>0</v>
      </c>
      <c r="H48" s="486"/>
      <c r="J48" s="1175"/>
    </row>
    <row r="49" spans="1:10" s="68" customFormat="1" ht="14.25" customHeight="1">
      <c r="A49" s="65">
        <v>45</v>
      </c>
      <c r="B49" s="475" t="s">
        <v>1332</v>
      </c>
      <c r="C49" s="63" t="s">
        <v>133</v>
      </c>
      <c r="D49" s="63" t="s">
        <v>133</v>
      </c>
      <c r="E49" s="454">
        <f>ROUND(E5+E16+E35+E40+E47+E48,2)</f>
        <v>0</v>
      </c>
      <c r="F49" s="454">
        <f>ROUND(F5+F16+F35+F40+F47+F48,2)</f>
        <v>0</v>
      </c>
      <c r="H49" s="486"/>
      <c r="J49" s="1175"/>
    </row>
    <row r="50" spans="1:10" ht="12" customHeight="1"/>
    <row r="51" spans="1:10" ht="12" customHeight="1">
      <c r="A51" s="71"/>
      <c r="C51" s="71"/>
      <c r="D51" s="71"/>
      <c r="E51" s="71"/>
      <c r="F51" s="71"/>
    </row>
    <row r="52" spans="1:10" s="68" customFormat="1" ht="12" customHeight="1">
      <c r="A52" s="71"/>
      <c r="B52" s="478"/>
      <c r="C52" s="71"/>
      <c r="D52" s="71"/>
      <c r="E52" s="71"/>
      <c r="F52" s="71"/>
      <c r="H52" s="484"/>
    </row>
    <row r="53" spans="1:10" s="68" customFormat="1" ht="12" customHeight="1">
      <c r="A53" s="71"/>
      <c r="B53" s="478"/>
      <c r="C53" s="71"/>
      <c r="D53" s="71"/>
      <c r="E53" s="71"/>
      <c r="F53" s="71"/>
      <c r="H53" s="484"/>
    </row>
    <row r="54" spans="1:10" s="68" customFormat="1" ht="12" customHeight="1">
      <c r="A54" s="70"/>
      <c r="B54" s="478"/>
      <c r="C54" s="70"/>
      <c r="D54" s="70"/>
      <c r="E54" s="70"/>
      <c r="F54" s="70"/>
      <c r="H54" s="484"/>
    </row>
    <row r="55" spans="1:10" ht="12" customHeight="1"/>
    <row r="56" spans="1:10" ht="12" customHeight="1"/>
    <row r="57" spans="1:10" ht="12" customHeight="1"/>
    <row r="58" spans="1:10" ht="12" customHeight="1"/>
    <row r="59" spans="1:10" ht="12" customHeight="1"/>
    <row r="60" spans="1:10" ht="12" customHeight="1"/>
    <row r="61" spans="1:10" ht="12" customHeight="1"/>
  </sheetData>
  <mergeCells count="6">
    <mergeCell ref="A1:F1"/>
    <mergeCell ref="A2:F2"/>
    <mergeCell ref="A3:A4"/>
    <mergeCell ref="B3:B4"/>
    <mergeCell ref="H35:H39"/>
    <mergeCell ref="H3:H4"/>
  </mergeCells>
  <phoneticPr fontId="1" type="noConversion"/>
  <hyperlinks>
    <hyperlink ref="A1:F1" location="'A100000 中华人民共和国企业所得税年度纳税申报表（A类）'!A1" display="返回主表（A100000）"/>
    <hyperlink ref="H6" r:id="rId1"/>
    <hyperlink ref="H8" r:id="rId2"/>
    <hyperlink ref="H9" r:id="rId3"/>
    <hyperlink ref="H10" r:id="rId4"/>
    <hyperlink ref="H11" r:id="rId5"/>
    <hyperlink ref="H12" r:id="rId6"/>
    <hyperlink ref="H13" r:id="rId7"/>
    <hyperlink ref="H14" r:id="rId8"/>
    <hyperlink ref="H17" r:id="rId9"/>
    <hyperlink ref="H18" r:id="rId10"/>
    <hyperlink ref="H19" r:id="rId11"/>
    <hyperlink ref="H20" r:id="rId12"/>
    <hyperlink ref="H21" r:id="rId13"/>
    <hyperlink ref="H22" r:id="rId14"/>
    <hyperlink ref="H23" r:id="rId15"/>
    <hyperlink ref="H24" r:id="rId16"/>
    <hyperlink ref="H25" r:id="rId17"/>
    <hyperlink ref="H27" r:id="rId18"/>
    <hyperlink ref="H28:H29" r:id="rId19" display="不征税收入用于支出所形成的费用[¶30-668] "/>
    <hyperlink ref="H31" r:id="rId20"/>
    <hyperlink ref="H35:H39" r:id="rId21" display="资产的税务处理[¶30-680]-[¶30-694]"/>
    <hyperlink ref="H41" r:id="rId22"/>
    <hyperlink ref="H42" r:id="rId23"/>
    <hyperlink ref="H43" r:id="rId24"/>
    <hyperlink ref="H44" r:id="rId25"/>
    <hyperlink ref="B7" location="A105020未按权责发生制确认收入纳税调整明细表!A1" display="　  （二）未按权责发生制原则确认的收入（填写A105020）"/>
    <hyperlink ref="B6" location="A105010视同销售和房地产开发企业特定业务纳税调整明细表!A1" display="　  （一）视同销售收入（填写A105010）"/>
    <hyperlink ref="B8" location="A105030投资收益纳税调整明细表!A1" display="    （三）投资收益（填写A105030）"/>
    <hyperlink ref="B13" location="A105040专项用途财政性资金纳税调整表!A1" display="          其中：专项用途财政性资金（填写A105040）"/>
    <hyperlink ref="B17" location="A105010视同销售和房地产开发企业特定业务纳税调整明细表!Print_Area" display="　  （一）视同销售成本（填写A105010）"/>
    <hyperlink ref="B18" location="A105050职工薪酬支出及纳税调整明细表!A1" display="　  （二）职工薪酬（填写A105050）"/>
    <hyperlink ref="B20" location="A105060广告费和业务宣传费跨年度纳税调整明细表!Print_Area" display="　  （四）广告费和业务宣传费支出（填写A105060）"/>
    <hyperlink ref="B21" location="A105070捐赠支出及纳税调整明细表!A1" display="　  （五）捐赠支出（填写A105070）"/>
    <hyperlink ref="B29" location="A105040专项用途财政性资金纳税调整表!Print_Area" display="            其中：专项用途财政性资金用于支出所形成的费用（填写A105040）"/>
    <hyperlink ref="B36" location="'A105080 资产折旧、摊销及纳税调整明细表'!Print_Area" display="    （一）资产折旧、摊销 （填写A105080）"/>
    <hyperlink ref="B38" location="A105090资产损失税前扣除及纳税调整明细表!Print_Area" display="　  （三）资产损失（填写A105090）"/>
    <hyperlink ref="B41" location="A105100企业重组及递延纳税事项调整明细表!Print_Area" display="　  （一）企业重组及递延纳税事项（填写A105100）"/>
    <hyperlink ref="B42" location="A105110政策性搬迁纳税调整明细表!Print_Area" display="    （二）政策性搬迁（填写A105110）"/>
    <hyperlink ref="B43" location="'A105120 特殊行业准备金及纳税调整明细表'!Print_Area" display="    （三）特殊行业准备金（填写A105120）"/>
    <hyperlink ref="B44" location="A105010视同销售和房地产开发企业特定业务纳税调整明细表!A1" display="    （四）房地产开发企业特定业务计算的纳税调整额(填写A105010)"/>
  </hyperlinks>
  <pageMargins left="0.70866141732283472" right="0.70866141732283472" top="0.74803149606299213" bottom="0.74803149606299213" header="0.31496062992125984" footer="0.31496062992125984"/>
  <pageSetup paperSize="9" scale="80" orientation="portrait" r:id="rId26"/>
  <colBreaks count="1" manualBreakCount="1">
    <brk id="6" max="1048575" man="1"/>
  </colBreaks>
  <legacyDrawing r:id="rId27"/>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pageSetUpPr fitToPage="1"/>
  </sheetPr>
  <dimension ref="A1:F42"/>
  <sheetViews>
    <sheetView workbookViewId="0">
      <selection sqref="A1:B1"/>
    </sheetView>
  </sheetViews>
  <sheetFormatPr defaultColWidth="10.875" defaultRowHeight="14.25"/>
  <cols>
    <col min="1" max="1" width="5" style="86" customWidth="1"/>
    <col min="2" max="2" width="54" style="72" customWidth="1"/>
    <col min="3" max="4" width="16.625" style="241" customWidth="1"/>
    <col min="5" max="5" width="1.25" style="72" customWidth="1"/>
    <col min="6" max="6" width="33.875" style="72" customWidth="1"/>
    <col min="7" max="16384" width="10.875" style="72"/>
  </cols>
  <sheetData>
    <row r="1" spans="1:6">
      <c r="A1" s="4052" t="s">
        <v>1177</v>
      </c>
      <c r="B1" s="4053"/>
      <c r="C1" s="4054" t="s">
        <v>392</v>
      </c>
      <c r="D1" s="4055"/>
    </row>
    <row r="2" spans="1:6" ht="18.75">
      <c r="A2" s="4056" t="s">
        <v>1624</v>
      </c>
      <c r="B2" s="4057"/>
      <c r="C2" s="4057"/>
      <c r="D2" s="4057"/>
      <c r="F2" s="52" t="s">
        <v>189</v>
      </c>
    </row>
    <row r="3" spans="1:6" s="74" customFormat="1" ht="12">
      <c r="A3" s="4004" t="s">
        <v>147</v>
      </c>
      <c r="B3" s="4004" t="s">
        <v>149</v>
      </c>
      <c r="C3" s="75" t="s">
        <v>371</v>
      </c>
      <c r="D3" s="75" t="s">
        <v>393</v>
      </c>
      <c r="F3" s="64"/>
    </row>
    <row r="4" spans="1:6" s="74" customFormat="1" ht="12">
      <c r="A4" s="4004"/>
      <c r="B4" s="4004"/>
      <c r="C4" s="75">
        <v>1</v>
      </c>
      <c r="D4" s="75">
        <v>2</v>
      </c>
      <c r="F4" s="209"/>
    </row>
    <row r="5" spans="1:6" s="74" customFormat="1" ht="12">
      <c r="A5" s="73">
        <v>1</v>
      </c>
      <c r="B5" s="76" t="s">
        <v>394</v>
      </c>
      <c r="C5" s="237">
        <f>ROUND(SUM(C6:C14),2)</f>
        <v>0</v>
      </c>
      <c r="D5" s="237">
        <f>ROUND(SUM(D6:D14),2)</f>
        <v>0</v>
      </c>
      <c r="F5" s="208" t="s">
        <v>1397</v>
      </c>
    </row>
    <row r="6" spans="1:6" s="74" customFormat="1" ht="12" customHeight="1">
      <c r="A6" s="73">
        <v>2</v>
      </c>
      <c r="B6" s="76" t="s">
        <v>395</v>
      </c>
      <c r="C6" s="81">
        <f>ROUND(视同销售和房地产开发企业特定业务审核表!C9,2)</f>
        <v>0</v>
      </c>
      <c r="D6" s="237">
        <f>C6</f>
        <v>0</v>
      </c>
      <c r="F6" s="4049" t="s">
        <v>1398</v>
      </c>
    </row>
    <row r="7" spans="1:6" s="74" customFormat="1" ht="12">
      <c r="A7" s="73">
        <v>3</v>
      </c>
      <c r="B7" s="76" t="s">
        <v>396</v>
      </c>
      <c r="C7" s="81">
        <f>ROUND(视同销售和房地产开发企业特定业务审核表!C10,2)</f>
        <v>0</v>
      </c>
      <c r="D7" s="237">
        <f t="shared" ref="D7:D14" si="0">C7</f>
        <v>0</v>
      </c>
      <c r="F7" s="4049"/>
    </row>
    <row r="8" spans="1:6" s="74" customFormat="1" ht="12">
      <c r="A8" s="73">
        <v>4</v>
      </c>
      <c r="B8" s="76" t="s">
        <v>397</v>
      </c>
      <c r="C8" s="81">
        <f>ROUND(视同销售和房地产开发企业特定业务审核表!C11,2)</f>
        <v>0</v>
      </c>
      <c r="D8" s="237">
        <f t="shared" si="0"/>
        <v>0</v>
      </c>
      <c r="F8" s="4049"/>
    </row>
    <row r="9" spans="1:6" s="74" customFormat="1" ht="12">
      <c r="A9" s="73">
        <v>5</v>
      </c>
      <c r="B9" s="76" t="s">
        <v>398</v>
      </c>
      <c r="C9" s="81">
        <f>ROUND(视同销售和房地产开发企业特定业务审核表!C12,2)</f>
        <v>0</v>
      </c>
      <c r="D9" s="237">
        <f t="shared" si="0"/>
        <v>0</v>
      </c>
      <c r="F9" s="4049"/>
    </row>
    <row r="10" spans="1:6" s="74" customFormat="1" ht="12">
      <c r="A10" s="73">
        <v>6</v>
      </c>
      <c r="B10" s="76" t="s">
        <v>399</v>
      </c>
      <c r="C10" s="81">
        <f>ROUND(视同销售和房地产开发企业特定业务审核表!C13,2)</f>
        <v>0</v>
      </c>
      <c r="D10" s="237">
        <f t="shared" si="0"/>
        <v>0</v>
      </c>
      <c r="F10" s="4049"/>
    </row>
    <row r="11" spans="1:6" s="74" customFormat="1" ht="12">
      <c r="A11" s="73">
        <v>7</v>
      </c>
      <c r="B11" s="76" t="s">
        <v>400</v>
      </c>
      <c r="C11" s="81">
        <f>ROUND(视同销售和房地产开发企业特定业务审核表!C14,2)</f>
        <v>0</v>
      </c>
      <c r="D11" s="237">
        <f t="shared" si="0"/>
        <v>0</v>
      </c>
      <c r="F11" s="4049"/>
    </row>
    <row r="12" spans="1:6" s="74" customFormat="1" ht="12">
      <c r="A12" s="73">
        <v>8</v>
      </c>
      <c r="B12" s="76" t="s">
        <v>401</v>
      </c>
      <c r="C12" s="81">
        <f>ROUND(视同销售和房地产开发企业特定业务审核表!C15,2)</f>
        <v>0</v>
      </c>
      <c r="D12" s="237">
        <f t="shared" si="0"/>
        <v>0</v>
      </c>
      <c r="F12" s="4049"/>
    </row>
    <row r="13" spans="1:6" s="74" customFormat="1" ht="12">
      <c r="A13" s="73">
        <v>9</v>
      </c>
      <c r="B13" s="76" t="s">
        <v>402</v>
      </c>
      <c r="C13" s="81">
        <f>ROUND(视同销售和房地产开发企业特定业务审核表!C16,2)</f>
        <v>0</v>
      </c>
      <c r="D13" s="237">
        <f t="shared" si="0"/>
        <v>0</v>
      </c>
      <c r="F13" s="4049"/>
    </row>
    <row r="14" spans="1:6" s="74" customFormat="1" ht="12">
      <c r="A14" s="73">
        <v>10</v>
      </c>
      <c r="B14" s="77" t="s">
        <v>403</v>
      </c>
      <c r="C14" s="81">
        <f>ROUND(视同销售和房地产开发企业特定业务审核表!C17,2)</f>
        <v>0</v>
      </c>
      <c r="D14" s="237">
        <f t="shared" si="0"/>
        <v>0</v>
      </c>
      <c r="F14" s="4049"/>
    </row>
    <row r="15" spans="1:6" s="74" customFormat="1" ht="12">
      <c r="A15" s="73">
        <v>11</v>
      </c>
      <c r="B15" s="76" t="s">
        <v>404</v>
      </c>
      <c r="C15" s="237">
        <f>ROUND(SUM(C16:C24),2)</f>
        <v>0</v>
      </c>
      <c r="D15" s="237">
        <f>ROUND(SUM(D16:D24),2)</f>
        <v>0</v>
      </c>
      <c r="F15" s="209"/>
    </row>
    <row r="16" spans="1:6" s="74" customFormat="1" ht="12">
      <c r="A16" s="73">
        <v>12</v>
      </c>
      <c r="B16" s="76" t="s">
        <v>405</v>
      </c>
      <c r="C16" s="81">
        <f>ROUND(视同销售和房地产开发企业特定业务审核表!C19,2)</f>
        <v>0</v>
      </c>
      <c r="D16" s="237">
        <f>-C16</f>
        <v>0</v>
      </c>
      <c r="F16" s="208" t="s">
        <v>1397</v>
      </c>
    </row>
    <row r="17" spans="1:6" s="74" customFormat="1" ht="12" customHeight="1">
      <c r="A17" s="73">
        <v>13</v>
      </c>
      <c r="B17" s="76" t="s">
        <v>406</v>
      </c>
      <c r="C17" s="81">
        <f>ROUND(视同销售和房地产开发企业特定业务审核表!C20,2)</f>
        <v>0</v>
      </c>
      <c r="D17" s="237">
        <f t="shared" ref="D17:D24" si="1">-C17</f>
        <v>0</v>
      </c>
      <c r="F17" s="4058" t="s">
        <v>1398</v>
      </c>
    </row>
    <row r="18" spans="1:6" s="74" customFormat="1" ht="12">
      <c r="A18" s="73">
        <v>14</v>
      </c>
      <c r="B18" s="76" t="s">
        <v>407</v>
      </c>
      <c r="C18" s="81">
        <f>ROUND(视同销售和房地产开发企业特定业务审核表!C21,2)</f>
        <v>0</v>
      </c>
      <c r="D18" s="237">
        <f t="shared" si="1"/>
        <v>0</v>
      </c>
      <c r="F18" s="4059"/>
    </row>
    <row r="19" spans="1:6" s="74" customFormat="1" ht="12">
      <c r="A19" s="73">
        <v>15</v>
      </c>
      <c r="B19" s="76" t="s">
        <v>408</v>
      </c>
      <c r="C19" s="81">
        <f>ROUND(视同销售和房地产开发企业特定业务审核表!C22,2)</f>
        <v>0</v>
      </c>
      <c r="D19" s="237">
        <f t="shared" si="1"/>
        <v>0</v>
      </c>
      <c r="F19" s="4059"/>
    </row>
    <row r="20" spans="1:6" s="74" customFormat="1" ht="12">
      <c r="A20" s="73">
        <v>16</v>
      </c>
      <c r="B20" s="76" t="s">
        <v>409</v>
      </c>
      <c r="C20" s="81">
        <f>ROUND(视同销售和房地产开发企业特定业务审核表!C23,2)</f>
        <v>0</v>
      </c>
      <c r="D20" s="237">
        <f t="shared" si="1"/>
        <v>0</v>
      </c>
      <c r="F20" s="4059"/>
    </row>
    <row r="21" spans="1:6" s="74" customFormat="1" ht="12">
      <c r="A21" s="73">
        <v>17</v>
      </c>
      <c r="B21" s="78" t="s">
        <v>410</v>
      </c>
      <c r="C21" s="233">
        <f>ROUND(视同销售和房地产开发企业特定业务审核表!C24,2)</f>
        <v>0</v>
      </c>
      <c r="D21" s="237">
        <f t="shared" si="1"/>
        <v>0</v>
      </c>
      <c r="F21" s="4059"/>
    </row>
    <row r="22" spans="1:6" s="74" customFormat="1" ht="12">
      <c r="A22" s="73">
        <v>18</v>
      </c>
      <c r="B22" s="76" t="s">
        <v>411</v>
      </c>
      <c r="C22" s="81">
        <f>ROUND(视同销售和房地产开发企业特定业务审核表!C25,2)</f>
        <v>0</v>
      </c>
      <c r="D22" s="237">
        <f t="shared" si="1"/>
        <v>0</v>
      </c>
      <c r="F22" s="4059"/>
    </row>
    <row r="23" spans="1:6" s="74" customFormat="1" ht="12">
      <c r="A23" s="73">
        <v>19</v>
      </c>
      <c r="B23" s="76" t="s">
        <v>412</v>
      </c>
      <c r="C23" s="81">
        <f>ROUND(视同销售和房地产开发企业特定业务审核表!C26,2)</f>
        <v>0</v>
      </c>
      <c r="D23" s="237">
        <f t="shared" si="1"/>
        <v>0</v>
      </c>
      <c r="F23" s="4059"/>
    </row>
    <row r="24" spans="1:6" s="74" customFormat="1" ht="12">
      <c r="A24" s="73">
        <v>20</v>
      </c>
      <c r="B24" s="77" t="s">
        <v>403</v>
      </c>
      <c r="C24" s="81">
        <f>ROUND(视同销售和房地产开发企业特定业务审核表!C27,2)</f>
        <v>0</v>
      </c>
      <c r="D24" s="237">
        <f t="shared" si="1"/>
        <v>0</v>
      </c>
      <c r="F24" s="4060"/>
    </row>
    <row r="25" spans="1:6" s="74" customFormat="1" ht="24">
      <c r="A25" s="73">
        <v>21</v>
      </c>
      <c r="B25" s="76" t="s">
        <v>413</v>
      </c>
      <c r="C25" s="237">
        <f>ROUND(C26-C32,2)</f>
        <v>0</v>
      </c>
      <c r="D25" s="237">
        <f>ROUND(D26-D32,2)</f>
        <v>0</v>
      </c>
      <c r="F25" s="208" t="s">
        <v>1399</v>
      </c>
    </row>
    <row r="26" spans="1:6" s="74" customFormat="1" ht="12">
      <c r="A26" s="4061">
        <v>22</v>
      </c>
      <c r="B26" s="4063" t="s">
        <v>414</v>
      </c>
      <c r="C26" s="4050">
        <f>ROUND(视同销售和房地产开发企业特定业务审核表!C29,2)</f>
        <v>0</v>
      </c>
      <c r="D26" s="4050">
        <f>ROUND(视同销售和房地产开发企业特定业务审核表!D29,2)</f>
        <v>0</v>
      </c>
      <c r="F26" s="209"/>
    </row>
    <row r="27" spans="1:6" s="74" customFormat="1" ht="12">
      <c r="A27" s="4062"/>
      <c r="B27" s="4064"/>
      <c r="C27" s="4065">
        <f>ROUND(视同销售和房地产开发企业特定业务审核表!C30,2)</f>
        <v>0</v>
      </c>
      <c r="D27" s="4065" t="e">
        <f>ROUND(视同销售和房地产开发企业特定业务审核表!D30,2)</f>
        <v>#VALUE!</v>
      </c>
      <c r="F27" s="209"/>
    </row>
    <row r="28" spans="1:6" s="74" customFormat="1" ht="12">
      <c r="A28" s="73">
        <v>23</v>
      </c>
      <c r="B28" s="79" t="s">
        <v>415</v>
      </c>
      <c r="C28" s="81">
        <f>ROUND(视同销售和房地产开发企业特定业务审核表!C31,2)</f>
        <v>0</v>
      </c>
      <c r="D28" s="80" t="s">
        <v>133</v>
      </c>
      <c r="F28" s="208" t="s">
        <v>1400</v>
      </c>
    </row>
    <row r="29" spans="1:6" s="82" customFormat="1" ht="12">
      <c r="A29" s="73">
        <v>24</v>
      </c>
      <c r="B29" s="77" t="s">
        <v>416</v>
      </c>
      <c r="C29" s="81">
        <f>ROUND(视同销售和房地产开发企业特定业务审核表!C32,2)</f>
        <v>0</v>
      </c>
      <c r="D29" s="237">
        <f>C29</f>
        <v>0</v>
      </c>
      <c r="F29" s="208" t="s">
        <v>1401</v>
      </c>
    </row>
    <row r="30" spans="1:6" s="82" customFormat="1" ht="12">
      <c r="A30" s="4061">
        <v>25</v>
      </c>
      <c r="B30" s="4067" t="s">
        <v>417</v>
      </c>
      <c r="C30" s="4069">
        <f>ROUND(视同销售和房地产开发企业特定业务审核表!C33,2)</f>
        <v>0</v>
      </c>
      <c r="D30" s="4050">
        <f>ROUND(视同销售和房地产开发企业特定业务审核表!D33,2)</f>
        <v>0</v>
      </c>
      <c r="F30" s="208" t="s">
        <v>1402</v>
      </c>
    </row>
    <row r="31" spans="1:6" s="82" customFormat="1" ht="12">
      <c r="A31" s="4066"/>
      <c r="B31" s="4068"/>
      <c r="C31" s="4070">
        <f>ROUND(视同销售和房地产开发企业特定业务审核表!C34,2)</f>
        <v>0</v>
      </c>
      <c r="D31" s="4051" t="e">
        <f>ROUND(视同销售和房地产开发企业特定业务审核表!D34,2)</f>
        <v>#VALUE!</v>
      </c>
      <c r="F31" s="208" t="s">
        <v>1403</v>
      </c>
    </row>
    <row r="32" spans="1:6" s="82" customFormat="1" ht="24">
      <c r="A32" s="202">
        <v>26</v>
      </c>
      <c r="B32" s="204" t="s">
        <v>418</v>
      </c>
      <c r="C32" s="239">
        <f>ROUND(C34-C35,2)</f>
        <v>0</v>
      </c>
      <c r="D32" s="238">
        <f>ROUND(D34-D35,2)</f>
        <v>0</v>
      </c>
      <c r="F32" s="209"/>
    </row>
    <row r="33" spans="1:6" s="82" customFormat="1" ht="12">
      <c r="A33" s="73">
        <v>27</v>
      </c>
      <c r="B33" s="79" t="s">
        <v>419</v>
      </c>
      <c r="C33" s="81">
        <f>ROUND(视同销售和房地产开发企业特定业务审核表!C36,2)</f>
        <v>0</v>
      </c>
      <c r="D33" s="80" t="s">
        <v>133</v>
      </c>
      <c r="F33" s="208" t="s">
        <v>1401</v>
      </c>
    </row>
    <row r="34" spans="1:6" s="82" customFormat="1" ht="12">
      <c r="A34" s="73">
        <v>28</v>
      </c>
      <c r="B34" s="77" t="s">
        <v>420</v>
      </c>
      <c r="C34" s="81">
        <f>ROUND(视同销售和房地产开发企业特定业务审核表!C37,2)</f>
        <v>0</v>
      </c>
      <c r="D34" s="237">
        <f>C34</f>
        <v>0</v>
      </c>
      <c r="F34" s="208" t="s">
        <v>1401</v>
      </c>
    </row>
    <row r="35" spans="1:6" s="74" customFormat="1" ht="12">
      <c r="A35" s="4004">
        <v>29</v>
      </c>
      <c r="B35" s="4007" t="s">
        <v>421</v>
      </c>
      <c r="C35" s="4075">
        <f>ROUND(视同销售和房地产开发企业特定业务审核表!C38,2)</f>
        <v>0</v>
      </c>
      <c r="D35" s="4077">
        <f>ROUND(视同销售和房地产开发企业特定业务审核表!D38,2)</f>
        <v>0</v>
      </c>
      <c r="F35" s="208" t="s">
        <v>1402</v>
      </c>
    </row>
    <row r="36" spans="1:6" s="74" customFormat="1" ht="16.5">
      <c r="A36" s="2846"/>
      <c r="B36" s="4074"/>
      <c r="C36" s="4076">
        <f>ROUND(视同销售和房地产开发企业特定业务审核表!C39,2)</f>
        <v>0</v>
      </c>
      <c r="D36" s="4078">
        <f>ROUND(视同销售和房地产开发企业特定业务审核表!D39,2)</f>
        <v>0</v>
      </c>
      <c r="E36" s="83"/>
      <c r="F36" s="211" t="s">
        <v>1403</v>
      </c>
    </row>
    <row r="37" spans="1:6" s="74" customFormat="1" ht="16.5">
      <c r="A37" s="84"/>
      <c r="B37" s="83"/>
      <c r="C37" s="232"/>
      <c r="D37" s="232"/>
      <c r="E37" s="83"/>
    </row>
    <row r="38" spans="1:6" s="74" customFormat="1" ht="16.5">
      <c r="A38" s="4079"/>
      <c r="B38" s="4018"/>
      <c r="C38" s="4018"/>
      <c r="D38" s="4018"/>
      <c r="E38" s="4018"/>
      <c r="F38" s="4018"/>
    </row>
    <row r="39" spans="1:6" s="104" customFormat="1">
      <c r="A39" s="4071" t="s">
        <v>422</v>
      </c>
      <c r="B39" s="4072"/>
      <c r="C39" s="4072"/>
      <c r="D39" s="4072"/>
      <c r="E39" s="4072"/>
      <c r="F39" s="4072"/>
    </row>
    <row r="40" spans="1:6" s="104" customFormat="1" ht="12">
      <c r="A40" s="4073" t="s">
        <v>423</v>
      </c>
      <c r="B40" s="4073"/>
      <c r="C40" s="4073"/>
      <c r="D40" s="4073"/>
      <c r="E40" s="4073"/>
      <c r="F40" s="4073"/>
    </row>
    <row r="41" spans="1:6" s="104" customFormat="1" ht="12">
      <c r="A41" s="4073" t="s">
        <v>424</v>
      </c>
      <c r="B41" s="4073"/>
      <c r="C41" s="4073"/>
      <c r="D41" s="4073"/>
      <c r="E41" s="4073"/>
      <c r="F41" s="4073"/>
    </row>
    <row r="42" spans="1:6" s="74" customFormat="1" ht="12">
      <c r="A42" s="85"/>
      <c r="C42" s="240"/>
      <c r="D42" s="240"/>
    </row>
  </sheetData>
  <mergeCells count="23">
    <mergeCell ref="A39:F39"/>
    <mergeCell ref="A40:F40"/>
    <mergeCell ref="A41:F41"/>
    <mergeCell ref="A35:A36"/>
    <mergeCell ref="B35:B36"/>
    <mergeCell ref="C35:C36"/>
    <mergeCell ref="D35:D36"/>
    <mergeCell ref="A38:F38"/>
    <mergeCell ref="F6:F14"/>
    <mergeCell ref="D30:D31"/>
    <mergeCell ref="A1:B1"/>
    <mergeCell ref="C1:D1"/>
    <mergeCell ref="A2:D2"/>
    <mergeCell ref="A3:A4"/>
    <mergeCell ref="B3:B4"/>
    <mergeCell ref="F17:F24"/>
    <mergeCell ref="A26:A27"/>
    <mergeCell ref="B26:B27"/>
    <mergeCell ref="C26:C27"/>
    <mergeCell ref="D26:D27"/>
    <mergeCell ref="A30:A31"/>
    <mergeCell ref="B30:B31"/>
    <mergeCell ref="C30:C31"/>
  </mergeCells>
  <phoneticPr fontId="1" type="noConversion"/>
  <hyperlinks>
    <hyperlink ref="C1:D1" location="A105000纳税调整项目明细表!A1" display="返回纳税调整项目明细表（A105000）"/>
    <hyperlink ref="A40:F40" r:id="rId1" display="《国家税务总局关于企业处置资产所得税处理问题的通知》（国税函〔2008〕828号）"/>
    <hyperlink ref="A41:F41" r:id="rId2" display="《国家税务总局关于印发〈房地产开发经营业务企业所得税处理办法〉的通知》（国税发〔2009〕31号）"/>
    <hyperlink ref="A1:B1" location="'A100000 中华人民共和国企业所得税年度纳税申报表（A类）'!A1" display="返回主表（A100000）"/>
    <hyperlink ref="F16" r:id="rId3"/>
    <hyperlink ref="F6:F14" r:id="rId4" display="将货物、财产、劳务用于捐赠、偿债、赞助、集资、广告、样品、职工福利或利润分配[¶30-369] "/>
    <hyperlink ref="F17:F24" r:id="rId5" display="将货物、财产、劳务用于捐赠、偿债、赞助、集资、广告、样品、职工福利或利润分配[¶30-369] "/>
    <hyperlink ref="F25" r:id="rId6"/>
    <hyperlink ref="F28" r:id="rId7"/>
    <hyperlink ref="F29" r:id="rId8"/>
    <hyperlink ref="F30" r:id="rId9"/>
    <hyperlink ref="F31" r:id="rId10"/>
    <hyperlink ref="F33" r:id="rId11"/>
    <hyperlink ref="F34" r:id="rId12"/>
    <hyperlink ref="F35" r:id="rId13"/>
    <hyperlink ref="F36" r:id="rId14"/>
    <hyperlink ref="F5" r:id="rId15"/>
  </hyperlinks>
  <pageMargins left="0.70866141732283472" right="0.70866141732283472" top="0.74803149606299213" bottom="0.74803149606299213" header="0.31496062992125984" footer="0.31496062992125984"/>
  <pageSetup paperSize="9" scale="90" orientation="portrait" verticalDpi="0" r:id="rId16"/>
  <colBreaks count="1" manualBreakCount="1">
    <brk id="4" max="1048575" man="1"/>
  </colBreaks>
  <legacyDrawing r:id="rId17"/>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pageSetUpPr fitToPage="1"/>
  </sheetPr>
  <dimension ref="A1:J25"/>
  <sheetViews>
    <sheetView workbookViewId="0">
      <selection sqref="A1:B1"/>
    </sheetView>
  </sheetViews>
  <sheetFormatPr defaultColWidth="10.875" defaultRowHeight="12"/>
  <cols>
    <col min="1" max="1" width="5" style="240" customWidth="1"/>
    <col min="2" max="2" width="45.375" style="82" customWidth="1"/>
    <col min="3" max="8" width="12.625" style="82" customWidth="1"/>
    <col min="9" max="9" width="1.25" style="82" customWidth="1"/>
    <col min="10" max="10" width="35.625" style="82" customWidth="1"/>
    <col min="11" max="16384" width="10.875" style="82"/>
  </cols>
  <sheetData>
    <row r="1" spans="1:10" s="245" customFormat="1" ht="14.25">
      <c r="A1" s="4080" t="s">
        <v>1177</v>
      </c>
      <c r="B1" s="4025"/>
      <c r="C1" s="4081" t="s">
        <v>425</v>
      </c>
      <c r="D1" s="4081"/>
      <c r="E1" s="4081"/>
      <c r="F1" s="4081"/>
      <c r="G1" s="4081"/>
      <c r="H1" s="4081"/>
    </row>
    <row r="2" spans="1:10" ht="18.75">
      <c r="A2" s="4082" t="s">
        <v>1181</v>
      </c>
      <c r="B2" s="4031"/>
      <c r="C2" s="4031"/>
      <c r="D2" s="4031"/>
      <c r="E2" s="4031"/>
      <c r="F2" s="4031"/>
      <c r="G2" s="4031"/>
      <c r="H2" s="4031"/>
      <c r="J2" s="249" t="s">
        <v>189</v>
      </c>
    </row>
    <row r="3" spans="1:10" s="247" customFormat="1">
      <c r="A3" s="4038" t="s">
        <v>147</v>
      </c>
      <c r="B3" s="4038" t="s">
        <v>149</v>
      </c>
      <c r="C3" s="3920" t="s">
        <v>426</v>
      </c>
      <c r="D3" s="3921" t="s">
        <v>370</v>
      </c>
      <c r="E3" s="3921"/>
      <c r="F3" s="3921" t="s">
        <v>371</v>
      </c>
      <c r="G3" s="3921"/>
      <c r="H3" s="4032" t="s">
        <v>427</v>
      </c>
      <c r="J3" s="4089"/>
    </row>
    <row r="4" spans="1:10" s="247" customFormat="1">
      <c r="A4" s="4039"/>
      <c r="B4" s="4039"/>
      <c r="C4" s="3920"/>
      <c r="D4" s="4032" t="s">
        <v>428</v>
      </c>
      <c r="E4" s="4032" t="s">
        <v>429</v>
      </c>
      <c r="F4" s="4032" t="s">
        <v>428</v>
      </c>
      <c r="G4" s="4032" t="s">
        <v>429</v>
      </c>
      <c r="H4" s="4083"/>
      <c r="J4" s="4035"/>
    </row>
    <row r="5" spans="1:10" s="247" customFormat="1">
      <c r="A5" s="4039"/>
      <c r="B5" s="4039"/>
      <c r="C5" s="3920"/>
      <c r="D5" s="4033"/>
      <c r="E5" s="4033"/>
      <c r="F5" s="4033"/>
      <c r="G5" s="4033"/>
      <c r="H5" s="4033"/>
      <c r="J5" s="4035"/>
    </row>
    <row r="6" spans="1:10">
      <c r="A6" s="4040"/>
      <c r="B6" s="4040"/>
      <c r="C6" s="234">
        <v>1</v>
      </c>
      <c r="D6" s="234">
        <v>2</v>
      </c>
      <c r="E6" s="234">
        <v>3</v>
      </c>
      <c r="F6" s="234">
        <v>4</v>
      </c>
      <c r="G6" s="234">
        <v>5</v>
      </c>
      <c r="H6" s="234" t="s">
        <v>430</v>
      </c>
      <c r="J6" s="4036"/>
    </row>
    <row r="7" spans="1:10">
      <c r="A7" s="75">
        <v>1</v>
      </c>
      <c r="B7" s="77" t="s">
        <v>431</v>
      </c>
      <c r="C7" s="246">
        <f>ROUND(SUM(C8:C10),2)</f>
        <v>0</v>
      </c>
      <c r="D7" s="246">
        <f>ROUND(SUM(D8:D10),2)</f>
        <v>0</v>
      </c>
      <c r="E7" s="246">
        <f>ROUND(SUM(E8:E10),2)</f>
        <v>0</v>
      </c>
      <c r="F7" s="246">
        <f>ROUND(SUM(F8:F10),2)</f>
        <v>0</v>
      </c>
      <c r="G7" s="246">
        <f>ROUND(SUM(G8:G10),2)</f>
        <v>0</v>
      </c>
      <c r="H7" s="246">
        <f>ROUND(F7-D7,2)</f>
        <v>0</v>
      </c>
      <c r="J7" s="77"/>
    </row>
    <row r="8" spans="1:10">
      <c r="A8" s="75">
        <v>2</v>
      </c>
      <c r="B8" s="77" t="s">
        <v>432</v>
      </c>
      <c r="C8" s="89">
        <f>ROUND(未按权责发生制确认收入审核表!C7,2)</f>
        <v>0</v>
      </c>
      <c r="D8" s="89">
        <f>ROUND(未按权责发生制确认收入审核表!D7,2)</f>
        <v>0</v>
      </c>
      <c r="E8" s="89">
        <f>ROUND(未按权责发生制确认收入审核表!E7,2)</f>
        <v>0</v>
      </c>
      <c r="F8" s="89">
        <f>ROUND(未按权责发生制确认收入审核表!F7,2)</f>
        <v>0</v>
      </c>
      <c r="G8" s="89">
        <f>ROUND(未按权责发生制确认收入审核表!G7,2)</f>
        <v>0</v>
      </c>
      <c r="H8" s="246">
        <f>ROUND(F8-D8,2)</f>
        <v>0</v>
      </c>
      <c r="J8" s="250" t="s">
        <v>1337</v>
      </c>
    </row>
    <row r="9" spans="1:10">
      <c r="A9" s="75">
        <v>3</v>
      </c>
      <c r="B9" s="77" t="s">
        <v>433</v>
      </c>
      <c r="C9" s="89">
        <f>ROUND(未按权责发生制确认收入审核表!C8,2)</f>
        <v>0</v>
      </c>
      <c r="D9" s="89">
        <f>ROUND(未按权责发生制确认收入审核表!D8,2)</f>
        <v>0</v>
      </c>
      <c r="E9" s="89">
        <f>ROUND(未按权责发生制确认收入审核表!E8,2)</f>
        <v>0</v>
      </c>
      <c r="F9" s="89">
        <f>ROUND(未按权责发生制确认收入审核表!F8,2)</f>
        <v>0</v>
      </c>
      <c r="G9" s="89">
        <f>ROUND(未按权责发生制确认收入审核表!G8,2)</f>
        <v>0</v>
      </c>
      <c r="H9" s="246">
        <f t="shared" ref="H9:H18" si="0">ROUND(F9-D9,2)</f>
        <v>0</v>
      </c>
      <c r="J9" s="250" t="s">
        <v>1404</v>
      </c>
    </row>
    <row r="10" spans="1:10">
      <c r="A10" s="75">
        <v>4</v>
      </c>
      <c r="B10" s="77" t="s">
        <v>434</v>
      </c>
      <c r="C10" s="89">
        <f>ROUND(未按权责发生制确认收入审核表!C9,2)</f>
        <v>0</v>
      </c>
      <c r="D10" s="89">
        <f>ROUND(未按权责发生制确认收入审核表!D9,2)</f>
        <v>0</v>
      </c>
      <c r="E10" s="89">
        <f>ROUND(未按权责发生制确认收入审核表!E9,2)</f>
        <v>0</v>
      </c>
      <c r="F10" s="89">
        <f>ROUND(未按权责发生制确认收入审核表!F9,2)</f>
        <v>0</v>
      </c>
      <c r="G10" s="89">
        <f>ROUND(未按权责发生制确认收入审核表!G9,2)</f>
        <v>0</v>
      </c>
      <c r="H10" s="246">
        <f t="shared" si="0"/>
        <v>0</v>
      </c>
      <c r="J10" s="250" t="s">
        <v>1405</v>
      </c>
    </row>
    <row r="11" spans="1:10">
      <c r="A11" s="75">
        <v>5</v>
      </c>
      <c r="B11" s="77" t="s">
        <v>435</v>
      </c>
      <c r="C11" s="246">
        <f>ROUND(SUM(C12:C14),2)</f>
        <v>0</v>
      </c>
      <c r="D11" s="246">
        <f>ROUND(SUM(D12:D14),2)</f>
        <v>0</v>
      </c>
      <c r="E11" s="246">
        <f>ROUND(SUM(E12:E14),2)</f>
        <v>0</v>
      </c>
      <c r="F11" s="246">
        <f>ROUND(SUM(F12:F14),2)</f>
        <v>0</v>
      </c>
      <c r="G11" s="246">
        <f>ROUND(SUM(G12:G14),2)</f>
        <v>0</v>
      </c>
      <c r="H11" s="246">
        <f t="shared" si="0"/>
        <v>0</v>
      </c>
      <c r="J11" s="251"/>
    </row>
    <row r="12" spans="1:10">
      <c r="A12" s="75">
        <v>6</v>
      </c>
      <c r="B12" s="77" t="s">
        <v>436</v>
      </c>
      <c r="C12" s="89">
        <f>ROUND(未按权责发生制确认收入审核表!C11,2)</f>
        <v>0</v>
      </c>
      <c r="D12" s="89">
        <f>ROUND(未按权责发生制确认收入审核表!D11,2)</f>
        <v>0</v>
      </c>
      <c r="E12" s="89">
        <f>ROUND(未按权责发生制确认收入审核表!E11,2)</f>
        <v>0</v>
      </c>
      <c r="F12" s="89">
        <f>ROUND(未按权责发生制确认收入审核表!F11,2)</f>
        <v>0</v>
      </c>
      <c r="G12" s="89">
        <f>ROUND(未按权责发生制确认收入审核表!G11,2)</f>
        <v>0</v>
      </c>
      <c r="H12" s="246">
        <f t="shared" si="0"/>
        <v>0</v>
      </c>
      <c r="J12" s="250" t="s">
        <v>1406</v>
      </c>
    </row>
    <row r="13" spans="1:10">
      <c r="A13" s="75">
        <v>7</v>
      </c>
      <c r="B13" s="77" t="s">
        <v>437</v>
      </c>
      <c r="C13" s="89">
        <f>ROUND(未按权责发生制确认收入审核表!C12,2)</f>
        <v>0</v>
      </c>
      <c r="D13" s="89">
        <f>ROUND(未按权责发生制确认收入审核表!D12,2)</f>
        <v>0</v>
      </c>
      <c r="E13" s="89">
        <f>ROUND(未按权责发生制确认收入审核表!E12,2)</f>
        <v>0</v>
      </c>
      <c r="F13" s="89">
        <f>ROUND(未按权责发生制确认收入审核表!F12,2)</f>
        <v>0</v>
      </c>
      <c r="G13" s="89">
        <f>ROUND(未按权责发生制确认收入审核表!G12,2)</f>
        <v>0</v>
      </c>
      <c r="H13" s="246">
        <f t="shared" si="0"/>
        <v>0</v>
      </c>
      <c r="J13" s="250" t="s">
        <v>1407</v>
      </c>
    </row>
    <row r="14" spans="1:10">
      <c r="A14" s="75">
        <v>8</v>
      </c>
      <c r="B14" s="77" t="s">
        <v>438</v>
      </c>
      <c r="C14" s="89">
        <f>ROUND(未按权责发生制确认收入审核表!C13,2)</f>
        <v>0</v>
      </c>
      <c r="D14" s="89">
        <f>ROUND(未按权责发生制确认收入审核表!D13,2)</f>
        <v>0</v>
      </c>
      <c r="E14" s="89">
        <f>ROUND(未按权责发生制确认收入审核表!E13,2)</f>
        <v>0</v>
      </c>
      <c r="F14" s="89">
        <f>ROUND(未按权责发生制确认收入审核表!F13,2)</f>
        <v>0</v>
      </c>
      <c r="G14" s="89">
        <f>ROUND(未按权责发生制确认收入审核表!G13,2)</f>
        <v>0</v>
      </c>
      <c r="H14" s="246">
        <f t="shared" si="0"/>
        <v>0</v>
      </c>
      <c r="J14" s="77"/>
    </row>
    <row r="15" spans="1:10">
      <c r="A15" s="75">
        <v>9</v>
      </c>
      <c r="B15" s="77" t="s">
        <v>439</v>
      </c>
      <c r="C15" s="246">
        <f>ROUND(SUM(C16:C18),2)</f>
        <v>0</v>
      </c>
      <c r="D15" s="246">
        <f>ROUND(SUM(D16:D18),2)</f>
        <v>0</v>
      </c>
      <c r="E15" s="246">
        <f>ROUND(SUM(E16:E18),2)</f>
        <v>0</v>
      </c>
      <c r="F15" s="246">
        <f>ROUND(SUM(F16:F18),2)</f>
        <v>0</v>
      </c>
      <c r="G15" s="246">
        <f>ROUND(SUM(G16:G18),2)</f>
        <v>0</v>
      </c>
      <c r="H15" s="246">
        <f>ROUND(F15-D15,2)</f>
        <v>0</v>
      </c>
      <c r="J15" s="77"/>
    </row>
    <row r="16" spans="1:10">
      <c r="A16" s="75">
        <v>10</v>
      </c>
      <c r="B16" s="77" t="s">
        <v>440</v>
      </c>
      <c r="C16" s="89">
        <f>ROUND(未按权责发生制确认收入审核表!C15,2)</f>
        <v>0</v>
      </c>
      <c r="D16" s="89">
        <f>ROUND(未按权责发生制确认收入审核表!D15,2)</f>
        <v>0</v>
      </c>
      <c r="E16" s="89">
        <f>ROUND(未按权责发生制确认收入审核表!E15,2)</f>
        <v>0</v>
      </c>
      <c r="F16" s="89">
        <f>ROUND(未按权责发生制确认收入审核表!F15,2)</f>
        <v>0</v>
      </c>
      <c r="G16" s="89">
        <f>ROUND(未按权责发生制确认收入审核表!G15,2)</f>
        <v>0</v>
      </c>
      <c r="H16" s="246">
        <f t="shared" si="0"/>
        <v>0</v>
      </c>
      <c r="J16" s="77"/>
    </row>
    <row r="17" spans="1:10">
      <c r="A17" s="75">
        <v>11</v>
      </c>
      <c r="B17" s="77" t="s">
        <v>441</v>
      </c>
      <c r="C17" s="89">
        <f>ROUND(未按权责发生制确认收入审核表!C16,2)</f>
        <v>0</v>
      </c>
      <c r="D17" s="89">
        <f>ROUND(未按权责发生制确认收入审核表!D16,2)</f>
        <v>0</v>
      </c>
      <c r="E17" s="89">
        <f>ROUND(未按权责发生制确认收入审核表!E16,2)</f>
        <v>0</v>
      </c>
      <c r="F17" s="89">
        <f>ROUND(未按权责发生制确认收入审核表!F16,2)</f>
        <v>0</v>
      </c>
      <c r="G17" s="89">
        <f>ROUND(未按权责发生制确认收入审核表!G16,2)</f>
        <v>0</v>
      </c>
      <c r="H17" s="246">
        <f t="shared" si="0"/>
        <v>0</v>
      </c>
      <c r="J17" s="77"/>
    </row>
    <row r="18" spans="1:10">
      <c r="A18" s="75">
        <v>12</v>
      </c>
      <c r="B18" s="77" t="s">
        <v>442</v>
      </c>
      <c r="C18" s="89">
        <f>ROUND(未按权责发生制确认收入审核表!C17,2)</f>
        <v>0</v>
      </c>
      <c r="D18" s="89">
        <f>ROUND(未按权责发生制确认收入审核表!D17,2)</f>
        <v>0</v>
      </c>
      <c r="E18" s="89">
        <f>ROUND(未按权责发生制确认收入审核表!E17,2)</f>
        <v>0</v>
      </c>
      <c r="F18" s="89">
        <f>ROUND(未按权责发生制确认收入审核表!F17,2)</f>
        <v>0</v>
      </c>
      <c r="G18" s="89">
        <f>ROUND(未按权责发生制确认收入审核表!G17,2)</f>
        <v>0</v>
      </c>
      <c r="H18" s="246">
        <f t="shared" si="0"/>
        <v>0</v>
      </c>
      <c r="J18" s="77"/>
    </row>
    <row r="19" spans="1:10">
      <c r="A19" s="75">
        <v>13</v>
      </c>
      <c r="B19" s="77" t="s">
        <v>443</v>
      </c>
      <c r="C19" s="89">
        <f>ROUND(未按权责发生制确认收入审核表!C18,2)</f>
        <v>0</v>
      </c>
      <c r="D19" s="89">
        <f>ROUND(未按权责发生制确认收入审核表!D18,2)</f>
        <v>0</v>
      </c>
      <c r="E19" s="89">
        <f>ROUND(未按权责发生制确认收入审核表!E18,2)</f>
        <v>0</v>
      </c>
      <c r="F19" s="89">
        <f>ROUND(未按权责发生制确认收入审核表!F18,2)</f>
        <v>0</v>
      </c>
      <c r="G19" s="89">
        <f>ROUND(未按权责发生制确认收入审核表!G18,2)</f>
        <v>0</v>
      </c>
      <c r="H19" s="246">
        <f>ROUND(F19-D19,2)</f>
        <v>0</v>
      </c>
      <c r="J19" s="77"/>
    </row>
    <row r="20" spans="1:10">
      <c r="A20" s="75">
        <v>14</v>
      </c>
      <c r="B20" s="77" t="s">
        <v>444</v>
      </c>
      <c r="C20" s="246">
        <f t="shared" ref="C20:H20" si="1">ROUND(C7+C11+C15+C19,2)</f>
        <v>0</v>
      </c>
      <c r="D20" s="246">
        <f t="shared" si="1"/>
        <v>0</v>
      </c>
      <c r="E20" s="246">
        <f t="shared" si="1"/>
        <v>0</v>
      </c>
      <c r="F20" s="246">
        <f t="shared" si="1"/>
        <v>0</v>
      </c>
      <c r="G20" s="246">
        <f t="shared" si="1"/>
        <v>0</v>
      </c>
      <c r="H20" s="246">
        <f t="shared" si="1"/>
        <v>0</v>
      </c>
      <c r="J20" s="77"/>
    </row>
    <row r="21" spans="1:10" ht="16.5">
      <c r="A21" s="4090"/>
      <c r="B21" s="4091"/>
      <c r="C21" s="4091"/>
      <c r="D21" s="4091"/>
      <c r="E21" s="4091"/>
      <c r="F21" s="4091"/>
      <c r="G21" s="4091"/>
      <c r="H21" s="4091"/>
      <c r="I21" s="232"/>
      <c r="J21" s="232"/>
    </row>
    <row r="22" spans="1:10" ht="16.5">
      <c r="A22" s="4084"/>
      <c r="B22" s="4085"/>
      <c r="C22" s="4085"/>
      <c r="D22" s="4085"/>
      <c r="E22" s="4085"/>
      <c r="F22" s="4085"/>
      <c r="G22" s="4085"/>
      <c r="H22" s="4085"/>
      <c r="I22" s="232"/>
      <c r="J22" s="232"/>
    </row>
    <row r="23" spans="1:10" ht="14.25">
      <c r="A23" s="4086" t="s">
        <v>445</v>
      </c>
      <c r="B23" s="4087"/>
      <c r="C23" s="4087"/>
      <c r="D23" s="4087"/>
      <c r="E23" s="4087"/>
      <c r="F23" s="4087"/>
      <c r="G23" s="4087"/>
      <c r="H23" s="4087"/>
      <c r="I23" s="87"/>
      <c r="J23" s="87"/>
    </row>
    <row r="24" spans="1:10" s="248" customFormat="1">
      <c r="A24" s="4088" t="s">
        <v>1408</v>
      </c>
      <c r="B24" s="4088"/>
      <c r="C24" s="4088"/>
      <c r="D24" s="4088"/>
      <c r="E24" s="4088"/>
      <c r="F24" s="4088"/>
      <c r="G24" s="4088"/>
      <c r="H24" s="4088"/>
      <c r="I24" s="212"/>
      <c r="J24" s="212"/>
    </row>
    <row r="25" spans="1:10" s="248" customFormat="1">
      <c r="A25" s="4088" t="s">
        <v>1409</v>
      </c>
      <c r="B25" s="4088"/>
      <c r="C25" s="4088"/>
      <c r="D25" s="4088"/>
      <c r="E25" s="4088"/>
      <c r="F25" s="4088"/>
      <c r="G25" s="4088"/>
      <c r="H25" s="4088"/>
      <c r="I25" s="212"/>
      <c r="J25" s="212"/>
    </row>
  </sheetData>
  <mergeCells count="19">
    <mergeCell ref="A22:H22"/>
    <mergeCell ref="A23:H23"/>
    <mergeCell ref="A24:H24"/>
    <mergeCell ref="A25:H25"/>
    <mergeCell ref="J3:J6"/>
    <mergeCell ref="D4:D5"/>
    <mergeCell ref="E4:E5"/>
    <mergeCell ref="F4:F5"/>
    <mergeCell ref="G4:G5"/>
    <mergeCell ref="A21:H21"/>
    <mergeCell ref="A1:B1"/>
    <mergeCell ref="C1:H1"/>
    <mergeCell ref="A2:H2"/>
    <mergeCell ref="A3:A6"/>
    <mergeCell ref="B3:B6"/>
    <mergeCell ref="C3:C5"/>
    <mergeCell ref="D3:E3"/>
    <mergeCell ref="F3:G3"/>
    <mergeCell ref="H3:H5"/>
  </mergeCells>
  <phoneticPr fontId="1" type="noConversion"/>
  <hyperlinks>
    <hyperlink ref="A1:B1" location="'A100000 中华人民共和国企业所得税年度纳税申报表（A类）'!A1" display="返回主表（A100000）"/>
    <hyperlink ref="C1:H1" location="A105000纳税调整项目明细表!A1" display="返回纳税调整项目明细表（A105000）"/>
    <hyperlink ref="J8" r:id="rId1"/>
    <hyperlink ref="J9" r:id="rId2"/>
    <hyperlink ref="J10" r:id="rId3"/>
    <hyperlink ref="J12" r:id="rId4"/>
    <hyperlink ref="J13" r:id="rId5"/>
    <hyperlink ref="A24:H24" r:id="rId6" display="《国家税务总局关于贯彻落实企业所得税法若干税收问题的通知》（国税函〔2010〕79号）"/>
    <hyperlink ref="A25:H25" r:id="rId7" display="《国家税务总局关于确认企业所得税收入若干问题的通知》（国税函〔2008〕875号）"/>
  </hyperlinks>
  <pageMargins left="0.70866141732283472" right="0.70866141732283472" top="0.74803149606299213" bottom="0.74803149606299213" header="0.31496062992125984" footer="0.31496062992125984"/>
  <pageSetup paperSize="9" scale="99" orientation="landscape" verticalDpi="0" r:id="rId8"/>
  <legacyDrawing r:id="rId9"/>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fitToPage="1"/>
  </sheetPr>
  <dimension ref="A1:M25"/>
  <sheetViews>
    <sheetView workbookViewId="0">
      <selection sqref="A1:B1"/>
    </sheetView>
  </sheetViews>
  <sheetFormatPr defaultColWidth="10.875" defaultRowHeight="14.25"/>
  <cols>
    <col min="1" max="1" width="5" style="245" customWidth="1"/>
    <col min="2" max="2" width="26" style="245" customWidth="1"/>
    <col min="3" max="13" width="10.625" style="245" customWidth="1"/>
    <col min="14" max="16384" width="10.875" style="245"/>
  </cols>
  <sheetData>
    <row r="1" spans="1:13">
      <c r="A1" s="4025" t="s">
        <v>1180</v>
      </c>
      <c r="B1" s="4025"/>
      <c r="C1" s="93"/>
      <c r="D1" s="4081" t="s">
        <v>446</v>
      </c>
      <c r="E1" s="4081"/>
      <c r="F1" s="4081"/>
      <c r="G1" s="4081"/>
      <c r="H1" s="4081"/>
      <c r="I1" s="4081"/>
      <c r="J1" s="4081"/>
      <c r="K1" s="4081"/>
      <c r="L1" s="4081"/>
      <c r="M1" s="4081"/>
    </row>
    <row r="2" spans="1:13" ht="18.75">
      <c r="A2" s="4082" t="s">
        <v>1182</v>
      </c>
      <c r="B2" s="4031"/>
      <c r="C2" s="4031"/>
      <c r="D2" s="4031"/>
      <c r="E2" s="4031"/>
      <c r="F2" s="4031"/>
      <c r="G2" s="4031"/>
      <c r="H2" s="4031"/>
      <c r="I2" s="4031"/>
      <c r="J2" s="4031"/>
      <c r="K2" s="4031"/>
      <c r="L2" s="4031"/>
      <c r="M2" s="4031"/>
    </row>
    <row r="3" spans="1:13" ht="14.25" customHeight="1">
      <c r="A3" s="3920" t="s">
        <v>147</v>
      </c>
      <c r="B3" s="4032" t="s">
        <v>149</v>
      </c>
      <c r="C3" s="4092" t="s">
        <v>447</v>
      </c>
      <c r="D3" s="4093"/>
      <c r="E3" s="4094"/>
      <c r="F3" s="4092" t="s">
        <v>448</v>
      </c>
      <c r="G3" s="4093"/>
      <c r="H3" s="4093"/>
      <c r="I3" s="4093"/>
      <c r="J3" s="4093"/>
      <c r="K3" s="4093"/>
      <c r="L3" s="4094"/>
      <c r="M3" s="3920" t="s">
        <v>393</v>
      </c>
    </row>
    <row r="4" spans="1:13" ht="14.25" customHeight="1">
      <c r="A4" s="3920"/>
      <c r="B4" s="4083"/>
      <c r="C4" s="3920" t="s">
        <v>370</v>
      </c>
      <c r="D4" s="3920" t="s">
        <v>371</v>
      </c>
      <c r="E4" s="3920" t="s">
        <v>393</v>
      </c>
      <c r="F4" s="3920" t="s">
        <v>449</v>
      </c>
      <c r="G4" s="3920" t="s">
        <v>450</v>
      </c>
      <c r="H4" s="3920" t="s">
        <v>451</v>
      </c>
      <c r="I4" s="3920" t="s">
        <v>452</v>
      </c>
      <c r="J4" s="3920" t="s">
        <v>453</v>
      </c>
      <c r="K4" s="3920" t="s">
        <v>454</v>
      </c>
      <c r="L4" s="3920" t="s">
        <v>393</v>
      </c>
      <c r="M4" s="3920"/>
    </row>
    <row r="5" spans="1:13" ht="14.25" customHeight="1">
      <c r="A5" s="3920"/>
      <c r="B5" s="4083"/>
      <c r="C5" s="3920"/>
      <c r="D5" s="3920"/>
      <c r="E5" s="3920"/>
      <c r="F5" s="3920"/>
      <c r="G5" s="3920"/>
      <c r="H5" s="3920"/>
      <c r="I5" s="3920"/>
      <c r="J5" s="3920"/>
      <c r="K5" s="3920"/>
      <c r="L5" s="3920"/>
      <c r="M5" s="3920"/>
    </row>
    <row r="6" spans="1:13" ht="14.25" customHeight="1">
      <c r="A6" s="3920"/>
      <c r="B6" s="4083"/>
      <c r="C6" s="3920"/>
      <c r="D6" s="3920"/>
      <c r="E6" s="3920"/>
      <c r="F6" s="3920"/>
      <c r="G6" s="3920"/>
      <c r="H6" s="3920"/>
      <c r="I6" s="3920"/>
      <c r="J6" s="3920"/>
      <c r="K6" s="3920"/>
      <c r="L6" s="3920"/>
      <c r="M6" s="3920"/>
    </row>
    <row r="7" spans="1:13" ht="14.25" customHeight="1">
      <c r="A7" s="3920"/>
      <c r="B7" s="4083"/>
      <c r="C7" s="4038">
        <v>1</v>
      </c>
      <c r="D7" s="4038">
        <v>2</v>
      </c>
      <c r="E7" s="4038" t="s">
        <v>455</v>
      </c>
      <c r="F7" s="4038">
        <v>4</v>
      </c>
      <c r="G7" s="4038">
        <v>5</v>
      </c>
      <c r="H7" s="4038">
        <v>6</v>
      </c>
      <c r="I7" s="4038">
        <v>7</v>
      </c>
      <c r="J7" s="4032" t="s">
        <v>456</v>
      </c>
      <c r="K7" s="4032" t="s">
        <v>457</v>
      </c>
      <c r="L7" s="4032" t="s">
        <v>458</v>
      </c>
      <c r="M7" s="4038" t="s">
        <v>459</v>
      </c>
    </row>
    <row r="8" spans="1:13" ht="14.25" customHeight="1">
      <c r="A8" s="3920"/>
      <c r="B8" s="4033"/>
      <c r="C8" s="4040"/>
      <c r="D8" s="4040"/>
      <c r="E8" s="4040"/>
      <c r="F8" s="4040"/>
      <c r="G8" s="4040"/>
      <c r="H8" s="4040"/>
      <c r="I8" s="4040"/>
      <c r="J8" s="4033"/>
      <c r="K8" s="4033"/>
      <c r="L8" s="4033"/>
      <c r="M8" s="4040"/>
    </row>
    <row r="9" spans="1:13" ht="14.25" customHeight="1">
      <c r="A9" s="75">
        <v>1</v>
      </c>
      <c r="B9" s="88" t="s">
        <v>460</v>
      </c>
      <c r="C9" s="2131">
        <f>ROUND(投资收益审核表!C6,2)</f>
        <v>0</v>
      </c>
      <c r="D9" s="2131">
        <f>ROUND(投资收益审核表!D6,2)</f>
        <v>0</v>
      </c>
      <c r="E9" s="237">
        <f>ROUND(D9-C9,2)</f>
        <v>0</v>
      </c>
      <c r="F9" s="2131">
        <f>ROUND(投资收益审核表!F6,2)</f>
        <v>0</v>
      </c>
      <c r="G9" s="2131">
        <f>ROUND(投资收益审核表!G6,2)</f>
        <v>0</v>
      </c>
      <c r="H9" s="2131">
        <f>ROUND(投资收益审核表!H6,2)</f>
        <v>0</v>
      </c>
      <c r="I9" s="2131">
        <f>ROUND(投资收益审核表!I6,2)</f>
        <v>0</v>
      </c>
      <c r="J9" s="246">
        <f>ROUND(F9-H9,2)</f>
        <v>0</v>
      </c>
      <c r="K9" s="246">
        <f>ROUND(G9-I9,2)</f>
        <v>0</v>
      </c>
      <c r="L9" s="246">
        <f>ROUND(K9-J9,2)</f>
        <v>0</v>
      </c>
      <c r="M9" s="246">
        <f>ROUND(E9+L9,2)</f>
        <v>0</v>
      </c>
    </row>
    <row r="10" spans="1:13" ht="14.25" customHeight="1">
      <c r="A10" s="75">
        <v>2</v>
      </c>
      <c r="B10" s="90" t="s">
        <v>461</v>
      </c>
      <c r="C10" s="2131">
        <f>ROUND(投资收益审核表!C7,2)</f>
        <v>0</v>
      </c>
      <c r="D10" s="2131">
        <f>ROUND(投资收益审核表!D7,2)</f>
        <v>0</v>
      </c>
      <c r="E10" s="237">
        <f t="shared" ref="E10:E17" si="0">ROUND(D10-C10,2)</f>
        <v>0</v>
      </c>
      <c r="F10" s="2131">
        <f>ROUND(投资收益审核表!F7,2)</f>
        <v>0</v>
      </c>
      <c r="G10" s="2131">
        <f>ROUND(投资收益审核表!G7,2)</f>
        <v>0</v>
      </c>
      <c r="H10" s="2131">
        <f>ROUND(投资收益审核表!H7,2)</f>
        <v>0</v>
      </c>
      <c r="I10" s="2131">
        <f>ROUND(投资收益审核表!I7,2)</f>
        <v>0</v>
      </c>
      <c r="J10" s="246">
        <f t="shared" ref="J10:K17" si="1">ROUND(F10-H10,2)</f>
        <v>0</v>
      </c>
      <c r="K10" s="246">
        <f t="shared" si="1"/>
        <v>0</v>
      </c>
      <c r="L10" s="246">
        <f t="shared" ref="L10:L17" si="2">ROUND(K10-J10,2)</f>
        <v>0</v>
      </c>
      <c r="M10" s="246">
        <f t="shared" ref="M10:M17" si="3">ROUND(E10+L10,2)</f>
        <v>0</v>
      </c>
    </row>
    <row r="11" spans="1:13">
      <c r="A11" s="75">
        <v>3</v>
      </c>
      <c r="B11" s="91" t="s">
        <v>462</v>
      </c>
      <c r="C11" s="2131">
        <f>ROUND(投资收益审核表!C8,2)</f>
        <v>0</v>
      </c>
      <c r="D11" s="2131">
        <f>ROUND(投资收益审核表!D8,2)</f>
        <v>0</v>
      </c>
      <c r="E11" s="237">
        <f t="shared" si="0"/>
        <v>0</v>
      </c>
      <c r="F11" s="2131">
        <f>ROUND(投资收益审核表!F8,2)</f>
        <v>0</v>
      </c>
      <c r="G11" s="2131">
        <f>ROUND(投资收益审核表!G8,2)</f>
        <v>0</v>
      </c>
      <c r="H11" s="2131">
        <f>ROUND(投资收益审核表!H8,2)</f>
        <v>0</v>
      </c>
      <c r="I11" s="2131">
        <f>ROUND(投资收益审核表!I8,2)</f>
        <v>0</v>
      </c>
      <c r="J11" s="246">
        <f t="shared" si="1"/>
        <v>0</v>
      </c>
      <c r="K11" s="246">
        <f t="shared" si="1"/>
        <v>0</v>
      </c>
      <c r="L11" s="246">
        <f t="shared" si="2"/>
        <v>0</v>
      </c>
      <c r="M11" s="246">
        <f t="shared" si="3"/>
        <v>0</v>
      </c>
    </row>
    <row r="12" spans="1:13" ht="14.25" customHeight="1">
      <c r="A12" s="75">
        <v>4</v>
      </c>
      <c r="B12" s="90" t="s">
        <v>463</v>
      </c>
      <c r="C12" s="2131">
        <f>ROUND(投资收益审核表!C9,2)</f>
        <v>0</v>
      </c>
      <c r="D12" s="2131">
        <f>ROUND(投资收益审核表!D9,2)</f>
        <v>0</v>
      </c>
      <c r="E12" s="237">
        <f t="shared" si="0"/>
        <v>0</v>
      </c>
      <c r="F12" s="2131">
        <f>ROUND(投资收益审核表!F9,2)</f>
        <v>0</v>
      </c>
      <c r="G12" s="2131">
        <f>ROUND(投资收益审核表!G9,2)</f>
        <v>0</v>
      </c>
      <c r="H12" s="2131">
        <f>ROUND(投资收益审核表!H9,2)</f>
        <v>0</v>
      </c>
      <c r="I12" s="2131">
        <f>ROUND(投资收益审核表!I9,2)</f>
        <v>0</v>
      </c>
      <c r="J12" s="246">
        <f t="shared" si="1"/>
        <v>0</v>
      </c>
      <c r="K12" s="246">
        <f t="shared" si="1"/>
        <v>0</v>
      </c>
      <c r="L12" s="246">
        <f t="shared" si="2"/>
        <v>0</v>
      </c>
      <c r="M12" s="246">
        <f t="shared" si="3"/>
        <v>0</v>
      </c>
    </row>
    <row r="13" spans="1:13" ht="14.25" customHeight="1">
      <c r="A13" s="75">
        <v>5</v>
      </c>
      <c r="B13" s="90" t="s">
        <v>464</v>
      </c>
      <c r="C13" s="2131">
        <f>ROUND(投资收益审核表!C10,2)</f>
        <v>0</v>
      </c>
      <c r="D13" s="2131">
        <f>ROUND(投资收益审核表!D10,2)</f>
        <v>0</v>
      </c>
      <c r="E13" s="237">
        <f t="shared" si="0"/>
        <v>0</v>
      </c>
      <c r="F13" s="2131">
        <f>ROUND(投资收益审核表!F10,2)</f>
        <v>0</v>
      </c>
      <c r="G13" s="2131">
        <f>ROUND(投资收益审核表!G10,2)</f>
        <v>0</v>
      </c>
      <c r="H13" s="2131">
        <f>ROUND(投资收益审核表!H10,2)</f>
        <v>0</v>
      </c>
      <c r="I13" s="2131">
        <f>ROUND(投资收益审核表!I10,2)</f>
        <v>0</v>
      </c>
      <c r="J13" s="246">
        <f t="shared" si="1"/>
        <v>0</v>
      </c>
      <c r="K13" s="246">
        <f t="shared" si="1"/>
        <v>0</v>
      </c>
      <c r="L13" s="246">
        <f t="shared" si="2"/>
        <v>0</v>
      </c>
      <c r="M13" s="246">
        <f t="shared" si="3"/>
        <v>0</v>
      </c>
    </row>
    <row r="14" spans="1:13">
      <c r="A14" s="75">
        <v>6</v>
      </c>
      <c r="B14" s="91" t="s">
        <v>465</v>
      </c>
      <c r="C14" s="2131">
        <f>ROUND(投资收益审核表!C11,2)</f>
        <v>0</v>
      </c>
      <c r="D14" s="2131">
        <f>ROUND(投资收益审核表!D11,2)</f>
        <v>0</v>
      </c>
      <c r="E14" s="237">
        <f t="shared" si="0"/>
        <v>0</v>
      </c>
      <c r="F14" s="2131">
        <f>ROUND(投资收益审核表!F11,2)</f>
        <v>0</v>
      </c>
      <c r="G14" s="2131">
        <f>ROUND(投资收益审核表!G11,2)</f>
        <v>0</v>
      </c>
      <c r="H14" s="2131">
        <f>ROUND(投资收益审核表!H11,2)</f>
        <v>0</v>
      </c>
      <c r="I14" s="2131">
        <f>ROUND(投资收益审核表!I11,2)</f>
        <v>0</v>
      </c>
      <c r="J14" s="246">
        <f t="shared" si="1"/>
        <v>0</v>
      </c>
      <c r="K14" s="246">
        <f t="shared" si="1"/>
        <v>0</v>
      </c>
      <c r="L14" s="246">
        <f t="shared" si="2"/>
        <v>0</v>
      </c>
      <c r="M14" s="246">
        <f t="shared" si="3"/>
        <v>0</v>
      </c>
    </row>
    <row r="15" spans="1:13">
      <c r="A15" s="75">
        <v>7</v>
      </c>
      <c r="B15" s="91" t="s">
        <v>466</v>
      </c>
      <c r="C15" s="2131">
        <f>ROUND(投资收益审核表!C12,2)</f>
        <v>0</v>
      </c>
      <c r="D15" s="2131">
        <f>ROUND(投资收益审核表!D12,2)</f>
        <v>0</v>
      </c>
      <c r="E15" s="237">
        <f t="shared" si="0"/>
        <v>0</v>
      </c>
      <c r="F15" s="2131">
        <f>ROUND(投资收益审核表!F12,2)</f>
        <v>0</v>
      </c>
      <c r="G15" s="2131">
        <f>ROUND(投资收益审核表!G12,2)</f>
        <v>0</v>
      </c>
      <c r="H15" s="2131">
        <f>ROUND(投资收益审核表!H12,2)</f>
        <v>0</v>
      </c>
      <c r="I15" s="2131">
        <f>ROUND(投资收益审核表!I12,2)</f>
        <v>0</v>
      </c>
      <c r="J15" s="246">
        <f t="shared" si="1"/>
        <v>0</v>
      </c>
      <c r="K15" s="246">
        <f t="shared" si="1"/>
        <v>0</v>
      </c>
      <c r="L15" s="246">
        <f t="shared" si="2"/>
        <v>0</v>
      </c>
      <c r="M15" s="246">
        <f t="shared" si="3"/>
        <v>0</v>
      </c>
    </row>
    <row r="16" spans="1:13">
      <c r="A16" s="75">
        <v>8</v>
      </c>
      <c r="B16" s="91" t="s">
        <v>467</v>
      </c>
      <c r="C16" s="2131">
        <f>ROUND(投资收益审核表!C13,2)</f>
        <v>0</v>
      </c>
      <c r="D16" s="2131">
        <f>ROUND(投资收益审核表!D13,2)</f>
        <v>0</v>
      </c>
      <c r="E16" s="237">
        <f t="shared" si="0"/>
        <v>0</v>
      </c>
      <c r="F16" s="2131">
        <f>ROUND(投资收益审核表!F13,2)</f>
        <v>0</v>
      </c>
      <c r="G16" s="2131">
        <f>ROUND(投资收益审核表!G13,2)</f>
        <v>0</v>
      </c>
      <c r="H16" s="2131">
        <f>ROUND(投资收益审核表!H13,2)</f>
        <v>0</v>
      </c>
      <c r="I16" s="2131">
        <f>ROUND(投资收益审核表!I13,2)</f>
        <v>0</v>
      </c>
      <c r="J16" s="246">
        <f t="shared" si="1"/>
        <v>0</v>
      </c>
      <c r="K16" s="246">
        <f t="shared" si="1"/>
        <v>0</v>
      </c>
      <c r="L16" s="246">
        <f t="shared" si="2"/>
        <v>0</v>
      </c>
      <c r="M16" s="246">
        <f t="shared" si="3"/>
        <v>0</v>
      </c>
    </row>
    <row r="17" spans="1:13" ht="14.25" customHeight="1">
      <c r="A17" s="75">
        <v>9</v>
      </c>
      <c r="B17" s="90" t="s">
        <v>468</v>
      </c>
      <c r="C17" s="2131">
        <f>ROUND(投资收益审核表!C14,2)</f>
        <v>0</v>
      </c>
      <c r="D17" s="2131">
        <f>ROUND(投资收益审核表!D14,2)</f>
        <v>0</v>
      </c>
      <c r="E17" s="237">
        <f t="shared" si="0"/>
        <v>0</v>
      </c>
      <c r="F17" s="2131">
        <f>ROUND(投资收益审核表!F14,2)</f>
        <v>0</v>
      </c>
      <c r="G17" s="2131">
        <f>ROUND(投资收益审核表!G14,2)</f>
        <v>0</v>
      </c>
      <c r="H17" s="2131">
        <f>ROUND(投资收益审核表!H14,2)</f>
        <v>0</v>
      </c>
      <c r="I17" s="2131">
        <f>ROUND(投资收益审核表!I14,2)</f>
        <v>0</v>
      </c>
      <c r="J17" s="246">
        <f t="shared" si="1"/>
        <v>0</v>
      </c>
      <c r="K17" s="246">
        <f t="shared" si="1"/>
        <v>0</v>
      </c>
      <c r="L17" s="246">
        <f t="shared" si="2"/>
        <v>0</v>
      </c>
      <c r="M17" s="246">
        <f t="shared" si="3"/>
        <v>0</v>
      </c>
    </row>
    <row r="18" spans="1:13" ht="14.25" customHeight="1">
      <c r="A18" s="75">
        <v>10</v>
      </c>
      <c r="B18" s="92" t="s">
        <v>469</v>
      </c>
      <c r="C18" s="246">
        <f>ROUND(SUM(C9:C17),2)</f>
        <v>0</v>
      </c>
      <c r="D18" s="246">
        <f t="shared" ref="D18:L18" si="4">ROUND(SUM(D9:D17),2)</f>
        <v>0</v>
      </c>
      <c r="E18" s="246">
        <f>ROUND(SUM(E9:E17),2)</f>
        <v>0</v>
      </c>
      <c r="F18" s="246">
        <f t="shared" si="4"/>
        <v>0</v>
      </c>
      <c r="G18" s="246">
        <f t="shared" si="4"/>
        <v>0</v>
      </c>
      <c r="H18" s="246">
        <f t="shared" si="4"/>
        <v>0</v>
      </c>
      <c r="I18" s="246">
        <f t="shared" si="4"/>
        <v>0</v>
      </c>
      <c r="J18" s="246">
        <f>ROUND(SUM(J9:J17),2)</f>
        <v>0</v>
      </c>
      <c r="K18" s="246">
        <f t="shared" si="4"/>
        <v>0</v>
      </c>
      <c r="L18" s="246">
        <f t="shared" si="4"/>
        <v>0</v>
      </c>
      <c r="M18" s="246">
        <f>ROUND(SUM(M9:M17),2)</f>
        <v>0</v>
      </c>
    </row>
    <row r="19" spans="1:13" s="82" customFormat="1" ht="16.5">
      <c r="A19" s="4098"/>
      <c r="B19" s="4099"/>
      <c r="C19" s="4099"/>
      <c r="D19" s="4099"/>
      <c r="E19" s="4099"/>
      <c r="F19" s="4099"/>
      <c r="G19" s="4099"/>
      <c r="H19" s="4099"/>
      <c r="I19" s="4099"/>
      <c r="J19" s="4099"/>
      <c r="K19" s="4099"/>
      <c r="L19" s="4099"/>
      <c r="M19" s="4099"/>
    </row>
    <row r="20" spans="1:13" s="82" customFormat="1" ht="16.5">
      <c r="A20" s="4100"/>
      <c r="B20" s="4012"/>
      <c r="C20" s="4012"/>
      <c r="D20" s="4012"/>
      <c r="E20" s="4012"/>
      <c r="F20" s="4012"/>
      <c r="G20" s="4012"/>
      <c r="H20" s="4012"/>
      <c r="I20" s="4012"/>
      <c r="J20" s="4012"/>
      <c r="K20" s="4012"/>
      <c r="L20" s="4012"/>
      <c r="M20" s="4012"/>
    </row>
    <row r="21" spans="1:13" s="248" customFormat="1" ht="12">
      <c r="A21" s="4097" t="s">
        <v>1410</v>
      </c>
      <c r="B21" s="4097"/>
      <c r="C21" s="4097"/>
      <c r="D21" s="4097"/>
      <c r="E21" s="4097"/>
      <c r="F21" s="4097"/>
      <c r="G21" s="4097"/>
      <c r="H21" s="4097"/>
      <c r="I21" s="4097"/>
      <c r="J21" s="4097"/>
      <c r="K21" s="4097"/>
      <c r="L21" s="4097"/>
      <c r="M21" s="4097"/>
    </row>
    <row r="22" spans="1:13" s="248" customFormat="1" ht="12">
      <c r="A22" s="4095" t="s">
        <v>1411</v>
      </c>
      <c r="B22" s="4095"/>
      <c r="C22" s="4095"/>
      <c r="D22" s="4095"/>
      <c r="E22" s="4095"/>
      <c r="F22" s="4095"/>
      <c r="G22" s="4095"/>
      <c r="H22" s="4095"/>
      <c r="I22" s="4095"/>
      <c r="J22" s="4095"/>
      <c r="K22" s="4095"/>
      <c r="L22" s="4095"/>
      <c r="M22" s="4095"/>
    </row>
    <row r="23" spans="1:13" s="248" customFormat="1" ht="12">
      <c r="A23" s="4096"/>
      <c r="B23" s="4096"/>
      <c r="C23" s="4096"/>
      <c r="D23" s="4096"/>
      <c r="E23" s="4096"/>
      <c r="F23" s="4096"/>
      <c r="G23" s="4096"/>
      <c r="H23" s="4096"/>
      <c r="I23" s="4096"/>
      <c r="J23" s="4096"/>
      <c r="K23" s="4096"/>
      <c r="L23" s="4096"/>
      <c r="M23" s="4096"/>
    </row>
    <row r="24" spans="1:13" s="248" customFormat="1" ht="12">
      <c r="A24" s="4097" t="s">
        <v>1412</v>
      </c>
      <c r="B24" s="4097"/>
      <c r="C24" s="4097"/>
      <c r="D24" s="4097"/>
      <c r="E24" s="4097"/>
      <c r="F24" s="4097"/>
      <c r="G24" s="4097"/>
      <c r="H24" s="4097"/>
      <c r="I24" s="4097"/>
      <c r="J24" s="4097"/>
      <c r="K24" s="4097"/>
      <c r="L24" s="4097"/>
      <c r="M24" s="4097"/>
    </row>
    <row r="25" spans="1:13" s="248" customFormat="1" ht="12">
      <c r="A25" s="4095" t="s">
        <v>1413</v>
      </c>
      <c r="B25" s="4095"/>
      <c r="C25" s="4095"/>
      <c r="D25" s="4095"/>
      <c r="E25" s="4095"/>
      <c r="F25" s="4095"/>
      <c r="G25" s="4095"/>
      <c r="H25" s="4095"/>
      <c r="I25" s="4095"/>
      <c r="J25" s="4095"/>
      <c r="K25" s="4095"/>
      <c r="L25" s="4095"/>
      <c r="M25" s="4095"/>
    </row>
  </sheetData>
  <mergeCells count="36">
    <mergeCell ref="A22:M22"/>
    <mergeCell ref="A23:M23"/>
    <mergeCell ref="A24:M24"/>
    <mergeCell ref="A25:M25"/>
    <mergeCell ref="K7:K8"/>
    <mergeCell ref="L7:L8"/>
    <mergeCell ref="M7:M8"/>
    <mergeCell ref="A19:M19"/>
    <mergeCell ref="A20:M20"/>
    <mergeCell ref="A21:M21"/>
    <mergeCell ref="G7:G8"/>
    <mergeCell ref="H7:H8"/>
    <mergeCell ref="I7:I8"/>
    <mergeCell ref="J7:J8"/>
    <mergeCell ref="F7:F8"/>
    <mergeCell ref="E4:E6"/>
    <mergeCell ref="F4:F6"/>
    <mergeCell ref="G4:G6"/>
    <mergeCell ref="H4:H6"/>
    <mergeCell ref="I4:I6"/>
    <mergeCell ref="J4:J6"/>
    <mergeCell ref="A1:B1"/>
    <mergeCell ref="D1:M1"/>
    <mergeCell ref="A2:M2"/>
    <mergeCell ref="A3:A8"/>
    <mergeCell ref="B3:B8"/>
    <mergeCell ref="C3:E3"/>
    <mergeCell ref="F3:L3"/>
    <mergeCell ref="M3:M6"/>
    <mergeCell ref="C4:C6"/>
    <mergeCell ref="D4:D6"/>
    <mergeCell ref="K4:K6"/>
    <mergeCell ref="L4:L6"/>
    <mergeCell ref="C7:C8"/>
    <mergeCell ref="D7:D8"/>
    <mergeCell ref="E7:E8"/>
  </mergeCells>
  <phoneticPr fontId="1" type="noConversion"/>
  <hyperlinks>
    <hyperlink ref="D1:M1" location="A105000纳税调整项目明细表!A1" display="返回纳税调整项目明细表（A105000）"/>
    <hyperlink ref="A1:B1" location="'A100000 中华人民共和国企业所得税年度纳税申报表（A类）'!A1" display="返回主表（A100000）"/>
    <hyperlink ref="A22:M22" r:id="rId1" display=" 《中国税务合规实务指南—所得税》 投资资产[¶30-755]-[¶30-768]"/>
    <hyperlink ref="A25:M25" r:id="rId2" display="《国家税务总局关于贯彻落实企业所得税法若干税收问题的通知》（国税函〔2010〕79号）"/>
  </hyperlinks>
  <pageMargins left="0.70866141732283472" right="0.70866141732283472" top="0.74803149606299213" bottom="0.74803149606299213" header="0.31496062992125984" footer="0.31496062992125984"/>
  <pageSetup paperSize="9" scale="85" orientation="landscape" verticalDpi="0" r:id="rId3"/>
  <legacyDrawing r:id="rId4"/>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fitToPage="1"/>
  </sheetPr>
  <dimension ref="A1:S23"/>
  <sheetViews>
    <sheetView workbookViewId="0">
      <selection sqref="A1:E1"/>
    </sheetView>
  </sheetViews>
  <sheetFormatPr defaultColWidth="10.875" defaultRowHeight="14.25"/>
  <cols>
    <col min="1" max="1" width="5" style="99" customWidth="1"/>
    <col min="2" max="2" width="7.625" style="99" customWidth="1"/>
    <col min="3" max="16" width="10.625" style="99" customWidth="1"/>
    <col min="17" max="16384" width="10.875" style="99"/>
  </cols>
  <sheetData>
    <row r="1" spans="1:16">
      <c r="A1" s="4101" t="s">
        <v>1620</v>
      </c>
      <c r="B1" s="4081"/>
      <c r="C1" s="4081"/>
      <c r="D1" s="4081"/>
      <c r="E1" s="4081"/>
      <c r="F1" s="93"/>
      <c r="G1" s="4081" t="s">
        <v>425</v>
      </c>
      <c r="H1" s="4081"/>
      <c r="I1" s="4081"/>
      <c r="J1" s="4081"/>
      <c r="K1" s="4081"/>
      <c r="L1" s="4081"/>
      <c r="M1" s="4081"/>
      <c r="N1" s="4081"/>
      <c r="O1" s="4081"/>
      <c r="P1" s="4081"/>
    </row>
    <row r="2" spans="1:16" ht="18.75">
      <c r="A2" s="4102" t="s">
        <v>1183</v>
      </c>
      <c r="B2" s="4031"/>
      <c r="C2" s="4031"/>
      <c r="D2" s="4031"/>
      <c r="E2" s="4031"/>
      <c r="F2" s="4031"/>
      <c r="G2" s="4031"/>
      <c r="H2" s="4031"/>
      <c r="I2" s="4031"/>
      <c r="J2" s="4031"/>
      <c r="K2" s="4031"/>
      <c r="L2" s="4031"/>
      <c r="M2" s="4031"/>
      <c r="N2" s="4031"/>
      <c r="O2" s="4031"/>
      <c r="P2" s="4031"/>
    </row>
    <row r="3" spans="1:16" s="241" customFormat="1" ht="14.25" customHeight="1">
      <c r="A3" s="3921" t="s">
        <v>147</v>
      </c>
      <c r="B3" s="3921" t="s">
        <v>470</v>
      </c>
      <c r="C3" s="4038" t="s">
        <v>471</v>
      </c>
      <c r="D3" s="4032" t="s">
        <v>472</v>
      </c>
      <c r="E3" s="3920" t="s">
        <v>473</v>
      </c>
      <c r="F3" s="3920"/>
      <c r="G3" s="4103" t="s">
        <v>474</v>
      </c>
      <c r="H3" s="4015"/>
      <c r="I3" s="4015"/>
      <c r="J3" s="4015"/>
      <c r="K3" s="4104"/>
      <c r="L3" s="3920" t="s">
        <v>475</v>
      </c>
      <c r="M3" s="3920"/>
      <c r="N3" s="3920" t="s">
        <v>476</v>
      </c>
      <c r="O3" s="3920"/>
      <c r="P3" s="3920"/>
    </row>
    <row r="4" spans="1:16" s="241" customFormat="1" ht="14.25" customHeight="1">
      <c r="A4" s="3921"/>
      <c r="B4" s="3921"/>
      <c r="C4" s="4039"/>
      <c r="D4" s="4083"/>
      <c r="E4" s="3920"/>
      <c r="F4" s="3920"/>
      <c r="G4" s="4038" t="s">
        <v>477</v>
      </c>
      <c r="H4" s="4038" t="s">
        <v>478</v>
      </c>
      <c r="I4" s="4038" t="s">
        <v>479</v>
      </c>
      <c r="J4" s="4038" t="s">
        <v>480</v>
      </c>
      <c r="K4" s="4038" t="s">
        <v>481</v>
      </c>
      <c r="L4" s="4038" t="s">
        <v>482</v>
      </c>
      <c r="M4" s="4032" t="s">
        <v>483</v>
      </c>
      <c r="N4" s="4032" t="s">
        <v>484</v>
      </c>
      <c r="O4" s="4032" t="s">
        <v>485</v>
      </c>
      <c r="P4" s="4032" t="s">
        <v>486</v>
      </c>
    </row>
    <row r="5" spans="1:16" s="241" customFormat="1" ht="14.25" customHeight="1">
      <c r="A5" s="3921"/>
      <c r="B5" s="3921"/>
      <c r="C5" s="4039"/>
      <c r="D5" s="4083"/>
      <c r="E5" s="3920" t="s">
        <v>487</v>
      </c>
      <c r="F5" s="3920" t="s">
        <v>488</v>
      </c>
      <c r="G5" s="4039"/>
      <c r="H5" s="4039"/>
      <c r="I5" s="4039"/>
      <c r="J5" s="4039"/>
      <c r="K5" s="4039"/>
      <c r="L5" s="4039"/>
      <c r="M5" s="4083"/>
      <c r="N5" s="4083"/>
      <c r="O5" s="4083"/>
      <c r="P5" s="4083"/>
    </row>
    <row r="6" spans="1:16" s="241" customFormat="1">
      <c r="A6" s="3921"/>
      <c r="B6" s="3921"/>
      <c r="C6" s="4040"/>
      <c r="D6" s="4033"/>
      <c r="E6" s="3920"/>
      <c r="F6" s="3920"/>
      <c r="G6" s="4040"/>
      <c r="H6" s="4040"/>
      <c r="I6" s="4040"/>
      <c r="J6" s="4040"/>
      <c r="K6" s="4040"/>
      <c r="L6" s="4040"/>
      <c r="M6" s="4033"/>
      <c r="N6" s="4033"/>
      <c r="O6" s="4033"/>
      <c r="P6" s="4033"/>
    </row>
    <row r="7" spans="1:16" s="241" customFormat="1" ht="14.25" customHeight="1">
      <c r="A7" s="3921"/>
      <c r="B7" s="3921"/>
      <c r="C7" s="94">
        <v>1</v>
      </c>
      <c r="D7" s="94">
        <v>2</v>
      </c>
      <c r="E7" s="94">
        <v>3</v>
      </c>
      <c r="F7" s="94">
        <v>4</v>
      </c>
      <c r="G7" s="94">
        <v>5</v>
      </c>
      <c r="H7" s="94">
        <v>6</v>
      </c>
      <c r="I7" s="94">
        <v>7</v>
      </c>
      <c r="J7" s="94">
        <v>8</v>
      </c>
      <c r="K7" s="94">
        <v>9</v>
      </c>
      <c r="L7" s="94">
        <v>10</v>
      </c>
      <c r="M7" s="94">
        <v>11</v>
      </c>
      <c r="N7" s="94">
        <v>12</v>
      </c>
      <c r="O7" s="94">
        <v>13</v>
      </c>
      <c r="P7" s="94">
        <v>14</v>
      </c>
    </row>
    <row r="8" spans="1:16" ht="14.25" customHeight="1">
      <c r="A8" s="94">
        <v>1</v>
      </c>
      <c r="B8" s="95" t="s">
        <v>489</v>
      </c>
      <c r="C8" s="2132">
        <f>专项用途财政性资金审核表!C7</f>
        <v>2012</v>
      </c>
      <c r="D8" s="96">
        <f>ROUND(专项用途财政性资金审核表!D7,2)</f>
        <v>0</v>
      </c>
      <c r="E8" s="96">
        <f>ROUND(专项用途财政性资金审核表!E7,2)</f>
        <v>0</v>
      </c>
      <c r="F8" s="97">
        <f>ROUND(专项用途财政性资金审核表!F7,2)</f>
        <v>0</v>
      </c>
      <c r="G8" s="96">
        <f>ROUND(专项用途财政性资金审核表!G7,2)</f>
        <v>0</v>
      </c>
      <c r="H8" s="96">
        <f>ROUND(专项用途财政性资金审核表!H7,2)</f>
        <v>0</v>
      </c>
      <c r="I8" s="96">
        <f>ROUND(专项用途财政性资金审核表!I7,2)</f>
        <v>0</v>
      </c>
      <c r="J8" s="96">
        <f>ROUND(专项用途财政性资金审核表!J7,2)</f>
        <v>0</v>
      </c>
      <c r="K8" s="96">
        <f>ROUND(专项用途财政性资金审核表!K7,2)</f>
        <v>0</v>
      </c>
      <c r="L8" s="98">
        <f>ROUND(专项用途财政性资金审核表!L7,2)</f>
        <v>0</v>
      </c>
      <c r="M8" s="98">
        <f>ROUND(专项用途财政性资金审核表!M7,2)</f>
        <v>0</v>
      </c>
      <c r="N8" s="242">
        <f>ROUND(E8-G8-H8-I8-J8-K8-L8,2)</f>
        <v>0</v>
      </c>
      <c r="O8" s="96">
        <f>ROUND(专项用途财政性资金审核表!O7,2)</f>
        <v>0</v>
      </c>
      <c r="P8" s="96">
        <f>ROUND(专项用途财政性资金审核表!P7,2)</f>
        <v>0</v>
      </c>
    </row>
    <row r="9" spans="1:16" ht="14.25" customHeight="1">
      <c r="A9" s="94">
        <v>2</v>
      </c>
      <c r="B9" s="95" t="s">
        <v>490</v>
      </c>
      <c r="C9" s="2132">
        <f>专项用途财政性资金审核表!C8</f>
        <v>2013</v>
      </c>
      <c r="D9" s="96">
        <f>ROUND(专项用途财政性资金审核表!D8,2)</f>
        <v>0</v>
      </c>
      <c r="E9" s="96">
        <f>ROUND(专项用途财政性资金审核表!E8,2)</f>
        <v>0</v>
      </c>
      <c r="F9" s="96">
        <f>ROUND(专项用途财政性资金审核表!F8,2)</f>
        <v>0</v>
      </c>
      <c r="G9" s="98" t="s">
        <v>133</v>
      </c>
      <c r="H9" s="96">
        <f>ROUND(专项用途财政性资金审核表!H8,2)</f>
        <v>0</v>
      </c>
      <c r="I9" s="96">
        <f>ROUND(专项用途财政性资金审核表!I8,2)</f>
        <v>0</v>
      </c>
      <c r="J9" s="96">
        <f>ROUND(专项用途财政性资金审核表!J8,2)</f>
        <v>0</v>
      </c>
      <c r="K9" s="96">
        <f>ROUND(专项用途财政性资金审核表!K8,2)</f>
        <v>0</v>
      </c>
      <c r="L9" s="96">
        <f>ROUND(专项用途财政性资金审核表!L8,2)</f>
        <v>0</v>
      </c>
      <c r="M9" s="96">
        <f>ROUND(专项用途财政性资金审核表!M8,2)</f>
        <v>0</v>
      </c>
      <c r="N9" s="242">
        <f>ROUND(E9-H9-I9-J9-K9-L9,2)</f>
        <v>0</v>
      </c>
      <c r="O9" s="96">
        <f>ROUND(专项用途财政性资金审核表!O8,2)</f>
        <v>0</v>
      </c>
      <c r="P9" s="100">
        <f>ROUND(专项用途财政性资金审核表!P8,2)</f>
        <v>0</v>
      </c>
    </row>
    <row r="10" spans="1:16" ht="14.25" customHeight="1">
      <c r="A10" s="94">
        <v>3</v>
      </c>
      <c r="B10" s="95" t="s">
        <v>491</v>
      </c>
      <c r="C10" s="2132">
        <f>专项用途财政性资金审核表!C9</f>
        <v>2014</v>
      </c>
      <c r="D10" s="96">
        <f>ROUND(专项用途财政性资金审核表!D9,2)</f>
        <v>0</v>
      </c>
      <c r="E10" s="96">
        <f>ROUND(专项用途财政性资金审核表!E9,2)</f>
        <v>0</v>
      </c>
      <c r="F10" s="96">
        <f>ROUND(专项用途财政性资金审核表!F9,2)</f>
        <v>0</v>
      </c>
      <c r="G10" s="98" t="s">
        <v>133</v>
      </c>
      <c r="H10" s="98" t="s">
        <v>133</v>
      </c>
      <c r="I10" s="96">
        <f>ROUND(专项用途财政性资金审核表!I9,2)</f>
        <v>0</v>
      </c>
      <c r="J10" s="96">
        <f>ROUND(专项用途财政性资金审核表!J9,2)</f>
        <v>0</v>
      </c>
      <c r="K10" s="96">
        <f>ROUND(专项用途财政性资金审核表!K9,2)</f>
        <v>0</v>
      </c>
      <c r="L10" s="96">
        <f>ROUND(专项用途财政性资金审核表!L9,2)</f>
        <v>0</v>
      </c>
      <c r="M10" s="96">
        <f>ROUND(专项用途财政性资金审核表!M9,2)</f>
        <v>0</v>
      </c>
      <c r="N10" s="242">
        <f>ROUND(E10-I10-J10-K10-L10,2)</f>
        <v>0</v>
      </c>
      <c r="O10" s="96">
        <f>ROUND(专项用途财政性资金审核表!O9,2)</f>
        <v>0</v>
      </c>
      <c r="P10" s="100">
        <f>ROUND(专项用途财政性资金审核表!P9,2)</f>
        <v>0</v>
      </c>
    </row>
    <row r="11" spans="1:16" ht="14.25" customHeight="1">
      <c r="A11" s="94">
        <v>4</v>
      </c>
      <c r="B11" s="95" t="s">
        <v>492</v>
      </c>
      <c r="C11" s="2132">
        <f>专项用途财政性资金审核表!C10</f>
        <v>2015</v>
      </c>
      <c r="D11" s="96">
        <f>ROUND(专项用途财政性资金审核表!D10,2)</f>
        <v>0</v>
      </c>
      <c r="E11" s="96">
        <f>ROUND(专项用途财政性资金审核表!E10,2)</f>
        <v>0</v>
      </c>
      <c r="F11" s="96">
        <f>ROUND(专项用途财政性资金审核表!F10,2)</f>
        <v>0</v>
      </c>
      <c r="G11" s="98" t="s">
        <v>133</v>
      </c>
      <c r="H11" s="98" t="s">
        <v>133</v>
      </c>
      <c r="I11" s="98" t="s">
        <v>133</v>
      </c>
      <c r="J11" s="96">
        <f>ROUND(专项用途财政性资金审核表!J10,2)</f>
        <v>0</v>
      </c>
      <c r="K11" s="96">
        <f>ROUND(专项用途财政性资金审核表!K10,2)</f>
        <v>0</v>
      </c>
      <c r="L11" s="96">
        <f>ROUND(专项用途财政性资金审核表!L10,2)</f>
        <v>0</v>
      </c>
      <c r="M11" s="96">
        <f>ROUND(专项用途财政性资金审核表!M10,2)</f>
        <v>0</v>
      </c>
      <c r="N11" s="242">
        <f>ROUND(E11-J11-K11-L11,2)</f>
        <v>0</v>
      </c>
      <c r="O11" s="96">
        <f>ROUND(专项用途财政性资金审核表!O10,2)</f>
        <v>0</v>
      </c>
      <c r="P11" s="100">
        <f>ROUND(专项用途财政性资金审核表!P10,2)</f>
        <v>0</v>
      </c>
    </row>
    <row r="12" spans="1:16" ht="14.25" customHeight="1">
      <c r="A12" s="94">
        <v>5</v>
      </c>
      <c r="B12" s="95" t="s">
        <v>493</v>
      </c>
      <c r="C12" s="2132">
        <f>专项用途财政性资金审核表!C11</f>
        <v>2016</v>
      </c>
      <c r="D12" s="96">
        <f>ROUND(专项用途财政性资金审核表!D11,2)</f>
        <v>0</v>
      </c>
      <c r="E12" s="101">
        <f>ROUND(专项用途财政性资金审核表!E11,2)</f>
        <v>0</v>
      </c>
      <c r="F12" s="101">
        <f>ROUND(专项用途财政性资金审核表!F11,2)</f>
        <v>0</v>
      </c>
      <c r="G12" s="98" t="s">
        <v>133</v>
      </c>
      <c r="H12" s="98" t="s">
        <v>133</v>
      </c>
      <c r="I12" s="98" t="s">
        <v>133</v>
      </c>
      <c r="J12" s="98" t="s">
        <v>133</v>
      </c>
      <c r="K12" s="102">
        <f>ROUND(专项用途财政性资金审核表!K11,2)</f>
        <v>0</v>
      </c>
      <c r="L12" s="102">
        <f>ROUND(专项用途财政性资金审核表!L11,2)</f>
        <v>0</v>
      </c>
      <c r="M12" s="102">
        <f>ROUND(专项用途财政性资金审核表!M11,2)</f>
        <v>0</v>
      </c>
      <c r="N12" s="242">
        <f>ROUND(E12-K12-L12,2)</f>
        <v>0</v>
      </c>
      <c r="O12" s="102">
        <f>ROUND(专项用途财政性资金审核表!O11,2)</f>
        <v>0</v>
      </c>
      <c r="P12" s="100">
        <f>ROUND(专项用途财政性资金审核表!P11,2)</f>
        <v>0</v>
      </c>
    </row>
    <row r="13" spans="1:16" ht="14.25" customHeight="1">
      <c r="A13" s="94">
        <v>6</v>
      </c>
      <c r="B13" s="94" t="s">
        <v>494</v>
      </c>
      <c r="C13" s="2132">
        <f>专项用途财政性资金审核表!C12</f>
        <v>2017</v>
      </c>
      <c r="D13" s="96">
        <f>ROUND(专项用途财政性资金审核表!D12,2)</f>
        <v>0</v>
      </c>
      <c r="E13" s="101">
        <f>ROUND(专项用途财政性资金审核表!E12,2)</f>
        <v>0</v>
      </c>
      <c r="F13" s="101">
        <f>ROUND(专项用途财政性资金审核表!F12,2)</f>
        <v>0</v>
      </c>
      <c r="G13" s="98" t="s">
        <v>133</v>
      </c>
      <c r="H13" s="98" t="s">
        <v>133</v>
      </c>
      <c r="I13" s="98" t="s">
        <v>133</v>
      </c>
      <c r="J13" s="98" t="s">
        <v>133</v>
      </c>
      <c r="K13" s="98" t="s">
        <v>133</v>
      </c>
      <c r="L13" s="102">
        <f>ROUND(专项用途财政性资金审核表!L12,2)</f>
        <v>0</v>
      </c>
      <c r="M13" s="102">
        <f>ROUND(专项用途财政性资金审核表!M12,2)</f>
        <v>0</v>
      </c>
      <c r="N13" s="242">
        <f>ROUND(E13-L13,2)</f>
        <v>0</v>
      </c>
      <c r="O13" s="102">
        <f>ROUND(专项用途财政性资金审核表!O12,2)</f>
        <v>0</v>
      </c>
      <c r="P13" s="100">
        <f>ROUND(专项用途财政性资金审核表!P12,2)</f>
        <v>0</v>
      </c>
    </row>
    <row r="14" spans="1:16">
      <c r="A14" s="3921">
        <v>7</v>
      </c>
      <c r="B14" s="3920" t="s">
        <v>495</v>
      </c>
      <c r="C14" s="4106" t="s">
        <v>496</v>
      </c>
      <c r="D14" s="4107">
        <f>ROUND(专项用途财政性资金审核表!D13,2)</f>
        <v>0</v>
      </c>
      <c r="E14" s="4107">
        <f>ROUND(专项用途财政性资金审核表!E13,2)</f>
        <v>0</v>
      </c>
      <c r="F14" s="4107">
        <f>ROUND(专项用途财政性资金审核表!F13,2)</f>
        <v>0</v>
      </c>
      <c r="G14" s="4106">
        <f>ROUND(SUM(G8:G13),2)</f>
        <v>0</v>
      </c>
      <c r="H14" s="4106">
        <f>ROUND(SUM(H8:H13),2)</f>
        <v>0</v>
      </c>
      <c r="I14" s="4106">
        <f>ROUND(SUM(I8:I13),2)</f>
        <v>0</v>
      </c>
      <c r="J14" s="4106">
        <f>ROUND(SUM(J8:J13),2)</f>
        <v>0</v>
      </c>
      <c r="K14" s="4106">
        <f>ROUND(SUM(K8:K13),2)</f>
        <v>0</v>
      </c>
      <c r="L14" s="4107">
        <f>ROUND(专项用途财政性资金审核表!L13,2)</f>
        <v>0</v>
      </c>
      <c r="M14" s="4107">
        <f>ROUND(专项用途财政性资金审核表!M13,2)</f>
        <v>0</v>
      </c>
      <c r="N14" s="4107">
        <f>ROUND(专项用途财政性资金审核表!N13,2)</f>
        <v>0</v>
      </c>
      <c r="O14" s="4107">
        <f>ROUND(专项用途财政性资金审核表!O13,2)</f>
        <v>0</v>
      </c>
      <c r="P14" s="4107">
        <f>ROUND(专项用途财政性资金审核表!P13,2)</f>
        <v>0</v>
      </c>
    </row>
    <row r="15" spans="1:16" ht="14.25" customHeight="1">
      <c r="A15" s="3921"/>
      <c r="B15" s="3920"/>
      <c r="C15" s="4106"/>
      <c r="D15" s="4108"/>
      <c r="E15" s="4108"/>
      <c r="F15" s="4108"/>
      <c r="G15" s="4106"/>
      <c r="H15" s="4106"/>
      <c r="I15" s="4106"/>
      <c r="J15" s="4106"/>
      <c r="K15" s="4106"/>
      <c r="L15" s="4108"/>
      <c r="M15" s="4108"/>
      <c r="N15" s="4108"/>
      <c r="O15" s="4108"/>
      <c r="P15" s="4108"/>
    </row>
    <row r="16" spans="1:16" ht="14.25" customHeight="1">
      <c r="A16" s="3921"/>
      <c r="B16" s="3920"/>
      <c r="C16" s="4106"/>
      <c r="D16" s="4109"/>
      <c r="E16" s="4109"/>
      <c r="F16" s="4109"/>
      <c r="G16" s="4106"/>
      <c r="H16" s="4106"/>
      <c r="I16" s="4106"/>
      <c r="J16" s="4106"/>
      <c r="K16" s="4106"/>
      <c r="L16" s="4109"/>
      <c r="M16" s="4109"/>
      <c r="N16" s="4109"/>
      <c r="O16" s="4109"/>
      <c r="P16" s="4109"/>
    </row>
    <row r="17" spans="1:19" s="243" customFormat="1">
      <c r="A17" s="3934"/>
      <c r="B17" s="3934"/>
      <c r="C17" s="3934"/>
      <c r="D17" s="3934"/>
      <c r="E17" s="3934"/>
      <c r="F17" s="3934"/>
      <c r="G17" s="3934"/>
      <c r="H17" s="3934"/>
      <c r="I17" s="3934"/>
      <c r="J17" s="3934"/>
      <c r="K17" s="3934"/>
      <c r="L17" s="3934"/>
      <c r="M17" s="3934"/>
      <c r="N17" s="3934"/>
      <c r="O17" s="3934"/>
      <c r="P17" s="3934"/>
      <c r="Q17" s="99"/>
      <c r="R17" s="99"/>
      <c r="S17" s="99"/>
    </row>
    <row r="18" spans="1:19" ht="16.5">
      <c r="A18" s="4112"/>
      <c r="B18" s="4113"/>
      <c r="C18" s="4113"/>
      <c r="D18" s="4113"/>
      <c r="E18" s="4113"/>
      <c r="F18" s="4113"/>
      <c r="G18" s="4113"/>
      <c r="H18" s="4113"/>
      <c r="I18" s="4113"/>
      <c r="J18" s="4113"/>
      <c r="K18" s="4113"/>
      <c r="L18" s="4113"/>
      <c r="M18" s="4113"/>
      <c r="N18" s="4113"/>
      <c r="O18" s="4113"/>
      <c r="P18" s="4113"/>
    </row>
    <row r="19" spans="1:19" s="244" customFormat="1" ht="12">
      <c r="A19" s="4114" t="s">
        <v>1414</v>
      </c>
      <c r="B19" s="4105"/>
      <c r="C19" s="4105"/>
      <c r="D19" s="4105"/>
      <c r="E19" s="4105"/>
      <c r="F19" s="4105"/>
      <c r="G19" s="4105"/>
      <c r="H19" s="4105"/>
      <c r="I19" s="4105"/>
      <c r="J19" s="4105"/>
      <c r="K19" s="4105"/>
      <c r="L19" s="4105"/>
      <c r="M19" s="4105"/>
      <c r="N19" s="4105"/>
      <c r="O19" s="4105"/>
      <c r="P19" s="4105"/>
    </row>
    <row r="20" spans="1:19" s="244" customFormat="1" ht="12">
      <c r="A20" s="4111" t="s">
        <v>1415</v>
      </c>
      <c r="B20" s="4111"/>
      <c r="C20" s="4111"/>
      <c r="D20" s="4111"/>
      <c r="E20" s="4111"/>
      <c r="F20" s="4111"/>
      <c r="G20" s="4111"/>
      <c r="H20" s="4111"/>
      <c r="I20" s="4111"/>
      <c r="J20" s="4111"/>
      <c r="K20" s="4111"/>
      <c r="L20" s="4111"/>
      <c r="M20" s="4111"/>
      <c r="N20" s="4111"/>
      <c r="O20" s="4111"/>
      <c r="P20" s="4111"/>
    </row>
    <row r="21" spans="1:19" s="244" customFormat="1" ht="12">
      <c r="A21" s="4105"/>
      <c r="B21" s="4105"/>
      <c r="C21" s="4105"/>
      <c r="D21" s="4105"/>
      <c r="E21" s="4105"/>
      <c r="F21" s="4105"/>
      <c r="G21" s="4105"/>
      <c r="H21" s="4105"/>
      <c r="I21" s="4105"/>
      <c r="J21" s="4105"/>
      <c r="K21" s="4105"/>
      <c r="L21" s="4105"/>
      <c r="M21" s="4105"/>
      <c r="N21" s="4105"/>
      <c r="O21" s="4105"/>
      <c r="P21" s="4105"/>
    </row>
    <row r="22" spans="1:19" s="244" customFormat="1" ht="12">
      <c r="A22" s="4110" t="s">
        <v>1412</v>
      </c>
      <c r="B22" s="4105"/>
      <c r="C22" s="4105"/>
      <c r="D22" s="4105"/>
      <c r="E22" s="4105"/>
      <c r="F22" s="4105"/>
      <c r="G22" s="4105"/>
      <c r="H22" s="4105"/>
      <c r="I22" s="4105"/>
      <c r="J22" s="4105"/>
      <c r="K22" s="4105"/>
      <c r="L22" s="4105"/>
      <c r="M22" s="4105"/>
      <c r="N22" s="4105"/>
      <c r="O22" s="4105"/>
      <c r="P22" s="4105"/>
    </row>
    <row r="23" spans="1:19" s="244" customFormat="1" ht="12">
      <c r="A23" s="4111" t="s">
        <v>1417</v>
      </c>
      <c r="B23" s="4111"/>
      <c r="C23" s="4111"/>
      <c r="D23" s="4111"/>
      <c r="E23" s="4111"/>
      <c r="F23" s="4111"/>
      <c r="G23" s="4111"/>
      <c r="H23" s="4111"/>
      <c r="I23" s="4111"/>
      <c r="J23" s="4111"/>
      <c r="K23" s="4111"/>
      <c r="L23" s="4111"/>
      <c r="M23" s="4111"/>
      <c r="N23" s="4111"/>
      <c r="O23" s="4111"/>
      <c r="P23" s="4111"/>
    </row>
  </sheetData>
  <mergeCells count="46">
    <mergeCell ref="A22:P22"/>
    <mergeCell ref="A23:P23"/>
    <mergeCell ref="N14:N16"/>
    <mergeCell ref="O14:O16"/>
    <mergeCell ref="P14:P16"/>
    <mergeCell ref="A17:P17"/>
    <mergeCell ref="A18:P18"/>
    <mergeCell ref="A19:P19"/>
    <mergeCell ref="H14:H16"/>
    <mergeCell ref="I14:I16"/>
    <mergeCell ref="J14:J16"/>
    <mergeCell ref="K14:K16"/>
    <mergeCell ref="L14:L16"/>
    <mergeCell ref="M14:M16"/>
    <mergeCell ref="G14:G16"/>
    <mergeCell ref="A20:P20"/>
    <mergeCell ref="A21:P21"/>
    <mergeCell ref="E5:E6"/>
    <mergeCell ref="F5:F6"/>
    <mergeCell ref="A14:A16"/>
    <mergeCell ref="B14:B16"/>
    <mergeCell ref="C14:C16"/>
    <mergeCell ref="D14:D16"/>
    <mergeCell ref="E14:E16"/>
    <mergeCell ref="F14:F16"/>
    <mergeCell ref="L4:L6"/>
    <mergeCell ref="M4:M6"/>
    <mergeCell ref="N4:N6"/>
    <mergeCell ref="O4:O6"/>
    <mergeCell ref="P4:P6"/>
    <mergeCell ref="A1:E1"/>
    <mergeCell ref="G1:P1"/>
    <mergeCell ref="A2:P2"/>
    <mergeCell ref="A3:A7"/>
    <mergeCell ref="B3:B7"/>
    <mergeCell ref="C3:C6"/>
    <mergeCell ref="D3:D6"/>
    <mergeCell ref="E3:F4"/>
    <mergeCell ref="G3:K3"/>
    <mergeCell ref="L3:M3"/>
    <mergeCell ref="N3:P3"/>
    <mergeCell ref="G4:G6"/>
    <mergeCell ref="H4:H6"/>
    <mergeCell ref="I4:I6"/>
    <mergeCell ref="J4:J6"/>
    <mergeCell ref="K4:K6"/>
  </mergeCells>
  <phoneticPr fontId="1" type="noConversion"/>
  <hyperlinks>
    <hyperlink ref="G1:P1" location="A105000纳税调整项目明细表!A1" display="返回纳税调整项目明细表（A105000）"/>
    <hyperlink ref="A1:E1" location="'A100000 中华人民共和国企业所得税年度纳税申报表（A类）'!A1" display="返回主表（A100000）"/>
    <hyperlink ref="A20:P20" r:id="rId1" display=" 《中国税务合规实务指南—所得税》  广告费和业务宣传费[¶30-630] "/>
    <hyperlink ref="A23:P23" r:id="rId2" display="《财政部、国家税务总局关于专项用途财政性资金企业所得税处理问题的通知》（财税〔2011〕70号）"/>
  </hyperlinks>
  <pageMargins left="0.70866141732283472" right="0.70866141732283472" top="0.74803149606299213" bottom="0.74803149606299213" header="0.31496062992125984" footer="0.31496062992125984"/>
  <pageSetup paperSize="9" scale="78" orientation="landscape" verticalDpi="0" r:id="rId3"/>
  <legacyDrawing r:id="rId4"/>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pageSetUpPr fitToPage="1"/>
  </sheetPr>
  <dimension ref="A1:L27"/>
  <sheetViews>
    <sheetView workbookViewId="0">
      <selection sqref="A1:B1"/>
    </sheetView>
  </sheetViews>
  <sheetFormatPr defaultColWidth="10.875" defaultRowHeight="14.25"/>
  <cols>
    <col min="1" max="1" width="5" style="253" customWidth="1"/>
    <col min="2" max="2" width="39.125" style="253" customWidth="1"/>
    <col min="3" max="9" width="13" style="253" customWidth="1"/>
    <col min="10" max="10" width="1.25" style="253" customWidth="1"/>
    <col min="11" max="11" width="32.25" style="253" customWidth="1"/>
    <col min="12" max="16384" width="10.875" style="253"/>
  </cols>
  <sheetData>
    <row r="1" spans="1:12" ht="20.100000000000001" customHeight="1">
      <c r="A1" s="4101" t="s">
        <v>1184</v>
      </c>
      <c r="B1" s="4081"/>
      <c r="C1" s="4081" t="s">
        <v>504</v>
      </c>
      <c r="D1" s="4081"/>
      <c r="E1" s="4081"/>
      <c r="F1" s="4081"/>
      <c r="G1" s="4081"/>
      <c r="H1" s="4081"/>
      <c r="I1" s="4081"/>
      <c r="J1" s="252"/>
      <c r="K1" s="252"/>
    </row>
    <row r="2" spans="1:12" ht="25.5" customHeight="1">
      <c r="A2" s="4082" t="s">
        <v>1185</v>
      </c>
      <c r="B2" s="4127"/>
      <c r="C2" s="4127"/>
      <c r="D2" s="4127"/>
      <c r="E2" s="4127"/>
      <c r="F2" s="4127"/>
      <c r="G2" s="4127"/>
      <c r="H2" s="4127"/>
      <c r="I2" s="4127"/>
      <c r="K2" s="254" t="s">
        <v>505</v>
      </c>
    </row>
    <row r="3" spans="1:12" s="256" customFormat="1" ht="14.25" customHeight="1">
      <c r="A3" s="4115" t="s">
        <v>147</v>
      </c>
      <c r="B3" s="4115" t="s">
        <v>506</v>
      </c>
      <c r="C3" s="4115" t="s">
        <v>370</v>
      </c>
      <c r="D3" s="4115" t="s">
        <v>523</v>
      </c>
      <c r="E3" s="4118" t="s">
        <v>507</v>
      </c>
      <c r="F3" s="4118" t="s">
        <v>508</v>
      </c>
      <c r="G3" s="4115" t="s">
        <v>371</v>
      </c>
      <c r="H3" s="4115" t="s">
        <v>509</v>
      </c>
      <c r="I3" s="4118" t="s">
        <v>510</v>
      </c>
      <c r="J3" s="252"/>
      <c r="K3" s="4120"/>
      <c r="L3" s="255"/>
    </row>
    <row r="4" spans="1:12" s="256" customFormat="1" ht="14.25" customHeight="1">
      <c r="A4" s="4128"/>
      <c r="B4" s="4128"/>
      <c r="C4" s="4116"/>
      <c r="D4" s="4116"/>
      <c r="E4" s="4119"/>
      <c r="F4" s="4119"/>
      <c r="G4" s="4116"/>
      <c r="H4" s="4116"/>
      <c r="I4" s="4119"/>
      <c r="J4" s="252"/>
      <c r="K4" s="4121"/>
      <c r="L4" s="255"/>
    </row>
    <row r="5" spans="1:12" s="256" customFormat="1" ht="14.25" customHeight="1">
      <c r="A5" s="4116"/>
      <c r="B5" s="4116"/>
      <c r="C5" s="105">
        <v>1</v>
      </c>
      <c r="D5" s="105">
        <v>2</v>
      </c>
      <c r="E5" s="105">
        <v>3</v>
      </c>
      <c r="F5" s="105">
        <v>4</v>
      </c>
      <c r="G5" s="105">
        <v>5</v>
      </c>
      <c r="H5" s="105" t="s">
        <v>524</v>
      </c>
      <c r="I5" s="105" t="s">
        <v>525</v>
      </c>
      <c r="J5" s="257"/>
      <c r="K5" s="4122"/>
      <c r="L5" s="255"/>
    </row>
    <row r="6" spans="1:12" ht="14.25" customHeight="1">
      <c r="A6" s="105">
        <v>1</v>
      </c>
      <c r="B6" s="258" t="s">
        <v>511</v>
      </c>
      <c r="C6" s="107">
        <f>ROUND(工资福利!C15,2)</f>
        <v>0</v>
      </c>
      <c r="D6" s="107">
        <f>ROUND(工资福利!C17,2)</f>
        <v>0</v>
      </c>
      <c r="E6" s="106" t="s">
        <v>133</v>
      </c>
      <c r="F6" s="106" t="s">
        <v>133</v>
      </c>
      <c r="G6" s="107">
        <f>ROUND(工资福利!C18,2)</f>
        <v>0</v>
      </c>
      <c r="H6" s="259">
        <f t="shared" ref="H6:H12" si="0">ROUND(C6-G6,2)</f>
        <v>0</v>
      </c>
      <c r="I6" s="106" t="s">
        <v>133</v>
      </c>
      <c r="J6" s="260"/>
      <c r="K6" s="4123" t="s">
        <v>1363</v>
      </c>
      <c r="L6" s="252"/>
    </row>
    <row r="7" spans="1:12" ht="14.25" customHeight="1">
      <c r="A7" s="105">
        <v>2</v>
      </c>
      <c r="B7" s="258" t="s">
        <v>512</v>
      </c>
      <c r="C7" s="107">
        <f>工资福利!C25</f>
        <v>0</v>
      </c>
      <c r="D7" s="2131">
        <f>C7</f>
        <v>0</v>
      </c>
      <c r="E7" s="106" t="s">
        <v>133</v>
      </c>
      <c r="F7" s="106" t="s">
        <v>133</v>
      </c>
      <c r="G7" s="259">
        <f>MIN(C7,D7)</f>
        <v>0</v>
      </c>
      <c r="H7" s="259">
        <f t="shared" si="0"/>
        <v>0</v>
      </c>
      <c r="I7" s="106" t="s">
        <v>133</v>
      </c>
      <c r="J7" s="260"/>
      <c r="K7" s="4124"/>
      <c r="L7" s="252"/>
    </row>
    <row r="8" spans="1:12" ht="14.25" customHeight="1">
      <c r="A8" s="105">
        <v>3</v>
      </c>
      <c r="B8" s="261" t="s">
        <v>513</v>
      </c>
      <c r="C8" s="107">
        <f>工资福利!E15</f>
        <v>0</v>
      </c>
      <c r="D8" s="107">
        <f>工资福利!E17</f>
        <v>0</v>
      </c>
      <c r="E8" s="2133">
        <v>0.14000000000000001</v>
      </c>
      <c r="F8" s="106" t="s">
        <v>133</v>
      </c>
      <c r="G8" s="259">
        <f>MIN(G6*14%,C8,D8)</f>
        <v>0</v>
      </c>
      <c r="H8" s="259">
        <f t="shared" si="0"/>
        <v>0</v>
      </c>
      <c r="I8" s="106" t="s">
        <v>133</v>
      </c>
      <c r="J8" s="260"/>
      <c r="K8" s="4123" t="s">
        <v>1425</v>
      </c>
      <c r="L8" s="252"/>
    </row>
    <row r="9" spans="1:12" ht="14.25" customHeight="1">
      <c r="A9" s="105">
        <v>4</v>
      </c>
      <c r="B9" s="261" t="s">
        <v>514</v>
      </c>
      <c r="C9" s="259">
        <f>ROUND(C10+C11,2)</f>
        <v>0</v>
      </c>
      <c r="D9" s="259">
        <f>ROUND(D10+D11,2)</f>
        <v>0</v>
      </c>
      <c r="E9" s="106" t="s">
        <v>133</v>
      </c>
      <c r="F9" s="259">
        <f>F10</f>
        <v>0</v>
      </c>
      <c r="G9" s="259">
        <f>ROUND(G10+G11,2)</f>
        <v>0</v>
      </c>
      <c r="H9" s="259">
        <f t="shared" si="0"/>
        <v>0</v>
      </c>
      <c r="I9" s="259">
        <f>I10</f>
        <v>0</v>
      </c>
      <c r="J9" s="260"/>
      <c r="K9" s="4125"/>
      <c r="L9" s="252"/>
    </row>
    <row r="10" spans="1:12">
      <c r="A10" s="105">
        <v>5</v>
      </c>
      <c r="B10" s="469" t="s">
        <v>1614</v>
      </c>
      <c r="C10" s="107">
        <f>工资福利!F15</f>
        <v>0</v>
      </c>
      <c r="D10" s="107">
        <f>工资福利!F17</f>
        <v>0</v>
      </c>
      <c r="E10" s="2134">
        <v>2.5000000000000001E-2</v>
      </c>
      <c r="F10" s="107">
        <f>工资福利!F21</f>
        <v>0</v>
      </c>
      <c r="G10" s="259">
        <f>MIN(G6*E10,SUM(C10+F10))</f>
        <v>0</v>
      </c>
      <c r="H10" s="259">
        <f t="shared" si="0"/>
        <v>0</v>
      </c>
      <c r="I10" s="259">
        <f>ROUND(C10+F10-G10,2)</f>
        <v>0</v>
      </c>
      <c r="J10" s="260"/>
      <c r="K10" s="4125"/>
      <c r="L10" s="252"/>
    </row>
    <row r="11" spans="1:12">
      <c r="A11" s="105">
        <v>6</v>
      </c>
      <c r="B11" s="470" t="s">
        <v>515</v>
      </c>
      <c r="C11" s="107">
        <f>工资福利!F26</f>
        <v>0</v>
      </c>
      <c r="D11" s="2131">
        <f>C11</f>
        <v>0</v>
      </c>
      <c r="E11" s="2133">
        <v>1</v>
      </c>
      <c r="F11" s="106" t="s">
        <v>133</v>
      </c>
      <c r="G11" s="107">
        <f>D11</f>
        <v>0</v>
      </c>
      <c r="H11" s="259">
        <f t="shared" si="0"/>
        <v>0</v>
      </c>
      <c r="I11" s="106" t="s">
        <v>133</v>
      </c>
      <c r="J11" s="260"/>
      <c r="K11" s="4125"/>
      <c r="L11" s="252"/>
    </row>
    <row r="12" spans="1:12" ht="14.25" customHeight="1">
      <c r="A12" s="105">
        <v>7</v>
      </c>
      <c r="B12" s="261" t="s">
        <v>516</v>
      </c>
      <c r="C12" s="107">
        <f>工资福利!G15</f>
        <v>0</v>
      </c>
      <c r="D12" s="107">
        <f>工资福利!G17</f>
        <v>0</v>
      </c>
      <c r="E12" s="2133">
        <v>0.02</v>
      </c>
      <c r="F12" s="106" t="s">
        <v>133</v>
      </c>
      <c r="G12" s="259">
        <f>MIN(G6*2%,C12,D12)</f>
        <v>0</v>
      </c>
      <c r="H12" s="259">
        <f t="shared" si="0"/>
        <v>0</v>
      </c>
      <c r="I12" s="106" t="s">
        <v>133</v>
      </c>
      <c r="J12" s="260"/>
      <c r="K12" s="4124"/>
      <c r="L12" s="252"/>
    </row>
    <row r="13" spans="1:12" ht="14.25" customHeight="1">
      <c r="A13" s="105">
        <v>8</v>
      </c>
      <c r="B13" s="261" t="s">
        <v>517</v>
      </c>
      <c r="C13" s="107">
        <f>社保!G24</f>
        <v>0</v>
      </c>
      <c r="D13" s="107">
        <f>社保!D8</f>
        <v>0</v>
      </c>
      <c r="E13" s="106" t="s">
        <v>133</v>
      </c>
      <c r="F13" s="106" t="s">
        <v>133</v>
      </c>
      <c r="G13" s="107">
        <f>社保!E8</f>
        <v>0</v>
      </c>
      <c r="H13" s="259">
        <f>ROUND(C13-G13,2)</f>
        <v>0</v>
      </c>
      <c r="I13" s="106" t="s">
        <v>133</v>
      </c>
      <c r="J13" s="260"/>
      <c r="K13" s="4123" t="s">
        <v>1426</v>
      </c>
      <c r="L13" s="252"/>
    </row>
    <row r="14" spans="1:12" ht="14.25" customHeight="1">
      <c r="A14" s="105">
        <v>9</v>
      </c>
      <c r="B14" s="261" t="s">
        <v>518</v>
      </c>
      <c r="C14" s="107">
        <f>社保!G27</f>
        <v>0</v>
      </c>
      <c r="D14" s="107">
        <f>社保!D17</f>
        <v>0</v>
      </c>
      <c r="E14" s="106" t="s">
        <v>133</v>
      </c>
      <c r="F14" s="106" t="s">
        <v>133</v>
      </c>
      <c r="G14" s="107">
        <f>社保!E17</f>
        <v>0</v>
      </c>
      <c r="H14" s="259">
        <f>ROUND(C14-G14,2)</f>
        <v>0</v>
      </c>
      <c r="I14" s="106" t="s">
        <v>133</v>
      </c>
      <c r="J14" s="260"/>
      <c r="K14" s="4124"/>
      <c r="L14" s="252"/>
    </row>
    <row r="15" spans="1:12" ht="14.25" customHeight="1">
      <c r="A15" s="105">
        <v>10</v>
      </c>
      <c r="B15" s="474" t="s">
        <v>1626</v>
      </c>
      <c r="C15" s="107">
        <f>社保!D15</f>
        <v>0</v>
      </c>
      <c r="D15" s="107">
        <f>C15</f>
        <v>0</v>
      </c>
      <c r="E15" s="2135">
        <v>0.05</v>
      </c>
      <c r="F15" s="106" t="s">
        <v>133</v>
      </c>
      <c r="G15" s="259">
        <f>MIN(G6*5%,C15,D15)</f>
        <v>0</v>
      </c>
      <c r="H15" s="259">
        <f>ROUND(C15-G15,2)</f>
        <v>0</v>
      </c>
      <c r="I15" s="106" t="s">
        <v>133</v>
      </c>
      <c r="J15" s="260"/>
      <c r="K15" s="262" t="s">
        <v>1427</v>
      </c>
      <c r="L15" s="252"/>
    </row>
    <row r="16" spans="1:12" ht="14.25" customHeight="1">
      <c r="A16" s="105">
        <v>11</v>
      </c>
      <c r="B16" s="263" t="s">
        <v>519</v>
      </c>
      <c r="C16" s="107">
        <f>社保!D16</f>
        <v>0</v>
      </c>
      <c r="D16" s="107">
        <f>C16</f>
        <v>0</v>
      </c>
      <c r="E16" s="2135">
        <v>0.05</v>
      </c>
      <c r="F16" s="106" t="s">
        <v>133</v>
      </c>
      <c r="G16" s="259">
        <f>MIN(G6*5%,C16,D16)</f>
        <v>0</v>
      </c>
      <c r="H16" s="259">
        <f>ROUND(C16-G16,2)</f>
        <v>0</v>
      </c>
      <c r="I16" s="106" t="s">
        <v>133</v>
      </c>
      <c r="J16" s="260"/>
      <c r="K16" s="262" t="s">
        <v>1427</v>
      </c>
      <c r="L16" s="252"/>
    </row>
    <row r="17" spans="1:12" ht="14.25" customHeight="1">
      <c r="A17" s="105">
        <v>12</v>
      </c>
      <c r="B17" s="263" t="s">
        <v>520</v>
      </c>
      <c r="C17" s="107">
        <f>社保!D18</f>
        <v>0</v>
      </c>
      <c r="D17" s="107">
        <f>C17</f>
        <v>0</v>
      </c>
      <c r="E17" s="106" t="s">
        <v>133</v>
      </c>
      <c r="F17" s="106">
        <v>0</v>
      </c>
      <c r="G17" s="107">
        <f>社保!E18</f>
        <v>0</v>
      </c>
      <c r="H17" s="259">
        <f>ROUND(C17-G17,2)</f>
        <v>0</v>
      </c>
      <c r="I17" s="259">
        <f>ROUND(C17+F17-G17,2)</f>
        <v>0</v>
      </c>
      <c r="J17" s="260"/>
      <c r="K17" s="264"/>
      <c r="L17" s="252"/>
    </row>
    <row r="18" spans="1:12" ht="14.25" customHeight="1">
      <c r="A18" s="105">
        <v>13</v>
      </c>
      <c r="B18" s="263" t="s">
        <v>521</v>
      </c>
      <c r="C18" s="259">
        <f>ROUND(C6+C8+C9+C12+C13+C14+C15+C16+C17,2)</f>
        <v>0</v>
      </c>
      <c r="D18" s="259">
        <f>ROUND(D6+D8+D9+D12+D13+D14+D15+D16+D17,2)</f>
        <v>0</v>
      </c>
      <c r="E18" s="106" t="s">
        <v>133</v>
      </c>
      <c r="F18" s="259">
        <f>ROUND(F9+F10+F17,2)</f>
        <v>0</v>
      </c>
      <c r="G18" s="259">
        <f>ROUND(G6+G8+G9+G12+G13+G14+G15+G16+G17,2)</f>
        <v>0</v>
      </c>
      <c r="H18" s="259">
        <f>ROUND(H6+H8+H9+H12+H13+H14+H15+H16+H17,2)</f>
        <v>0</v>
      </c>
      <c r="I18" s="259">
        <f>I9+I17</f>
        <v>0</v>
      </c>
      <c r="J18" s="260"/>
      <c r="K18" s="264"/>
      <c r="L18" s="252"/>
    </row>
    <row r="19" spans="1:12" s="265" customFormat="1" ht="15" customHeight="1">
      <c r="A19" s="4126"/>
      <c r="B19" s="4099"/>
      <c r="C19" s="4099"/>
      <c r="D19" s="4099"/>
      <c r="E19" s="4099"/>
      <c r="F19" s="4099"/>
      <c r="G19" s="4099"/>
      <c r="H19" s="4099"/>
      <c r="I19" s="4099"/>
      <c r="J19" s="232"/>
      <c r="K19" s="232"/>
    </row>
    <row r="20" spans="1:12" s="265" customFormat="1" ht="15" customHeight="1">
      <c r="A20" s="4117"/>
      <c r="B20" s="4012"/>
      <c r="C20" s="4012"/>
      <c r="D20" s="4012"/>
      <c r="E20" s="4012"/>
      <c r="F20" s="4012"/>
      <c r="G20" s="4012"/>
      <c r="H20" s="4012"/>
      <c r="I20" s="4012"/>
      <c r="J20" s="232"/>
      <c r="K20" s="232"/>
    </row>
    <row r="21" spans="1:12" s="248" customFormat="1" ht="15" customHeight="1">
      <c r="A21" s="4097" t="s">
        <v>1418</v>
      </c>
      <c r="B21" s="4096"/>
      <c r="C21" s="4096"/>
      <c r="D21" s="4096"/>
      <c r="E21" s="4096"/>
      <c r="F21" s="4096"/>
      <c r="G21" s="4096"/>
      <c r="H21" s="4096"/>
      <c r="I21" s="4096"/>
      <c r="J21" s="220"/>
      <c r="K21" s="220"/>
    </row>
    <row r="22" spans="1:12" s="248" customFormat="1" ht="15" customHeight="1">
      <c r="A22" s="4095" t="s">
        <v>1419</v>
      </c>
      <c r="B22" s="4095"/>
      <c r="C22" s="4095"/>
      <c r="D22" s="4095"/>
      <c r="E22" s="4095"/>
      <c r="F22" s="4095"/>
      <c r="G22" s="4095"/>
      <c r="H22" s="4095"/>
      <c r="I22" s="4095"/>
      <c r="J22" s="220"/>
      <c r="K22" s="220"/>
    </row>
    <row r="23" spans="1:12" s="248" customFormat="1" ht="15" customHeight="1">
      <c r="A23" s="4095" t="s">
        <v>1420</v>
      </c>
      <c r="B23" s="4095"/>
      <c r="C23" s="4095"/>
      <c r="D23" s="4095"/>
      <c r="E23" s="4095"/>
      <c r="F23" s="4095"/>
      <c r="G23" s="4095"/>
      <c r="H23" s="4095"/>
      <c r="I23" s="4095"/>
      <c r="J23" s="220"/>
      <c r="K23" s="220"/>
    </row>
    <row r="24" spans="1:12" s="248" customFormat="1" ht="15" customHeight="1">
      <c r="A24" s="4095" t="s">
        <v>1421</v>
      </c>
      <c r="B24" s="4095"/>
      <c r="C24" s="4095"/>
      <c r="D24" s="4095"/>
      <c r="E24" s="4095"/>
      <c r="F24" s="4095"/>
      <c r="G24" s="4095"/>
      <c r="H24" s="4095"/>
      <c r="I24" s="4095"/>
      <c r="J24" s="220"/>
      <c r="K24" s="220"/>
    </row>
    <row r="25" spans="1:12" s="248" customFormat="1" ht="15" customHeight="1">
      <c r="A25" s="4095" t="s">
        <v>1422</v>
      </c>
      <c r="B25" s="4095"/>
      <c r="C25" s="4095"/>
      <c r="D25" s="4095"/>
      <c r="E25" s="4095"/>
      <c r="F25" s="4095"/>
      <c r="G25" s="4095"/>
      <c r="H25" s="4095"/>
      <c r="I25" s="4095"/>
      <c r="J25" s="220"/>
      <c r="K25" s="220"/>
    </row>
    <row r="26" spans="1:12" s="248" customFormat="1" ht="15" customHeight="1">
      <c r="A26" s="4095" t="s">
        <v>1423</v>
      </c>
      <c r="B26" s="4095"/>
      <c r="C26" s="4095"/>
      <c r="D26" s="4095"/>
      <c r="E26" s="4095"/>
      <c r="F26" s="4095"/>
      <c r="G26" s="4095"/>
      <c r="H26" s="4095"/>
      <c r="I26" s="4095"/>
      <c r="J26" s="220"/>
      <c r="K26" s="220"/>
    </row>
    <row r="27" spans="1:12" s="248" customFormat="1" ht="15" customHeight="1">
      <c r="A27" s="4095" t="s">
        <v>1424</v>
      </c>
      <c r="B27" s="4095"/>
      <c r="C27" s="4095"/>
      <c r="D27" s="4095"/>
      <c r="E27" s="4095"/>
      <c r="F27" s="4095"/>
      <c r="G27" s="4095"/>
      <c r="H27" s="4095"/>
      <c r="I27" s="4095"/>
      <c r="J27" s="220"/>
      <c r="K27" s="220"/>
    </row>
  </sheetData>
  <mergeCells count="25">
    <mergeCell ref="A1:B1"/>
    <mergeCell ref="C1:I1"/>
    <mergeCell ref="A2:I2"/>
    <mergeCell ref="A3:A5"/>
    <mergeCell ref="B3:B5"/>
    <mergeCell ref="E3:E4"/>
    <mergeCell ref="F3:F4"/>
    <mergeCell ref="G3:G4"/>
    <mergeCell ref="H3:H4"/>
    <mergeCell ref="K3:K5"/>
    <mergeCell ref="K6:K7"/>
    <mergeCell ref="K8:K12"/>
    <mergeCell ref="K13:K14"/>
    <mergeCell ref="A19:I19"/>
    <mergeCell ref="A27:I27"/>
    <mergeCell ref="D3:D4"/>
    <mergeCell ref="A20:I20"/>
    <mergeCell ref="A21:I21"/>
    <mergeCell ref="A22:I22"/>
    <mergeCell ref="A23:I23"/>
    <mergeCell ref="A24:I24"/>
    <mergeCell ref="A25:I25"/>
    <mergeCell ref="I3:I4"/>
    <mergeCell ref="C3:C4"/>
    <mergeCell ref="A26:I26"/>
  </mergeCells>
  <phoneticPr fontId="24" type="noConversion"/>
  <hyperlinks>
    <hyperlink ref="C1:I1" location="A105000纳税调整项目明细表!A1" display="返回纳税调整项目明细表（A105000）"/>
    <hyperlink ref="A1:B1" location="'A100000 中华人民共和国企业所得税年度纳税申报表（A类）'!A1" display="返回主表（A100000）"/>
    <hyperlink ref="A22:I22" r:id="rId1" display="《国家税务总局关于企业工资薪金及职工福利费扣除问题的通知》（国税函〔2009〕3号）"/>
    <hyperlink ref="A23:I23" r:id="rId2" display="《财政部、国家税务总局关于扶持动漫产业发展有关税收政策问题的通知》（财税〔2009〕65号）"/>
    <hyperlink ref="A24:I24" r:id="rId3" display="《财政部、国家税务总局、商务部、科技部、国家发展改革委关于完善技术先进型服务企业有关企业所得税政策问题的通知》（财税(2014)59号）"/>
    <hyperlink ref="A25:I25" r:id="rId4" display="《财政部、国家税务总局关于进一步鼓励软件产业和集成电路产业发展企业所得税政策的通知》（财税〔2012〕27号）"/>
    <hyperlink ref="A26:I26" r:id="rId5" display="《国家税务总局关于企业工资薪金和职工福利费等支出税前扣除问题的公告》（国家税务总局公告2015年第34号）"/>
    <hyperlink ref="A27:I27" r:id="rId6" display="《财政部 国家税务总局关于高新技术企业职工教育经费税前扣除政策的通知》（财税〔2015〕63号）"/>
    <hyperlink ref="K6:K7" r:id="rId7" display="工资薪金[¶30-600] "/>
    <hyperlink ref="K8:K12" r:id="rId8" display="工会经费、职工福利费、职工教育经费[¶30-620] "/>
    <hyperlink ref="K13:K14" r:id="rId9" display="社会保险费和住房公积金[¶30-605] "/>
    <hyperlink ref="K15" r:id="rId10"/>
    <hyperlink ref="K16" r:id="rId11"/>
  </hyperlinks>
  <pageMargins left="0.70866141732283472" right="0.70866141732283472" top="0.74803149606299213" bottom="0.74803149606299213" header="0.31496062992125984" footer="0.31496062992125984"/>
  <pageSetup paperSize="9" scale="93" orientation="landscape" verticalDpi="0" r:id="rId12"/>
  <colBreaks count="1" manualBreakCount="1">
    <brk id="9" max="1048575" man="1"/>
  </colBreaks>
  <legacyDrawing r:id="rId13"/>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fitToPage="1"/>
  </sheetPr>
  <dimension ref="A1:C25"/>
  <sheetViews>
    <sheetView workbookViewId="0">
      <selection sqref="A1:B1"/>
    </sheetView>
  </sheetViews>
  <sheetFormatPr defaultColWidth="10.875" defaultRowHeight="14.25"/>
  <cols>
    <col min="1" max="1" width="5" style="267" customWidth="1"/>
    <col min="2" max="2" width="59" style="267" customWidth="1"/>
    <col min="3" max="3" width="29.625" style="267" customWidth="1"/>
    <col min="4" max="4" width="14.75" style="267" customWidth="1"/>
    <col min="5" max="16384" width="10.875" style="267"/>
  </cols>
  <sheetData>
    <row r="1" spans="1:3" ht="20.100000000000001" customHeight="1">
      <c r="A1" s="4081" t="s">
        <v>1184</v>
      </c>
      <c r="B1" s="4081"/>
      <c r="C1" s="266" t="s">
        <v>504</v>
      </c>
    </row>
    <row r="2" spans="1:3" ht="25.5" customHeight="1">
      <c r="A2" s="4135" t="s">
        <v>1186</v>
      </c>
      <c r="B2" s="4136"/>
      <c r="C2" s="4136"/>
    </row>
    <row r="3" spans="1:3" s="113" customFormat="1" ht="14.25" customHeight="1">
      <c r="A3" s="111" t="s">
        <v>147</v>
      </c>
      <c r="B3" s="111" t="s">
        <v>526</v>
      </c>
      <c r="C3" s="111" t="s">
        <v>527</v>
      </c>
    </row>
    <row r="4" spans="1:3" s="113" customFormat="1" ht="14.25" customHeight="1">
      <c r="A4" s="111">
        <v>1</v>
      </c>
      <c r="B4" s="109" t="s">
        <v>528</v>
      </c>
      <c r="C4" s="112">
        <f>广宣!J22</f>
        <v>0</v>
      </c>
    </row>
    <row r="5" spans="1:3" s="113" customFormat="1" ht="14.25" customHeight="1">
      <c r="A5" s="111">
        <v>2</v>
      </c>
      <c r="B5" s="109" t="s">
        <v>529</v>
      </c>
      <c r="C5" s="112">
        <f>广宣!J23</f>
        <v>0</v>
      </c>
    </row>
    <row r="6" spans="1:3" s="113" customFormat="1" ht="14.25" customHeight="1">
      <c r="A6" s="111">
        <v>3</v>
      </c>
      <c r="B6" s="109" t="s">
        <v>530</v>
      </c>
      <c r="C6" s="268">
        <f>ROUND(C4-C5,2)</f>
        <v>0</v>
      </c>
    </row>
    <row r="7" spans="1:3" s="113" customFormat="1" ht="14.25" customHeight="1">
      <c r="A7" s="111">
        <v>4</v>
      </c>
      <c r="B7" s="109" t="s">
        <v>531</v>
      </c>
      <c r="C7" s="112">
        <f>广宣!J29</f>
        <v>0</v>
      </c>
    </row>
    <row r="8" spans="1:3" s="113" customFormat="1" ht="14.25" customHeight="1">
      <c r="A8" s="111">
        <v>5</v>
      </c>
      <c r="B8" s="109" t="s">
        <v>540</v>
      </c>
      <c r="C8" s="2136">
        <v>0.15</v>
      </c>
    </row>
    <row r="9" spans="1:3" s="113" customFormat="1" ht="14.25" customHeight="1">
      <c r="A9" s="111">
        <v>6</v>
      </c>
      <c r="B9" s="109" t="s">
        <v>532</v>
      </c>
      <c r="C9" s="268">
        <f>ROUND(C7*C8,2)</f>
        <v>0</v>
      </c>
    </row>
    <row r="10" spans="1:3" s="113" customFormat="1" ht="14.25" customHeight="1">
      <c r="A10" s="111">
        <v>7</v>
      </c>
      <c r="B10" s="109" t="s">
        <v>533</v>
      </c>
      <c r="C10" s="268">
        <f>IF(C6&gt;C9,C6-C9,0)</f>
        <v>0</v>
      </c>
    </row>
    <row r="11" spans="1:3" s="113" customFormat="1" ht="14.25" customHeight="1">
      <c r="A11" s="111">
        <v>8</v>
      </c>
      <c r="B11" s="109" t="s">
        <v>534</v>
      </c>
      <c r="C11" s="112">
        <f>广宣!J33</f>
        <v>0</v>
      </c>
    </row>
    <row r="12" spans="1:3" s="113" customFormat="1" ht="14.25" customHeight="1">
      <c r="A12" s="4129">
        <v>9</v>
      </c>
      <c r="B12" s="4130" t="s">
        <v>535</v>
      </c>
      <c r="C12" s="4131">
        <f>IF(C6&gt;C9,0,MIN(C11,C9-C6))</f>
        <v>0</v>
      </c>
    </row>
    <row r="13" spans="1:3" s="113" customFormat="1" ht="14.25" customHeight="1">
      <c r="A13" s="4129"/>
      <c r="B13" s="4130"/>
      <c r="C13" s="4132"/>
    </row>
    <row r="14" spans="1:3" s="113" customFormat="1" ht="27" customHeight="1">
      <c r="A14" s="111">
        <v>10</v>
      </c>
      <c r="B14" s="110" t="s">
        <v>536</v>
      </c>
      <c r="C14" s="2137">
        <f>广宣!J36</f>
        <v>0</v>
      </c>
    </row>
    <row r="15" spans="1:3" s="113" customFormat="1" ht="14.25" customHeight="1">
      <c r="A15" s="111">
        <v>11</v>
      </c>
      <c r="B15" s="109" t="s">
        <v>537</v>
      </c>
      <c r="C15" s="2137">
        <f>广宣!J37</f>
        <v>0</v>
      </c>
    </row>
    <row r="16" spans="1:3" s="113" customFormat="1" ht="14.25" customHeight="1">
      <c r="A16" s="4129">
        <v>12</v>
      </c>
      <c r="B16" s="4130" t="s">
        <v>538</v>
      </c>
      <c r="C16" s="4131">
        <f>IF(C6&gt;C9,C5+C6-C9+C14-C15,C5+C14-C15-C12)</f>
        <v>0</v>
      </c>
    </row>
    <row r="17" spans="1:3" s="113" customFormat="1" ht="14.25" customHeight="1">
      <c r="A17" s="4129"/>
      <c r="B17" s="4130"/>
      <c r="C17" s="4132"/>
    </row>
    <row r="18" spans="1:3" s="113" customFormat="1" ht="14.25" customHeight="1">
      <c r="A18" s="111">
        <v>13</v>
      </c>
      <c r="B18" s="109" t="s">
        <v>539</v>
      </c>
      <c r="C18" s="268">
        <f>ROUND(C10+C11-C12,2)</f>
        <v>0</v>
      </c>
    </row>
    <row r="19" spans="1:3" s="113" customFormat="1" ht="16.5">
      <c r="A19" s="4126"/>
      <c r="B19" s="4099"/>
      <c r="C19" s="4099"/>
    </row>
    <row r="20" spans="1:3" s="113" customFormat="1" ht="16.5">
      <c r="A20" s="4117"/>
      <c r="B20" s="4012"/>
      <c r="C20" s="4012"/>
    </row>
    <row r="21" spans="1:3" s="269" customFormat="1">
      <c r="A21" s="4097" t="s">
        <v>1410</v>
      </c>
      <c r="B21" s="4133"/>
      <c r="C21" s="4133"/>
    </row>
    <row r="22" spans="1:3" s="221" customFormat="1" ht="12">
      <c r="A22" s="4095" t="s">
        <v>1428</v>
      </c>
      <c r="B22" s="4095"/>
      <c r="C22" s="4095"/>
    </row>
    <row r="23" spans="1:3" s="269" customFormat="1">
      <c r="A23" s="4096"/>
      <c r="B23" s="4133"/>
      <c r="C23" s="4133"/>
    </row>
    <row r="24" spans="1:3" s="269" customFormat="1">
      <c r="A24" s="4097" t="s">
        <v>1416</v>
      </c>
      <c r="B24" s="4134"/>
      <c r="C24" s="4134"/>
    </row>
    <row r="25" spans="1:3" s="221" customFormat="1" ht="12">
      <c r="A25" s="4095" t="s">
        <v>1429</v>
      </c>
      <c r="B25" s="4095"/>
      <c r="C25" s="4095"/>
    </row>
  </sheetData>
  <mergeCells count="15">
    <mergeCell ref="A1:B1"/>
    <mergeCell ref="A2:C2"/>
    <mergeCell ref="A12:A13"/>
    <mergeCell ref="B12:B13"/>
    <mergeCell ref="C12:C13"/>
    <mergeCell ref="A16:A17"/>
    <mergeCell ref="B16:B17"/>
    <mergeCell ref="C16:C17"/>
    <mergeCell ref="A25:C25"/>
    <mergeCell ref="A19:C19"/>
    <mergeCell ref="A20:C20"/>
    <mergeCell ref="A21:C21"/>
    <mergeCell ref="A22:C22"/>
    <mergeCell ref="A23:C23"/>
    <mergeCell ref="A24:C24"/>
  </mergeCells>
  <phoneticPr fontId="33" type="noConversion"/>
  <hyperlinks>
    <hyperlink ref="C1" location="A105000纳税调整项目明细表!A1" display="返回纳税调整项目明细表（A105000）"/>
    <hyperlink ref="A1:B1" location="'A100000 中华人民共和国企业所得税年度纳税申报表（A类）'!A1" display="返回主表（A100000）"/>
    <hyperlink ref="A22:C22" r:id="rId1" display=" 《中国税务合规实务指南—所得税》  广告费和业务宣传费[¶30-630] "/>
    <hyperlink ref="A25:C25" r:id="rId2" display="《财政部、国家税务总局关于广告费和业务宣传费支出税前扣除政策的通知》（财税〔2012〕48号）"/>
    <hyperlink ref="A22:IV22" r:id="rId3" display=" 《中国税务合规实务指南—所得税》  广告费和业务宣传费[¶30-630] "/>
    <hyperlink ref="A25:IV25" r:id="rId4" display="《财政部、国家税务总局关于广告费和业务宣传费支出税前扣除政策的通知》（财税〔2012〕48号）"/>
  </hyperlinks>
  <pageMargins left="0.70866141732283472" right="0.70866141732283472" top="0.74803149606299213" bottom="0.74803149606299213" header="0.31496062992125984" footer="0.31496062992125984"/>
  <pageSetup paperSize="9" scale="86" orientation="portrait" verticalDpi="0" r:id="rId5"/>
  <legacyDrawing r:id="rId6"/>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fitToPage="1"/>
  </sheetPr>
  <dimension ref="A1:I26"/>
  <sheetViews>
    <sheetView workbookViewId="0">
      <selection sqref="A1:C1"/>
    </sheetView>
  </sheetViews>
  <sheetFormatPr defaultColWidth="10.875" defaultRowHeight="14.25"/>
  <cols>
    <col min="1" max="1" width="5" style="253" customWidth="1"/>
    <col min="2" max="2" width="34" style="253" customWidth="1"/>
    <col min="3" max="8" width="16.625" style="253" customWidth="1"/>
    <col min="9" max="16384" width="10.875" style="253"/>
  </cols>
  <sheetData>
    <row r="1" spans="1:9" ht="20.100000000000001" customHeight="1">
      <c r="A1" s="4081" t="s">
        <v>1184</v>
      </c>
      <c r="B1" s="4081"/>
      <c r="C1" s="4081"/>
      <c r="D1" s="4081" t="s">
        <v>541</v>
      </c>
      <c r="E1" s="4081"/>
      <c r="F1" s="4081"/>
      <c r="G1" s="4081"/>
      <c r="H1" s="4081"/>
    </row>
    <row r="2" spans="1:9" ht="27" customHeight="1">
      <c r="A2" s="4082" t="s">
        <v>1187</v>
      </c>
      <c r="B2" s="4127"/>
      <c r="C2" s="4127"/>
      <c r="D2" s="4127"/>
      <c r="E2" s="4127"/>
      <c r="F2" s="4127"/>
      <c r="G2" s="4127"/>
      <c r="H2" s="4127"/>
      <c r="I2" s="4127"/>
    </row>
    <row r="3" spans="1:9" s="265" customFormat="1" ht="35.25" customHeight="1">
      <c r="A3" s="4143" t="s">
        <v>147</v>
      </c>
      <c r="B3" s="4144" t="s">
        <v>544</v>
      </c>
      <c r="C3" s="456" t="s">
        <v>370</v>
      </c>
      <c r="D3" s="456" t="s">
        <v>543</v>
      </c>
      <c r="E3" s="456" t="s">
        <v>545</v>
      </c>
      <c r="F3" s="456" t="s">
        <v>371</v>
      </c>
      <c r="G3" s="456" t="s">
        <v>546</v>
      </c>
      <c r="H3" s="456" t="s">
        <v>547</v>
      </c>
      <c r="I3" s="456" t="s">
        <v>548</v>
      </c>
    </row>
    <row r="4" spans="1:9" s="265" customFormat="1" ht="15" customHeight="1">
      <c r="A4" s="4143"/>
      <c r="B4" s="4144"/>
      <c r="C4" s="457">
        <v>1</v>
      </c>
      <c r="D4" s="457">
        <v>2</v>
      </c>
      <c r="E4" s="456">
        <v>3</v>
      </c>
      <c r="F4" s="457">
        <v>4</v>
      </c>
      <c r="G4" s="456">
        <v>5</v>
      </c>
      <c r="H4" s="456">
        <v>6</v>
      </c>
      <c r="I4" s="457">
        <v>7</v>
      </c>
    </row>
    <row r="5" spans="1:9" s="265" customFormat="1" ht="20.25" customHeight="1">
      <c r="A5" s="457">
        <v>1</v>
      </c>
      <c r="B5" s="458" t="s">
        <v>549</v>
      </c>
      <c r="C5" s="457">
        <f>捐赠!C16</f>
        <v>0</v>
      </c>
      <c r="D5" s="457" t="s">
        <v>133</v>
      </c>
      <c r="E5" s="457" t="s">
        <v>133</v>
      </c>
      <c r="F5" s="457" t="s">
        <v>133</v>
      </c>
      <c r="G5" s="268">
        <f>C5</f>
        <v>0</v>
      </c>
      <c r="H5" s="457" t="s">
        <v>133</v>
      </c>
      <c r="I5" s="457" t="s">
        <v>133</v>
      </c>
    </row>
    <row r="6" spans="1:9" s="265" customFormat="1" ht="20.25" customHeight="1">
      <c r="A6" s="457">
        <v>2</v>
      </c>
      <c r="B6" s="459" t="s">
        <v>550</v>
      </c>
      <c r="C6" s="457">
        <f>捐赠!D16</f>
        <v>0</v>
      </c>
      <c r="D6" s="457" t="s">
        <v>133</v>
      </c>
      <c r="E6" s="457" t="s">
        <v>133</v>
      </c>
      <c r="F6" s="268">
        <f>C6</f>
        <v>0</v>
      </c>
      <c r="G6" s="457" t="s">
        <v>133</v>
      </c>
      <c r="H6" s="457" t="s">
        <v>133</v>
      </c>
      <c r="I6" s="457" t="s">
        <v>133</v>
      </c>
    </row>
    <row r="7" spans="1:9" s="265" customFormat="1" ht="18" customHeight="1">
      <c r="A7" s="457">
        <v>3</v>
      </c>
      <c r="B7" s="459" t="s">
        <v>551</v>
      </c>
      <c r="C7" s="268">
        <f>C11</f>
        <v>0</v>
      </c>
      <c r="D7" s="268">
        <f>SUM(D8:D10)</f>
        <v>0</v>
      </c>
      <c r="E7" s="268">
        <f>E11</f>
        <v>0</v>
      </c>
      <c r="F7" s="268">
        <f>MIN(C7+D7,E7)</f>
        <v>0</v>
      </c>
      <c r="G7" s="268">
        <f>G11</f>
        <v>0</v>
      </c>
      <c r="H7" s="268">
        <f>SUM(H8:H10)</f>
        <v>0</v>
      </c>
      <c r="I7" s="268">
        <f>SUM(I9:I11)</f>
        <v>0</v>
      </c>
    </row>
    <row r="8" spans="1:9" s="265" customFormat="1" ht="23.25" customHeight="1">
      <c r="A8" s="457">
        <v>4</v>
      </c>
      <c r="B8" s="460" t="str">
        <f>"前三年度（"&amp;基本情况!$F$6-3&amp;"年）"</f>
        <v>前三年度（2014年）</v>
      </c>
      <c r="C8" s="457" t="s">
        <v>133</v>
      </c>
      <c r="D8" s="457">
        <f>捐赠!H22</f>
        <v>0</v>
      </c>
      <c r="E8" s="457" t="s">
        <v>133</v>
      </c>
      <c r="F8" s="457" t="s">
        <v>133</v>
      </c>
      <c r="G8" s="457" t="s">
        <v>133</v>
      </c>
      <c r="H8" s="457">
        <f>MIN(D8,E11)</f>
        <v>0</v>
      </c>
      <c r="I8" s="457" t="s">
        <v>133</v>
      </c>
    </row>
    <row r="9" spans="1:9" s="265" customFormat="1" ht="23.25" customHeight="1">
      <c r="A9" s="457">
        <v>5</v>
      </c>
      <c r="B9" s="460" t="str">
        <f>"前二年度（"&amp;基本情况!$F$6-2&amp;"年）"</f>
        <v>前二年度（2015年）</v>
      </c>
      <c r="C9" s="457" t="s">
        <v>133</v>
      </c>
      <c r="D9" s="457">
        <f>捐赠!E22</f>
        <v>0</v>
      </c>
      <c r="E9" s="457" t="s">
        <v>133</v>
      </c>
      <c r="F9" s="457" t="s">
        <v>133</v>
      </c>
      <c r="G9" s="457" t="s">
        <v>133</v>
      </c>
      <c r="H9" s="457">
        <f>MIN(D9,E11-H8)</f>
        <v>0</v>
      </c>
      <c r="I9" s="457">
        <f>D9-H9</f>
        <v>0</v>
      </c>
    </row>
    <row r="10" spans="1:9" s="265" customFormat="1" ht="23.25" customHeight="1">
      <c r="A10" s="457">
        <v>6</v>
      </c>
      <c r="B10" s="460" t="str">
        <f>"前一年度（"&amp;基本情况!$F$6-1&amp;"年）"</f>
        <v>前一年度（2016年）</v>
      </c>
      <c r="C10" s="457" t="s">
        <v>133</v>
      </c>
      <c r="D10" s="457">
        <f>捐赠!C22</f>
        <v>0</v>
      </c>
      <c r="E10" s="457" t="s">
        <v>133</v>
      </c>
      <c r="F10" s="457" t="s">
        <v>133</v>
      </c>
      <c r="G10" s="457" t="s">
        <v>133</v>
      </c>
      <c r="H10" s="457">
        <f>MIN(D10,E11-H8-H9)</f>
        <v>0</v>
      </c>
      <c r="I10" s="457">
        <f>D10-H10</f>
        <v>0</v>
      </c>
    </row>
    <row r="11" spans="1:9" s="265" customFormat="1" ht="23.25" customHeight="1">
      <c r="A11" s="457">
        <v>7</v>
      </c>
      <c r="B11" s="461" t="str">
        <f>"本    年（"&amp;基本情况!F6&amp;"年）"</f>
        <v>本    年（2017年）</v>
      </c>
      <c r="C11" s="458">
        <f>捐赠!I16</f>
        <v>0</v>
      </c>
      <c r="D11" s="457" t="s">
        <v>133</v>
      </c>
      <c r="E11" s="457">
        <f>IF('A100000 中华人民共和国企业所得税年度纳税申报表（A类）'!D16&gt;0,ROUND('A100000 中华人民共和国企业所得税年度纳税申报表（A类）'!D16*12%,2),0)</f>
        <v>0</v>
      </c>
      <c r="F11" s="2347">
        <f>MIN(C11,MAX(0,E11-D8-D9-D10))</f>
        <v>0</v>
      </c>
      <c r="G11" s="457">
        <f>捐赠!J20</f>
        <v>0</v>
      </c>
      <c r="H11" s="457" t="s">
        <v>133</v>
      </c>
      <c r="I11" s="2347">
        <f>C11-F11</f>
        <v>0</v>
      </c>
    </row>
    <row r="12" spans="1:9" s="265" customFormat="1" ht="18" customHeight="1">
      <c r="A12" s="457">
        <v>8</v>
      </c>
      <c r="B12" s="459" t="s">
        <v>552</v>
      </c>
      <c r="C12" s="268">
        <f>SUM(C5:C7)</f>
        <v>0</v>
      </c>
      <c r="D12" s="268">
        <f>D7</f>
        <v>0</v>
      </c>
      <c r="E12" s="268">
        <f>E7</f>
        <v>0</v>
      </c>
      <c r="F12" s="268">
        <f>SUM(F6:F7)</f>
        <v>0</v>
      </c>
      <c r="G12" s="268">
        <f>SUM(G5+G7)</f>
        <v>0</v>
      </c>
      <c r="H12" s="268">
        <f>SUM(H7)</f>
        <v>0</v>
      </c>
      <c r="I12" s="268">
        <f>SUM(I7)</f>
        <v>0</v>
      </c>
    </row>
    <row r="13" spans="1:9" s="265" customFormat="1" ht="15" customHeight="1">
      <c r="A13" s="462"/>
      <c r="B13" s="462"/>
      <c r="C13" s="462"/>
      <c r="D13" s="462"/>
      <c r="E13" s="462"/>
      <c r="F13" s="462"/>
      <c r="G13" s="462"/>
      <c r="H13" s="462"/>
    </row>
    <row r="14" spans="1:9" s="265" customFormat="1" ht="15" customHeight="1">
      <c r="A14" s="462"/>
      <c r="B14" s="462"/>
      <c r="C14" s="462"/>
      <c r="D14" s="462"/>
      <c r="E14" s="462"/>
      <c r="F14" s="462"/>
      <c r="G14" s="462"/>
      <c r="H14" s="462"/>
    </row>
    <row r="15" spans="1:9" s="265" customFormat="1" ht="15" customHeight="1">
      <c r="A15" s="462"/>
      <c r="B15" s="462"/>
      <c r="C15" s="462"/>
      <c r="D15" s="462"/>
      <c r="E15" s="462"/>
      <c r="F15" s="462"/>
      <c r="G15" s="462"/>
      <c r="H15" s="462"/>
    </row>
    <row r="16" spans="1:9" s="248" customFormat="1" ht="15" customHeight="1">
      <c r="A16" s="4145" t="s">
        <v>1410</v>
      </c>
      <c r="B16" s="4146"/>
      <c r="C16" s="4146"/>
      <c r="D16" s="4146"/>
      <c r="E16" s="4146"/>
      <c r="F16" s="4146"/>
      <c r="G16" s="4146"/>
      <c r="H16" s="4146"/>
      <c r="I16" s="314"/>
    </row>
    <row r="17" spans="1:9" s="221" customFormat="1" ht="15" customHeight="1">
      <c r="A17" s="4147" t="s">
        <v>1430</v>
      </c>
      <c r="B17" s="4088"/>
      <c r="C17" s="4088"/>
      <c r="D17" s="4088"/>
      <c r="E17" s="4088"/>
      <c r="F17" s="4088"/>
      <c r="G17" s="4088"/>
      <c r="H17" s="4088"/>
      <c r="I17" s="313"/>
    </row>
    <row r="18" spans="1:9" s="248" customFormat="1" ht="15" customHeight="1">
      <c r="A18" s="4148"/>
      <c r="B18" s="4149"/>
      <c r="C18" s="4149"/>
      <c r="D18" s="4149"/>
      <c r="E18" s="4149"/>
      <c r="F18" s="4149"/>
      <c r="G18" s="4149"/>
      <c r="H18" s="4149"/>
      <c r="I18" s="314"/>
    </row>
    <row r="19" spans="1:9" s="248" customFormat="1" ht="15" customHeight="1">
      <c r="A19" s="4145" t="s">
        <v>1416</v>
      </c>
      <c r="B19" s="4146"/>
      <c r="C19" s="4146"/>
      <c r="D19" s="4146"/>
      <c r="E19" s="4146"/>
      <c r="F19" s="4146"/>
      <c r="G19" s="4146"/>
      <c r="H19" s="4146"/>
      <c r="I19" s="314"/>
    </row>
    <row r="20" spans="1:9" s="221" customFormat="1" ht="15" customHeight="1">
      <c r="A20" s="4147" t="s">
        <v>1431</v>
      </c>
      <c r="B20" s="4088"/>
      <c r="C20" s="4088"/>
      <c r="D20" s="4088"/>
      <c r="E20" s="4088"/>
      <c r="F20" s="4088"/>
      <c r="G20" s="4088"/>
      <c r="H20" s="4088"/>
      <c r="I20" s="313"/>
    </row>
    <row r="21" spans="1:9" s="265" customFormat="1" ht="15" customHeight="1">
      <c r="A21" s="462"/>
      <c r="B21" s="462"/>
      <c r="C21" s="462"/>
      <c r="D21" s="462"/>
      <c r="E21" s="462"/>
      <c r="F21" s="462"/>
      <c r="G21" s="462"/>
      <c r="H21" s="462"/>
    </row>
    <row r="22" spans="1:9" ht="15" customHeight="1">
      <c r="A22" s="463"/>
      <c r="B22" s="463"/>
      <c r="C22" s="463"/>
      <c r="D22" s="463"/>
      <c r="E22" s="463"/>
      <c r="F22" s="463"/>
      <c r="G22" s="463"/>
      <c r="H22" s="463"/>
      <c r="I22" s="265"/>
    </row>
    <row r="23" spans="1:9" s="265" customFormat="1" ht="15" customHeight="1">
      <c r="A23" s="4141"/>
      <c r="B23" s="4142"/>
      <c r="C23" s="4142"/>
      <c r="D23" s="4142"/>
      <c r="E23" s="4142"/>
      <c r="F23" s="4142"/>
      <c r="G23" s="4142"/>
      <c r="H23" s="4142"/>
    </row>
    <row r="24" spans="1:9" s="265" customFormat="1" ht="15" customHeight="1">
      <c r="A24" s="4137"/>
      <c r="B24" s="4138"/>
      <c r="C24" s="4138"/>
      <c r="D24" s="4138"/>
      <c r="E24" s="4138"/>
      <c r="F24" s="4138"/>
      <c r="G24" s="4138"/>
      <c r="H24" s="4138"/>
    </row>
    <row r="25" spans="1:9" s="265" customFormat="1" ht="15" customHeight="1">
      <c r="A25" s="4139"/>
      <c r="B25" s="4140"/>
      <c r="C25" s="4140"/>
      <c r="D25" s="4140"/>
      <c r="E25" s="4140"/>
      <c r="F25" s="4140"/>
      <c r="G25" s="4140"/>
      <c r="H25" s="4140"/>
    </row>
    <row r="26" spans="1:9" s="265" customFormat="1" ht="15" customHeight="1">
      <c r="A26" s="4141"/>
      <c r="B26" s="4142"/>
      <c r="C26" s="4142"/>
      <c r="D26" s="4142"/>
      <c r="E26" s="4142"/>
      <c r="F26" s="4142"/>
      <c r="G26" s="4142"/>
      <c r="H26" s="4142"/>
    </row>
  </sheetData>
  <mergeCells count="14">
    <mergeCell ref="A24:H24"/>
    <mergeCell ref="A25:H25"/>
    <mergeCell ref="A1:C1"/>
    <mergeCell ref="D1:H1"/>
    <mergeCell ref="A26:H26"/>
    <mergeCell ref="A3:A4"/>
    <mergeCell ref="B3:B4"/>
    <mergeCell ref="A2:I2"/>
    <mergeCell ref="A16:H16"/>
    <mergeCell ref="A17:H17"/>
    <mergeCell ref="A18:H18"/>
    <mergeCell ref="A19:H19"/>
    <mergeCell ref="A20:H20"/>
    <mergeCell ref="A23:H23"/>
  </mergeCells>
  <phoneticPr fontId="33" type="noConversion"/>
  <hyperlinks>
    <hyperlink ref="D1:H1" location="A105000纳税调整项目明细表!A1" display="返回纳税调整项目明细表（A105000）"/>
    <hyperlink ref="A1:C1" location="'A100000 中华人民共和国企业所得税年度纳税申报表（A类）'!A1" display="返回主表（A100000）"/>
    <hyperlink ref="A17:H17" r:id="rId1" display=" 《中国税务合规实务指南—所得税》  固定资产[¶30-710]-[¶30-723]"/>
    <hyperlink ref="A20:H20" r:id="rId2" display="《财政部、国家税务总局关于公益性捐赠税前扣除有关问题的通知》（财税〔2008〕160号）"/>
    <hyperlink ref="A17:IV17" r:id="rId3" display=" 《中国税务合规实务指南—所得税》  固定资产[¶30-710]-[¶30-723]"/>
    <hyperlink ref="A20:IV20" r:id="rId4" display="《财政部、国家税务总局关于公益性捐赠税前扣除有关问题的通知》（财税〔2008〕160号）"/>
  </hyperlinks>
  <pageMargins left="0.70866141732283472" right="0.70866141732283472" top="0.74803149606299213" bottom="0.74803149606299213" header="0.31496062992125984" footer="0.31496062992125984"/>
  <pageSetup paperSize="9" scale="84" orientation="landscape" verticalDpi="0" r:id="rId5"/>
  <rowBreaks count="1" manualBreakCount="1">
    <brk id="12" max="16383" man="1"/>
  </rowBreaks>
  <legacyDrawing r:id="rId6"/>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pageSetUpPr fitToPage="1"/>
  </sheetPr>
  <dimension ref="A1:IV61"/>
  <sheetViews>
    <sheetView workbookViewId="0">
      <selection sqref="A1:C1"/>
    </sheetView>
  </sheetViews>
  <sheetFormatPr defaultColWidth="10.875" defaultRowHeight="14.25"/>
  <cols>
    <col min="1" max="1" width="5" style="267" customWidth="1"/>
    <col min="2" max="2" width="7.25" style="267" customWidth="1"/>
    <col min="3" max="3" width="42.875" style="267" customWidth="1"/>
    <col min="4" max="12" width="8.625" style="267" customWidth="1"/>
    <col min="13" max="13" width="1.25" style="113" customWidth="1"/>
    <col min="14" max="14" width="32.625" style="269" customWidth="1"/>
    <col min="15" max="16384" width="10.875" style="267"/>
  </cols>
  <sheetData>
    <row r="1" spans="1:14" ht="20.100000000000001" customHeight="1">
      <c r="A1" s="4164" t="s">
        <v>1184</v>
      </c>
      <c r="B1" s="4164"/>
      <c r="C1" s="4081"/>
      <c r="D1" s="4164" t="s">
        <v>504</v>
      </c>
      <c r="E1" s="4081"/>
      <c r="F1" s="4081"/>
      <c r="G1" s="4081"/>
      <c r="H1" s="4081"/>
      <c r="I1" s="4081"/>
      <c r="J1" s="4081"/>
      <c r="K1" s="4081"/>
      <c r="L1" s="4081"/>
    </row>
    <row r="2" spans="1:14" s="272" customFormat="1" ht="25.5" customHeight="1">
      <c r="A2" s="4102" t="s">
        <v>1188</v>
      </c>
      <c r="B2" s="4127"/>
      <c r="C2" s="4127"/>
      <c r="D2" s="4127"/>
      <c r="E2" s="4127"/>
      <c r="F2" s="4127"/>
      <c r="G2" s="4127"/>
      <c r="H2" s="4127"/>
      <c r="I2" s="4127"/>
      <c r="J2" s="4127"/>
      <c r="K2" s="4127"/>
      <c r="L2" s="4127"/>
      <c r="M2" s="270"/>
      <c r="N2" s="271" t="s">
        <v>505</v>
      </c>
    </row>
    <row r="3" spans="1:14" s="113" customFormat="1" ht="12.75" customHeight="1">
      <c r="A3" s="4115" t="s">
        <v>147</v>
      </c>
      <c r="B3" s="4167" t="s">
        <v>506</v>
      </c>
      <c r="C3" s="4168"/>
      <c r="D3" s="4129" t="s">
        <v>370</v>
      </c>
      <c r="E3" s="4129"/>
      <c r="F3" s="4129"/>
      <c r="G3" s="4129" t="s">
        <v>371</v>
      </c>
      <c r="H3" s="4129"/>
      <c r="I3" s="4129"/>
      <c r="J3" s="4129"/>
      <c r="K3" s="4129"/>
      <c r="L3" s="4160" t="s">
        <v>603</v>
      </c>
      <c r="N3" s="4028" t="s">
        <v>553</v>
      </c>
    </row>
    <row r="4" spans="1:14" s="113" customFormat="1" ht="12.75" customHeight="1">
      <c r="A4" s="4128"/>
      <c r="B4" s="4169"/>
      <c r="C4" s="4170"/>
      <c r="D4" s="4160" t="s">
        <v>596</v>
      </c>
      <c r="E4" s="4118" t="s">
        <v>554</v>
      </c>
      <c r="F4" s="4118" t="s">
        <v>555</v>
      </c>
      <c r="G4" s="4118" t="s">
        <v>556</v>
      </c>
      <c r="H4" s="4160" t="s">
        <v>597</v>
      </c>
      <c r="I4" s="4159" t="s">
        <v>598</v>
      </c>
      <c r="J4" s="4162" t="s">
        <v>599</v>
      </c>
      <c r="K4" s="4160" t="s">
        <v>600</v>
      </c>
      <c r="L4" s="4165"/>
      <c r="N4" s="4029"/>
    </row>
    <row r="5" spans="1:14" s="113" customFormat="1" ht="12.75" customHeight="1">
      <c r="A5" s="4128"/>
      <c r="B5" s="4169"/>
      <c r="C5" s="4170"/>
      <c r="D5" s="4156"/>
      <c r="E5" s="4156"/>
      <c r="F5" s="4156"/>
      <c r="G5" s="4156"/>
      <c r="H5" s="4156"/>
      <c r="I5" s="4161"/>
      <c r="J5" s="4163"/>
      <c r="K5" s="4156"/>
      <c r="L5" s="4165"/>
      <c r="N5" s="4029"/>
    </row>
    <row r="6" spans="1:14" s="113" customFormat="1" ht="12.75" customHeight="1">
      <c r="A6" s="4128"/>
      <c r="B6" s="4169"/>
      <c r="C6" s="4170"/>
      <c r="D6" s="4156"/>
      <c r="E6" s="4156"/>
      <c r="F6" s="4156"/>
      <c r="G6" s="4156"/>
      <c r="H6" s="4156"/>
      <c r="I6" s="4161"/>
      <c r="J6" s="4163"/>
      <c r="K6" s="4156"/>
      <c r="L6" s="4165"/>
      <c r="N6" s="4029"/>
    </row>
    <row r="7" spans="1:14" s="113" customFormat="1" ht="12.75" customHeight="1">
      <c r="A7" s="4128"/>
      <c r="B7" s="4169"/>
      <c r="C7" s="4170"/>
      <c r="D7" s="4156"/>
      <c r="E7" s="4156"/>
      <c r="F7" s="4156"/>
      <c r="G7" s="4156"/>
      <c r="H7" s="4156"/>
      <c r="I7" s="4161"/>
      <c r="J7" s="4163"/>
      <c r="K7" s="4156"/>
      <c r="L7" s="4165"/>
      <c r="N7" s="4029"/>
    </row>
    <row r="8" spans="1:14" s="113" customFormat="1" ht="12.75" customHeight="1">
      <c r="A8" s="4128"/>
      <c r="B8" s="4169"/>
      <c r="C8" s="4170"/>
      <c r="D8" s="4156"/>
      <c r="E8" s="4156"/>
      <c r="F8" s="4156"/>
      <c r="G8" s="4156"/>
      <c r="H8" s="4156"/>
      <c r="I8" s="4161"/>
      <c r="J8" s="4163"/>
      <c r="K8" s="4156"/>
      <c r="L8" s="4165"/>
      <c r="N8" s="4029"/>
    </row>
    <row r="9" spans="1:14" s="113" customFormat="1" ht="12.75" customHeight="1">
      <c r="A9" s="4128"/>
      <c r="B9" s="4169"/>
      <c r="C9" s="4170"/>
      <c r="D9" s="4156"/>
      <c r="E9" s="4156"/>
      <c r="F9" s="4156"/>
      <c r="G9" s="4156"/>
      <c r="H9" s="4156"/>
      <c r="I9" s="4161"/>
      <c r="J9" s="4163"/>
      <c r="K9" s="4156"/>
      <c r="L9" s="4165"/>
      <c r="N9" s="4029"/>
    </row>
    <row r="10" spans="1:14" s="113" customFormat="1" ht="23.25" customHeight="1">
      <c r="A10" s="4128"/>
      <c r="B10" s="4169"/>
      <c r="C10" s="4170"/>
      <c r="D10" s="4156"/>
      <c r="E10" s="4156"/>
      <c r="F10" s="4156"/>
      <c r="G10" s="4156"/>
      <c r="H10" s="4156"/>
      <c r="I10" s="4161"/>
      <c r="J10" s="4163"/>
      <c r="K10" s="4156"/>
      <c r="L10" s="4166"/>
      <c r="N10" s="4030"/>
    </row>
    <row r="11" spans="1:14" s="113" customFormat="1" ht="12.75" customHeight="1">
      <c r="A11" s="4116"/>
      <c r="B11" s="4171"/>
      <c r="C11" s="4172"/>
      <c r="D11" s="111">
        <v>1</v>
      </c>
      <c r="E11" s="111">
        <v>2</v>
      </c>
      <c r="F11" s="111">
        <v>3</v>
      </c>
      <c r="G11" s="111">
        <v>4</v>
      </c>
      <c r="H11" s="111">
        <v>5</v>
      </c>
      <c r="I11" s="111">
        <v>6</v>
      </c>
      <c r="J11" s="114" t="s">
        <v>601</v>
      </c>
      <c r="K11" s="111">
        <v>8</v>
      </c>
      <c r="L11" s="114" t="s">
        <v>602</v>
      </c>
      <c r="N11" s="4028" t="s">
        <v>557</v>
      </c>
    </row>
    <row r="12" spans="1:14" s="113" customFormat="1" ht="12.75" customHeight="1">
      <c r="A12" s="111">
        <v>1</v>
      </c>
      <c r="B12" s="4157" t="s">
        <v>558</v>
      </c>
      <c r="C12" s="4158"/>
      <c r="D12" s="2142">
        <f>SUM(D13:D18)</f>
        <v>0</v>
      </c>
      <c r="E12" s="2142">
        <f>SUM(E13:E18)</f>
        <v>0</v>
      </c>
      <c r="F12" s="2142">
        <f>SUM(F13:F18)</f>
        <v>0</v>
      </c>
      <c r="G12" s="2142">
        <f>SUM(G13:G18)</f>
        <v>0</v>
      </c>
      <c r="H12" s="2142">
        <f>SUM(H13:H18)</f>
        <v>0</v>
      </c>
      <c r="I12" s="203" t="s">
        <v>604</v>
      </c>
      <c r="J12" s="203" t="s">
        <v>604</v>
      </c>
      <c r="K12" s="2142">
        <f>SUM(K13:K18)</f>
        <v>0</v>
      </c>
      <c r="L12" s="2142">
        <f>E12-H12</f>
        <v>0</v>
      </c>
      <c r="N12" s="4029"/>
    </row>
    <row r="13" spans="1:14" s="113" customFormat="1" ht="12.75" customHeight="1">
      <c r="A13" s="111">
        <v>2</v>
      </c>
      <c r="B13" s="4118" t="s">
        <v>578</v>
      </c>
      <c r="C13" s="109" t="s">
        <v>587</v>
      </c>
      <c r="D13" s="2143">
        <f>固资折旧!C8+固资折旧!D8</f>
        <v>0</v>
      </c>
      <c r="E13" s="2143">
        <f>固资折旧!D18</f>
        <v>0</v>
      </c>
      <c r="F13" s="2143">
        <f>固资折旧!C18+固资折旧!D18</f>
        <v>0</v>
      </c>
      <c r="G13" s="2143">
        <f t="shared" ref="G13:G18" si="0">D13</f>
        <v>0</v>
      </c>
      <c r="H13" s="2143">
        <f>固资折旧!G18</f>
        <v>0</v>
      </c>
      <c r="I13" s="203" t="s">
        <v>604</v>
      </c>
      <c r="J13" s="203" t="s">
        <v>604</v>
      </c>
      <c r="K13" s="2143">
        <f>固资折旧!C18+固资折旧!G18</f>
        <v>0</v>
      </c>
      <c r="L13" s="2142">
        <f>E13-H13</f>
        <v>0</v>
      </c>
      <c r="N13" s="4029"/>
    </row>
    <row r="14" spans="1:14" s="113" customFormat="1" ht="18" customHeight="1">
      <c r="A14" s="273">
        <v>3</v>
      </c>
      <c r="B14" s="4156"/>
      <c r="C14" s="275" t="s">
        <v>588</v>
      </c>
      <c r="D14" s="2143">
        <f>固资折旧!C9+固资折旧!D9</f>
        <v>0</v>
      </c>
      <c r="E14" s="2143">
        <f>固资折旧!D19</f>
        <v>0</v>
      </c>
      <c r="F14" s="2143">
        <f>固资折旧!C19+固资折旧!D19</f>
        <v>0</v>
      </c>
      <c r="G14" s="2143">
        <f t="shared" si="0"/>
        <v>0</v>
      </c>
      <c r="H14" s="2143">
        <f>固资折旧!G19</f>
        <v>0</v>
      </c>
      <c r="I14" s="203" t="s">
        <v>604</v>
      </c>
      <c r="J14" s="203" t="s">
        <v>604</v>
      </c>
      <c r="K14" s="2143">
        <f>固资折旧!C19+固资折旧!G19</f>
        <v>0</v>
      </c>
      <c r="L14" s="2142">
        <f t="shared" ref="L14:L28" si="1">E14-H14</f>
        <v>0</v>
      </c>
      <c r="N14" s="4029"/>
    </row>
    <row r="15" spans="1:14" s="113" customFormat="1" ht="12.75" customHeight="1">
      <c r="A15" s="111">
        <v>4</v>
      </c>
      <c r="B15" s="4156"/>
      <c r="C15" s="276" t="s">
        <v>589</v>
      </c>
      <c r="D15" s="2143">
        <f>固资折旧!C10+固资折旧!D10</f>
        <v>0</v>
      </c>
      <c r="E15" s="2143">
        <f>固资折旧!D20</f>
        <v>0</v>
      </c>
      <c r="F15" s="2143">
        <f>固资折旧!C20+固资折旧!D20</f>
        <v>0</v>
      </c>
      <c r="G15" s="2143">
        <f t="shared" si="0"/>
        <v>0</v>
      </c>
      <c r="H15" s="2143">
        <f>固资折旧!G20</f>
        <v>0</v>
      </c>
      <c r="I15" s="203" t="s">
        <v>604</v>
      </c>
      <c r="J15" s="203" t="s">
        <v>604</v>
      </c>
      <c r="K15" s="2143">
        <f>固资折旧!C20+固资折旧!G20</f>
        <v>0</v>
      </c>
      <c r="L15" s="2142">
        <f t="shared" si="1"/>
        <v>0</v>
      </c>
      <c r="N15" s="4029"/>
    </row>
    <row r="16" spans="1:14" s="113" customFormat="1" ht="12.75" customHeight="1">
      <c r="A16" s="111">
        <v>5</v>
      </c>
      <c r="B16" s="4156"/>
      <c r="C16" s="276" t="s">
        <v>590</v>
      </c>
      <c r="D16" s="2143">
        <f>固资折旧!C11+固资折旧!D11</f>
        <v>0</v>
      </c>
      <c r="E16" s="2143">
        <f>固资折旧!D21</f>
        <v>0</v>
      </c>
      <c r="F16" s="2143">
        <f>固资折旧!C21+固资折旧!D21</f>
        <v>0</v>
      </c>
      <c r="G16" s="2143">
        <f t="shared" si="0"/>
        <v>0</v>
      </c>
      <c r="H16" s="2143">
        <f>固资折旧!G21</f>
        <v>0</v>
      </c>
      <c r="I16" s="203" t="s">
        <v>604</v>
      </c>
      <c r="J16" s="203" t="s">
        <v>604</v>
      </c>
      <c r="K16" s="2143">
        <f>固资折旧!C21+固资折旧!G21</f>
        <v>0</v>
      </c>
      <c r="L16" s="2142">
        <f t="shared" si="1"/>
        <v>0</v>
      </c>
      <c r="N16" s="4029"/>
    </row>
    <row r="17" spans="1:14" s="113" customFormat="1" ht="12.75" customHeight="1">
      <c r="A17" s="111">
        <v>6</v>
      </c>
      <c r="B17" s="4156"/>
      <c r="C17" s="109" t="s">
        <v>592</v>
      </c>
      <c r="D17" s="2143">
        <f>固资折旧!C12+固资折旧!D12</f>
        <v>0</v>
      </c>
      <c r="E17" s="2143">
        <f>固资折旧!D22</f>
        <v>0</v>
      </c>
      <c r="F17" s="2143">
        <f>固资折旧!C22+固资折旧!D22</f>
        <v>0</v>
      </c>
      <c r="G17" s="2143">
        <f t="shared" si="0"/>
        <v>0</v>
      </c>
      <c r="H17" s="2143">
        <f>固资折旧!G22</f>
        <v>0</v>
      </c>
      <c r="I17" s="203" t="s">
        <v>604</v>
      </c>
      <c r="J17" s="203" t="s">
        <v>604</v>
      </c>
      <c r="K17" s="2143">
        <f>固资折旧!C22+固资折旧!G22</f>
        <v>0</v>
      </c>
      <c r="L17" s="2142">
        <f t="shared" si="1"/>
        <v>0</v>
      </c>
      <c r="N17" s="4029"/>
    </row>
    <row r="18" spans="1:14" s="113" customFormat="1" ht="12.75" customHeight="1">
      <c r="A18" s="111">
        <v>7</v>
      </c>
      <c r="B18" s="4119"/>
      <c r="C18" s="109" t="s">
        <v>591</v>
      </c>
      <c r="D18" s="2143"/>
      <c r="E18" s="2143"/>
      <c r="F18" s="2143"/>
      <c r="G18" s="2143">
        <f t="shared" si="0"/>
        <v>0</v>
      </c>
      <c r="H18" s="2143"/>
      <c r="I18" s="203" t="s">
        <v>604</v>
      </c>
      <c r="J18" s="203" t="s">
        <v>604</v>
      </c>
      <c r="K18" s="2143"/>
      <c r="L18" s="2142">
        <f t="shared" si="1"/>
        <v>0</v>
      </c>
      <c r="N18" s="4030"/>
    </row>
    <row r="19" spans="1:14" s="113" customFormat="1" ht="12.75" customHeight="1">
      <c r="A19" s="111">
        <v>8</v>
      </c>
      <c r="B19" s="4118" t="s">
        <v>579</v>
      </c>
      <c r="C19" s="109" t="s">
        <v>580</v>
      </c>
      <c r="D19" s="2143">
        <f>固定资产加速折旧审核表!D7</f>
        <v>0</v>
      </c>
      <c r="E19" s="2143">
        <f>固定资产加速折旧审核表!E7</f>
        <v>0</v>
      </c>
      <c r="F19" s="2143">
        <f>固定资产加速折旧审核表!F7</f>
        <v>0</v>
      </c>
      <c r="G19" s="2143">
        <f>固定资产加速折旧审核表!G7</f>
        <v>0</v>
      </c>
      <c r="H19" s="2143">
        <f>固定资产加速折旧审核表!H7</f>
        <v>0</v>
      </c>
      <c r="I19" s="2143">
        <f>固定资产加速折旧审核表!I7</f>
        <v>0</v>
      </c>
      <c r="J19" s="2142">
        <f>H19-I19</f>
        <v>0</v>
      </c>
      <c r="K19" s="2143">
        <f>固定资产加速折旧审核表!K7</f>
        <v>0</v>
      </c>
      <c r="L19" s="203" t="s">
        <v>604</v>
      </c>
      <c r="N19" s="274"/>
    </row>
    <row r="20" spans="1:14" s="113" customFormat="1" ht="12.75" customHeight="1">
      <c r="A20" s="111">
        <v>9</v>
      </c>
      <c r="B20" s="4156"/>
      <c r="C20" s="109" t="s">
        <v>581</v>
      </c>
      <c r="D20" s="2143">
        <f>固定资产加速折旧审核表!D8</f>
        <v>0</v>
      </c>
      <c r="E20" s="2143">
        <f>固定资产加速折旧审核表!E8</f>
        <v>0</v>
      </c>
      <c r="F20" s="2143">
        <f>固定资产加速折旧审核表!F8</f>
        <v>0</v>
      </c>
      <c r="G20" s="2143">
        <f>固定资产加速折旧审核表!G8</f>
        <v>0</v>
      </c>
      <c r="H20" s="2143">
        <f>固定资产加速折旧审核表!H8</f>
        <v>0</v>
      </c>
      <c r="I20" s="2143">
        <f>固定资产加速折旧审核表!I8</f>
        <v>0</v>
      </c>
      <c r="J20" s="2142">
        <f>H20-I20</f>
        <v>0</v>
      </c>
      <c r="K20" s="2143">
        <f>固定资产加速折旧审核表!K8</f>
        <v>0</v>
      </c>
      <c r="L20" s="2142">
        <f>E20-H20</f>
        <v>0</v>
      </c>
      <c r="N20" s="274"/>
    </row>
    <row r="21" spans="1:14" s="113" customFormat="1" ht="12.75" customHeight="1">
      <c r="A21" s="111">
        <v>10</v>
      </c>
      <c r="B21" s="4156"/>
      <c r="C21" s="109" t="s">
        <v>582</v>
      </c>
      <c r="D21" s="2142">
        <f>SUM(D22:D24)</f>
        <v>0</v>
      </c>
      <c r="E21" s="2142">
        <f t="shared" ref="E21:L21" si="2">SUM(E22:E24)</f>
        <v>0</v>
      </c>
      <c r="F21" s="2142">
        <f t="shared" si="2"/>
        <v>0</v>
      </c>
      <c r="G21" s="2142">
        <f t="shared" si="2"/>
        <v>0</v>
      </c>
      <c r="H21" s="2142">
        <f t="shared" si="2"/>
        <v>0</v>
      </c>
      <c r="I21" s="2142">
        <f t="shared" si="2"/>
        <v>0</v>
      </c>
      <c r="J21" s="2142">
        <f t="shared" si="2"/>
        <v>0</v>
      </c>
      <c r="K21" s="2142">
        <f t="shared" si="2"/>
        <v>0</v>
      </c>
      <c r="L21" s="2142">
        <f t="shared" si="2"/>
        <v>0</v>
      </c>
      <c r="N21" s="274"/>
    </row>
    <row r="22" spans="1:14" s="113" customFormat="1" ht="12.75" customHeight="1">
      <c r="A22" s="111">
        <v>11</v>
      </c>
      <c r="B22" s="4156"/>
      <c r="C22" s="277" t="s">
        <v>607</v>
      </c>
      <c r="D22" s="2143">
        <f>固定资产加速折旧审核表!D10</f>
        <v>0</v>
      </c>
      <c r="E22" s="2143">
        <f>固定资产加速折旧审核表!E10</f>
        <v>0</v>
      </c>
      <c r="F22" s="2143">
        <f>固定资产加速折旧审核表!F10</f>
        <v>0</v>
      </c>
      <c r="G22" s="2143">
        <f>固定资产加速折旧审核表!G10</f>
        <v>0</v>
      </c>
      <c r="H22" s="2143">
        <f>固定资产加速折旧审核表!H10</f>
        <v>0</v>
      </c>
      <c r="I22" s="2143">
        <f>固定资产加速折旧审核表!I10</f>
        <v>0</v>
      </c>
      <c r="J22" s="2142">
        <f>H22-I22</f>
        <v>0</v>
      </c>
      <c r="K22" s="2143">
        <f>固定资产加速折旧审核表!K10</f>
        <v>0</v>
      </c>
      <c r="L22" s="2142">
        <f t="shared" si="1"/>
        <v>0</v>
      </c>
      <c r="N22" s="274"/>
    </row>
    <row r="23" spans="1:14" s="113" customFormat="1" ht="30.75" customHeight="1">
      <c r="A23" s="111">
        <v>12</v>
      </c>
      <c r="B23" s="4156"/>
      <c r="C23" s="278" t="s">
        <v>608</v>
      </c>
      <c r="D23" s="2143">
        <f>固定资产加速折旧审核表!D11</f>
        <v>0</v>
      </c>
      <c r="E23" s="2143">
        <f>固定资产加速折旧审核表!E11</f>
        <v>0</v>
      </c>
      <c r="F23" s="2143">
        <f>固定资产加速折旧审核表!F11</f>
        <v>0</v>
      </c>
      <c r="G23" s="2143">
        <f>固定资产加速折旧审核表!G11</f>
        <v>0</v>
      </c>
      <c r="H23" s="2143">
        <f>固定资产加速折旧审核表!H11</f>
        <v>0</v>
      </c>
      <c r="I23" s="2143">
        <f>固定资产加速折旧审核表!I11</f>
        <v>0</v>
      </c>
      <c r="J23" s="2142">
        <f t="shared" ref="J23:J28" si="3">H23-I23</f>
        <v>0</v>
      </c>
      <c r="K23" s="2143">
        <f>固定资产加速折旧审核表!K11</f>
        <v>0</v>
      </c>
      <c r="L23" s="2142">
        <f t="shared" si="1"/>
        <v>0</v>
      </c>
      <c r="N23" s="274"/>
    </row>
    <row r="24" spans="1:14" s="113" customFormat="1" ht="12.75" customHeight="1">
      <c r="A24" s="111">
        <v>13</v>
      </c>
      <c r="B24" s="4156"/>
      <c r="C24" s="277" t="s">
        <v>609</v>
      </c>
      <c r="D24" s="2143">
        <f>固定资产加速折旧审核表!D12</f>
        <v>0</v>
      </c>
      <c r="E24" s="2143">
        <f>固定资产加速折旧审核表!E12</f>
        <v>0</v>
      </c>
      <c r="F24" s="2143">
        <f>固定资产加速折旧审核表!F12</f>
        <v>0</v>
      </c>
      <c r="G24" s="2143">
        <f>固定资产加速折旧审核表!G12</f>
        <v>0</v>
      </c>
      <c r="H24" s="2143">
        <f>固定资产加速折旧审核表!H12</f>
        <v>0</v>
      </c>
      <c r="I24" s="2143">
        <f>固定资产加速折旧审核表!I12</f>
        <v>0</v>
      </c>
      <c r="J24" s="2142">
        <f t="shared" si="3"/>
        <v>0</v>
      </c>
      <c r="K24" s="2143">
        <f>固定资产加速折旧审核表!K12</f>
        <v>0</v>
      </c>
      <c r="L24" s="2142">
        <f t="shared" si="1"/>
        <v>0</v>
      </c>
      <c r="N24" s="274"/>
    </row>
    <row r="25" spans="1:14" s="113" customFormat="1" ht="12.75" customHeight="1">
      <c r="A25" s="111">
        <v>14</v>
      </c>
      <c r="B25" s="4156"/>
      <c r="C25" s="109" t="s">
        <v>583</v>
      </c>
      <c r="D25" s="2143">
        <f>固定资产加速折旧审核表!D13</f>
        <v>0</v>
      </c>
      <c r="E25" s="2143">
        <f>固定资产加速折旧审核表!E13</f>
        <v>0</v>
      </c>
      <c r="F25" s="2143">
        <f>固定资产加速折旧审核表!F13</f>
        <v>0</v>
      </c>
      <c r="G25" s="2143">
        <f>固定资产加速折旧审核表!G13</f>
        <v>0</v>
      </c>
      <c r="H25" s="2143">
        <f>固定资产加速折旧审核表!H13</f>
        <v>0</v>
      </c>
      <c r="I25" s="2143">
        <f>固定资产加速折旧审核表!I13</f>
        <v>0</v>
      </c>
      <c r="J25" s="2142">
        <f t="shared" si="3"/>
        <v>0</v>
      </c>
      <c r="K25" s="2143">
        <f>固定资产加速折旧审核表!K13</f>
        <v>0</v>
      </c>
      <c r="L25" s="2142">
        <f t="shared" si="1"/>
        <v>0</v>
      </c>
      <c r="N25" s="274"/>
    </row>
    <row r="26" spans="1:14" s="113" customFormat="1" ht="12.75" customHeight="1">
      <c r="A26" s="111">
        <v>15</v>
      </c>
      <c r="B26" s="4156"/>
      <c r="C26" s="109" t="s">
        <v>584</v>
      </c>
      <c r="D26" s="2143">
        <f>固定资产加速折旧审核表!D14</f>
        <v>0</v>
      </c>
      <c r="E26" s="2143">
        <f>固定资产加速折旧审核表!E14</f>
        <v>0</v>
      </c>
      <c r="F26" s="2143">
        <f>固定资产加速折旧审核表!F14</f>
        <v>0</v>
      </c>
      <c r="G26" s="2143">
        <f>固定资产加速折旧审核表!G14</f>
        <v>0</v>
      </c>
      <c r="H26" s="2143">
        <f>固定资产加速折旧审核表!H14</f>
        <v>0</v>
      </c>
      <c r="I26" s="2143">
        <f>固定资产加速折旧审核表!I14</f>
        <v>0</v>
      </c>
      <c r="J26" s="2142">
        <f t="shared" si="3"/>
        <v>0</v>
      </c>
      <c r="K26" s="2143">
        <f>固定资产加速折旧审核表!K14</f>
        <v>0</v>
      </c>
      <c r="L26" s="2142">
        <f t="shared" si="1"/>
        <v>0</v>
      </c>
      <c r="N26" s="274"/>
    </row>
    <row r="27" spans="1:14" s="113" customFormat="1" ht="16.5" customHeight="1">
      <c r="A27" s="111">
        <v>16</v>
      </c>
      <c r="B27" s="4156"/>
      <c r="C27" s="109" t="s">
        <v>585</v>
      </c>
      <c r="D27" s="2143">
        <f>固定资产加速折旧审核表!D15</f>
        <v>0</v>
      </c>
      <c r="E27" s="2143">
        <f>固定资产加速折旧审核表!E15</f>
        <v>0</v>
      </c>
      <c r="F27" s="2143">
        <f>固定资产加速折旧审核表!F15</f>
        <v>0</v>
      </c>
      <c r="G27" s="2143">
        <f>固定资产加速折旧审核表!G15</f>
        <v>0</v>
      </c>
      <c r="H27" s="2143">
        <f>固定资产加速折旧审核表!H15</f>
        <v>0</v>
      </c>
      <c r="I27" s="2143">
        <f>固定资产加速折旧审核表!I15</f>
        <v>0</v>
      </c>
      <c r="J27" s="2142">
        <f t="shared" si="3"/>
        <v>0</v>
      </c>
      <c r="K27" s="2143">
        <f>固定资产加速折旧审核表!K15</f>
        <v>0</v>
      </c>
      <c r="L27" s="2142">
        <f t="shared" si="1"/>
        <v>0</v>
      </c>
      <c r="N27" s="274"/>
    </row>
    <row r="28" spans="1:14" s="113" customFormat="1" ht="12">
      <c r="A28" s="111">
        <v>17</v>
      </c>
      <c r="B28" s="4119"/>
      <c r="C28" s="109" t="s">
        <v>586</v>
      </c>
      <c r="D28" s="2143">
        <f>固定资产加速折旧审核表!D16</f>
        <v>0</v>
      </c>
      <c r="E28" s="2143">
        <f>固定资产加速折旧审核表!E16</f>
        <v>0</v>
      </c>
      <c r="F28" s="2143">
        <f>固定资产加速折旧审核表!F16</f>
        <v>0</v>
      </c>
      <c r="G28" s="2143">
        <f>固定资产加速折旧审核表!G16</f>
        <v>0</v>
      </c>
      <c r="H28" s="2143">
        <f>固定资产加速折旧审核表!H16</f>
        <v>0</v>
      </c>
      <c r="I28" s="2143">
        <f>固定资产加速折旧审核表!I16</f>
        <v>0</v>
      </c>
      <c r="J28" s="2142">
        <f t="shared" si="3"/>
        <v>0</v>
      </c>
      <c r="K28" s="2143">
        <f>固定资产加速折旧审核表!K16</f>
        <v>0</v>
      </c>
      <c r="L28" s="2142">
        <f t="shared" si="1"/>
        <v>0</v>
      </c>
      <c r="N28" s="274"/>
    </row>
    <row r="29" spans="1:14" s="113" customFormat="1" ht="12.75" customHeight="1">
      <c r="A29" s="111">
        <v>18</v>
      </c>
      <c r="B29" s="4150" t="s">
        <v>559</v>
      </c>
      <c r="C29" s="4151"/>
      <c r="D29" s="2142">
        <f>SUM(D30:D31)</f>
        <v>0</v>
      </c>
      <c r="E29" s="2142">
        <f>SUM(E30:E31)</f>
        <v>0</v>
      </c>
      <c r="F29" s="2142">
        <f>SUM(F30:F31)</f>
        <v>0</v>
      </c>
      <c r="G29" s="2142">
        <f>SUM(G30:G31)</f>
        <v>0</v>
      </c>
      <c r="H29" s="2142">
        <f>SUM(H30:H31)</f>
        <v>0</v>
      </c>
      <c r="I29" s="203" t="s">
        <v>604</v>
      </c>
      <c r="J29" s="203" t="s">
        <v>604</v>
      </c>
      <c r="K29" s="2142">
        <f>SUM(K30:K31)</f>
        <v>0</v>
      </c>
      <c r="L29" s="2142">
        <f>SUM(L30:L31)</f>
        <v>0</v>
      </c>
      <c r="N29" s="4028" t="s">
        <v>560</v>
      </c>
    </row>
    <row r="30" spans="1:14" s="113" customFormat="1" ht="12.75" customHeight="1">
      <c r="A30" s="111">
        <v>19</v>
      </c>
      <c r="B30" s="4150" t="s">
        <v>561</v>
      </c>
      <c r="C30" s="4151"/>
      <c r="D30" s="2143">
        <f>固资折旧!C14+固资折旧!D14</f>
        <v>0</v>
      </c>
      <c r="E30" s="2143">
        <f>固资折旧!D24</f>
        <v>0</v>
      </c>
      <c r="F30" s="2143">
        <f>固资折旧!C24+固资折旧!D24</f>
        <v>0</v>
      </c>
      <c r="G30" s="2143">
        <f>D30</f>
        <v>0</v>
      </c>
      <c r="H30" s="2143">
        <f>固资折旧!G24</f>
        <v>0</v>
      </c>
      <c r="I30" s="203" t="s">
        <v>604</v>
      </c>
      <c r="J30" s="203" t="s">
        <v>604</v>
      </c>
      <c r="K30" s="2143">
        <f>固资折旧!C24+固资折旧!G24</f>
        <v>0</v>
      </c>
      <c r="L30" s="2142">
        <f>E30-H30</f>
        <v>0</v>
      </c>
      <c r="N30" s="4029"/>
    </row>
    <row r="31" spans="1:14" s="113" customFormat="1" ht="12.75" customHeight="1">
      <c r="A31" s="111">
        <v>20</v>
      </c>
      <c r="B31" s="4150" t="s">
        <v>562</v>
      </c>
      <c r="C31" s="4151"/>
      <c r="D31" s="2143">
        <f>固资折旧!C15+固资折旧!D15</f>
        <v>0</v>
      </c>
      <c r="E31" s="2143">
        <f>固资折旧!D25</f>
        <v>0</v>
      </c>
      <c r="F31" s="2143">
        <f>固资折旧!C25+固资折旧!D25</f>
        <v>0</v>
      </c>
      <c r="G31" s="2143">
        <f>D31</f>
        <v>0</v>
      </c>
      <c r="H31" s="2143">
        <f>固资折旧!G25</f>
        <v>0</v>
      </c>
      <c r="I31" s="203" t="s">
        <v>604</v>
      </c>
      <c r="J31" s="203" t="s">
        <v>604</v>
      </c>
      <c r="K31" s="2143">
        <f>固资折旧!C25+固资折旧!G25</f>
        <v>0</v>
      </c>
      <c r="L31" s="2142">
        <f>E31-H31</f>
        <v>0</v>
      </c>
      <c r="N31" s="4030"/>
    </row>
    <row r="32" spans="1:14" s="113" customFormat="1" ht="12.75" customHeight="1">
      <c r="A32" s="111">
        <v>21</v>
      </c>
      <c r="B32" s="4152" t="s">
        <v>611</v>
      </c>
      <c r="C32" s="4151"/>
      <c r="D32" s="2142">
        <f>SUM(D33:D39)+D41</f>
        <v>0</v>
      </c>
      <c r="E32" s="2142">
        <f>SUM(E33:E39)+E41</f>
        <v>0</v>
      </c>
      <c r="F32" s="2142">
        <f>SUM(F33:F39)+F41</f>
        <v>0</v>
      </c>
      <c r="G32" s="2142">
        <f>SUM(G33:G39)+G41</f>
        <v>0</v>
      </c>
      <c r="H32" s="2142">
        <f>SUM(H33:H39)+H41</f>
        <v>0</v>
      </c>
      <c r="I32" s="203" t="s">
        <v>604</v>
      </c>
      <c r="J32" s="203" t="s">
        <v>604</v>
      </c>
      <c r="K32" s="2142">
        <f>SUM(K33:K39)+K41</f>
        <v>0</v>
      </c>
      <c r="L32" s="2142">
        <f>SUM(L33:L39)+L41</f>
        <v>0</v>
      </c>
      <c r="N32" s="4028" t="s">
        <v>563</v>
      </c>
    </row>
    <row r="33" spans="1:14" s="113" customFormat="1" ht="12.75" customHeight="1">
      <c r="A33" s="111">
        <v>22</v>
      </c>
      <c r="B33" s="4153" t="s">
        <v>564</v>
      </c>
      <c r="C33" s="4154"/>
      <c r="D33" s="2143">
        <f>无形长摊!C18</f>
        <v>0</v>
      </c>
      <c r="E33" s="2143">
        <f>无形长摊!I18</f>
        <v>0</v>
      </c>
      <c r="F33" s="2143">
        <f>无形长摊!C18-无形长摊!K18</f>
        <v>0</v>
      </c>
      <c r="G33" s="2143">
        <f>无形长摊!E18</f>
        <v>0</v>
      </c>
      <c r="H33" s="2143">
        <f>无形长摊!M18</f>
        <v>0</v>
      </c>
      <c r="I33" s="203" t="s">
        <v>604</v>
      </c>
      <c r="J33" s="203" t="s">
        <v>604</v>
      </c>
      <c r="K33" s="2143">
        <f>无形长摊!N18</f>
        <v>0</v>
      </c>
      <c r="L33" s="2142">
        <f>E33-H33</f>
        <v>0</v>
      </c>
      <c r="N33" s="4029"/>
    </row>
    <row r="34" spans="1:14" s="113" customFormat="1" ht="12.75" customHeight="1">
      <c r="A34" s="111">
        <v>23</v>
      </c>
      <c r="B34" s="4153" t="s">
        <v>565</v>
      </c>
      <c r="C34" s="4154"/>
      <c r="D34" s="2143">
        <f>无形长摊!C19</f>
        <v>0</v>
      </c>
      <c r="E34" s="2143">
        <f>无形长摊!I19</f>
        <v>0</v>
      </c>
      <c r="F34" s="2143">
        <f>无形长摊!C19-无形长摊!K19</f>
        <v>0</v>
      </c>
      <c r="G34" s="2143">
        <f>无形长摊!E19</f>
        <v>0</v>
      </c>
      <c r="H34" s="2143">
        <f>无形长摊!M19</f>
        <v>0</v>
      </c>
      <c r="I34" s="203" t="s">
        <v>604</v>
      </c>
      <c r="J34" s="203" t="s">
        <v>604</v>
      </c>
      <c r="K34" s="2143">
        <f>无形长摊!N19</f>
        <v>0</v>
      </c>
      <c r="L34" s="2142">
        <f t="shared" ref="L34:L49" si="4">E34-H34</f>
        <v>0</v>
      </c>
      <c r="N34" s="4029"/>
    </row>
    <row r="35" spans="1:14" s="113" customFormat="1" ht="12.75" customHeight="1">
      <c r="A35" s="111">
        <v>24</v>
      </c>
      <c r="B35" s="4153" t="s">
        <v>566</v>
      </c>
      <c r="C35" s="4154"/>
      <c r="D35" s="2143">
        <f>无形长摊!C20</f>
        <v>0</v>
      </c>
      <c r="E35" s="2143">
        <f>无形长摊!I20</f>
        <v>0</v>
      </c>
      <c r="F35" s="2143">
        <f>无形长摊!C20-无形长摊!K20</f>
        <v>0</v>
      </c>
      <c r="G35" s="2143">
        <f>无形长摊!E20</f>
        <v>0</v>
      </c>
      <c r="H35" s="2143">
        <f>无形长摊!M20</f>
        <v>0</v>
      </c>
      <c r="I35" s="203" t="s">
        <v>604</v>
      </c>
      <c r="J35" s="203" t="s">
        <v>604</v>
      </c>
      <c r="K35" s="2143">
        <f>无形长摊!N20</f>
        <v>0</v>
      </c>
      <c r="L35" s="2142">
        <f t="shared" si="4"/>
        <v>0</v>
      </c>
      <c r="N35" s="4029"/>
    </row>
    <row r="36" spans="1:14" s="113" customFormat="1" ht="12.75" customHeight="1">
      <c r="A36" s="111">
        <v>25</v>
      </c>
      <c r="B36" s="4153" t="s">
        <v>567</v>
      </c>
      <c r="C36" s="4154"/>
      <c r="D36" s="2143">
        <f>无形长摊!C21</f>
        <v>0</v>
      </c>
      <c r="E36" s="2143">
        <f>无形长摊!I21</f>
        <v>0</v>
      </c>
      <c r="F36" s="2143">
        <f>无形长摊!C21-无形长摊!K21</f>
        <v>0</v>
      </c>
      <c r="G36" s="2143">
        <f>无形长摊!E21</f>
        <v>0</v>
      </c>
      <c r="H36" s="2143">
        <f>无形长摊!M21</f>
        <v>0</v>
      </c>
      <c r="I36" s="203" t="s">
        <v>604</v>
      </c>
      <c r="J36" s="203" t="s">
        <v>604</v>
      </c>
      <c r="K36" s="2143">
        <f>无形长摊!N21</f>
        <v>0</v>
      </c>
      <c r="L36" s="2142">
        <f t="shared" si="4"/>
        <v>0</v>
      </c>
      <c r="N36" s="4029"/>
    </row>
    <row r="37" spans="1:14" s="113" customFormat="1" ht="12.75" customHeight="1">
      <c r="A37" s="111">
        <v>26</v>
      </c>
      <c r="B37" s="4153" t="s">
        <v>568</v>
      </c>
      <c r="C37" s="4154"/>
      <c r="D37" s="2143">
        <f>无形长摊!C22</f>
        <v>0</v>
      </c>
      <c r="E37" s="2143">
        <f>无形长摊!I22</f>
        <v>0</v>
      </c>
      <c r="F37" s="2143">
        <f>无形长摊!C22-无形长摊!K22</f>
        <v>0</v>
      </c>
      <c r="G37" s="2143">
        <f>无形长摊!E22</f>
        <v>0</v>
      </c>
      <c r="H37" s="2143">
        <f>无形长摊!M22</f>
        <v>0</v>
      </c>
      <c r="I37" s="203" t="s">
        <v>604</v>
      </c>
      <c r="J37" s="203" t="s">
        <v>604</v>
      </c>
      <c r="K37" s="2143">
        <f>无形长摊!N22</f>
        <v>0</v>
      </c>
      <c r="L37" s="2142">
        <f t="shared" si="4"/>
        <v>0</v>
      </c>
      <c r="N37" s="4029"/>
    </row>
    <row r="38" spans="1:14" s="113" customFormat="1" ht="12.75" customHeight="1">
      <c r="A38" s="111">
        <v>27</v>
      </c>
      <c r="B38" s="4153" t="s">
        <v>569</v>
      </c>
      <c r="C38" s="4154"/>
      <c r="D38" s="2143">
        <f>无形长摊!C23</f>
        <v>0</v>
      </c>
      <c r="E38" s="2143">
        <f>无形长摊!I23</f>
        <v>0</v>
      </c>
      <c r="F38" s="2143">
        <f>无形长摊!C23-无形长摊!K23</f>
        <v>0</v>
      </c>
      <c r="G38" s="2143">
        <f>无形长摊!E23</f>
        <v>0</v>
      </c>
      <c r="H38" s="2143">
        <f>无形长摊!M23</f>
        <v>0</v>
      </c>
      <c r="I38" s="203" t="s">
        <v>604</v>
      </c>
      <c r="J38" s="203" t="s">
        <v>604</v>
      </c>
      <c r="K38" s="2143">
        <f>无形长摊!N23</f>
        <v>0</v>
      </c>
      <c r="L38" s="2142">
        <f t="shared" si="4"/>
        <v>0</v>
      </c>
      <c r="N38" s="4029"/>
    </row>
    <row r="39" spans="1:14" s="113" customFormat="1" ht="12.75" customHeight="1">
      <c r="A39" s="111">
        <v>28</v>
      </c>
      <c r="B39" s="4153" t="s">
        <v>593</v>
      </c>
      <c r="C39" s="4154"/>
      <c r="D39" s="2143">
        <f>无形长摊!C24</f>
        <v>0</v>
      </c>
      <c r="E39" s="2143">
        <f>无形长摊!I24</f>
        <v>0</v>
      </c>
      <c r="F39" s="2143">
        <f>无形长摊!C24-无形长摊!K24</f>
        <v>0</v>
      </c>
      <c r="G39" s="2143">
        <f>无形长摊!E24</f>
        <v>0</v>
      </c>
      <c r="H39" s="2143">
        <f>无形长摊!M24</f>
        <v>0</v>
      </c>
      <c r="I39" s="203" t="s">
        <v>604</v>
      </c>
      <c r="J39" s="203" t="s">
        <v>604</v>
      </c>
      <c r="K39" s="2143">
        <f>无形长摊!N24</f>
        <v>0</v>
      </c>
      <c r="L39" s="2142">
        <f t="shared" si="4"/>
        <v>0</v>
      </c>
      <c r="N39" s="4030"/>
    </row>
    <row r="40" spans="1:14" s="113" customFormat="1" ht="12.75" customHeight="1">
      <c r="A40" s="111">
        <v>29</v>
      </c>
      <c r="B40" s="4155" t="s">
        <v>610</v>
      </c>
      <c r="C40" s="4154"/>
      <c r="D40" s="2143">
        <f>无形长摊!C25</f>
        <v>0</v>
      </c>
      <c r="E40" s="2143">
        <f>无形长摊!I25</f>
        <v>0</v>
      </c>
      <c r="F40" s="2143">
        <f>无形长摊!C25-无形长摊!K25</f>
        <v>0</v>
      </c>
      <c r="G40" s="2143">
        <f>无形长摊!E25</f>
        <v>0</v>
      </c>
      <c r="H40" s="2143">
        <f>无形长摊!M25</f>
        <v>0</v>
      </c>
      <c r="I40" s="203"/>
      <c r="J40" s="2142">
        <f>H40-I40</f>
        <v>0</v>
      </c>
      <c r="K40" s="2143">
        <f>无形长摊!N25</f>
        <v>0</v>
      </c>
      <c r="L40" s="203" t="s">
        <v>604</v>
      </c>
      <c r="N40" s="274"/>
    </row>
    <row r="41" spans="1:14" s="113" customFormat="1" ht="12.75" customHeight="1">
      <c r="A41" s="111">
        <v>30</v>
      </c>
      <c r="B41" s="4153" t="s">
        <v>594</v>
      </c>
      <c r="C41" s="4154"/>
      <c r="D41" s="2143">
        <f>无形长摊!C26</f>
        <v>0</v>
      </c>
      <c r="E41" s="2143">
        <f>无形长摊!I26</f>
        <v>0</v>
      </c>
      <c r="F41" s="2143">
        <f>无形长摊!C26-无形长摊!K26</f>
        <v>0</v>
      </c>
      <c r="G41" s="2143">
        <f>无形长摊!E26</f>
        <v>0</v>
      </c>
      <c r="H41" s="2143">
        <f>无形长摊!M26</f>
        <v>0</v>
      </c>
      <c r="I41" s="203" t="s">
        <v>604</v>
      </c>
      <c r="J41" s="203" t="s">
        <v>604</v>
      </c>
      <c r="K41" s="2143">
        <f>无形长摊!N26</f>
        <v>0</v>
      </c>
      <c r="L41" s="2142">
        <f>E41-H41</f>
        <v>0</v>
      </c>
      <c r="N41" s="274"/>
    </row>
    <row r="42" spans="1:14" s="113" customFormat="1" ht="12.75" customHeight="1">
      <c r="A42" s="111">
        <v>31</v>
      </c>
      <c r="B42" s="4152" t="s">
        <v>612</v>
      </c>
      <c r="C42" s="4151"/>
      <c r="D42" s="2142">
        <f>SUM(D43:D47)</f>
        <v>0</v>
      </c>
      <c r="E42" s="2142">
        <f>SUM(E43:E47)</f>
        <v>0</v>
      </c>
      <c r="F42" s="2142">
        <f>SUM(F43:F47)</f>
        <v>0</v>
      </c>
      <c r="G42" s="2142">
        <f>SUM(G43:G47)</f>
        <v>0</v>
      </c>
      <c r="H42" s="2142">
        <f>SUM(H43:H47)</f>
        <v>0</v>
      </c>
      <c r="I42" s="203" t="s">
        <v>604</v>
      </c>
      <c r="J42" s="203" t="s">
        <v>604</v>
      </c>
      <c r="K42" s="2142">
        <f>SUM(K43:K47)</f>
        <v>0</v>
      </c>
      <c r="L42" s="2142">
        <f>SUM(L43:L47)</f>
        <v>0</v>
      </c>
      <c r="N42" s="4028" t="s">
        <v>570</v>
      </c>
    </row>
    <row r="43" spans="1:14" s="113" customFormat="1" ht="12.75" customHeight="1">
      <c r="A43" s="111">
        <v>32</v>
      </c>
      <c r="B43" s="4153" t="s">
        <v>571</v>
      </c>
      <c r="C43" s="4154"/>
      <c r="D43" s="2143">
        <f>无形长摊!C8</f>
        <v>0</v>
      </c>
      <c r="E43" s="2143">
        <f>无形长摊!I8</f>
        <v>0</v>
      </c>
      <c r="F43" s="2143">
        <f>无形长摊!C8-无形长摊!K8</f>
        <v>0</v>
      </c>
      <c r="G43" s="2143">
        <f>无形长摊!E8</f>
        <v>0</v>
      </c>
      <c r="H43" s="2143">
        <f>无形长摊!M8</f>
        <v>0</v>
      </c>
      <c r="I43" s="203" t="s">
        <v>604</v>
      </c>
      <c r="J43" s="203" t="s">
        <v>604</v>
      </c>
      <c r="K43" s="2143">
        <f>无形长摊!N8</f>
        <v>0</v>
      </c>
      <c r="L43" s="2142">
        <f t="shared" si="4"/>
        <v>0</v>
      </c>
      <c r="N43" s="4029"/>
    </row>
    <row r="44" spans="1:14" s="113" customFormat="1" ht="12.75" customHeight="1">
      <c r="A44" s="111">
        <v>33</v>
      </c>
      <c r="B44" s="4153" t="s">
        <v>572</v>
      </c>
      <c r="C44" s="4154"/>
      <c r="D44" s="2143">
        <f>无形长摊!C9</f>
        <v>0</v>
      </c>
      <c r="E44" s="2143">
        <f>无形长摊!I9</f>
        <v>0</v>
      </c>
      <c r="F44" s="2143">
        <f>无形长摊!C9-无形长摊!K9</f>
        <v>0</v>
      </c>
      <c r="G44" s="2143">
        <f>无形长摊!E9</f>
        <v>0</v>
      </c>
      <c r="H44" s="2143">
        <f>无形长摊!M9</f>
        <v>0</v>
      </c>
      <c r="I44" s="203" t="s">
        <v>604</v>
      </c>
      <c r="J44" s="203" t="s">
        <v>604</v>
      </c>
      <c r="K44" s="2143">
        <f>无形长摊!N9</f>
        <v>0</v>
      </c>
      <c r="L44" s="2142">
        <f t="shared" si="4"/>
        <v>0</v>
      </c>
      <c r="N44" s="4029"/>
    </row>
    <row r="45" spans="1:14" s="113" customFormat="1" ht="12.75" customHeight="1">
      <c r="A45" s="111">
        <v>34</v>
      </c>
      <c r="B45" s="4153" t="s">
        <v>573</v>
      </c>
      <c r="C45" s="4154"/>
      <c r="D45" s="2143">
        <f>无形长摊!C10</f>
        <v>0</v>
      </c>
      <c r="E45" s="2143">
        <f>无形长摊!I10</f>
        <v>0</v>
      </c>
      <c r="F45" s="2143">
        <f>无形长摊!C10-无形长摊!K10</f>
        <v>0</v>
      </c>
      <c r="G45" s="2143">
        <f>无形长摊!E10</f>
        <v>0</v>
      </c>
      <c r="H45" s="2143">
        <f>无形长摊!M10</f>
        <v>0</v>
      </c>
      <c r="I45" s="203" t="s">
        <v>604</v>
      </c>
      <c r="J45" s="203" t="s">
        <v>604</v>
      </c>
      <c r="K45" s="2143">
        <f>无形长摊!N10</f>
        <v>0</v>
      </c>
      <c r="L45" s="2142">
        <f t="shared" si="4"/>
        <v>0</v>
      </c>
      <c r="N45" s="4029"/>
    </row>
    <row r="46" spans="1:14" s="113" customFormat="1" ht="12.75" customHeight="1">
      <c r="A46" s="111">
        <v>35</v>
      </c>
      <c r="B46" s="4153" t="s">
        <v>574</v>
      </c>
      <c r="C46" s="4154"/>
      <c r="D46" s="2143">
        <f>无形长摊!C11</f>
        <v>0</v>
      </c>
      <c r="E46" s="2143">
        <f>无形长摊!I11</f>
        <v>0</v>
      </c>
      <c r="F46" s="2143">
        <f>无形长摊!C11-无形长摊!K11</f>
        <v>0</v>
      </c>
      <c r="G46" s="2143">
        <f>无形长摊!E11</f>
        <v>0</v>
      </c>
      <c r="H46" s="2143">
        <f>无形长摊!M11</f>
        <v>0</v>
      </c>
      <c r="I46" s="203" t="s">
        <v>604</v>
      </c>
      <c r="J46" s="203" t="s">
        <v>604</v>
      </c>
      <c r="K46" s="2143">
        <f>无形长摊!N11</f>
        <v>0</v>
      </c>
      <c r="L46" s="2142">
        <f t="shared" si="4"/>
        <v>0</v>
      </c>
      <c r="N46" s="4029"/>
    </row>
    <row r="47" spans="1:14" s="113" customFormat="1" ht="12.75" customHeight="1">
      <c r="A47" s="111">
        <v>36</v>
      </c>
      <c r="B47" s="4153" t="s">
        <v>575</v>
      </c>
      <c r="C47" s="4154"/>
      <c r="D47" s="2143">
        <f>无形长摊!C12</f>
        <v>0</v>
      </c>
      <c r="E47" s="2143">
        <f>无形长摊!I12</f>
        <v>0</v>
      </c>
      <c r="F47" s="2143">
        <f>无形长摊!C12-无形长摊!K12</f>
        <v>0</v>
      </c>
      <c r="G47" s="2143">
        <f>无形长摊!E12</f>
        <v>0</v>
      </c>
      <c r="H47" s="2143">
        <f>无形长摊!M12</f>
        <v>0</v>
      </c>
      <c r="I47" s="203" t="s">
        <v>604</v>
      </c>
      <c r="J47" s="203" t="s">
        <v>604</v>
      </c>
      <c r="K47" s="2143">
        <f>无形长摊!N12</f>
        <v>0</v>
      </c>
      <c r="L47" s="2142">
        <f t="shared" si="4"/>
        <v>0</v>
      </c>
      <c r="N47" s="4030"/>
    </row>
    <row r="48" spans="1:14" s="113" customFormat="1" ht="12.75" customHeight="1">
      <c r="A48" s="111">
        <v>37</v>
      </c>
      <c r="B48" s="4150" t="s">
        <v>576</v>
      </c>
      <c r="C48" s="4151"/>
      <c r="D48" s="2143">
        <f>无形长摊!C28</f>
        <v>0</v>
      </c>
      <c r="E48" s="2143">
        <f>无形长摊!I28</f>
        <v>0</v>
      </c>
      <c r="F48" s="2143">
        <f>无形长摊!C28-无形长摊!K28</f>
        <v>0</v>
      </c>
      <c r="G48" s="2143">
        <f>无形长摊!E28</f>
        <v>0</v>
      </c>
      <c r="H48" s="2143">
        <f>无形长摊!M28</f>
        <v>0</v>
      </c>
      <c r="I48" s="203" t="s">
        <v>604</v>
      </c>
      <c r="J48" s="203" t="s">
        <v>604</v>
      </c>
      <c r="K48" s="2143">
        <f>无形长摊!N28</f>
        <v>0</v>
      </c>
      <c r="L48" s="2142">
        <f t="shared" si="4"/>
        <v>0</v>
      </c>
      <c r="N48" s="279"/>
    </row>
    <row r="49" spans="1:256" s="113" customFormat="1" ht="12.75" customHeight="1">
      <c r="A49" s="111">
        <v>38</v>
      </c>
      <c r="B49" s="4150" t="s">
        <v>577</v>
      </c>
      <c r="C49" s="4151"/>
      <c r="D49" s="2143">
        <f>无形长摊!C29</f>
        <v>0</v>
      </c>
      <c r="E49" s="2143">
        <f>无形长摊!I29</f>
        <v>0</v>
      </c>
      <c r="F49" s="2143">
        <f>无形长摊!C29-无形长摊!K29</f>
        <v>0</v>
      </c>
      <c r="G49" s="2143">
        <f>无形长摊!E29</f>
        <v>0</v>
      </c>
      <c r="H49" s="2143">
        <f>无形长摊!M29</f>
        <v>0</v>
      </c>
      <c r="I49" s="203" t="s">
        <v>604</v>
      </c>
      <c r="J49" s="203" t="s">
        <v>604</v>
      </c>
      <c r="K49" s="2143">
        <f>无形长摊!N29</f>
        <v>0</v>
      </c>
      <c r="L49" s="2142">
        <f t="shared" si="4"/>
        <v>0</v>
      </c>
      <c r="N49" s="279"/>
    </row>
    <row r="50" spans="1:256" s="113" customFormat="1" ht="12.75" customHeight="1">
      <c r="A50" s="111">
        <v>39</v>
      </c>
      <c r="B50" s="4150" t="s">
        <v>595</v>
      </c>
      <c r="C50" s="4151"/>
      <c r="D50" s="2142">
        <f>D12+D29+D32+D42+D48+D49</f>
        <v>0</v>
      </c>
      <c r="E50" s="2142">
        <f t="shared" ref="E50:K50" si="5">E12+E29+E32+E42+E48+E49</f>
        <v>0</v>
      </c>
      <c r="F50" s="2142">
        <f t="shared" si="5"/>
        <v>0</v>
      </c>
      <c r="G50" s="2142">
        <f t="shared" si="5"/>
        <v>0</v>
      </c>
      <c r="H50" s="2142">
        <f t="shared" si="5"/>
        <v>0</v>
      </c>
      <c r="I50" s="2142">
        <f>I19+I20+I21+I25+I26+I27+I28+I40</f>
        <v>0</v>
      </c>
      <c r="J50" s="2142">
        <f>J19+J20+J21+J25+J26+J27+J28+J40</f>
        <v>0</v>
      </c>
      <c r="K50" s="2142">
        <f t="shared" si="5"/>
        <v>0</v>
      </c>
      <c r="L50" s="2142">
        <f>L12+L29+L32+L42+L48+L49</f>
        <v>0</v>
      </c>
      <c r="N50" s="279"/>
    </row>
    <row r="51" spans="1:256" ht="15" customHeight="1">
      <c r="A51" s="4159" t="s">
        <v>605</v>
      </c>
      <c r="B51" s="4159"/>
      <c r="C51" s="278" t="s">
        <v>606</v>
      </c>
      <c r="D51" s="2144"/>
      <c r="E51" s="2145"/>
      <c r="F51" s="2145"/>
      <c r="G51" s="2145"/>
      <c r="H51" s="2145"/>
      <c r="I51" s="203" t="s">
        <v>604</v>
      </c>
      <c r="J51" s="203" t="s">
        <v>604</v>
      </c>
      <c r="K51" s="2145"/>
      <c r="L51" s="2142">
        <f>E51-H51</f>
        <v>0</v>
      </c>
      <c r="M51" s="232"/>
      <c r="N51" s="280"/>
    </row>
    <row r="52" spans="1:256" ht="15" customHeight="1">
      <c r="A52" s="4117"/>
      <c r="B52" s="4117"/>
      <c r="C52" s="4012"/>
      <c r="D52" s="4012"/>
      <c r="E52" s="4012"/>
      <c r="F52" s="4012"/>
      <c r="G52" s="4012"/>
      <c r="H52" s="4012"/>
      <c r="I52" s="4012"/>
      <c r="J52" s="4012"/>
      <c r="K52" s="4012"/>
      <c r="L52" s="4012"/>
      <c r="M52" s="281"/>
      <c r="N52" s="220"/>
    </row>
    <row r="53" spans="1:256" s="282" customFormat="1" ht="15" customHeight="1">
      <c r="A53" s="4097" t="s">
        <v>1416</v>
      </c>
      <c r="B53" s="4097"/>
      <c r="C53" s="4134"/>
      <c r="D53" s="4134"/>
      <c r="E53" s="4134"/>
      <c r="F53" s="4134"/>
      <c r="G53" s="4134"/>
      <c r="H53" s="4134"/>
      <c r="I53" s="4134"/>
      <c r="J53" s="4134"/>
      <c r="K53" s="4134"/>
      <c r="L53" s="4134"/>
      <c r="M53" s="220"/>
      <c r="N53" s="220"/>
    </row>
    <row r="54" spans="1:256" s="221" customFormat="1" ht="15" customHeight="1">
      <c r="A54" s="4095" t="s">
        <v>1432</v>
      </c>
      <c r="B54" s="4095"/>
      <c r="C54" s="4095"/>
      <c r="D54" s="4095"/>
      <c r="E54" s="4095"/>
      <c r="F54" s="4095"/>
      <c r="G54" s="4095"/>
      <c r="H54" s="4095"/>
      <c r="I54" s="4095"/>
      <c r="J54" s="4095"/>
      <c r="K54" s="4095"/>
      <c r="L54" s="4095"/>
      <c r="M54" s="213"/>
      <c r="N54" s="213"/>
    </row>
    <row r="55" spans="1:256" s="269" customFormat="1" ht="15" customHeight="1">
      <c r="A55" s="4095" t="s">
        <v>1433</v>
      </c>
      <c r="B55" s="4095"/>
      <c r="C55" s="4095"/>
      <c r="D55" s="4095"/>
      <c r="E55" s="4095"/>
      <c r="F55" s="4095"/>
      <c r="G55" s="4095"/>
      <c r="H55" s="4095"/>
      <c r="I55" s="4095"/>
      <c r="J55" s="4095"/>
      <c r="K55" s="4095"/>
      <c r="L55" s="4095"/>
      <c r="M55" s="220"/>
      <c r="N55" s="220"/>
    </row>
    <row r="56" spans="1:256" s="269" customFormat="1" ht="15" customHeight="1">
      <c r="A56" s="4095" t="s">
        <v>1434</v>
      </c>
      <c r="B56" s="4095"/>
      <c r="C56" s="4095"/>
      <c r="D56" s="4095"/>
      <c r="E56" s="4095"/>
      <c r="F56" s="4095"/>
      <c r="G56" s="4095"/>
      <c r="H56" s="4095"/>
      <c r="I56" s="4095"/>
      <c r="J56" s="4095"/>
      <c r="K56" s="4095"/>
      <c r="L56" s="4095"/>
      <c r="M56" s="220"/>
      <c r="N56" s="220"/>
    </row>
    <row r="57" spans="1:256" s="269" customFormat="1" ht="15" customHeight="1">
      <c r="A57" s="4095" t="s">
        <v>1435</v>
      </c>
      <c r="B57" s="4095"/>
      <c r="C57" s="4095"/>
      <c r="D57" s="4095"/>
      <c r="E57" s="4095"/>
      <c r="F57" s="4095"/>
      <c r="G57" s="4095"/>
      <c r="H57" s="4095"/>
      <c r="I57" s="4095"/>
      <c r="J57" s="4095"/>
      <c r="K57" s="4095"/>
      <c r="L57" s="4095"/>
      <c r="M57" s="220"/>
      <c r="N57" s="220"/>
    </row>
    <row r="58" spans="1:256" s="269" customFormat="1" ht="15" customHeight="1">
      <c r="A58" s="4095" t="s">
        <v>1436</v>
      </c>
      <c r="B58" s="4095"/>
      <c r="C58" s="4095"/>
      <c r="D58" s="4095"/>
      <c r="E58" s="4095"/>
      <c r="F58" s="4095"/>
      <c r="G58" s="4095"/>
      <c r="H58" s="4095"/>
      <c r="I58" s="4095"/>
      <c r="J58" s="4095"/>
      <c r="K58" s="4095"/>
      <c r="L58" s="4095"/>
      <c r="M58" s="220"/>
      <c r="N58" s="220"/>
    </row>
    <row r="59" spans="1:256" s="269" customFormat="1" ht="15" customHeight="1">
      <c r="A59" s="4095" t="s">
        <v>1437</v>
      </c>
      <c r="B59" s="4095"/>
      <c r="C59" s="4095"/>
      <c r="D59" s="4095"/>
      <c r="E59" s="4095"/>
      <c r="F59" s="4095"/>
      <c r="G59" s="4095"/>
      <c r="H59" s="4095"/>
      <c r="I59" s="4095"/>
      <c r="J59" s="4095"/>
      <c r="K59" s="4095"/>
      <c r="L59" s="4095"/>
      <c r="M59" s="4095"/>
      <c r="N59" s="4095"/>
      <c r="O59" s="4095"/>
      <c r="P59" s="4095"/>
      <c r="Q59" s="4095"/>
      <c r="R59" s="4095"/>
      <c r="S59" s="4095"/>
      <c r="T59" s="4095"/>
      <c r="U59" s="4095"/>
      <c r="V59" s="4095"/>
      <c r="W59" s="4095"/>
      <c r="X59" s="4095"/>
      <c r="Y59" s="4095"/>
      <c r="Z59" s="4095"/>
      <c r="AA59" s="4095"/>
      <c r="AB59" s="4095"/>
      <c r="AC59" s="4095"/>
      <c r="AD59" s="4095"/>
      <c r="AE59" s="4095"/>
      <c r="AF59" s="4095"/>
      <c r="AG59" s="4095"/>
      <c r="AH59" s="4095"/>
      <c r="AI59" s="4095"/>
      <c r="AJ59" s="4095"/>
      <c r="AK59" s="4095"/>
      <c r="AL59" s="4095"/>
      <c r="AM59" s="4095"/>
      <c r="AN59" s="4095"/>
      <c r="AO59" s="4095"/>
      <c r="AP59" s="4095"/>
      <c r="AQ59" s="4095"/>
      <c r="AR59" s="4095"/>
      <c r="AS59" s="4095"/>
      <c r="AT59" s="4095"/>
      <c r="AU59" s="4095"/>
      <c r="AV59" s="4095"/>
      <c r="AW59" s="4095"/>
      <c r="AX59" s="4095"/>
      <c r="AY59" s="4095"/>
      <c r="AZ59" s="4095"/>
      <c r="BA59" s="4095"/>
      <c r="BB59" s="4095"/>
      <c r="BC59" s="4095"/>
      <c r="BD59" s="4095"/>
      <c r="BE59" s="4095"/>
      <c r="BF59" s="4095"/>
      <c r="BG59" s="4095"/>
      <c r="BH59" s="4095"/>
      <c r="BI59" s="4095"/>
      <c r="BJ59" s="4095"/>
      <c r="BK59" s="4095"/>
      <c r="BL59" s="4095"/>
      <c r="BM59" s="4095"/>
      <c r="BN59" s="4095"/>
      <c r="BO59" s="4095"/>
      <c r="BP59" s="4095"/>
      <c r="BQ59" s="4095"/>
      <c r="BR59" s="4095"/>
      <c r="BS59" s="4095"/>
      <c r="BT59" s="4095"/>
      <c r="BU59" s="4095"/>
      <c r="BV59" s="4095"/>
      <c r="BW59" s="4095"/>
      <c r="BX59" s="4095"/>
      <c r="BY59" s="4095"/>
      <c r="BZ59" s="4095"/>
      <c r="CA59" s="4095"/>
      <c r="CB59" s="4095"/>
      <c r="CC59" s="4095"/>
      <c r="CD59" s="4095"/>
      <c r="CE59" s="4095"/>
      <c r="CF59" s="4095"/>
      <c r="CG59" s="4095"/>
      <c r="CH59" s="4095"/>
      <c r="CI59" s="4095"/>
      <c r="CJ59" s="4095"/>
      <c r="CK59" s="4095"/>
      <c r="CL59" s="4095"/>
      <c r="CM59" s="4095"/>
      <c r="CN59" s="4095"/>
      <c r="CO59" s="4095"/>
      <c r="CP59" s="4095"/>
      <c r="CQ59" s="4095"/>
      <c r="CR59" s="4095"/>
      <c r="CS59" s="4095"/>
      <c r="CT59" s="4095"/>
      <c r="CU59" s="4095"/>
      <c r="CV59" s="4095"/>
      <c r="CW59" s="4095"/>
      <c r="CX59" s="4095"/>
      <c r="CY59" s="4095"/>
      <c r="CZ59" s="4095"/>
      <c r="DA59" s="4095"/>
      <c r="DB59" s="4095"/>
      <c r="DC59" s="4095"/>
      <c r="DD59" s="4095"/>
      <c r="DE59" s="4095"/>
      <c r="DF59" s="4095"/>
      <c r="DG59" s="4095"/>
      <c r="DH59" s="4095"/>
      <c r="DI59" s="4095"/>
      <c r="DJ59" s="4095"/>
      <c r="DK59" s="4095"/>
      <c r="DL59" s="4095"/>
      <c r="DM59" s="4095"/>
      <c r="DN59" s="4095"/>
      <c r="DO59" s="4095"/>
      <c r="DP59" s="4095"/>
      <c r="DQ59" s="4095"/>
      <c r="DR59" s="4095"/>
      <c r="DS59" s="4095"/>
      <c r="DT59" s="4095"/>
      <c r="DU59" s="4095"/>
      <c r="DV59" s="4095"/>
      <c r="DW59" s="4095"/>
      <c r="DX59" s="4095"/>
      <c r="DY59" s="4095"/>
      <c r="DZ59" s="4095"/>
      <c r="EA59" s="4095"/>
      <c r="EB59" s="4095"/>
      <c r="EC59" s="4095"/>
      <c r="ED59" s="4095"/>
      <c r="EE59" s="4095"/>
      <c r="EF59" s="4095"/>
      <c r="EG59" s="4095"/>
      <c r="EH59" s="4095"/>
      <c r="EI59" s="4095"/>
      <c r="EJ59" s="4095"/>
      <c r="EK59" s="4095"/>
      <c r="EL59" s="4095"/>
      <c r="EM59" s="4095"/>
      <c r="EN59" s="4095"/>
      <c r="EO59" s="4095"/>
      <c r="EP59" s="4095"/>
      <c r="EQ59" s="4095"/>
      <c r="ER59" s="4095"/>
      <c r="ES59" s="4095"/>
      <c r="ET59" s="4095"/>
      <c r="EU59" s="4095"/>
      <c r="EV59" s="4095"/>
      <c r="EW59" s="4095"/>
      <c r="EX59" s="4095"/>
      <c r="EY59" s="4095"/>
      <c r="EZ59" s="4095"/>
      <c r="FA59" s="4095"/>
      <c r="FB59" s="4095"/>
      <c r="FC59" s="4095"/>
      <c r="FD59" s="4095"/>
      <c r="FE59" s="4095"/>
      <c r="FF59" s="4095"/>
      <c r="FG59" s="4095"/>
      <c r="FH59" s="4095"/>
      <c r="FI59" s="4095"/>
      <c r="FJ59" s="4095"/>
      <c r="FK59" s="4095"/>
      <c r="FL59" s="4095"/>
      <c r="FM59" s="4095"/>
      <c r="FN59" s="4095"/>
      <c r="FO59" s="4095"/>
      <c r="FP59" s="4095"/>
      <c r="FQ59" s="4095"/>
      <c r="FR59" s="4095"/>
      <c r="FS59" s="4095"/>
      <c r="FT59" s="4095"/>
      <c r="FU59" s="4095"/>
      <c r="FV59" s="4095"/>
      <c r="FW59" s="4095"/>
      <c r="FX59" s="4095"/>
      <c r="FY59" s="4095"/>
      <c r="FZ59" s="4095"/>
      <c r="GA59" s="4095"/>
      <c r="GB59" s="4095"/>
      <c r="GC59" s="4095"/>
      <c r="GD59" s="4095"/>
      <c r="GE59" s="4095"/>
      <c r="GF59" s="4095"/>
      <c r="GG59" s="4095"/>
      <c r="GH59" s="4095"/>
      <c r="GI59" s="4095"/>
      <c r="GJ59" s="4095"/>
      <c r="GK59" s="4095"/>
      <c r="GL59" s="4095"/>
      <c r="GM59" s="4095"/>
      <c r="GN59" s="4095"/>
      <c r="GO59" s="4095"/>
      <c r="GP59" s="4095"/>
      <c r="GQ59" s="4095"/>
      <c r="GR59" s="4095"/>
      <c r="GS59" s="4095"/>
      <c r="GT59" s="4095"/>
      <c r="GU59" s="4095"/>
      <c r="GV59" s="4095"/>
      <c r="GW59" s="4095"/>
      <c r="GX59" s="4095"/>
      <c r="GY59" s="4095"/>
      <c r="GZ59" s="4095"/>
      <c r="HA59" s="4095"/>
      <c r="HB59" s="4095"/>
      <c r="HC59" s="4095"/>
      <c r="HD59" s="4095"/>
      <c r="HE59" s="4095"/>
      <c r="HF59" s="4095"/>
      <c r="HG59" s="4095"/>
      <c r="HH59" s="4095"/>
      <c r="HI59" s="4095"/>
      <c r="HJ59" s="4095"/>
      <c r="HK59" s="4095"/>
      <c r="HL59" s="4095"/>
      <c r="HM59" s="4095"/>
      <c r="HN59" s="4095"/>
      <c r="HO59" s="4095"/>
      <c r="HP59" s="4095"/>
      <c r="HQ59" s="4095"/>
      <c r="HR59" s="4095"/>
      <c r="HS59" s="4095"/>
      <c r="HT59" s="4095"/>
      <c r="HU59" s="4095"/>
      <c r="HV59" s="4095"/>
      <c r="HW59" s="4095"/>
      <c r="HX59" s="4095"/>
      <c r="HY59" s="4095"/>
      <c r="HZ59" s="4095"/>
      <c r="IA59" s="4095"/>
      <c r="IB59" s="4095"/>
      <c r="IC59" s="4095"/>
      <c r="ID59" s="4095"/>
      <c r="IE59" s="4095"/>
      <c r="IF59" s="4095"/>
      <c r="IG59" s="4095"/>
      <c r="IH59" s="4095"/>
      <c r="II59" s="4095"/>
      <c r="IJ59" s="4095"/>
      <c r="IK59" s="4095"/>
      <c r="IL59" s="4095"/>
      <c r="IM59" s="4095"/>
      <c r="IN59" s="4095"/>
      <c r="IO59" s="4095"/>
      <c r="IP59" s="4095"/>
      <c r="IQ59" s="4095"/>
      <c r="IR59" s="4095"/>
      <c r="IS59" s="4095"/>
      <c r="IT59" s="4095"/>
      <c r="IU59" s="4095"/>
      <c r="IV59" s="4095"/>
    </row>
    <row r="60" spans="1:256" s="269" customFormat="1" ht="15" customHeight="1">
      <c r="A60" s="4095" t="s">
        <v>1438</v>
      </c>
      <c r="B60" s="4095"/>
      <c r="C60" s="4095"/>
      <c r="D60" s="4095"/>
      <c r="E60" s="4095"/>
      <c r="F60" s="4095"/>
      <c r="G60" s="4095"/>
      <c r="H60" s="4095"/>
      <c r="I60" s="4095"/>
      <c r="J60" s="4095"/>
      <c r="K60" s="4095"/>
      <c r="L60" s="4095"/>
      <c r="M60" s="220"/>
      <c r="N60" s="220"/>
    </row>
    <row r="61" spans="1:256" s="269" customFormat="1" ht="15" customHeight="1">
      <c r="A61" s="4095" t="s">
        <v>1439</v>
      </c>
      <c r="B61" s="4095"/>
      <c r="C61" s="4095"/>
      <c r="D61" s="4095"/>
      <c r="E61" s="4095"/>
      <c r="F61" s="4095"/>
      <c r="G61" s="4095"/>
      <c r="H61" s="4095"/>
      <c r="I61" s="4095"/>
      <c r="J61" s="4095"/>
      <c r="K61" s="4095"/>
      <c r="L61" s="4095"/>
      <c r="M61" s="220"/>
      <c r="N61" s="220"/>
    </row>
  </sheetData>
  <mergeCells count="78">
    <mergeCell ref="IS59:IV59"/>
    <mergeCell ref="FY59:GJ59"/>
    <mergeCell ref="GK59:GV59"/>
    <mergeCell ref="GW59:HH59"/>
    <mergeCell ref="HI59:HT59"/>
    <mergeCell ref="HU59:IF59"/>
    <mergeCell ref="IG59:IR59"/>
    <mergeCell ref="FM59:FX59"/>
    <mergeCell ref="AK59:AV59"/>
    <mergeCell ref="AW59:BH59"/>
    <mergeCell ref="BI59:BT59"/>
    <mergeCell ref="BU59:CF59"/>
    <mergeCell ref="CG59:CR59"/>
    <mergeCell ref="CS59:DD59"/>
    <mergeCell ref="DE59:DP59"/>
    <mergeCell ref="DQ59:EB59"/>
    <mergeCell ref="EC59:EN59"/>
    <mergeCell ref="EO59:EZ59"/>
    <mergeCell ref="FA59:FL59"/>
    <mergeCell ref="A59:L59"/>
    <mergeCell ref="A60:L60"/>
    <mergeCell ref="A61:L61"/>
    <mergeCell ref="M59:X59"/>
    <mergeCell ref="Y59:AJ59"/>
    <mergeCell ref="A53:L53"/>
    <mergeCell ref="A54:L54"/>
    <mergeCell ref="A55:L55"/>
    <mergeCell ref="A56:L56"/>
    <mergeCell ref="A57:L57"/>
    <mergeCell ref="A1:C1"/>
    <mergeCell ref="D1:L1"/>
    <mergeCell ref="A2:L2"/>
    <mergeCell ref="A3:A11"/>
    <mergeCell ref="D3:F3"/>
    <mergeCell ref="G3:K3"/>
    <mergeCell ref="L3:L10"/>
    <mergeCell ref="B3:C11"/>
    <mergeCell ref="N3:N10"/>
    <mergeCell ref="D4:D10"/>
    <mergeCell ref="E4:E10"/>
    <mergeCell ref="F4:F10"/>
    <mergeCell ref="G4:G10"/>
    <mergeCell ref="H4:H10"/>
    <mergeCell ref="I4:I10"/>
    <mergeCell ref="J4:J10"/>
    <mergeCell ref="K4:K10"/>
    <mergeCell ref="A52:L52"/>
    <mergeCell ref="B13:B18"/>
    <mergeCell ref="B19:B28"/>
    <mergeCell ref="B12:C12"/>
    <mergeCell ref="B29:C29"/>
    <mergeCell ref="B38:C38"/>
    <mergeCell ref="A51:B51"/>
    <mergeCell ref="B36:C36"/>
    <mergeCell ref="B37:C37"/>
    <mergeCell ref="B48:C48"/>
    <mergeCell ref="N11:N18"/>
    <mergeCell ref="N29:N31"/>
    <mergeCell ref="N32:N39"/>
    <mergeCell ref="N42:N47"/>
    <mergeCell ref="B46:C46"/>
    <mergeCell ref="B47:C47"/>
    <mergeCell ref="A58:L58"/>
    <mergeCell ref="B30:C30"/>
    <mergeCell ref="B31:C31"/>
    <mergeCell ref="B32:C32"/>
    <mergeCell ref="B33:C33"/>
    <mergeCell ref="B34:C34"/>
    <mergeCell ref="B35:C35"/>
    <mergeCell ref="B39:C39"/>
    <mergeCell ref="B40:C40"/>
    <mergeCell ref="B41:C41"/>
    <mergeCell ref="B49:C49"/>
    <mergeCell ref="B50:C50"/>
    <mergeCell ref="B42:C42"/>
    <mergeCell ref="B43:C43"/>
    <mergeCell ref="B44:C44"/>
    <mergeCell ref="B45:C45"/>
  </mergeCells>
  <phoneticPr fontId="24" type="noConversion"/>
  <hyperlinks>
    <hyperlink ref="D1:L1" location="A105000纳税调整项目明细表!A1" display="返回纳税调整项目明细表（A105000）"/>
    <hyperlink ref="A1:C1" location="'A100000 中华人民共和国企业所得税年度纳税申报表（A类）'!A1" display="返回主表（A100000）"/>
    <hyperlink ref="N3:N10" r:id="rId1" display="资产的税务处理[¶30-680]-[¶30-812]"/>
    <hyperlink ref="N11:N18" r:id="rId2" display="固定资产[¶30-710]-[¶30-723]"/>
    <hyperlink ref="N29:N31" r:id="rId3" display="生产性生物资产[¶30-725]-[¶30-738]"/>
    <hyperlink ref="N32:N39" r:id="rId4" display="无形资产[¶30-740]-[¶30-754]"/>
    <hyperlink ref="N42:N47" r:id="rId5" display="长期待摊费用[¶30-770]-[¶30-782]"/>
    <hyperlink ref="A54:L54" r:id="rId6" display="《国家税务总局关于企业固定资产加速折旧所得税处理有关问题的通知》（国税发〔2009〕81号）"/>
    <hyperlink ref="A55:L55" r:id="rId7" display="《国家税务总局关于融资性售后回租业务中承租方出售资产行为有关税收问题的公告》（国家税务总局公告2010年第13号）"/>
    <hyperlink ref="A56:L56" r:id="rId8" display="《国家税务总局关于企业所得税若干问题的公告》（国家税务总局公告2011年第34号）"/>
    <hyperlink ref="A57:L57" r:id="rId9" display="《国家税务总局关于发布〈企业所得税政策性搬迁所得税管理办法〉的公告》（国家税务总局公告2012年第40号）"/>
    <hyperlink ref="A58:L58" r:id="rId10" display="《国家税务总局关于企业所得税应纳税所得额若干问题的公告》（国家税务总局公告2014年第29号）"/>
    <hyperlink ref="A59:L59" r:id="rId11" display="《财政部 国家税务总局关于完善固定资产加速折旧税收政策有关问题的通知》（财税〔2014〕75号）"/>
    <hyperlink ref="A60:L60" r:id="rId12" display="《财政部 国家税务总局关于进一步完善固定资产加速折旧企业所得税政策的通知》（财税〔2015〕106号）"/>
    <hyperlink ref="A61:L61" r:id="rId13" display="《国家税务总局关于全民所有制企业公司制改制企业所得税处理问题的公告》（国家税务总局公告2017年第34号）"/>
    <hyperlink ref="A54:IV54" r:id="rId14" display="《国家税务总局关于企业固定资产加速折旧所得税处理有关问题的通知》（国税发〔2009〕81号）"/>
  </hyperlinks>
  <pageMargins left="0.70866141732283472" right="0.70866141732283472" top="0.74803149606299213" bottom="0.74803149606299213" header="0.31496062992125984" footer="0.31496062992125984"/>
  <pageSetup paperSize="9" scale="63" orientation="portrait" r:id="rId15"/>
  <colBreaks count="1" manualBreakCount="1">
    <brk id="12" max="1048575" man="1"/>
  </colBreaks>
  <legacyDrawing r:id="rId16"/>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pageSetUpPr fitToPage="1"/>
  </sheetPr>
  <dimension ref="A1:J53"/>
  <sheetViews>
    <sheetView workbookViewId="0">
      <selection sqref="A1:B1"/>
    </sheetView>
  </sheetViews>
  <sheetFormatPr defaultColWidth="10.875" defaultRowHeight="16.5"/>
  <cols>
    <col min="1" max="1" width="5" style="297" customWidth="1"/>
    <col min="2" max="2" width="46.25" style="301" customWidth="1"/>
    <col min="3" max="6" width="15.625" style="301" customWidth="1"/>
    <col min="7" max="7" width="17.875" style="301" customWidth="1"/>
    <col min="8" max="8" width="15.625" style="301" customWidth="1"/>
    <col min="9" max="9" width="1.25" style="301" customWidth="1"/>
    <col min="10" max="10" width="33.625" style="300" customWidth="1"/>
    <col min="11" max="16384" width="10.875" style="301"/>
  </cols>
  <sheetData>
    <row r="1" spans="1:10" s="283" customFormat="1" ht="20.100000000000001" customHeight="1">
      <c r="A1" s="4174" t="s">
        <v>1189</v>
      </c>
      <c r="B1" s="4174"/>
      <c r="C1" s="207"/>
      <c r="D1" s="207"/>
      <c r="E1" s="207"/>
      <c r="F1" s="4174" t="s">
        <v>613</v>
      </c>
      <c r="G1" s="4174"/>
      <c r="H1" s="4174"/>
      <c r="J1" s="284"/>
    </row>
    <row r="2" spans="1:10" s="285" customFormat="1" ht="25.5" customHeight="1">
      <c r="A2" s="4175" t="s">
        <v>1190</v>
      </c>
      <c r="B2" s="4176"/>
      <c r="C2" s="4176"/>
      <c r="D2" s="4176"/>
      <c r="E2" s="4176"/>
      <c r="F2" s="4176"/>
      <c r="G2" s="4176"/>
      <c r="H2" s="4177"/>
      <c r="J2" s="271" t="s">
        <v>614</v>
      </c>
    </row>
    <row r="3" spans="1:10" s="287" customFormat="1" ht="23.25" customHeight="1">
      <c r="A3" s="4178" t="s">
        <v>147</v>
      </c>
      <c r="B3" s="4178" t="s">
        <v>615</v>
      </c>
      <c r="C3" s="120" t="s">
        <v>628</v>
      </c>
      <c r="D3" s="120" t="s">
        <v>629</v>
      </c>
      <c r="E3" s="120" t="s">
        <v>630</v>
      </c>
      <c r="F3" s="286" t="s">
        <v>631</v>
      </c>
      <c r="G3" s="286" t="s">
        <v>632</v>
      </c>
      <c r="H3" s="120" t="s">
        <v>616</v>
      </c>
      <c r="J3" s="4123" t="s">
        <v>617</v>
      </c>
    </row>
    <row r="4" spans="1:10" s="287" customFormat="1" ht="14.25" customHeight="1">
      <c r="A4" s="4178"/>
      <c r="B4" s="4178"/>
      <c r="C4" s="120">
        <v>1</v>
      </c>
      <c r="D4" s="120">
        <v>2</v>
      </c>
      <c r="E4" s="120">
        <v>3</v>
      </c>
      <c r="F4" s="120">
        <v>4</v>
      </c>
      <c r="G4" s="120" t="s">
        <v>633</v>
      </c>
      <c r="H4" s="288" t="s">
        <v>634</v>
      </c>
      <c r="J4" s="4124"/>
    </row>
    <row r="5" spans="1:10" s="287" customFormat="1" ht="14.25" customHeight="1">
      <c r="A5" s="289">
        <v>1</v>
      </c>
      <c r="B5" s="123" t="s">
        <v>618</v>
      </c>
      <c r="C5" s="290">
        <f>SUM(C6:C12)</f>
        <v>0</v>
      </c>
      <c r="D5" s="290">
        <f>SUM(D6:D12)</f>
        <v>0</v>
      </c>
      <c r="E5" s="290">
        <f>SUM(E6:E12)</f>
        <v>0</v>
      </c>
      <c r="F5" s="290">
        <f>SUM(F6:F12)</f>
        <v>0</v>
      </c>
      <c r="G5" s="290">
        <f>F5-D5-E5</f>
        <v>0</v>
      </c>
      <c r="H5" s="290">
        <f>C5-G5</f>
        <v>0</v>
      </c>
      <c r="J5" s="4123" t="s">
        <v>619</v>
      </c>
    </row>
    <row r="6" spans="1:10" s="287" customFormat="1" ht="25.5" customHeight="1">
      <c r="A6" s="291">
        <v>2</v>
      </c>
      <c r="B6" s="292" t="s">
        <v>620</v>
      </c>
      <c r="C6" s="2341">
        <f>资产损失税前扣除审核表!C6</f>
        <v>0</v>
      </c>
      <c r="D6" s="2341">
        <f>资产损失税前扣除审核表!D6</f>
        <v>0</v>
      </c>
      <c r="E6" s="2341">
        <f>资产损失税前扣除审核表!E6</f>
        <v>0</v>
      </c>
      <c r="F6" s="2342">
        <f>资产损失税前扣除审核表!F6</f>
        <v>0</v>
      </c>
      <c r="G6" s="290">
        <f>F6-D6-E6</f>
        <v>0</v>
      </c>
      <c r="H6" s="290">
        <f t="shared" ref="H6:H17" si="0">C6-G6</f>
        <v>0</v>
      </c>
      <c r="J6" s="4125"/>
    </row>
    <row r="7" spans="1:10" s="287" customFormat="1" ht="14.25" customHeight="1">
      <c r="A7" s="289">
        <v>3</v>
      </c>
      <c r="B7" s="123" t="s">
        <v>621</v>
      </c>
      <c r="C7" s="2343">
        <f>资产损失税前扣除审核表!C7</f>
        <v>0</v>
      </c>
      <c r="D7" s="2343">
        <f>资产损失税前扣除审核表!D7</f>
        <v>0</v>
      </c>
      <c r="E7" s="2343">
        <f>资产损失税前扣除审核表!E7</f>
        <v>0</v>
      </c>
      <c r="F7" s="2344">
        <f>资产损失税前扣除审核表!F7</f>
        <v>0</v>
      </c>
      <c r="G7" s="290">
        <f t="shared" ref="G7:G12" si="1">F7-D7-E7</f>
        <v>0</v>
      </c>
      <c r="H7" s="290">
        <f t="shared" si="0"/>
        <v>0</v>
      </c>
      <c r="I7" s="295"/>
      <c r="J7" s="4125"/>
    </row>
    <row r="8" spans="1:10" s="287" customFormat="1" ht="24" customHeight="1">
      <c r="A8" s="289">
        <v>4</v>
      </c>
      <c r="B8" s="123" t="s">
        <v>622</v>
      </c>
      <c r="C8" s="2343">
        <f>资产损失税前扣除审核表!C8</f>
        <v>0</v>
      </c>
      <c r="D8" s="2343">
        <f>资产损失税前扣除审核表!D8</f>
        <v>0</v>
      </c>
      <c r="E8" s="2343">
        <f>资产损失税前扣除审核表!E8</f>
        <v>0</v>
      </c>
      <c r="F8" s="2344">
        <f>资产损失税前扣除审核表!F8</f>
        <v>0</v>
      </c>
      <c r="G8" s="290">
        <f t="shared" si="1"/>
        <v>0</v>
      </c>
      <c r="H8" s="290">
        <f t="shared" si="0"/>
        <v>0</v>
      </c>
      <c r="J8" s="4125"/>
    </row>
    <row r="9" spans="1:10" s="287" customFormat="1" ht="27.75" customHeight="1">
      <c r="A9" s="291">
        <v>5</v>
      </c>
      <c r="B9" s="292" t="s">
        <v>623</v>
      </c>
      <c r="C9" s="2341">
        <f>资产损失税前扣除审核表!C9</f>
        <v>0</v>
      </c>
      <c r="D9" s="2341">
        <f>资产损失税前扣除审核表!D9</f>
        <v>0</v>
      </c>
      <c r="E9" s="2341">
        <f>资产损失税前扣除审核表!E9</f>
        <v>0</v>
      </c>
      <c r="F9" s="2342">
        <f>资产损失税前扣除审核表!F9</f>
        <v>0</v>
      </c>
      <c r="G9" s="290">
        <f t="shared" si="1"/>
        <v>0</v>
      </c>
      <c r="H9" s="290">
        <f t="shared" si="0"/>
        <v>0</v>
      </c>
      <c r="J9" s="4125"/>
    </row>
    <row r="10" spans="1:10" s="287" customFormat="1" ht="40.5" customHeight="1">
      <c r="A10" s="291">
        <v>6</v>
      </c>
      <c r="B10" s="292" t="s">
        <v>624</v>
      </c>
      <c r="C10" s="2341">
        <f>资产损失税前扣除审核表!C10</f>
        <v>0</v>
      </c>
      <c r="D10" s="2341">
        <f>资产损失税前扣除审核表!D10</f>
        <v>0</v>
      </c>
      <c r="E10" s="2341">
        <f>资产损失税前扣除审核表!E10</f>
        <v>0</v>
      </c>
      <c r="F10" s="2342">
        <f>资产损失税前扣除审核表!F10</f>
        <v>0</v>
      </c>
      <c r="G10" s="290">
        <f t="shared" si="1"/>
        <v>0</v>
      </c>
      <c r="H10" s="290">
        <f t="shared" si="0"/>
        <v>0</v>
      </c>
      <c r="J10" s="4125"/>
    </row>
    <row r="11" spans="1:10" s="287" customFormat="1" ht="14.25" customHeight="1">
      <c r="A11" s="289">
        <v>7</v>
      </c>
      <c r="B11" s="123" t="s">
        <v>625</v>
      </c>
      <c r="C11" s="2343">
        <f>资产损失税前扣除审核表!C11</f>
        <v>0</v>
      </c>
      <c r="D11" s="2343">
        <f>资产损失税前扣除审核表!D11</f>
        <v>0</v>
      </c>
      <c r="E11" s="2343">
        <f>资产损失税前扣除审核表!E11</f>
        <v>0</v>
      </c>
      <c r="F11" s="2344">
        <f>资产损失税前扣除审核表!F11</f>
        <v>0</v>
      </c>
      <c r="G11" s="290">
        <f t="shared" si="1"/>
        <v>0</v>
      </c>
      <c r="H11" s="290">
        <f t="shared" si="0"/>
        <v>0</v>
      </c>
      <c r="J11" s="4125"/>
    </row>
    <row r="12" spans="1:10" s="287" customFormat="1" ht="14.25" customHeight="1">
      <c r="A12" s="289">
        <v>8</v>
      </c>
      <c r="B12" s="123" t="s">
        <v>626</v>
      </c>
      <c r="C12" s="2343">
        <f>资产损失税前扣除审核表!C12</f>
        <v>0</v>
      </c>
      <c r="D12" s="2343">
        <f>资产损失税前扣除审核表!D12</f>
        <v>0</v>
      </c>
      <c r="E12" s="2343">
        <f>资产损失税前扣除审核表!E12</f>
        <v>0</v>
      </c>
      <c r="F12" s="2344">
        <f>资产损失税前扣除审核表!F12</f>
        <v>0</v>
      </c>
      <c r="G12" s="290">
        <f t="shared" si="1"/>
        <v>0</v>
      </c>
      <c r="H12" s="290">
        <f t="shared" si="0"/>
        <v>0</v>
      </c>
      <c r="J12" s="4125"/>
    </row>
    <row r="13" spans="1:10" s="287" customFormat="1" ht="14.25" customHeight="1">
      <c r="A13" s="289">
        <v>9</v>
      </c>
      <c r="B13" s="123" t="s">
        <v>639</v>
      </c>
      <c r="C13" s="290">
        <f>SUM(C14:C17)</f>
        <v>0</v>
      </c>
      <c r="D13" s="290">
        <f>SUM(D14:D17)</f>
        <v>0</v>
      </c>
      <c r="E13" s="290">
        <f>SUM(E14:E17)</f>
        <v>0</v>
      </c>
      <c r="F13" s="290">
        <f>SUM(F14:F17)</f>
        <v>0</v>
      </c>
      <c r="G13" s="290">
        <f>F13-D13-E13</f>
        <v>0</v>
      </c>
      <c r="H13" s="290">
        <f t="shared" si="0"/>
        <v>0</v>
      </c>
      <c r="J13" s="4125"/>
    </row>
    <row r="14" spans="1:10" s="287" customFormat="1" ht="14.25" customHeight="1">
      <c r="A14" s="286">
        <v>10</v>
      </c>
      <c r="B14" s="116" t="s">
        <v>635</v>
      </c>
      <c r="C14" s="2345">
        <f>资产损失税前扣除审核表!C14</f>
        <v>0</v>
      </c>
      <c r="D14" s="2345">
        <f>资产损失税前扣除审核表!D14</f>
        <v>0</v>
      </c>
      <c r="E14" s="2345">
        <f>资产损失税前扣除审核表!E14</f>
        <v>0</v>
      </c>
      <c r="F14" s="2345">
        <f>资产损失税前扣除审核表!F14</f>
        <v>0</v>
      </c>
      <c r="G14" s="290">
        <f>F14-D14-E14</f>
        <v>0</v>
      </c>
      <c r="H14" s="290">
        <f t="shared" si="0"/>
        <v>0</v>
      </c>
      <c r="J14" s="4125"/>
    </row>
    <row r="15" spans="1:10" s="287" customFormat="1" ht="14.25" customHeight="1">
      <c r="A15" s="286">
        <v>11</v>
      </c>
      <c r="B15" s="296" t="s">
        <v>636</v>
      </c>
      <c r="C15" s="2346">
        <f>资产损失税前扣除审核表!C15</f>
        <v>0</v>
      </c>
      <c r="D15" s="2346">
        <f>资产损失税前扣除审核表!D15</f>
        <v>0</v>
      </c>
      <c r="E15" s="2346">
        <f>资产损失税前扣除审核表!E15</f>
        <v>0</v>
      </c>
      <c r="F15" s="2345">
        <f>资产损失税前扣除审核表!F15</f>
        <v>0</v>
      </c>
      <c r="G15" s="290">
        <f>F15-D15-E15</f>
        <v>0</v>
      </c>
      <c r="H15" s="290">
        <f t="shared" si="0"/>
        <v>0</v>
      </c>
      <c r="J15" s="4125"/>
    </row>
    <row r="16" spans="1:10" s="287" customFormat="1" ht="14.25" customHeight="1">
      <c r="A16" s="286">
        <v>12</v>
      </c>
      <c r="B16" s="116" t="s">
        <v>637</v>
      </c>
      <c r="C16" s="2345">
        <f>资产损失税前扣除审核表!C16</f>
        <v>0</v>
      </c>
      <c r="D16" s="2345">
        <f>资产损失税前扣除审核表!D16</f>
        <v>0</v>
      </c>
      <c r="E16" s="2345">
        <f>资产损失税前扣除审核表!E16</f>
        <v>0</v>
      </c>
      <c r="F16" s="2345">
        <f>资产损失税前扣除审核表!F16</f>
        <v>0</v>
      </c>
      <c r="G16" s="290">
        <f>F16-D16-E16</f>
        <v>0</v>
      </c>
      <c r="H16" s="290">
        <f t="shared" si="0"/>
        <v>0</v>
      </c>
      <c r="J16" s="4125"/>
    </row>
    <row r="17" spans="1:10" s="287" customFormat="1" ht="14.25" customHeight="1">
      <c r="A17" s="286">
        <v>13</v>
      </c>
      <c r="B17" s="116" t="s">
        <v>638</v>
      </c>
      <c r="C17" s="2345">
        <f>资产损失税前扣除审核表!C17</f>
        <v>0</v>
      </c>
      <c r="D17" s="2345">
        <f>资产损失税前扣除审核表!D17</f>
        <v>0</v>
      </c>
      <c r="E17" s="2345">
        <f>资产损失税前扣除审核表!E17</f>
        <v>0</v>
      </c>
      <c r="F17" s="2345">
        <f>资产损失税前扣除审核表!F17</f>
        <v>0</v>
      </c>
      <c r="G17" s="290">
        <f>F17-D17-E17</f>
        <v>0</v>
      </c>
      <c r="H17" s="290">
        <f t="shared" si="0"/>
        <v>0</v>
      </c>
      <c r="J17" s="4125"/>
    </row>
    <row r="18" spans="1:10" s="287" customFormat="1" ht="14.25" customHeight="1">
      <c r="A18" s="289">
        <v>14</v>
      </c>
      <c r="B18" s="116" t="s">
        <v>627</v>
      </c>
      <c r="C18" s="290">
        <f t="shared" ref="C18:H18" si="2">C5+C13</f>
        <v>0</v>
      </c>
      <c r="D18" s="290">
        <f t="shared" si="2"/>
        <v>0</v>
      </c>
      <c r="E18" s="290">
        <f t="shared" si="2"/>
        <v>0</v>
      </c>
      <c r="F18" s="290">
        <f t="shared" si="2"/>
        <v>0</v>
      </c>
      <c r="G18" s="290">
        <f t="shared" si="2"/>
        <v>0</v>
      </c>
      <c r="H18" s="290">
        <f t="shared" si="2"/>
        <v>0</v>
      </c>
      <c r="J18" s="4124"/>
    </row>
    <row r="19" spans="1:10" s="297" customFormat="1" ht="15" customHeight="1">
      <c r="A19" s="4179"/>
      <c r="B19" s="4113"/>
      <c r="C19" s="4113"/>
      <c r="D19" s="4113"/>
      <c r="E19" s="4113"/>
      <c r="F19" s="4113"/>
      <c r="G19" s="4113"/>
      <c r="H19" s="4113"/>
      <c r="I19" s="4113"/>
      <c r="J19" s="4113"/>
    </row>
    <row r="20" spans="1:10" s="297" customFormat="1" ht="15" customHeight="1">
      <c r="A20" s="4179"/>
      <c r="B20" s="4113"/>
      <c r="C20" s="4113"/>
      <c r="D20" s="4113"/>
      <c r="E20" s="4113"/>
      <c r="F20" s="4113"/>
      <c r="G20" s="4113"/>
      <c r="H20" s="4113"/>
      <c r="I20" s="4113"/>
      <c r="J20" s="4113"/>
    </row>
    <row r="21" spans="1:10" s="298" customFormat="1" ht="15" customHeight="1">
      <c r="A21" s="4114" t="s">
        <v>1416</v>
      </c>
      <c r="B21" s="4114"/>
      <c r="C21" s="4114"/>
      <c r="D21" s="4114"/>
      <c r="E21" s="4114"/>
      <c r="F21" s="4114"/>
      <c r="G21" s="4114"/>
      <c r="H21" s="4114"/>
      <c r="I21" s="4114"/>
      <c r="J21" s="4114"/>
    </row>
    <row r="22" spans="1:10" s="215" customFormat="1" ht="15" customHeight="1">
      <c r="A22" s="4111" t="s">
        <v>1440</v>
      </c>
      <c r="B22" s="4111"/>
      <c r="C22" s="4111"/>
      <c r="D22" s="4111"/>
      <c r="E22" s="4111"/>
      <c r="F22" s="4111"/>
      <c r="G22" s="4111"/>
      <c r="H22" s="4111"/>
      <c r="I22" s="4111"/>
      <c r="J22" s="4111"/>
    </row>
    <row r="23" spans="1:10" s="244" customFormat="1" ht="15" customHeight="1">
      <c r="A23" s="4111" t="s">
        <v>1441</v>
      </c>
      <c r="B23" s="4111"/>
      <c r="C23" s="4111"/>
      <c r="D23" s="4111"/>
      <c r="E23" s="4111"/>
      <c r="F23" s="4111"/>
      <c r="G23" s="4111"/>
      <c r="H23" s="4111"/>
      <c r="I23" s="4111"/>
      <c r="J23" s="4111"/>
    </row>
    <row r="24" spans="1:10" s="244" customFormat="1" ht="15" customHeight="1">
      <c r="A24" s="4173" t="s">
        <v>1442</v>
      </c>
      <c r="B24" s="4173"/>
      <c r="C24" s="4173"/>
      <c r="D24" s="4173"/>
      <c r="E24" s="4173"/>
      <c r="F24" s="4173"/>
      <c r="G24" s="4173"/>
      <c r="H24" s="4173"/>
      <c r="I24" s="4173"/>
      <c r="J24" s="4173"/>
    </row>
    <row r="25" spans="1:10" s="297" customFormat="1" ht="12.75" customHeight="1">
      <c r="B25" s="299"/>
      <c r="C25" s="299"/>
      <c r="D25" s="299"/>
      <c r="E25" s="299"/>
      <c r="J25" s="300"/>
    </row>
    <row r="26" spans="1:10" s="297" customFormat="1" ht="12.75" customHeight="1">
      <c r="J26" s="300"/>
    </row>
    <row r="27" spans="1:10" s="297" customFormat="1" ht="12.75" customHeight="1">
      <c r="J27" s="300"/>
    </row>
    <row r="28" spans="1:10" s="297" customFormat="1" ht="12.75" customHeight="1">
      <c r="J28" s="300"/>
    </row>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sheetData>
  <mergeCells count="13">
    <mergeCell ref="A24:J24"/>
    <mergeCell ref="J5:J18"/>
    <mergeCell ref="A1:B1"/>
    <mergeCell ref="F1:H1"/>
    <mergeCell ref="A2:H2"/>
    <mergeCell ref="A3:A4"/>
    <mergeCell ref="B3:B4"/>
    <mergeCell ref="J3:J4"/>
    <mergeCell ref="A19:J19"/>
    <mergeCell ref="A20:J20"/>
    <mergeCell ref="A21:J21"/>
    <mergeCell ref="A22:J22"/>
    <mergeCell ref="A23:J23"/>
  </mergeCells>
  <phoneticPr fontId="37" type="noConversion"/>
  <hyperlinks>
    <hyperlink ref="F1:H1" location="A105000纳税调整项目明细表!A1" display="返回纳税调整项目明细表（A105000）"/>
    <hyperlink ref="A1:B1" location="'A100000 中华人民共和国企业所得税年度纳税申报表（A类）'!A1" display="返回主表（A100000）"/>
    <hyperlink ref="J3:J4" r:id="rId1" display="损失[¶30-5601]-[¶30-5690]"/>
    <hyperlink ref="J5:J18" r:id="rId2" display="资产损失的申报管理[¶30-5676] "/>
    <hyperlink ref="A22:J22" r:id="rId3" display="《财政部、国家税务总局关于企业资产损失税前扣除政策的通知》（财税〔2009〕57号）"/>
    <hyperlink ref="A24:J24" r:id="rId4" display="《国家税务总局关于企业因国务院决定事项形成的资产损失税前扣除问题的公告》（国家税务总局公告2014年第18号）"/>
    <hyperlink ref="A23:J23" r:id="rId5" display="《国家税务总局关于发布〈企业资产损失所得税税前扣除管理办法〉的公告》（国家税务总局公告2011年第25号）"/>
    <hyperlink ref="A22:IV22" r:id="rId6" display="《财政部、国家税务总局关于企业资产损失税前扣除政策的通知》（财税〔2009〕57号）"/>
  </hyperlinks>
  <pageMargins left="0.70866141732283472" right="0.70866141732283472" top="0.74803149606299213" bottom="0.74803149606299213" header="0.31496062992125984" footer="0.31496062992125984"/>
  <pageSetup paperSize="9" scale="85" orientation="landscape" verticalDpi="0" r:id="rId7"/>
  <legacyDrawing r:id="rId8"/>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pageSetUpPr fitToPage="1"/>
  </sheetPr>
  <dimension ref="A1:K34"/>
  <sheetViews>
    <sheetView workbookViewId="0">
      <selection sqref="A1:B1"/>
    </sheetView>
  </sheetViews>
  <sheetFormatPr defaultColWidth="10.875" defaultRowHeight="14.25"/>
  <cols>
    <col min="1" max="1" width="5" style="297" customWidth="1"/>
    <col min="2" max="2" width="34.25" style="297" customWidth="1"/>
    <col min="3" max="9" width="12.625" style="297" customWidth="1"/>
    <col min="10" max="10" width="1.25" style="297" customWidth="1"/>
    <col min="11" max="11" width="32.25" style="300" customWidth="1"/>
    <col min="12" max="16384" width="10.875" style="297"/>
  </cols>
  <sheetData>
    <row r="1" spans="1:11" ht="20.100000000000001" customHeight="1">
      <c r="A1" s="4164" t="s">
        <v>1191</v>
      </c>
      <c r="B1" s="4081"/>
      <c r="C1" s="4164" t="s">
        <v>640</v>
      </c>
      <c r="D1" s="4081"/>
      <c r="E1" s="4081"/>
      <c r="F1" s="4081"/>
      <c r="G1" s="4081"/>
      <c r="H1" s="4081"/>
      <c r="I1" s="4081"/>
    </row>
    <row r="2" spans="1:11" ht="25.5" customHeight="1">
      <c r="A2" s="4181" t="s">
        <v>1192</v>
      </c>
      <c r="B2" s="4182"/>
      <c r="C2" s="4182"/>
      <c r="D2" s="4182"/>
      <c r="E2" s="4182"/>
      <c r="F2" s="4182"/>
      <c r="G2" s="4182"/>
      <c r="H2" s="4182"/>
      <c r="I2" s="4182"/>
      <c r="K2" s="271" t="s">
        <v>614</v>
      </c>
    </row>
    <row r="3" spans="1:11" ht="14.25" customHeight="1">
      <c r="A3" s="4183" t="s">
        <v>147</v>
      </c>
      <c r="B3" s="4183" t="s">
        <v>641</v>
      </c>
      <c r="C3" s="4178" t="s">
        <v>642</v>
      </c>
      <c r="D3" s="4178"/>
      <c r="E3" s="4178"/>
      <c r="F3" s="4178" t="s">
        <v>643</v>
      </c>
      <c r="G3" s="4178"/>
      <c r="H3" s="4178"/>
      <c r="I3" s="4160" t="s">
        <v>616</v>
      </c>
      <c r="K3" s="4180" t="s">
        <v>644</v>
      </c>
    </row>
    <row r="4" spans="1:11" ht="14.25" customHeight="1">
      <c r="A4" s="4184"/>
      <c r="B4" s="4184"/>
      <c r="C4" s="117" t="s">
        <v>645</v>
      </c>
      <c r="D4" s="117" t="s">
        <v>371</v>
      </c>
      <c r="E4" s="117" t="s">
        <v>616</v>
      </c>
      <c r="F4" s="117" t="s">
        <v>645</v>
      </c>
      <c r="G4" s="117" t="s">
        <v>371</v>
      </c>
      <c r="H4" s="117" t="s">
        <v>616</v>
      </c>
      <c r="I4" s="4166"/>
      <c r="K4" s="4180"/>
    </row>
    <row r="5" spans="1:11" ht="14.25" customHeight="1">
      <c r="A5" s="4185"/>
      <c r="B5" s="4185"/>
      <c r="C5" s="117">
        <v>1</v>
      </c>
      <c r="D5" s="117">
        <v>2</v>
      </c>
      <c r="E5" s="117" t="s">
        <v>646</v>
      </c>
      <c r="F5" s="117">
        <v>4</v>
      </c>
      <c r="G5" s="117">
        <v>5</v>
      </c>
      <c r="H5" s="117" t="s">
        <v>647</v>
      </c>
      <c r="I5" s="117" t="s">
        <v>648</v>
      </c>
      <c r="K5" s="4180"/>
    </row>
    <row r="6" spans="1:11" ht="14.25" customHeight="1">
      <c r="A6" s="117">
        <v>1</v>
      </c>
      <c r="B6" s="119" t="s">
        <v>649</v>
      </c>
      <c r="C6" s="118">
        <f>企业重组审核表!C6</f>
        <v>0</v>
      </c>
      <c r="D6" s="118">
        <f>企业重组审核表!D6</f>
        <v>0</v>
      </c>
      <c r="E6" s="303">
        <f>ROUND(D6-C6,2)</f>
        <v>0</v>
      </c>
      <c r="F6" s="118">
        <f>企业重组审核表!F6</f>
        <v>0</v>
      </c>
      <c r="G6" s="118">
        <f>企业重组审核表!G6</f>
        <v>0</v>
      </c>
      <c r="H6" s="303">
        <f>ROUND(G6-F6,2)</f>
        <v>0</v>
      </c>
      <c r="I6" s="303">
        <f>ROUND(E6+H6,2)</f>
        <v>0</v>
      </c>
      <c r="K6" s="4180" t="s">
        <v>650</v>
      </c>
    </row>
    <row r="7" spans="1:11" ht="14.25" customHeight="1">
      <c r="A7" s="117">
        <v>2</v>
      </c>
      <c r="B7" s="119" t="s">
        <v>651</v>
      </c>
      <c r="C7" s="118">
        <f>企业重组审核表!C7</f>
        <v>0</v>
      </c>
      <c r="D7" s="118">
        <f>企业重组审核表!D7</f>
        <v>0</v>
      </c>
      <c r="E7" s="303">
        <f t="shared" ref="E7:E20" si="0">ROUND(D7-C7,2)</f>
        <v>0</v>
      </c>
      <c r="F7" s="118">
        <f>企业重组审核表!F7</f>
        <v>0</v>
      </c>
      <c r="G7" s="118">
        <f>企业重组审核表!G7</f>
        <v>0</v>
      </c>
      <c r="H7" s="303">
        <f t="shared" ref="H7:H20" si="1">ROUND(G7-F7,2)</f>
        <v>0</v>
      </c>
      <c r="I7" s="303">
        <f t="shared" ref="I7:I20" si="2">ROUND(E7+H7,2)</f>
        <v>0</v>
      </c>
      <c r="K7" s="4180"/>
    </row>
    <row r="8" spans="1:11" ht="14.25" customHeight="1">
      <c r="A8" s="117">
        <v>3</v>
      </c>
      <c r="B8" s="119" t="s">
        <v>652</v>
      </c>
      <c r="C8" s="118">
        <f>企业重组审核表!C8</f>
        <v>0</v>
      </c>
      <c r="D8" s="118">
        <f>企业重组审核表!D8</f>
        <v>0</v>
      </c>
      <c r="E8" s="303">
        <f t="shared" si="0"/>
        <v>0</v>
      </c>
      <c r="F8" s="118">
        <f>企业重组审核表!F8</f>
        <v>0</v>
      </c>
      <c r="G8" s="118">
        <f>企业重组审核表!G8</f>
        <v>0</v>
      </c>
      <c r="H8" s="303">
        <f t="shared" si="1"/>
        <v>0</v>
      </c>
      <c r="I8" s="303">
        <f t="shared" si="2"/>
        <v>0</v>
      </c>
      <c r="K8" s="4180"/>
    </row>
    <row r="9" spans="1:11" ht="14.25" customHeight="1">
      <c r="A9" s="117">
        <v>4</v>
      </c>
      <c r="B9" s="119" t="s">
        <v>653</v>
      </c>
      <c r="C9" s="118">
        <f>企业重组审核表!C9</f>
        <v>0</v>
      </c>
      <c r="D9" s="118">
        <f>企业重组审核表!D9</f>
        <v>0</v>
      </c>
      <c r="E9" s="303">
        <f t="shared" si="0"/>
        <v>0</v>
      </c>
      <c r="F9" s="118">
        <f>企业重组审核表!F9</f>
        <v>0</v>
      </c>
      <c r="G9" s="118">
        <f>企业重组审核表!G9</f>
        <v>0</v>
      </c>
      <c r="H9" s="303">
        <f t="shared" si="1"/>
        <v>0</v>
      </c>
      <c r="I9" s="303">
        <f t="shared" si="2"/>
        <v>0</v>
      </c>
      <c r="K9" s="4180" t="s">
        <v>654</v>
      </c>
    </row>
    <row r="10" spans="1:11" ht="14.25" customHeight="1">
      <c r="A10" s="117">
        <v>5</v>
      </c>
      <c r="B10" s="119" t="s">
        <v>655</v>
      </c>
      <c r="C10" s="118">
        <f>企业重组审核表!C10</f>
        <v>0</v>
      </c>
      <c r="D10" s="118">
        <f>企业重组审核表!D10</f>
        <v>0</v>
      </c>
      <c r="E10" s="303">
        <f t="shared" si="0"/>
        <v>0</v>
      </c>
      <c r="F10" s="118">
        <f>企业重组审核表!F10</f>
        <v>0</v>
      </c>
      <c r="G10" s="118">
        <f>企业重组审核表!G10</f>
        <v>0</v>
      </c>
      <c r="H10" s="303">
        <f t="shared" si="1"/>
        <v>0</v>
      </c>
      <c r="I10" s="303">
        <f t="shared" si="2"/>
        <v>0</v>
      </c>
      <c r="K10" s="4180"/>
    </row>
    <row r="11" spans="1:11" ht="14.25" customHeight="1">
      <c r="A11" s="117">
        <v>6</v>
      </c>
      <c r="B11" s="119" t="s">
        <v>656</v>
      </c>
      <c r="C11" s="118">
        <f>企业重组审核表!C11</f>
        <v>0</v>
      </c>
      <c r="D11" s="118">
        <f>企业重组审核表!D11</f>
        <v>0</v>
      </c>
      <c r="E11" s="303">
        <f t="shared" si="0"/>
        <v>0</v>
      </c>
      <c r="F11" s="118">
        <f>企业重组审核表!F11</f>
        <v>0</v>
      </c>
      <c r="G11" s="118">
        <f>企业重组审核表!G11</f>
        <v>0</v>
      </c>
      <c r="H11" s="303">
        <f t="shared" si="1"/>
        <v>0</v>
      </c>
      <c r="I11" s="303">
        <f t="shared" si="2"/>
        <v>0</v>
      </c>
      <c r="K11" s="4180" t="s">
        <v>657</v>
      </c>
    </row>
    <row r="12" spans="1:11" ht="14.25" customHeight="1">
      <c r="A12" s="117">
        <v>7</v>
      </c>
      <c r="B12" s="119" t="s">
        <v>658</v>
      </c>
      <c r="C12" s="118">
        <f>企业重组审核表!C12</f>
        <v>0</v>
      </c>
      <c r="D12" s="118">
        <f>企业重组审核表!D12</f>
        <v>0</v>
      </c>
      <c r="E12" s="303">
        <f t="shared" si="0"/>
        <v>0</v>
      </c>
      <c r="F12" s="118">
        <f>企业重组审核表!F12</f>
        <v>0</v>
      </c>
      <c r="G12" s="118">
        <f>企业重组审核表!G12</f>
        <v>0</v>
      </c>
      <c r="H12" s="303">
        <f t="shared" si="1"/>
        <v>0</v>
      </c>
      <c r="I12" s="303">
        <f t="shared" si="2"/>
        <v>0</v>
      </c>
      <c r="K12" s="4180"/>
    </row>
    <row r="13" spans="1:11" ht="14.25" customHeight="1">
      <c r="A13" s="117">
        <v>8</v>
      </c>
      <c r="B13" s="119" t="s">
        <v>659</v>
      </c>
      <c r="C13" s="303">
        <f>ROUND(C14+C15,2)</f>
        <v>0</v>
      </c>
      <c r="D13" s="303">
        <f>ROUND(D14+D15,2)</f>
        <v>0</v>
      </c>
      <c r="E13" s="303">
        <f t="shared" si="0"/>
        <v>0</v>
      </c>
      <c r="F13" s="303">
        <f>ROUND(F14+F15,2)</f>
        <v>0</v>
      </c>
      <c r="G13" s="303">
        <f>ROUND(G14+G15,2)</f>
        <v>0</v>
      </c>
      <c r="H13" s="303">
        <f t="shared" si="1"/>
        <v>0</v>
      </c>
      <c r="I13" s="303">
        <f t="shared" si="2"/>
        <v>0</v>
      </c>
      <c r="K13" s="4180" t="s">
        <v>660</v>
      </c>
    </row>
    <row r="14" spans="1:11" ht="14.25" customHeight="1">
      <c r="A14" s="117">
        <v>9</v>
      </c>
      <c r="B14" s="119" t="s">
        <v>664</v>
      </c>
      <c r="C14" s="118">
        <f>企业重组审核表!C14</f>
        <v>0</v>
      </c>
      <c r="D14" s="118">
        <f>企业重组审核表!D14</f>
        <v>0</v>
      </c>
      <c r="E14" s="303">
        <f t="shared" si="0"/>
        <v>0</v>
      </c>
      <c r="F14" s="118">
        <f>企业重组审核表!F14</f>
        <v>0</v>
      </c>
      <c r="G14" s="118">
        <f>企业重组审核表!G14</f>
        <v>0</v>
      </c>
      <c r="H14" s="303">
        <f t="shared" si="1"/>
        <v>0</v>
      </c>
      <c r="I14" s="303">
        <f t="shared" si="2"/>
        <v>0</v>
      </c>
      <c r="K14" s="4180"/>
    </row>
    <row r="15" spans="1:11" ht="14.25" customHeight="1">
      <c r="A15" s="117">
        <v>10</v>
      </c>
      <c r="B15" s="119" t="s">
        <v>665</v>
      </c>
      <c r="C15" s="118">
        <f>企业重组审核表!C15</f>
        <v>0</v>
      </c>
      <c r="D15" s="118">
        <f>企业重组审核表!D15</f>
        <v>0</v>
      </c>
      <c r="E15" s="303">
        <f t="shared" si="0"/>
        <v>0</v>
      </c>
      <c r="F15" s="118">
        <f>企业重组审核表!F15</f>
        <v>0</v>
      </c>
      <c r="G15" s="118">
        <f>企业重组审核表!G15</f>
        <v>0</v>
      </c>
      <c r="H15" s="303">
        <f t="shared" si="1"/>
        <v>0</v>
      </c>
      <c r="I15" s="303">
        <f t="shared" si="2"/>
        <v>0</v>
      </c>
      <c r="K15" s="4180"/>
    </row>
    <row r="16" spans="1:11" ht="14.25" customHeight="1">
      <c r="A16" s="117">
        <v>11</v>
      </c>
      <c r="B16" s="119" t="s">
        <v>661</v>
      </c>
      <c r="C16" s="118">
        <f>企业重组审核表!C16</f>
        <v>0</v>
      </c>
      <c r="D16" s="118">
        <f>企业重组审核表!D16</f>
        <v>0</v>
      </c>
      <c r="E16" s="303">
        <f t="shared" si="0"/>
        <v>0</v>
      </c>
      <c r="F16" s="118">
        <f>企业重组审核表!F16</f>
        <v>0</v>
      </c>
      <c r="G16" s="118">
        <f>企业重组审核表!G16</f>
        <v>0</v>
      </c>
      <c r="H16" s="303">
        <f t="shared" si="1"/>
        <v>0</v>
      </c>
      <c r="I16" s="303">
        <f t="shared" si="2"/>
        <v>0</v>
      </c>
      <c r="K16" s="262" t="s">
        <v>662</v>
      </c>
    </row>
    <row r="17" spans="1:11" ht="14.25" customHeight="1">
      <c r="A17" s="117">
        <v>12</v>
      </c>
      <c r="B17" s="119" t="s">
        <v>666</v>
      </c>
      <c r="C17" s="118">
        <f>企业重组审核表!C17</f>
        <v>0</v>
      </c>
      <c r="D17" s="118">
        <f>企业重组审核表!D17</f>
        <v>0</v>
      </c>
      <c r="E17" s="303">
        <f t="shared" si="0"/>
        <v>0</v>
      </c>
      <c r="F17" s="118">
        <f>企业重组审核表!F17</f>
        <v>0</v>
      </c>
      <c r="G17" s="118">
        <f>企业重组审核表!G17</f>
        <v>0</v>
      </c>
      <c r="H17" s="303">
        <f t="shared" si="1"/>
        <v>0</v>
      </c>
      <c r="I17" s="303">
        <f t="shared" si="2"/>
        <v>0</v>
      </c>
      <c r="K17" s="262"/>
    </row>
    <row r="18" spans="1:11" ht="14.25" customHeight="1">
      <c r="A18" s="117">
        <v>13</v>
      </c>
      <c r="B18" s="119" t="s">
        <v>667</v>
      </c>
      <c r="C18" s="118">
        <f>企业重组审核表!C18</f>
        <v>0</v>
      </c>
      <c r="D18" s="118">
        <f>企业重组审核表!D18</f>
        <v>0</v>
      </c>
      <c r="E18" s="303">
        <f t="shared" si="0"/>
        <v>0</v>
      </c>
      <c r="F18" s="118">
        <f>企业重组审核表!F18</f>
        <v>0</v>
      </c>
      <c r="G18" s="118">
        <f>企业重组审核表!G18</f>
        <v>0</v>
      </c>
      <c r="H18" s="303">
        <f t="shared" si="1"/>
        <v>0</v>
      </c>
      <c r="I18" s="303">
        <f t="shared" si="2"/>
        <v>0</v>
      </c>
      <c r="K18" s="262"/>
    </row>
    <row r="19" spans="1:11" ht="14.25" customHeight="1">
      <c r="A19" s="117">
        <v>14</v>
      </c>
      <c r="B19" s="119" t="s">
        <v>668</v>
      </c>
      <c r="C19" s="118">
        <f>企业重组审核表!C19</f>
        <v>0</v>
      </c>
      <c r="D19" s="118">
        <f>企业重组审核表!D19</f>
        <v>0</v>
      </c>
      <c r="E19" s="303">
        <f t="shared" si="0"/>
        <v>0</v>
      </c>
      <c r="F19" s="118">
        <f>企业重组审核表!F19</f>
        <v>0</v>
      </c>
      <c r="G19" s="118">
        <f>企业重组审核表!G19</f>
        <v>0</v>
      </c>
      <c r="H19" s="303">
        <f t="shared" si="1"/>
        <v>0</v>
      </c>
      <c r="I19" s="303">
        <f t="shared" si="2"/>
        <v>0</v>
      </c>
      <c r="K19" s="262"/>
    </row>
    <row r="20" spans="1:11" ht="14.25" customHeight="1">
      <c r="A20" s="117">
        <v>15</v>
      </c>
      <c r="B20" s="119" t="s">
        <v>669</v>
      </c>
      <c r="C20" s="118">
        <f>企业重组审核表!C20</f>
        <v>0</v>
      </c>
      <c r="D20" s="118">
        <f>企业重组审核表!D20</f>
        <v>0</v>
      </c>
      <c r="E20" s="303">
        <f t="shared" si="0"/>
        <v>0</v>
      </c>
      <c r="F20" s="118">
        <f>企业重组审核表!F20</f>
        <v>0</v>
      </c>
      <c r="G20" s="118">
        <f>企业重组审核表!G20</f>
        <v>0</v>
      </c>
      <c r="H20" s="303">
        <f t="shared" si="1"/>
        <v>0</v>
      </c>
      <c r="I20" s="303">
        <f t="shared" si="2"/>
        <v>0</v>
      </c>
      <c r="K20" s="302" t="s">
        <v>663</v>
      </c>
    </row>
    <row r="21" spans="1:11" ht="14.25" customHeight="1">
      <c r="A21" s="117">
        <v>16</v>
      </c>
      <c r="B21" s="119" t="s">
        <v>670</v>
      </c>
      <c r="C21" s="303">
        <f t="shared" ref="C21:I21" si="3">ROUND(C6+C9+C11+C13+C16+C20+C17+C18+C19,2)</f>
        <v>0</v>
      </c>
      <c r="D21" s="303">
        <f t="shared" si="3"/>
        <v>0</v>
      </c>
      <c r="E21" s="303">
        <f t="shared" si="3"/>
        <v>0</v>
      </c>
      <c r="F21" s="303">
        <f t="shared" si="3"/>
        <v>0</v>
      </c>
      <c r="G21" s="303">
        <f t="shared" si="3"/>
        <v>0</v>
      </c>
      <c r="H21" s="303">
        <f t="shared" si="3"/>
        <v>0</v>
      </c>
      <c r="I21" s="303">
        <f t="shared" si="3"/>
        <v>0</v>
      </c>
      <c r="K21" s="264"/>
    </row>
    <row r="22" spans="1:11" s="287" customFormat="1" ht="15" customHeight="1">
      <c r="A22" s="4186"/>
      <c r="B22" s="4113"/>
      <c r="C22" s="4113"/>
      <c r="D22" s="4113"/>
      <c r="E22" s="4113"/>
      <c r="F22" s="4113"/>
      <c r="G22" s="4113"/>
      <c r="H22" s="4113"/>
      <c r="I22" s="4113"/>
      <c r="J22" s="4113"/>
      <c r="K22" s="4113"/>
    </row>
    <row r="23" spans="1:11" s="287" customFormat="1" ht="15" customHeight="1">
      <c r="A23" s="4186"/>
      <c r="B23" s="4113"/>
      <c r="C23" s="4113"/>
      <c r="D23" s="4113"/>
      <c r="E23" s="4113"/>
      <c r="F23" s="4113"/>
      <c r="G23" s="4113"/>
      <c r="H23" s="4113"/>
      <c r="I23" s="4113"/>
      <c r="J23" s="4113"/>
      <c r="K23" s="4113"/>
    </row>
    <row r="24" spans="1:11" s="244" customFormat="1" ht="15" customHeight="1">
      <c r="A24" s="4114" t="s">
        <v>1416</v>
      </c>
      <c r="B24" s="4187"/>
      <c r="C24" s="4187"/>
      <c r="D24" s="4187"/>
      <c r="E24" s="4187"/>
      <c r="F24" s="4187"/>
      <c r="G24" s="4187"/>
      <c r="H24" s="4187"/>
      <c r="I24" s="4187"/>
      <c r="J24" s="4187"/>
      <c r="K24" s="4187"/>
    </row>
    <row r="25" spans="1:11" s="215" customFormat="1" ht="15" customHeight="1">
      <c r="A25" s="4111" t="s">
        <v>1443</v>
      </c>
      <c r="B25" s="4111"/>
      <c r="C25" s="4111"/>
      <c r="D25" s="4111"/>
      <c r="E25" s="4111"/>
      <c r="F25" s="4111"/>
      <c r="G25" s="4111"/>
      <c r="H25" s="4111"/>
      <c r="I25" s="4111"/>
      <c r="J25" s="4111"/>
      <c r="K25" s="4111"/>
    </row>
    <row r="26" spans="1:11" s="244" customFormat="1" ht="15" customHeight="1">
      <c r="A26" s="4111" t="s">
        <v>1444</v>
      </c>
      <c r="B26" s="4111"/>
      <c r="C26" s="4111"/>
      <c r="D26" s="4111"/>
      <c r="E26" s="4111"/>
      <c r="F26" s="4111"/>
      <c r="G26" s="4111"/>
      <c r="H26" s="4111"/>
      <c r="I26" s="4111"/>
      <c r="J26" s="4111"/>
      <c r="K26" s="4111"/>
    </row>
    <row r="27" spans="1:11" s="244" customFormat="1" ht="15" customHeight="1">
      <c r="A27" s="4111" t="s">
        <v>1445</v>
      </c>
      <c r="B27" s="4111"/>
      <c r="C27" s="4111"/>
      <c r="D27" s="4111"/>
      <c r="E27" s="4111"/>
      <c r="F27" s="4111"/>
      <c r="G27" s="4111"/>
      <c r="H27" s="4111"/>
      <c r="I27" s="4111"/>
      <c r="J27" s="4111"/>
      <c r="K27" s="4111"/>
    </row>
    <row r="28" spans="1:11" s="244" customFormat="1" ht="12">
      <c r="A28" s="4111" t="s">
        <v>1446</v>
      </c>
      <c r="B28" s="4111"/>
      <c r="C28" s="4111"/>
      <c r="D28" s="4111"/>
      <c r="E28" s="4111"/>
      <c r="F28" s="4111"/>
      <c r="G28" s="4111"/>
      <c r="H28" s="4111"/>
      <c r="I28" s="4111"/>
      <c r="J28" s="4111"/>
      <c r="K28" s="4111"/>
    </row>
    <row r="29" spans="1:11" s="244" customFormat="1" ht="12">
      <c r="A29" s="4111" t="s">
        <v>1447</v>
      </c>
      <c r="B29" s="4111"/>
      <c r="C29" s="4111"/>
      <c r="D29" s="4111"/>
      <c r="E29" s="4111"/>
      <c r="F29" s="4111"/>
      <c r="G29" s="4111"/>
      <c r="H29" s="4111"/>
      <c r="I29" s="4111"/>
      <c r="J29" s="4111"/>
      <c r="K29" s="4111"/>
    </row>
    <row r="30" spans="1:11" s="244" customFormat="1" ht="12">
      <c r="A30" s="4111" t="s">
        <v>1448</v>
      </c>
      <c r="B30" s="4111"/>
      <c r="C30" s="4111"/>
      <c r="D30" s="4111"/>
      <c r="E30" s="4111"/>
      <c r="F30" s="4111"/>
      <c r="G30" s="4111"/>
      <c r="H30" s="4111"/>
      <c r="I30" s="4111"/>
      <c r="J30" s="4111"/>
      <c r="K30" s="4111"/>
    </row>
    <row r="31" spans="1:11" s="244" customFormat="1" ht="12">
      <c r="A31" s="4111" t="s">
        <v>1449</v>
      </c>
      <c r="B31" s="4111"/>
      <c r="C31" s="4111"/>
      <c r="D31" s="4111"/>
      <c r="E31" s="4111"/>
      <c r="F31" s="4111"/>
      <c r="G31" s="4111"/>
      <c r="H31" s="4111"/>
      <c r="I31" s="4111"/>
      <c r="J31" s="4111"/>
      <c r="K31" s="4111"/>
    </row>
    <row r="32" spans="1:11" s="244" customFormat="1" ht="12">
      <c r="A32" s="4111" t="s">
        <v>1450</v>
      </c>
      <c r="B32" s="4111"/>
      <c r="C32" s="4111"/>
      <c r="D32" s="4111"/>
      <c r="E32" s="4111"/>
      <c r="F32" s="4111"/>
      <c r="G32" s="4111"/>
      <c r="H32" s="4111"/>
      <c r="I32" s="4111"/>
      <c r="J32" s="4111"/>
      <c r="K32" s="4111"/>
    </row>
    <row r="33" spans="1:11" s="215" customFormat="1" ht="12">
      <c r="A33" s="4111" t="s">
        <v>1451</v>
      </c>
      <c r="B33" s="4111"/>
      <c r="C33" s="4111"/>
      <c r="D33" s="4111"/>
      <c r="E33" s="4111"/>
      <c r="F33" s="4111"/>
      <c r="G33" s="4111"/>
      <c r="H33" s="4111"/>
      <c r="I33" s="4111"/>
      <c r="J33" s="4111"/>
      <c r="K33" s="4111"/>
    </row>
    <row r="34" spans="1:11" s="244" customFormat="1" ht="12">
      <c r="A34" s="4111" t="s">
        <v>1452</v>
      </c>
      <c r="B34" s="4111"/>
      <c r="C34" s="4111"/>
      <c r="D34" s="4111"/>
      <c r="E34" s="4111"/>
      <c r="F34" s="4111"/>
      <c r="G34" s="4111"/>
      <c r="H34" s="4111"/>
      <c r="I34" s="4111"/>
      <c r="J34" s="4111"/>
      <c r="K34" s="4111"/>
    </row>
  </sheetData>
  <mergeCells count="26">
    <mergeCell ref="K13:K15"/>
    <mergeCell ref="A33:K33"/>
    <mergeCell ref="A34:K34"/>
    <mergeCell ref="A26:K26"/>
    <mergeCell ref="A27:K27"/>
    <mergeCell ref="A29:K29"/>
    <mergeCell ref="A30:K30"/>
    <mergeCell ref="A31:K31"/>
    <mergeCell ref="A32:K32"/>
    <mergeCell ref="A28:K28"/>
    <mergeCell ref="A22:K22"/>
    <mergeCell ref="A23:K23"/>
    <mergeCell ref="A24:K24"/>
    <mergeCell ref="A25:K25"/>
    <mergeCell ref="K3:K5"/>
    <mergeCell ref="K6:K8"/>
    <mergeCell ref="K9:K10"/>
    <mergeCell ref="K11:K12"/>
    <mergeCell ref="A1:B1"/>
    <mergeCell ref="C1:I1"/>
    <mergeCell ref="A2:I2"/>
    <mergeCell ref="A3:A5"/>
    <mergeCell ref="B3:B5"/>
    <mergeCell ref="C3:E3"/>
    <mergeCell ref="F3:H3"/>
    <mergeCell ref="I3:I4"/>
  </mergeCells>
  <phoneticPr fontId="37" type="noConversion"/>
  <hyperlinks>
    <hyperlink ref="C1:I1" location="A105000纳税调整项目明细表!A1" display="返回纳税调整项目明细表（A105000）"/>
    <hyperlink ref="A1:B1" location="'A100000 中华人民共和国企业所得税年度纳税申报表（A类）'!A1" display="返回主表（A100000）"/>
    <hyperlink ref="K3:K5" r:id="rId1" display="企业重组[¶100-850]-[¶100-930]"/>
    <hyperlink ref="K6:K8" r:id="rId2" display="债务重组[¶100-870] "/>
    <hyperlink ref="K9:K10" r:id="rId3" display="股权收购[¶100-880] "/>
    <hyperlink ref="K11:K12" r:id="rId4" display="资产收购[¶100-885] "/>
    <hyperlink ref="K13:K15" r:id="rId5" display="企业合并[¶100-890] "/>
    <hyperlink ref="K16" r:id="rId6"/>
    <hyperlink ref="K20" r:id="rId7"/>
    <hyperlink ref="A25:K25" r:id="rId8" display="《财政部、国家税务总局关于企业重组业务企业所得税处理若干问题的通知》（财税〔2009〕59号）"/>
    <hyperlink ref="A26:K26" r:id="rId9" display="《国家税务总局关于发布〈企业重组业务企业所得税管理办法〉的公告》（国家税务总局公告2010年第4号）"/>
    <hyperlink ref="A27:K27" r:id="rId10" display="《财政部、国家税务总局关于中国（上海）自由贸易试验区内企业以非货币性资产对外投资等资产重组行为有关企业所得税政策问题的通知》（财税〔2013〕91号）"/>
    <hyperlink ref="A28" r:id="rId11"/>
    <hyperlink ref="A29" r:id="rId12"/>
    <hyperlink ref="A30" r:id="rId13"/>
    <hyperlink ref="A31" r:id="rId14"/>
    <hyperlink ref="A32" r:id="rId15"/>
    <hyperlink ref="A33" r:id="rId16"/>
    <hyperlink ref="A34" r:id="rId17"/>
    <hyperlink ref="A25:IV25" r:id="rId18" display="《财政部、国家税务总局关于企业重组业务企业所得税处理若干问题的通知》（财税〔2009〕59号）"/>
    <hyperlink ref="A28:K28" r:id="rId19" display="《财政部 国家税务总局关于非货币性资产投资企业所得税政策问题的通知》（财税〔2014〕116号）"/>
    <hyperlink ref="A29:K29" r:id="rId20" display="《财政部 国家税务总局关于促进企业重组有关企业所得税处理问题的通知》（财税〔2014〕109号）"/>
    <hyperlink ref="A30:K30" r:id="rId21" display="《国家税务总局关于非货币性资产投资企业所得税有关征管问题的公告》（国家税务总局公告2015年第33号）"/>
    <hyperlink ref="A31:K31" r:id="rId22" display="《国家税务总局关于资产（股权）划转企业所得税征管问题的公告》（国家税务总局公告2015年第40号）"/>
    <hyperlink ref="A32:K32" r:id="rId23" display="《国家税务总局关于企业重组业务企业所得税征收管理若干问题的公告》（国家税务总局公告2015年第48号）"/>
    <hyperlink ref="A33:IV33" r:id="rId24" display="《财政部 国家税务总局关于完善股权激励和技术入股有关所得税政策的通知》（财税〔2016〕101号）"/>
    <hyperlink ref="A34:K34" r:id="rId25" display="《国家税务总局关于股权激励和技术入股所得税征管问题的公告》（国家税务总局公告2016年第62号）"/>
  </hyperlinks>
  <pageMargins left="0.70866141732283472" right="0.70866141732283472" top="0.74803149606299213" bottom="0.74803149606299213" header="0.31496062992125984" footer="0.31496062992125984"/>
  <pageSetup paperSize="9" scale="98" orientation="landscape" verticalDpi="0" r:id="rId26"/>
  <colBreaks count="1" manualBreakCount="1">
    <brk id="9" max="1048575" man="1"/>
  </colBreaks>
  <legacyDrawing r:id="rId27"/>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pageSetUpPr fitToPage="1"/>
  </sheetPr>
  <dimension ref="A1:H35"/>
  <sheetViews>
    <sheetView workbookViewId="0">
      <selection sqref="A1:B1"/>
    </sheetView>
  </sheetViews>
  <sheetFormatPr defaultColWidth="10.875" defaultRowHeight="14.25"/>
  <cols>
    <col min="1" max="1" width="5" style="122" customWidth="1"/>
    <col min="2" max="2" width="53" style="305" customWidth="1"/>
    <col min="3" max="3" width="27.625" style="122" customWidth="1"/>
    <col min="4" max="4" width="8.25" style="122" customWidth="1"/>
    <col min="5" max="16384" width="10.875" style="122"/>
  </cols>
  <sheetData>
    <row r="1" spans="1:3" s="305" customFormat="1" ht="20.100000000000001" customHeight="1">
      <c r="A1" s="4055" t="s">
        <v>1189</v>
      </c>
      <c r="B1" s="4055"/>
      <c r="C1" s="304" t="s">
        <v>671</v>
      </c>
    </row>
    <row r="2" spans="1:3" ht="25.5" customHeight="1">
      <c r="A2" s="4192" t="s">
        <v>1193</v>
      </c>
      <c r="B2" s="4193"/>
      <c r="C2" s="4193"/>
    </row>
    <row r="3" spans="1:3" ht="14.25" customHeight="1">
      <c r="A3" s="306" t="s">
        <v>147</v>
      </c>
      <c r="B3" s="306" t="s">
        <v>615</v>
      </c>
      <c r="C3" s="120" t="s">
        <v>672</v>
      </c>
    </row>
    <row r="4" spans="1:3" ht="14.25" customHeight="1">
      <c r="A4" s="120">
        <v>1</v>
      </c>
      <c r="B4" s="116" t="s">
        <v>673</v>
      </c>
      <c r="C4" s="307">
        <f>ROUND(C5+C11,2)</f>
        <v>0</v>
      </c>
    </row>
    <row r="5" spans="1:3" ht="14.25" customHeight="1">
      <c r="A5" s="120">
        <v>2</v>
      </c>
      <c r="B5" s="116" t="s">
        <v>674</v>
      </c>
      <c r="C5" s="307">
        <f>ROUND(SUM(C6:C10),2)</f>
        <v>0</v>
      </c>
    </row>
    <row r="6" spans="1:3" ht="14.25" customHeight="1">
      <c r="A6" s="120">
        <v>3</v>
      </c>
      <c r="B6" s="116" t="s">
        <v>675</v>
      </c>
      <c r="C6" s="121">
        <f>政策性搬迁审核表!C6</f>
        <v>0</v>
      </c>
    </row>
    <row r="7" spans="1:3" ht="14.25" customHeight="1">
      <c r="A7" s="120">
        <v>4</v>
      </c>
      <c r="B7" s="116" t="s">
        <v>676</v>
      </c>
      <c r="C7" s="121">
        <f>政策性搬迁审核表!C7</f>
        <v>0</v>
      </c>
    </row>
    <row r="8" spans="1:3" ht="14.25" customHeight="1">
      <c r="A8" s="120">
        <v>5</v>
      </c>
      <c r="B8" s="116" t="s">
        <v>677</v>
      </c>
      <c r="C8" s="121">
        <f>政策性搬迁审核表!C8</f>
        <v>0</v>
      </c>
    </row>
    <row r="9" spans="1:3" ht="14.25" customHeight="1">
      <c r="A9" s="120">
        <v>6</v>
      </c>
      <c r="B9" s="116" t="s">
        <v>678</v>
      </c>
      <c r="C9" s="121">
        <f>政策性搬迁审核表!C9</f>
        <v>0</v>
      </c>
    </row>
    <row r="10" spans="1:3" ht="14.25" customHeight="1">
      <c r="A10" s="120">
        <v>7</v>
      </c>
      <c r="B10" s="116" t="s">
        <v>679</v>
      </c>
      <c r="C10" s="121">
        <f>政策性搬迁审核表!C10</f>
        <v>0</v>
      </c>
    </row>
    <row r="11" spans="1:3" ht="14.25" customHeight="1">
      <c r="A11" s="120">
        <v>8</v>
      </c>
      <c r="B11" s="116" t="s">
        <v>680</v>
      </c>
      <c r="C11" s="121">
        <f>政策性搬迁审核表!C11</f>
        <v>0</v>
      </c>
    </row>
    <row r="12" spans="1:3" ht="14.25" customHeight="1">
      <c r="A12" s="120">
        <v>9</v>
      </c>
      <c r="B12" s="116" t="s">
        <v>681</v>
      </c>
      <c r="C12" s="307">
        <f>ROUND(C13+C19,2)</f>
        <v>0</v>
      </c>
    </row>
    <row r="13" spans="1:3" ht="14.25" customHeight="1">
      <c r="A13" s="120">
        <v>10</v>
      </c>
      <c r="B13" s="116" t="s">
        <v>682</v>
      </c>
      <c r="C13" s="307">
        <f>ROUND(SUM(C14:C18),2)</f>
        <v>0</v>
      </c>
    </row>
    <row r="14" spans="1:3" ht="14.25" customHeight="1">
      <c r="A14" s="120">
        <v>11</v>
      </c>
      <c r="B14" s="116" t="s">
        <v>683</v>
      </c>
      <c r="C14" s="121">
        <f>政策性搬迁审核表!C14</f>
        <v>0</v>
      </c>
    </row>
    <row r="15" spans="1:3" ht="14.25" customHeight="1">
      <c r="A15" s="120">
        <v>12</v>
      </c>
      <c r="B15" s="116" t="s">
        <v>684</v>
      </c>
      <c r="C15" s="121">
        <f>政策性搬迁审核表!C15</f>
        <v>0</v>
      </c>
    </row>
    <row r="16" spans="1:3" ht="14.25" customHeight="1">
      <c r="A16" s="120">
        <v>13</v>
      </c>
      <c r="B16" s="116" t="s">
        <v>685</v>
      </c>
      <c r="C16" s="121">
        <f>政策性搬迁审核表!C16</f>
        <v>0</v>
      </c>
    </row>
    <row r="17" spans="1:8" ht="14.25" customHeight="1">
      <c r="A17" s="120">
        <v>14</v>
      </c>
      <c r="B17" s="116" t="s">
        <v>686</v>
      </c>
      <c r="C17" s="121">
        <f>政策性搬迁审核表!C17</f>
        <v>0</v>
      </c>
    </row>
    <row r="18" spans="1:8" ht="14.25" customHeight="1">
      <c r="A18" s="120">
        <v>15</v>
      </c>
      <c r="B18" s="116" t="s">
        <v>687</v>
      </c>
      <c r="C18" s="121">
        <f>政策性搬迁审核表!C18</f>
        <v>0</v>
      </c>
    </row>
    <row r="19" spans="1:8" ht="14.25" customHeight="1">
      <c r="A19" s="120">
        <v>16</v>
      </c>
      <c r="B19" s="116" t="s">
        <v>688</v>
      </c>
      <c r="C19" s="121">
        <f>政策性搬迁审核表!C19</f>
        <v>0</v>
      </c>
    </row>
    <row r="20" spans="1:8" ht="14.25" customHeight="1">
      <c r="A20" s="120">
        <v>17</v>
      </c>
      <c r="B20" s="116" t="s">
        <v>689</v>
      </c>
      <c r="C20" s="307">
        <f>ROUND(C4-C12,2)</f>
        <v>0</v>
      </c>
    </row>
    <row r="21" spans="1:8" ht="14.25" customHeight="1">
      <c r="A21" s="120">
        <v>18</v>
      </c>
      <c r="B21" s="116" t="s">
        <v>690</v>
      </c>
      <c r="C21" s="307">
        <f>ROUND(C22+C23+C24,2)</f>
        <v>0</v>
      </c>
    </row>
    <row r="22" spans="1:8" ht="14.25" customHeight="1">
      <c r="A22" s="120">
        <v>19</v>
      </c>
      <c r="B22" s="116" t="s">
        <v>691</v>
      </c>
      <c r="C22" s="121">
        <f>政策性搬迁审核表!C22</f>
        <v>0</v>
      </c>
    </row>
    <row r="23" spans="1:8" ht="14.25" customHeight="1">
      <c r="A23" s="120">
        <v>20</v>
      </c>
      <c r="B23" s="123" t="s">
        <v>692</v>
      </c>
      <c r="C23" s="121">
        <f>政策性搬迁审核表!C23</f>
        <v>0</v>
      </c>
    </row>
    <row r="24" spans="1:8" ht="14.25" customHeight="1">
      <c r="A24" s="120">
        <v>21</v>
      </c>
      <c r="B24" s="123" t="s">
        <v>693</v>
      </c>
      <c r="C24" s="121">
        <f>政策性搬迁审核表!C24</f>
        <v>0</v>
      </c>
    </row>
    <row r="25" spans="1:8" ht="14.25" customHeight="1">
      <c r="A25" s="120">
        <v>22</v>
      </c>
      <c r="B25" s="116" t="s">
        <v>694</v>
      </c>
      <c r="C25" s="121">
        <f>政策性搬迁审核表!C25</f>
        <v>0</v>
      </c>
    </row>
    <row r="26" spans="1:8" ht="14.25" customHeight="1">
      <c r="A26" s="120">
        <v>23</v>
      </c>
      <c r="B26" s="116" t="s">
        <v>695</v>
      </c>
      <c r="C26" s="121">
        <f>政策性搬迁审核表!C26</f>
        <v>0</v>
      </c>
    </row>
    <row r="27" spans="1:8" ht="14.25" customHeight="1">
      <c r="A27" s="120">
        <v>24</v>
      </c>
      <c r="B27" s="116" t="s">
        <v>696</v>
      </c>
      <c r="C27" s="307">
        <f>ROUND(C21-C25-C26,2)</f>
        <v>0</v>
      </c>
    </row>
    <row r="28" spans="1:8" s="310" customFormat="1" ht="14.25" customHeight="1">
      <c r="A28" s="4194"/>
      <c r="B28" s="4194"/>
      <c r="C28" s="4194"/>
      <c r="D28" s="308"/>
      <c r="E28" s="309"/>
      <c r="F28" s="309"/>
      <c r="G28" s="309"/>
      <c r="H28" s="309"/>
    </row>
    <row r="29" spans="1:8" s="310" customFormat="1" ht="14.25" customHeight="1">
      <c r="A29" s="4195"/>
      <c r="B29" s="4085"/>
      <c r="C29" s="4085"/>
      <c r="D29" s="308"/>
      <c r="E29" s="309"/>
      <c r="F29" s="309"/>
      <c r="G29" s="309"/>
      <c r="H29" s="309"/>
    </row>
    <row r="30" spans="1:8" s="248" customFormat="1" ht="15" customHeight="1">
      <c r="A30" s="4145" t="s">
        <v>1410</v>
      </c>
      <c r="B30" s="4146"/>
      <c r="C30" s="4146"/>
      <c r="D30" s="311"/>
      <c r="E30" s="312"/>
      <c r="F30" s="312"/>
      <c r="G30" s="312"/>
      <c r="H30" s="312"/>
    </row>
    <row r="31" spans="1:8" s="221" customFormat="1" ht="15" customHeight="1">
      <c r="A31" s="4147" t="s">
        <v>1453</v>
      </c>
      <c r="B31" s="4088"/>
      <c r="C31" s="4088"/>
      <c r="D31" s="227"/>
    </row>
    <row r="32" spans="1:8" s="315" customFormat="1" ht="15" customHeight="1">
      <c r="A32" s="4148"/>
      <c r="B32" s="4149"/>
      <c r="C32" s="4149"/>
    </row>
    <row r="33" spans="1:3" s="315" customFormat="1" ht="15" customHeight="1">
      <c r="A33" s="4188" t="s">
        <v>1416</v>
      </c>
      <c r="B33" s="4189"/>
      <c r="C33" s="4189"/>
    </row>
    <row r="34" spans="1:3" s="317" customFormat="1" ht="15" customHeight="1">
      <c r="A34" s="4190" t="s">
        <v>1454</v>
      </c>
      <c r="B34" s="4191"/>
      <c r="C34" s="4191"/>
    </row>
    <row r="35" spans="1:3" s="317" customFormat="1" ht="15" customHeight="1">
      <c r="A35" s="4190" t="s">
        <v>1455</v>
      </c>
      <c r="B35" s="4191"/>
      <c r="C35" s="4191"/>
    </row>
  </sheetData>
  <mergeCells count="10">
    <mergeCell ref="A32:C32"/>
    <mergeCell ref="A33:C33"/>
    <mergeCell ref="A34:C34"/>
    <mergeCell ref="A35:C35"/>
    <mergeCell ref="A1:B1"/>
    <mergeCell ref="A2:C2"/>
    <mergeCell ref="A28:C28"/>
    <mergeCell ref="A29:C29"/>
    <mergeCell ref="A30:C30"/>
    <mergeCell ref="A31:C31"/>
  </mergeCells>
  <phoneticPr fontId="37" type="noConversion"/>
  <hyperlinks>
    <hyperlink ref="A1:B1" location="'A100000 中华人民共和国企业所得税年度纳税申报表（A类）'!A1" display="返回主表（A100000）"/>
    <hyperlink ref="C1" location="A105000纳税调整项目明细表!A1" display="返回纳税调整项目明细表（A105000）"/>
    <hyperlink ref="A35:C35" r:id="rId1" display="《国家税务总局关于企业政策性搬迁所得税有关问题的公告》（国家税务总局公告2013年第11号）"/>
    <hyperlink ref="A34:C34" r:id="rId2" display="《国家税务总局关于发布〈企业政策性搬迁所得税管理办法〉的公告》（国家税务总局公告2012年第40号）"/>
    <hyperlink ref="A31:C31" r:id="rId3" display="《中国税务合规实务指南—所得税》  企业政策性搬迁[¶100-530]-[¶100-537]"/>
    <hyperlink ref="A31:IV31" r:id="rId4" display="《中国税务合规实务指南—所得税》  企业政策性搬迁[¶100-530]-[¶100-537]"/>
  </hyperlinks>
  <pageMargins left="0.70866141732283472" right="0.70866141732283472" top="0.74803149606299213" bottom="0.74803149606299213" header="0.31496062992125984" footer="0.31496062992125984"/>
  <pageSetup paperSize="9" scale="97" orientation="portrait" verticalDpi="0" r:id="rId5"/>
  <legacyDrawing r:id="rId6"/>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pageSetUpPr fitToPage="1"/>
  </sheetPr>
  <dimension ref="A1:I55"/>
  <sheetViews>
    <sheetView workbookViewId="0">
      <selection sqref="A1:D1"/>
    </sheetView>
  </sheetViews>
  <sheetFormatPr defaultColWidth="10.875" defaultRowHeight="14.25"/>
  <cols>
    <col min="1" max="1" width="5" style="309" customWidth="1"/>
    <col min="2" max="2" width="22.875" style="309" customWidth="1"/>
    <col min="3" max="3" width="8.75" style="309" customWidth="1"/>
    <col min="4" max="4" width="13.875" style="309" customWidth="1"/>
    <col min="5" max="7" width="15.625" style="309" customWidth="1"/>
    <col min="8" max="8" width="1.25" style="309" customWidth="1"/>
    <col min="9" max="9" width="29" style="300" customWidth="1"/>
    <col min="10" max="16384" width="10.875" style="309"/>
  </cols>
  <sheetData>
    <row r="1" spans="1:9" ht="20.100000000000001" customHeight="1">
      <c r="A1" s="4055" t="s">
        <v>1189</v>
      </c>
      <c r="B1" s="4055"/>
      <c r="C1" s="4055"/>
      <c r="D1" s="4055"/>
      <c r="E1" s="4055" t="s">
        <v>640</v>
      </c>
      <c r="F1" s="4055"/>
      <c r="G1" s="4055"/>
    </row>
    <row r="2" spans="1:9" ht="25.5" customHeight="1">
      <c r="A2" s="4135" t="s">
        <v>1194</v>
      </c>
      <c r="B2" s="4176"/>
      <c r="C2" s="4176"/>
      <c r="D2" s="4176"/>
      <c r="E2" s="4176"/>
      <c r="F2" s="4176"/>
      <c r="G2" s="4176"/>
      <c r="I2" s="271" t="s">
        <v>697</v>
      </c>
    </row>
    <row r="3" spans="1:9" ht="14.25" customHeight="1">
      <c r="A3" s="4160" t="s">
        <v>698</v>
      </c>
      <c r="B3" s="4199" t="s">
        <v>699</v>
      </c>
      <c r="C3" s="4200"/>
      <c r="D3" s="4201"/>
      <c r="E3" s="318" t="s">
        <v>370</v>
      </c>
      <c r="F3" s="318" t="s">
        <v>371</v>
      </c>
      <c r="G3" s="318" t="s">
        <v>509</v>
      </c>
      <c r="I3" s="4196"/>
    </row>
    <row r="4" spans="1:9" ht="14.25" customHeight="1">
      <c r="A4" s="4166"/>
      <c r="B4" s="4202"/>
      <c r="C4" s="4203"/>
      <c r="D4" s="4204"/>
      <c r="E4" s="120">
        <v>1</v>
      </c>
      <c r="F4" s="124">
        <v>2</v>
      </c>
      <c r="G4" s="124" t="s">
        <v>700</v>
      </c>
      <c r="I4" s="4197"/>
    </row>
    <row r="5" spans="1:9" ht="14.25" customHeight="1">
      <c r="A5" s="120">
        <v>1</v>
      </c>
      <c r="B5" s="4198" t="s">
        <v>749</v>
      </c>
      <c r="C5" s="4198"/>
      <c r="D5" s="4198"/>
      <c r="E5" s="319">
        <f>ROUND(E6+E17+E18+E19+E20+E23+E24,2)</f>
        <v>0</v>
      </c>
      <c r="F5" s="319">
        <f>ROUND(F6+F17+F18+F19+F20+F23+F24,2)</f>
        <v>0</v>
      </c>
      <c r="G5" s="319">
        <f>ROUND(E5-F5,2)</f>
        <v>0</v>
      </c>
      <c r="I5" s="4123" t="s">
        <v>701</v>
      </c>
    </row>
    <row r="6" spans="1:9" ht="14.25" customHeight="1">
      <c r="A6" s="120">
        <v>2</v>
      </c>
      <c r="B6" s="4198" t="s">
        <v>718</v>
      </c>
      <c r="C6" s="4198"/>
      <c r="D6" s="4198"/>
      <c r="E6" s="320">
        <f>特殊行业准备金审核表!E6</f>
        <v>0</v>
      </c>
      <c r="F6" s="320">
        <f>特殊行业准备金审核表!F6</f>
        <v>0</v>
      </c>
      <c r="G6" s="319">
        <f t="shared" ref="G6:G46" si="0">ROUND(E6-F6,2)</f>
        <v>0</v>
      </c>
      <c r="I6" s="4125"/>
    </row>
    <row r="7" spans="1:9" ht="14.25" customHeight="1">
      <c r="A7" s="120">
        <v>3</v>
      </c>
      <c r="B7" s="321" t="s">
        <v>727</v>
      </c>
      <c r="C7" s="4207" t="s">
        <v>722</v>
      </c>
      <c r="D7" s="4207"/>
      <c r="E7" s="320">
        <f>特殊行业准备金审核表!E7</f>
        <v>0</v>
      </c>
      <c r="F7" s="320">
        <f>特殊行业准备金审核表!F7</f>
        <v>0</v>
      </c>
      <c r="G7" s="319">
        <f t="shared" si="0"/>
        <v>0</v>
      </c>
      <c r="I7" s="4125"/>
    </row>
    <row r="8" spans="1:9" ht="14.25" customHeight="1">
      <c r="A8" s="120">
        <v>4</v>
      </c>
      <c r="B8" s="321"/>
      <c r="C8" s="120" t="s">
        <v>719</v>
      </c>
      <c r="D8" s="296" t="s">
        <v>720</v>
      </c>
      <c r="E8" s="320">
        <f>特殊行业准备金审核表!E8</f>
        <v>0</v>
      </c>
      <c r="F8" s="320">
        <f>特殊行业准备金审核表!F8</f>
        <v>0</v>
      </c>
      <c r="G8" s="319">
        <f t="shared" si="0"/>
        <v>0</v>
      </c>
      <c r="I8" s="4125"/>
    </row>
    <row r="9" spans="1:9" ht="14.25" customHeight="1">
      <c r="A9" s="120">
        <v>5</v>
      </c>
      <c r="B9" s="321"/>
      <c r="C9" s="120"/>
      <c r="D9" s="296" t="s">
        <v>721</v>
      </c>
      <c r="E9" s="320">
        <f>特殊行业准备金审核表!E9</f>
        <v>0</v>
      </c>
      <c r="F9" s="320">
        <f>特殊行业准备金审核表!F9</f>
        <v>0</v>
      </c>
      <c r="G9" s="319">
        <f t="shared" si="0"/>
        <v>0</v>
      </c>
      <c r="I9" s="4125"/>
    </row>
    <row r="10" spans="1:9" ht="14.25" customHeight="1">
      <c r="A10" s="120">
        <v>6</v>
      </c>
      <c r="B10" s="321" t="s">
        <v>728</v>
      </c>
      <c r="C10" s="4207" t="s">
        <v>723</v>
      </c>
      <c r="D10" s="4207"/>
      <c r="E10" s="320">
        <f>特殊行业准备金审核表!E10</f>
        <v>0</v>
      </c>
      <c r="F10" s="320">
        <f>特殊行业准备金审核表!F10</f>
        <v>0</v>
      </c>
      <c r="G10" s="319">
        <f t="shared" si="0"/>
        <v>0</v>
      </c>
      <c r="I10" s="4125"/>
    </row>
    <row r="11" spans="1:9" ht="14.25" customHeight="1">
      <c r="A11" s="120">
        <v>7</v>
      </c>
      <c r="B11" s="321"/>
      <c r="C11" s="4207" t="s">
        <v>724</v>
      </c>
      <c r="D11" s="4207"/>
      <c r="E11" s="320">
        <f>特殊行业准备金审核表!E11</f>
        <v>0</v>
      </c>
      <c r="F11" s="320">
        <f>特殊行业准备金审核表!F11</f>
        <v>0</v>
      </c>
      <c r="G11" s="319">
        <f t="shared" si="0"/>
        <v>0</v>
      </c>
      <c r="I11" s="4125"/>
    </row>
    <row r="12" spans="1:9" ht="14.25" customHeight="1">
      <c r="A12" s="120">
        <v>8</v>
      </c>
      <c r="B12" s="321" t="s">
        <v>729</v>
      </c>
      <c r="C12" s="4207" t="s">
        <v>725</v>
      </c>
      <c r="D12" s="4207"/>
      <c r="E12" s="320">
        <f>特殊行业准备金审核表!E12</f>
        <v>0</v>
      </c>
      <c r="F12" s="320">
        <f>特殊行业准备金审核表!F12</f>
        <v>0</v>
      </c>
      <c r="G12" s="319">
        <f t="shared" si="0"/>
        <v>0</v>
      </c>
      <c r="I12" s="4125"/>
    </row>
    <row r="13" spans="1:9" ht="14.25" customHeight="1">
      <c r="A13" s="120">
        <v>9</v>
      </c>
      <c r="B13" s="321"/>
      <c r="C13" s="4207" t="s">
        <v>726</v>
      </c>
      <c r="D13" s="4207"/>
      <c r="E13" s="320">
        <f>特殊行业准备金审核表!E13</f>
        <v>0</v>
      </c>
      <c r="F13" s="320">
        <f>特殊行业准备金审核表!F13</f>
        <v>0</v>
      </c>
      <c r="G13" s="319">
        <f t="shared" si="0"/>
        <v>0</v>
      </c>
      <c r="I13" s="4125"/>
    </row>
    <row r="14" spans="1:9" ht="14.25" customHeight="1">
      <c r="A14" s="120">
        <v>10</v>
      </c>
      <c r="B14" s="321" t="s">
        <v>730</v>
      </c>
      <c r="C14" s="4207" t="s">
        <v>722</v>
      </c>
      <c r="D14" s="4207"/>
      <c r="E14" s="320">
        <f>特殊行业准备金审核表!E14</f>
        <v>0</v>
      </c>
      <c r="F14" s="320">
        <f>特殊行业准备金审核表!F14</f>
        <v>0</v>
      </c>
      <c r="G14" s="319">
        <f t="shared" si="0"/>
        <v>0</v>
      </c>
      <c r="I14" s="4125"/>
    </row>
    <row r="15" spans="1:9" ht="14.25" customHeight="1">
      <c r="A15" s="120">
        <v>11</v>
      </c>
      <c r="B15" s="321"/>
      <c r="C15" s="120" t="s">
        <v>719</v>
      </c>
      <c r="D15" s="296" t="s">
        <v>720</v>
      </c>
      <c r="E15" s="320">
        <f>特殊行业准备金审核表!E15</f>
        <v>0</v>
      </c>
      <c r="F15" s="320">
        <f>特殊行业准备金审核表!F15</f>
        <v>0</v>
      </c>
      <c r="G15" s="319">
        <f t="shared" si="0"/>
        <v>0</v>
      </c>
      <c r="I15" s="4125"/>
    </row>
    <row r="16" spans="1:9" ht="14.25" customHeight="1">
      <c r="A16" s="120">
        <v>12</v>
      </c>
      <c r="B16" s="321"/>
      <c r="C16" s="120"/>
      <c r="D16" s="296" t="s">
        <v>721</v>
      </c>
      <c r="E16" s="320">
        <f>特殊行业准备金审核表!E16</f>
        <v>0</v>
      </c>
      <c r="F16" s="320">
        <f>特殊行业准备金审核表!F16</f>
        <v>0</v>
      </c>
      <c r="G16" s="319">
        <f t="shared" si="0"/>
        <v>0</v>
      </c>
      <c r="I16" s="4125"/>
    </row>
    <row r="17" spans="1:9" ht="14.25" customHeight="1">
      <c r="A17" s="120">
        <v>13</v>
      </c>
      <c r="B17" s="4152" t="s">
        <v>731</v>
      </c>
      <c r="C17" s="4205"/>
      <c r="D17" s="4206"/>
      <c r="E17" s="320">
        <f>特殊行业准备金审核表!E17</f>
        <v>0</v>
      </c>
      <c r="F17" s="320">
        <f>特殊行业准备金审核表!F17</f>
        <v>0</v>
      </c>
      <c r="G17" s="319">
        <f t="shared" si="0"/>
        <v>0</v>
      </c>
      <c r="I17" s="4125"/>
    </row>
    <row r="18" spans="1:9" ht="14.25" customHeight="1">
      <c r="A18" s="120">
        <v>14</v>
      </c>
      <c r="B18" s="4152" t="s">
        <v>732</v>
      </c>
      <c r="C18" s="4205"/>
      <c r="D18" s="4206"/>
      <c r="E18" s="320">
        <f>特殊行业准备金审核表!E18</f>
        <v>0</v>
      </c>
      <c r="F18" s="320">
        <f>特殊行业准备金审核表!F18</f>
        <v>0</v>
      </c>
      <c r="G18" s="319">
        <f t="shared" si="0"/>
        <v>0</v>
      </c>
      <c r="I18" s="4125"/>
    </row>
    <row r="19" spans="1:9" ht="14.25" customHeight="1">
      <c r="A19" s="120">
        <v>15</v>
      </c>
      <c r="B19" s="4152" t="s">
        <v>733</v>
      </c>
      <c r="C19" s="4205"/>
      <c r="D19" s="4206"/>
      <c r="E19" s="320">
        <f>特殊行业准备金审核表!E19</f>
        <v>0</v>
      </c>
      <c r="F19" s="125">
        <f>特殊行业准备金审核表!F19</f>
        <v>0</v>
      </c>
      <c r="G19" s="319">
        <f t="shared" si="0"/>
        <v>0</v>
      </c>
      <c r="I19" s="4125"/>
    </row>
    <row r="20" spans="1:9" ht="14.25" customHeight="1">
      <c r="A20" s="120">
        <v>16</v>
      </c>
      <c r="B20" s="4152" t="s">
        <v>734</v>
      </c>
      <c r="C20" s="4205"/>
      <c r="D20" s="4206"/>
      <c r="E20" s="319">
        <f>ROUND(E21+E22,2)</f>
        <v>0</v>
      </c>
      <c r="F20" s="319">
        <f>ROUND(F21+F22,2)</f>
        <v>0</v>
      </c>
      <c r="G20" s="319">
        <f t="shared" si="0"/>
        <v>0</v>
      </c>
      <c r="I20" s="4125"/>
    </row>
    <row r="21" spans="1:9" ht="14.25" customHeight="1">
      <c r="A21" s="120">
        <v>17</v>
      </c>
      <c r="B21" s="4152" t="s">
        <v>735</v>
      </c>
      <c r="C21" s="4205"/>
      <c r="D21" s="4206"/>
      <c r="E21" s="320">
        <f>特殊行业准备金审核表!E21</f>
        <v>0</v>
      </c>
      <c r="F21" s="125">
        <f>特殊行业准备金审核表!F21</f>
        <v>0</v>
      </c>
      <c r="G21" s="319">
        <f t="shared" si="0"/>
        <v>0</v>
      </c>
      <c r="I21" s="4125"/>
    </row>
    <row r="22" spans="1:9" ht="14.25" customHeight="1">
      <c r="A22" s="120">
        <v>18</v>
      </c>
      <c r="B22" s="4152" t="s">
        <v>736</v>
      </c>
      <c r="C22" s="4205"/>
      <c r="D22" s="4206"/>
      <c r="E22" s="320">
        <f>特殊行业准备金审核表!E22</f>
        <v>0</v>
      </c>
      <c r="F22" s="125">
        <f>特殊行业准备金审核表!F22</f>
        <v>0</v>
      </c>
      <c r="G22" s="319">
        <f t="shared" si="0"/>
        <v>0</v>
      </c>
      <c r="I22" s="4125"/>
    </row>
    <row r="23" spans="1:9" ht="14.25" customHeight="1">
      <c r="A23" s="120">
        <v>19</v>
      </c>
      <c r="B23" s="4152" t="s">
        <v>737</v>
      </c>
      <c r="C23" s="4205"/>
      <c r="D23" s="4206"/>
      <c r="E23" s="320">
        <f>特殊行业准备金审核表!E23</f>
        <v>0</v>
      </c>
      <c r="F23" s="125">
        <f>特殊行业准备金审核表!F23</f>
        <v>0</v>
      </c>
      <c r="G23" s="319">
        <f t="shared" si="0"/>
        <v>0</v>
      </c>
      <c r="I23" s="4125"/>
    </row>
    <row r="24" spans="1:9" ht="14.25" customHeight="1">
      <c r="A24" s="120">
        <v>20</v>
      </c>
      <c r="B24" s="4152" t="s">
        <v>738</v>
      </c>
      <c r="C24" s="4205"/>
      <c r="D24" s="4206"/>
      <c r="E24" s="320">
        <f>特殊行业准备金审核表!E24</f>
        <v>0</v>
      </c>
      <c r="F24" s="125">
        <f>特殊行业准备金审核表!F24</f>
        <v>0</v>
      </c>
      <c r="G24" s="319">
        <f t="shared" si="0"/>
        <v>0</v>
      </c>
      <c r="I24" s="4125"/>
    </row>
    <row r="25" spans="1:9" ht="14.25" customHeight="1">
      <c r="A25" s="120">
        <v>21</v>
      </c>
      <c r="B25" s="4152" t="s">
        <v>739</v>
      </c>
      <c r="C25" s="4205"/>
      <c r="D25" s="4206"/>
      <c r="E25" s="319">
        <f>ROUND(SUM(E26:E29),2)</f>
        <v>0</v>
      </c>
      <c r="F25" s="319">
        <f>ROUND(SUM(F26:F29),2)</f>
        <v>0</v>
      </c>
      <c r="G25" s="319">
        <f t="shared" si="0"/>
        <v>0</v>
      </c>
      <c r="I25" s="4123" t="s">
        <v>702</v>
      </c>
    </row>
    <row r="26" spans="1:9" ht="14.25" customHeight="1">
      <c r="A26" s="120">
        <v>22</v>
      </c>
      <c r="B26" s="4152" t="s">
        <v>703</v>
      </c>
      <c r="C26" s="4205"/>
      <c r="D26" s="4206"/>
      <c r="E26" s="320">
        <f>特殊行业准备金审核表!E26</f>
        <v>0</v>
      </c>
      <c r="F26" s="125">
        <f>特殊行业准备金审核表!F26</f>
        <v>0</v>
      </c>
      <c r="G26" s="319">
        <f t="shared" si="0"/>
        <v>0</v>
      </c>
      <c r="I26" s="4125"/>
    </row>
    <row r="27" spans="1:9" ht="14.25" customHeight="1">
      <c r="A27" s="120">
        <v>23</v>
      </c>
      <c r="B27" s="4152" t="s">
        <v>704</v>
      </c>
      <c r="C27" s="4205"/>
      <c r="D27" s="4206"/>
      <c r="E27" s="320">
        <f>特殊行业准备金审核表!E27</f>
        <v>0</v>
      </c>
      <c r="F27" s="125">
        <f>特殊行业准备金审核表!F27</f>
        <v>0</v>
      </c>
      <c r="G27" s="319">
        <f t="shared" si="0"/>
        <v>0</v>
      </c>
      <c r="I27" s="4125"/>
    </row>
    <row r="28" spans="1:9" ht="14.25" customHeight="1">
      <c r="A28" s="120">
        <v>24</v>
      </c>
      <c r="B28" s="4152" t="s">
        <v>705</v>
      </c>
      <c r="C28" s="4205"/>
      <c r="D28" s="4206"/>
      <c r="E28" s="320">
        <f>特殊行业准备金审核表!E28</f>
        <v>0</v>
      </c>
      <c r="F28" s="125">
        <f>特殊行业准备金审核表!F28</f>
        <v>0</v>
      </c>
      <c r="G28" s="319">
        <f t="shared" si="0"/>
        <v>0</v>
      </c>
      <c r="I28" s="4125"/>
    </row>
    <row r="29" spans="1:9" ht="14.25" customHeight="1">
      <c r="A29" s="120">
        <v>25</v>
      </c>
      <c r="B29" s="4152" t="s">
        <v>706</v>
      </c>
      <c r="C29" s="4205"/>
      <c r="D29" s="4206"/>
      <c r="E29" s="320">
        <f>特殊行业准备金审核表!E29</f>
        <v>0</v>
      </c>
      <c r="F29" s="125">
        <f>特殊行业准备金审核表!F29</f>
        <v>0</v>
      </c>
      <c r="G29" s="319">
        <f t="shared" si="0"/>
        <v>0</v>
      </c>
      <c r="I29" s="4124"/>
    </row>
    <row r="30" spans="1:9" ht="14.25" customHeight="1">
      <c r="A30" s="120">
        <v>26</v>
      </c>
      <c r="B30" s="4152" t="s">
        <v>740</v>
      </c>
      <c r="C30" s="4205"/>
      <c r="D30" s="4206"/>
      <c r="E30" s="319">
        <f>ROUND(SUM(E31:E34),2)</f>
        <v>0</v>
      </c>
      <c r="F30" s="319">
        <f>ROUND(SUM(F31:F34),2)</f>
        <v>0</v>
      </c>
      <c r="G30" s="319">
        <f t="shared" si="0"/>
        <v>0</v>
      </c>
      <c r="I30" s="4123" t="s">
        <v>707</v>
      </c>
    </row>
    <row r="31" spans="1:9" ht="14.25" customHeight="1">
      <c r="A31" s="120">
        <v>27</v>
      </c>
      <c r="B31" s="4152" t="s">
        <v>708</v>
      </c>
      <c r="C31" s="4205"/>
      <c r="D31" s="4206"/>
      <c r="E31" s="320">
        <f>特殊行业准备金审核表!E31</f>
        <v>0</v>
      </c>
      <c r="F31" s="125">
        <f>特殊行业准备金审核表!F31</f>
        <v>0</v>
      </c>
      <c r="G31" s="319">
        <f t="shared" si="0"/>
        <v>0</v>
      </c>
      <c r="I31" s="4125"/>
    </row>
    <row r="32" spans="1:9" ht="14.25" customHeight="1">
      <c r="A32" s="120">
        <v>28</v>
      </c>
      <c r="B32" s="4152" t="s">
        <v>709</v>
      </c>
      <c r="C32" s="4205"/>
      <c r="D32" s="4206"/>
      <c r="E32" s="320">
        <f>特殊行业准备金审核表!E32</f>
        <v>0</v>
      </c>
      <c r="F32" s="125">
        <f>特殊行业准备金审核表!F32</f>
        <v>0</v>
      </c>
      <c r="G32" s="319">
        <f t="shared" si="0"/>
        <v>0</v>
      </c>
      <c r="I32" s="4125"/>
    </row>
    <row r="33" spans="1:9" ht="14.25" customHeight="1">
      <c r="A33" s="120">
        <v>29</v>
      </c>
      <c r="B33" s="4152" t="s">
        <v>710</v>
      </c>
      <c r="C33" s="4205"/>
      <c r="D33" s="4206"/>
      <c r="E33" s="320">
        <f>特殊行业准备金审核表!E33</f>
        <v>0</v>
      </c>
      <c r="F33" s="125">
        <f>特殊行业准备金审核表!F33</f>
        <v>0</v>
      </c>
      <c r="G33" s="319">
        <f t="shared" si="0"/>
        <v>0</v>
      </c>
      <c r="I33" s="4125"/>
    </row>
    <row r="34" spans="1:9" ht="14.25" customHeight="1">
      <c r="A34" s="120">
        <v>30</v>
      </c>
      <c r="B34" s="4152" t="s">
        <v>638</v>
      </c>
      <c r="C34" s="4205"/>
      <c r="D34" s="4206"/>
      <c r="E34" s="320">
        <f>特殊行业准备金审核表!E34</f>
        <v>0</v>
      </c>
      <c r="F34" s="125">
        <f>特殊行业准备金审核表!F34</f>
        <v>0</v>
      </c>
      <c r="G34" s="319">
        <f t="shared" si="0"/>
        <v>0</v>
      </c>
      <c r="I34" s="4124"/>
    </row>
    <row r="35" spans="1:9" ht="14.25" customHeight="1">
      <c r="A35" s="120">
        <v>31</v>
      </c>
      <c r="B35" s="4152" t="s">
        <v>741</v>
      </c>
      <c r="C35" s="4205"/>
      <c r="D35" s="4206"/>
      <c r="E35" s="319">
        <f>ROUND(SUM(E36:E38),2)</f>
        <v>0</v>
      </c>
      <c r="F35" s="319">
        <f>ROUND(SUM(F36:F38),2)</f>
        <v>0</v>
      </c>
      <c r="G35" s="319">
        <f t="shared" si="0"/>
        <v>0</v>
      </c>
      <c r="I35" s="4123" t="s">
        <v>711</v>
      </c>
    </row>
    <row r="36" spans="1:9" ht="14.25" customHeight="1">
      <c r="A36" s="120">
        <v>32</v>
      </c>
      <c r="B36" s="4152" t="s">
        <v>712</v>
      </c>
      <c r="C36" s="4205"/>
      <c r="D36" s="4206"/>
      <c r="E36" s="320">
        <f>特殊行业准备金审核表!E36</f>
        <v>0</v>
      </c>
      <c r="F36" s="125">
        <f>特殊行业准备金审核表!F36</f>
        <v>0</v>
      </c>
      <c r="G36" s="319">
        <f t="shared" si="0"/>
        <v>0</v>
      </c>
      <c r="I36" s="4125"/>
    </row>
    <row r="37" spans="1:9" ht="14.25" customHeight="1">
      <c r="A37" s="120">
        <v>33</v>
      </c>
      <c r="B37" s="4152" t="s">
        <v>713</v>
      </c>
      <c r="C37" s="4205"/>
      <c r="D37" s="4206"/>
      <c r="E37" s="320">
        <f>特殊行业准备金审核表!E37</f>
        <v>0</v>
      </c>
      <c r="F37" s="125">
        <f>特殊行业准备金审核表!F37</f>
        <v>0</v>
      </c>
      <c r="G37" s="319">
        <f t="shared" si="0"/>
        <v>0</v>
      </c>
      <c r="I37" s="4125"/>
    </row>
    <row r="38" spans="1:9" ht="14.25" customHeight="1">
      <c r="A38" s="120">
        <v>34</v>
      </c>
      <c r="B38" s="4152" t="s">
        <v>714</v>
      </c>
      <c r="C38" s="4205"/>
      <c r="D38" s="4206"/>
      <c r="E38" s="322">
        <f>特殊行业准备金审核表!E38</f>
        <v>0</v>
      </c>
      <c r="F38" s="322">
        <f>特殊行业准备金审核表!F38</f>
        <v>0</v>
      </c>
      <c r="G38" s="319">
        <f t="shared" si="0"/>
        <v>0</v>
      </c>
      <c r="I38" s="4124"/>
    </row>
    <row r="39" spans="1:9" ht="14.25" customHeight="1">
      <c r="A39" s="120">
        <v>35</v>
      </c>
      <c r="B39" s="4152" t="s">
        <v>742</v>
      </c>
      <c r="C39" s="4205"/>
      <c r="D39" s="4206"/>
      <c r="E39" s="319">
        <f>ROUND(SUM(E40:E42),2)</f>
        <v>0</v>
      </c>
      <c r="F39" s="319">
        <f>ROUND(SUM(F40:F42),2)</f>
        <v>0</v>
      </c>
      <c r="G39" s="319">
        <f t="shared" si="0"/>
        <v>0</v>
      </c>
      <c r="I39" s="4123" t="s">
        <v>715</v>
      </c>
    </row>
    <row r="40" spans="1:9" ht="14.25" customHeight="1">
      <c r="A40" s="120">
        <v>36</v>
      </c>
      <c r="B40" s="4152" t="s">
        <v>716</v>
      </c>
      <c r="C40" s="4205"/>
      <c r="D40" s="4206"/>
      <c r="E40" s="322">
        <f>特殊行业准备金审核表!E40</f>
        <v>0</v>
      </c>
      <c r="F40" s="323">
        <f>特殊行业准备金审核表!F40</f>
        <v>0</v>
      </c>
      <c r="G40" s="319">
        <f t="shared" si="0"/>
        <v>0</v>
      </c>
      <c r="I40" s="4125"/>
    </row>
    <row r="41" spans="1:9" ht="14.25" customHeight="1">
      <c r="A41" s="120">
        <v>37</v>
      </c>
      <c r="B41" s="4152" t="s">
        <v>717</v>
      </c>
      <c r="C41" s="4205"/>
      <c r="D41" s="4206"/>
      <c r="E41" s="320">
        <f>特殊行业准备金审核表!E41</f>
        <v>0</v>
      </c>
      <c r="F41" s="323">
        <f>特殊行业准备金审核表!F41</f>
        <v>0</v>
      </c>
      <c r="G41" s="319">
        <f t="shared" si="0"/>
        <v>0</v>
      </c>
      <c r="I41" s="4125"/>
    </row>
    <row r="42" spans="1:9" ht="14.25" customHeight="1">
      <c r="A42" s="120">
        <v>38</v>
      </c>
      <c r="B42" s="4152" t="s">
        <v>714</v>
      </c>
      <c r="C42" s="4205"/>
      <c r="D42" s="4206"/>
      <c r="E42" s="322">
        <f>特殊行业准备金审核表!E42</f>
        <v>0</v>
      </c>
      <c r="F42" s="324">
        <f>特殊行业准备金审核表!F42</f>
        <v>0</v>
      </c>
      <c r="G42" s="319">
        <f t="shared" si="0"/>
        <v>0</v>
      </c>
      <c r="I42" s="4124"/>
    </row>
    <row r="43" spans="1:9" ht="14.25" customHeight="1">
      <c r="A43" s="120">
        <v>39</v>
      </c>
      <c r="B43" s="4152" t="s">
        <v>743</v>
      </c>
      <c r="C43" s="4205"/>
      <c r="D43" s="4206"/>
      <c r="E43" s="319">
        <f>ROUND(E44+E45,2)</f>
        <v>0</v>
      </c>
      <c r="F43" s="319">
        <f>ROUND(F44+F45,2)</f>
        <v>0</v>
      </c>
      <c r="G43" s="319">
        <f t="shared" si="0"/>
        <v>0</v>
      </c>
      <c r="I43" s="4123" t="s">
        <v>748</v>
      </c>
    </row>
    <row r="44" spans="1:9" ht="14.25" customHeight="1">
      <c r="A44" s="120">
        <v>40</v>
      </c>
      <c r="B44" s="4152" t="s">
        <v>744</v>
      </c>
      <c r="C44" s="4205"/>
      <c r="D44" s="4206"/>
      <c r="E44" s="322">
        <f>特殊行业准备金审核表!E44</f>
        <v>0</v>
      </c>
      <c r="F44" s="324">
        <f>特殊行业准备金审核表!F44</f>
        <v>0</v>
      </c>
      <c r="G44" s="319">
        <f t="shared" si="0"/>
        <v>0</v>
      </c>
      <c r="I44" s="4125"/>
    </row>
    <row r="45" spans="1:9" ht="14.25" customHeight="1">
      <c r="A45" s="120">
        <v>41</v>
      </c>
      <c r="B45" s="4152" t="s">
        <v>745</v>
      </c>
      <c r="C45" s="4205"/>
      <c r="D45" s="4206"/>
      <c r="E45" s="322">
        <f>特殊行业准备金审核表!E45</f>
        <v>0</v>
      </c>
      <c r="F45" s="324">
        <f>特殊行业准备金审核表!F45</f>
        <v>0</v>
      </c>
      <c r="G45" s="319">
        <f t="shared" si="0"/>
        <v>0</v>
      </c>
      <c r="I45" s="4125"/>
    </row>
    <row r="46" spans="1:9" ht="14.25" customHeight="1">
      <c r="A46" s="120">
        <v>42</v>
      </c>
      <c r="B46" s="4152" t="s">
        <v>746</v>
      </c>
      <c r="C46" s="4205"/>
      <c r="D46" s="4206"/>
      <c r="E46" s="320">
        <f>特殊行业准备金审核表!E46</f>
        <v>0</v>
      </c>
      <c r="F46" s="323">
        <f>特殊行业准备金审核表!F46</f>
        <v>0</v>
      </c>
      <c r="G46" s="319">
        <f t="shared" si="0"/>
        <v>0</v>
      </c>
      <c r="I46" s="4125"/>
    </row>
    <row r="47" spans="1:9" ht="14.25" customHeight="1">
      <c r="A47" s="120">
        <v>43</v>
      </c>
      <c r="B47" s="4208" t="s">
        <v>747</v>
      </c>
      <c r="C47" s="4209"/>
      <c r="D47" s="4210"/>
      <c r="E47" s="319">
        <f>ROUND(E5+E25+E30+E35+E39+E43+E46,2)</f>
        <v>0</v>
      </c>
      <c r="F47" s="319">
        <f>ROUND(F5+F25+F30+F35+F39+F43+F46,2)</f>
        <v>0</v>
      </c>
      <c r="G47" s="319">
        <f>ROUND(G5+G25+G30+G35+G39+G43+G46,2)</f>
        <v>0</v>
      </c>
      <c r="I47" s="4124"/>
    </row>
    <row r="48" spans="1:9" s="310" customFormat="1" ht="15" customHeight="1">
      <c r="A48" s="4195"/>
      <c r="B48" s="4195"/>
      <c r="C48" s="4195"/>
      <c r="D48" s="4195"/>
      <c r="E48" s="4195"/>
      <c r="F48" s="4195"/>
      <c r="G48" s="4012"/>
      <c r="H48" s="4012"/>
      <c r="I48" s="4012"/>
    </row>
    <row r="49" spans="1:9" ht="15" customHeight="1">
      <c r="A49" s="4211"/>
      <c r="B49" s="4211"/>
      <c r="C49" s="4211"/>
      <c r="D49" s="4012"/>
      <c r="E49" s="4012"/>
      <c r="F49" s="4012"/>
      <c r="G49" s="4012"/>
      <c r="H49" s="4012"/>
      <c r="I49" s="4012"/>
    </row>
    <row r="50" spans="1:9" s="312" customFormat="1" ht="15" customHeight="1">
      <c r="A50" s="4097" t="s">
        <v>1416</v>
      </c>
      <c r="B50" s="4097"/>
      <c r="C50" s="4097"/>
      <c r="D50" s="4097"/>
      <c r="E50" s="4097"/>
      <c r="F50" s="4097"/>
      <c r="G50" s="4097"/>
      <c r="H50" s="4097"/>
      <c r="I50" s="4097"/>
    </row>
    <row r="51" spans="1:9" s="221" customFormat="1" ht="15" customHeight="1">
      <c r="A51" s="4095" t="s">
        <v>1456</v>
      </c>
      <c r="B51" s="4095"/>
      <c r="C51" s="4095"/>
      <c r="D51" s="4095"/>
      <c r="E51" s="4095"/>
      <c r="F51" s="4095"/>
      <c r="G51" s="4095"/>
      <c r="H51" s="4095"/>
      <c r="I51" s="4095"/>
    </row>
    <row r="52" spans="1:9" s="248" customFormat="1" ht="15" customHeight="1">
      <c r="A52" s="4095" t="s">
        <v>1457</v>
      </c>
      <c r="B52" s="4095"/>
      <c r="C52" s="4095"/>
      <c r="D52" s="4095"/>
      <c r="E52" s="4095"/>
      <c r="F52" s="4095"/>
      <c r="G52" s="4095"/>
      <c r="H52" s="4095"/>
      <c r="I52" s="4095"/>
    </row>
    <row r="53" spans="1:9" s="248" customFormat="1" ht="15" customHeight="1">
      <c r="A53" s="4095" t="s">
        <v>1458</v>
      </c>
      <c r="B53" s="4095"/>
      <c r="C53" s="4095"/>
      <c r="D53" s="4095"/>
      <c r="E53" s="4095"/>
      <c r="F53" s="4095"/>
      <c r="G53" s="4095"/>
      <c r="H53" s="4095"/>
      <c r="I53" s="4095"/>
    </row>
    <row r="54" spans="1:9" s="248" customFormat="1" ht="15" customHeight="1">
      <c r="A54" s="4095" t="s">
        <v>1459</v>
      </c>
      <c r="B54" s="4095"/>
      <c r="C54" s="4095"/>
      <c r="D54" s="4095"/>
      <c r="E54" s="4095"/>
      <c r="F54" s="4095"/>
      <c r="G54" s="4095"/>
      <c r="H54" s="4095"/>
      <c r="I54" s="4095"/>
    </row>
    <row r="55" spans="1:9" s="248" customFormat="1" ht="15" customHeight="1">
      <c r="A55" s="4095" t="s">
        <v>1460</v>
      </c>
      <c r="B55" s="4095"/>
      <c r="C55" s="4095"/>
      <c r="D55" s="4095"/>
      <c r="E55" s="4095"/>
      <c r="F55" s="4095"/>
      <c r="G55" s="4095"/>
      <c r="H55" s="4095"/>
      <c r="I55" s="4095"/>
    </row>
  </sheetData>
  <mergeCells count="59">
    <mergeCell ref="B29:D29"/>
    <mergeCell ref="B30:D30"/>
    <mergeCell ref="B31:D31"/>
    <mergeCell ref="B32:D32"/>
    <mergeCell ref="B38:D38"/>
    <mergeCell ref="B33:D33"/>
    <mergeCell ref="B23:D23"/>
    <mergeCell ref="B24:D24"/>
    <mergeCell ref="A52:I52"/>
    <mergeCell ref="A48:I48"/>
    <mergeCell ref="A49:I49"/>
    <mergeCell ref="A50:I50"/>
    <mergeCell ref="A51:I51"/>
    <mergeCell ref="B25:D25"/>
    <mergeCell ref="B26:D26"/>
    <mergeCell ref="B27:D27"/>
    <mergeCell ref="I30:I34"/>
    <mergeCell ref="I35:I38"/>
    <mergeCell ref="I39:I42"/>
    <mergeCell ref="I25:I29"/>
    <mergeCell ref="B28:D28"/>
    <mergeCell ref="B46:D46"/>
    <mergeCell ref="B17:D17"/>
    <mergeCell ref="B18:D18"/>
    <mergeCell ref="B19:D19"/>
    <mergeCell ref="B20:D20"/>
    <mergeCell ref="B21:D21"/>
    <mergeCell ref="A53:I53"/>
    <mergeCell ref="A54:I54"/>
    <mergeCell ref="A55:I55"/>
    <mergeCell ref="B34:D34"/>
    <mergeCell ref="B35:D35"/>
    <mergeCell ref="B36:D36"/>
    <mergeCell ref="B37:D37"/>
    <mergeCell ref="B39:D39"/>
    <mergeCell ref="B40:D40"/>
    <mergeCell ref="B41:D41"/>
    <mergeCell ref="B42:D42"/>
    <mergeCell ref="B47:D47"/>
    <mergeCell ref="B43:D43"/>
    <mergeCell ref="B44:D44"/>
    <mergeCell ref="B45:D45"/>
    <mergeCell ref="I43:I47"/>
    <mergeCell ref="A1:D1"/>
    <mergeCell ref="E1:G1"/>
    <mergeCell ref="A2:G2"/>
    <mergeCell ref="I3:I4"/>
    <mergeCell ref="I5:I24"/>
    <mergeCell ref="A3:A4"/>
    <mergeCell ref="B5:D5"/>
    <mergeCell ref="B6:D6"/>
    <mergeCell ref="B3:D4"/>
    <mergeCell ref="B22:D22"/>
    <mergeCell ref="C7:D7"/>
    <mergeCell ref="C10:D10"/>
    <mergeCell ref="C11:D11"/>
    <mergeCell ref="C12:D12"/>
    <mergeCell ref="C13:D13"/>
    <mergeCell ref="C14:D14"/>
  </mergeCells>
  <phoneticPr fontId="37" type="noConversion"/>
  <hyperlinks>
    <hyperlink ref="E1:G1" location="A105000纳税调整项目明细表!A1" display="返回纳税调整项目明细表（A105000）"/>
    <hyperlink ref="A1:D1" location="'A100000 中华人民共和国企业所得税年度纳税申报表（A类）'!A1" display="返回主表（A100000）"/>
    <hyperlink ref="I5:I24" r:id="rId1" display="保险公司准备金支出[¶30-664] "/>
    <hyperlink ref="I25:I29" r:id="rId2" display="证券行业准备金支出[¶30-663] "/>
    <hyperlink ref="I30:I34" r:id="rId3" display="准备金支出[¶30-637] "/>
    <hyperlink ref="I35:I38" r:id="rId4" display="金融企业贷款损失准备金[¶30-662] "/>
    <hyperlink ref="I39:I42" r:id="rId5" display="中小企业信用担保机构准备金支出[¶30-671] "/>
    <hyperlink ref="I43" r:id="rId6"/>
    <hyperlink ref="A51:I51" r:id="rId7" display="《关于证券行业准备金支出企业所得税税前扣除有关政策问题的通知》（ 财税〔2017〕23号）"/>
    <hyperlink ref="A52" r:id="rId8" display="http://taa.wkinfo.com.cn/document/show?collection=legislation&amp;aid=MTAwMTA1NTc3NjM%3D&amp;language=%E4%B8%AD%E6%96%87"/>
    <hyperlink ref="A53" r:id="rId9"/>
    <hyperlink ref="A54" r:id="rId10" display="http://taa.wkinfo.com.cn/document/show?collection=legislation&amp;aid=MTAxMDAxMjE4MTY%3D&amp;language=%E4%B8%AD%E6%96%87"/>
    <hyperlink ref="A55" r:id="rId11" display="http://taa.wkinfo.com.cn/document/show?collection=legislation&amp;aid=MTAwMDQ5MTY3NjU%3D&amp;language=%E4%B8%AD%E6%96%87"/>
    <hyperlink ref="A51:IV51" r:id="rId12" display="《关于证券行业准备金支出企业所得税税前扣除有关政策问题的通知》（ 财税〔2017〕23号）"/>
    <hyperlink ref="A52:I52" r:id="rId13" display="《关于中小企业融资（信用）担保机构有关准备金企业所得税税前扣除政策的通知》（财税〔2017〕22号）"/>
    <hyperlink ref="A53:I53" r:id="rId14" display="《关于小额贷款公司有关税收政策的通知》（ 财税〔2017〕48号）"/>
    <hyperlink ref="A54:I54" r:id="rId15" display="《关于保险公司准备金支出企业所得税税前扣除有关政策问题的通知》（财税[2016]114号）"/>
    <hyperlink ref="A55:I55" r:id="rId16" display="《关于金融企业贷款损失准备金企业所得税税前扣除有关政策的通知》（财税[2015]9号）"/>
    <hyperlink ref="I43:I47" r:id="rId17" display="农村金融 [¶60-459] "/>
  </hyperlinks>
  <pageMargins left="0.70866141732283472" right="0.70866141732283472" top="0.74803149606299213" bottom="0.74803149606299213" header="0.31496062992125984" footer="0.31496062992125984"/>
  <pageSetup paperSize="9" scale="85" orientation="portrait" verticalDpi="0" r:id="rId18"/>
  <legacyDrawing r:id="rId19"/>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pageSetUpPr fitToPage="1"/>
  </sheetPr>
  <dimension ref="A1:Q18"/>
  <sheetViews>
    <sheetView workbookViewId="0">
      <selection sqref="A1:M1"/>
    </sheetView>
  </sheetViews>
  <sheetFormatPr defaultColWidth="12.25" defaultRowHeight="16.5"/>
  <cols>
    <col min="1" max="1" width="5" style="332" customWidth="1"/>
    <col min="2" max="13" width="10.625" style="332" customWidth="1"/>
    <col min="14" max="16384" width="12.25" style="332"/>
  </cols>
  <sheetData>
    <row r="1" spans="1:13" s="325" customFormat="1" ht="20.100000000000001" customHeight="1">
      <c r="A1" s="4081" t="s">
        <v>1195</v>
      </c>
      <c r="B1" s="4081"/>
      <c r="C1" s="4081"/>
      <c r="D1" s="4081"/>
      <c r="E1" s="4081"/>
      <c r="F1" s="4081"/>
      <c r="G1" s="4081"/>
      <c r="H1" s="4081"/>
      <c r="I1" s="4081"/>
      <c r="J1" s="4081"/>
      <c r="K1" s="4081"/>
      <c r="L1" s="4081"/>
      <c r="M1" s="4081"/>
    </row>
    <row r="2" spans="1:13" s="326" customFormat="1" ht="25.5" customHeight="1">
      <c r="A2" s="4175" t="s">
        <v>1196</v>
      </c>
      <c r="B2" s="4176"/>
      <c r="C2" s="4176"/>
      <c r="D2" s="4176"/>
      <c r="E2" s="4176"/>
      <c r="F2" s="4176"/>
      <c r="G2" s="4176"/>
      <c r="H2" s="4176"/>
      <c r="I2" s="4176"/>
      <c r="J2" s="4176"/>
      <c r="K2" s="4176"/>
      <c r="L2" s="4176"/>
      <c r="M2" s="4176"/>
    </row>
    <row r="3" spans="1:13" s="327" customFormat="1" ht="14.25" customHeight="1">
      <c r="A3" s="4183" t="s">
        <v>147</v>
      </c>
      <c r="B3" s="4183" t="s">
        <v>750</v>
      </c>
      <c r="C3" s="4183" t="s">
        <v>751</v>
      </c>
      <c r="D3" s="4160" t="s">
        <v>760</v>
      </c>
      <c r="E3" s="4160" t="s">
        <v>752</v>
      </c>
      <c r="F3" s="4160" t="s">
        <v>753</v>
      </c>
      <c r="G3" s="4178" t="s">
        <v>754</v>
      </c>
      <c r="H3" s="4178"/>
      <c r="I3" s="4178"/>
      <c r="J3" s="4178"/>
      <c r="K3" s="4178"/>
      <c r="L3" s="4160" t="s">
        <v>755</v>
      </c>
      <c r="M3" s="4160" t="s">
        <v>756</v>
      </c>
    </row>
    <row r="4" spans="1:13" s="327" customFormat="1" ht="14.25" customHeight="1">
      <c r="A4" s="4184"/>
      <c r="B4" s="4184"/>
      <c r="C4" s="4184"/>
      <c r="D4" s="4165"/>
      <c r="E4" s="4165"/>
      <c r="F4" s="4165"/>
      <c r="G4" s="4178"/>
      <c r="H4" s="4178"/>
      <c r="I4" s="4178"/>
      <c r="J4" s="4178"/>
      <c r="K4" s="4178"/>
      <c r="L4" s="4165"/>
      <c r="M4" s="4165"/>
    </row>
    <row r="5" spans="1:13" s="327" customFormat="1" ht="14.25" customHeight="1">
      <c r="A5" s="4184"/>
      <c r="B5" s="4184"/>
      <c r="C5" s="4184"/>
      <c r="D5" s="4165"/>
      <c r="E5" s="4165"/>
      <c r="F5" s="4165"/>
      <c r="G5" s="4178" t="s">
        <v>490</v>
      </c>
      <c r="H5" s="4178" t="s">
        <v>491</v>
      </c>
      <c r="I5" s="4178" t="s">
        <v>492</v>
      </c>
      <c r="J5" s="4178" t="s">
        <v>493</v>
      </c>
      <c r="K5" s="4178" t="s">
        <v>757</v>
      </c>
      <c r="L5" s="4165"/>
      <c r="M5" s="4165"/>
    </row>
    <row r="6" spans="1:13" s="327" customFormat="1" ht="14.25" customHeight="1">
      <c r="A6" s="4184"/>
      <c r="B6" s="4184"/>
      <c r="C6" s="4185"/>
      <c r="D6" s="4166"/>
      <c r="E6" s="4166"/>
      <c r="F6" s="4166"/>
      <c r="G6" s="4178"/>
      <c r="H6" s="4178"/>
      <c r="I6" s="4178"/>
      <c r="J6" s="4178"/>
      <c r="K6" s="4178"/>
      <c r="L6" s="4212"/>
      <c r="M6" s="4212"/>
    </row>
    <row r="7" spans="1:13" s="327" customFormat="1" ht="14.25" customHeight="1">
      <c r="A7" s="4185"/>
      <c r="B7" s="4185"/>
      <c r="C7" s="126">
        <v>1</v>
      </c>
      <c r="D7" s="126">
        <v>2</v>
      </c>
      <c r="E7" s="126">
        <v>3</v>
      </c>
      <c r="F7" s="126">
        <v>4</v>
      </c>
      <c r="G7" s="126">
        <v>5</v>
      </c>
      <c r="H7" s="126">
        <v>6</v>
      </c>
      <c r="I7" s="126">
        <v>7</v>
      </c>
      <c r="J7" s="126">
        <v>8</v>
      </c>
      <c r="K7" s="126">
        <v>9</v>
      </c>
      <c r="L7" s="126">
        <v>10</v>
      </c>
      <c r="M7" s="126">
        <v>11</v>
      </c>
    </row>
    <row r="8" spans="1:13" s="327" customFormat="1" ht="14.25" customHeight="1">
      <c r="A8" s="126">
        <v>1</v>
      </c>
      <c r="B8" s="126" t="s">
        <v>489</v>
      </c>
      <c r="C8" s="2319">
        <f>C9-1</f>
        <v>2012</v>
      </c>
      <c r="D8" s="328">
        <f>补亏!C13</f>
        <v>0</v>
      </c>
      <c r="E8" s="328">
        <f>补亏!F13</f>
        <v>0</v>
      </c>
      <c r="F8" s="329">
        <f t="shared" ref="F8:F13" si="0">IF(D8&gt;0,E8,D8+E8)</f>
        <v>0</v>
      </c>
      <c r="G8" s="328">
        <f>IF(OR(F8&gt;=0,补亏!E14&lt;=0),0,MIN(-F8,补亏!E14))</f>
        <v>0</v>
      </c>
      <c r="H8" s="328">
        <f>IF(OR(F8&gt;=0,补亏!E15&lt;=0),0,MIN(-F8-G8,补亏!E15))</f>
        <v>0</v>
      </c>
      <c r="I8" s="328">
        <f>IF(OR(F8&gt;=0,补亏!E16&lt;=0),0,MIN(-F8-G8-H8,补亏!E16))</f>
        <v>0</v>
      </c>
      <c r="J8" s="328">
        <f>IF(OR(F8&gt;=0,补亏!E17&lt;=0),0,MIN(-F8-G8-H8-I8,补亏!E17))</f>
        <v>0</v>
      </c>
      <c r="K8" s="329">
        <f>SUM(G8:J8)</f>
        <v>0</v>
      </c>
      <c r="L8" s="127">
        <f>IF(OR(F8&gt;=0,补亏!E18&lt;=0),0,MIN(-F8-K8,补亏!E18))</f>
        <v>0</v>
      </c>
      <c r="M8" s="328" t="s">
        <v>5444</v>
      </c>
    </row>
    <row r="9" spans="1:13" s="327" customFormat="1" ht="14.25" customHeight="1">
      <c r="A9" s="126">
        <v>2</v>
      </c>
      <c r="B9" s="126" t="s">
        <v>490</v>
      </c>
      <c r="C9" s="2319">
        <f>C10-1</f>
        <v>2013</v>
      </c>
      <c r="D9" s="328">
        <f>补亏!C14</f>
        <v>0</v>
      </c>
      <c r="E9" s="328">
        <f>补亏!F14</f>
        <v>0</v>
      </c>
      <c r="F9" s="329">
        <f t="shared" si="0"/>
        <v>0</v>
      </c>
      <c r="G9" s="328" t="s">
        <v>5444</v>
      </c>
      <c r="H9" s="328">
        <f>IF(OR(F9&gt;=0,补亏!E15&lt;=0),0,MIN(-F9,补亏!E15-H8))</f>
        <v>0</v>
      </c>
      <c r="I9" s="328">
        <f>IF(OR(F9&gt;=0,补亏!E16&lt;=0),0,MIN(-F9-H9,补亏!E16-I8))</f>
        <v>0</v>
      </c>
      <c r="J9" s="328">
        <f>IF(OR(F9&gt;=0,补亏!E17&lt;=0),0,MIN(-F9-H9-I9,补亏!E17-J8))</f>
        <v>0</v>
      </c>
      <c r="K9" s="329">
        <f>SUM(G9:J9)</f>
        <v>0</v>
      </c>
      <c r="L9" s="127">
        <f>IF(OR(F9&gt;=0,补亏!E18&lt;=0),0,MIN(-F9-K9,补亏!E18-L8))</f>
        <v>0</v>
      </c>
      <c r="M9" s="328">
        <f>-F9-L9</f>
        <v>0</v>
      </c>
    </row>
    <row r="10" spans="1:13" s="327" customFormat="1" ht="14.25" customHeight="1">
      <c r="A10" s="126">
        <v>3</v>
      </c>
      <c r="B10" s="126" t="s">
        <v>491</v>
      </c>
      <c r="C10" s="2319">
        <f>C11-1</f>
        <v>2014</v>
      </c>
      <c r="D10" s="328">
        <f>补亏!C15</f>
        <v>0</v>
      </c>
      <c r="E10" s="328">
        <f>补亏!F15</f>
        <v>0</v>
      </c>
      <c r="F10" s="329">
        <f t="shared" si="0"/>
        <v>0</v>
      </c>
      <c r="G10" s="328" t="s">
        <v>5444</v>
      </c>
      <c r="H10" s="328" t="s">
        <v>5444</v>
      </c>
      <c r="I10" s="328">
        <f>IF(OR(F10&gt;=0,补亏!E16&lt;=0),0,MIN(-F10,补亏!E16-I8-I9))</f>
        <v>0</v>
      </c>
      <c r="J10" s="328">
        <f>IF(OR(F10&gt;=0,补亏!E17&lt;=0),0,MIN(-F10-I10,补亏!E17-J8-J9))</f>
        <v>0</v>
      </c>
      <c r="K10" s="329">
        <f>SUM(G10:J10)</f>
        <v>0</v>
      </c>
      <c r="L10" s="127">
        <f>IF(OR(F10&gt;=0,补亏!E17&lt;=0),0,MIN(-F10-K10,补亏!E17-L8-L9))</f>
        <v>0</v>
      </c>
      <c r="M10" s="328">
        <f>-F10-L10</f>
        <v>0</v>
      </c>
    </row>
    <row r="11" spans="1:13" s="327" customFormat="1" ht="14.25" customHeight="1">
      <c r="A11" s="126">
        <v>4</v>
      </c>
      <c r="B11" s="126" t="s">
        <v>492</v>
      </c>
      <c r="C11" s="2319">
        <f>C12-1</f>
        <v>2015</v>
      </c>
      <c r="D11" s="328">
        <f>补亏!C16</f>
        <v>0</v>
      </c>
      <c r="E11" s="328">
        <f>补亏!F16</f>
        <v>0</v>
      </c>
      <c r="F11" s="329">
        <f t="shared" si="0"/>
        <v>0</v>
      </c>
      <c r="G11" s="328" t="s">
        <v>5444</v>
      </c>
      <c r="H11" s="328" t="s">
        <v>5444</v>
      </c>
      <c r="I11" s="328" t="s">
        <v>5444</v>
      </c>
      <c r="J11" s="328">
        <f>IF(OR(F11&gt;=0,补亏!E17&lt;=0),0,MIN(-F11,补亏!E17-J8-J9-J10))</f>
        <v>0</v>
      </c>
      <c r="K11" s="329">
        <f>SUM(G11:J11)</f>
        <v>0</v>
      </c>
      <c r="L11" s="127">
        <f>IF(OR(F11&gt;=0,补亏!E18&lt;=0),0,MIN(-F11-K11,补亏!E18-L8-L9-L10))</f>
        <v>0</v>
      </c>
      <c r="M11" s="328">
        <f>-F11-L11</f>
        <v>0</v>
      </c>
    </row>
    <row r="12" spans="1:13" s="327" customFormat="1" ht="14.25" customHeight="1">
      <c r="A12" s="126">
        <v>5</v>
      </c>
      <c r="B12" s="126" t="s">
        <v>493</v>
      </c>
      <c r="C12" s="2319">
        <f>C13-1</f>
        <v>2016</v>
      </c>
      <c r="D12" s="328">
        <f>补亏!C17</f>
        <v>0</v>
      </c>
      <c r="E12" s="328">
        <f>补亏!F17</f>
        <v>0</v>
      </c>
      <c r="F12" s="329">
        <f t="shared" si="0"/>
        <v>0</v>
      </c>
      <c r="G12" s="328" t="s">
        <v>5444</v>
      </c>
      <c r="H12" s="328" t="s">
        <v>5444</v>
      </c>
      <c r="I12" s="328" t="s">
        <v>5444</v>
      </c>
      <c r="J12" s="328" t="s">
        <v>5444</v>
      </c>
      <c r="K12" s="328">
        <f>SUM(G12:J12)</f>
        <v>0</v>
      </c>
      <c r="L12" s="127">
        <f>IF(OR(F12&gt;=0,补亏!E18&lt;=0),0,MIN(-F12,补亏!E18-L8-L9-L10-L11))</f>
        <v>0</v>
      </c>
      <c r="M12" s="328">
        <f>-F12-L12</f>
        <v>0</v>
      </c>
    </row>
    <row r="13" spans="1:13" s="327" customFormat="1" ht="14.25" customHeight="1">
      <c r="A13" s="126">
        <v>6</v>
      </c>
      <c r="B13" s="126" t="s">
        <v>758</v>
      </c>
      <c r="C13" s="2319">
        <f>基本情况!F6</f>
        <v>2017</v>
      </c>
      <c r="D13" s="330">
        <f>'A100000 中华人民共和国企业所得税年度纳税申报表（A类）'!D22-'A100000 中华人民共和国企业所得税年度纳税申报表（A类）'!D23</f>
        <v>0</v>
      </c>
      <c r="E13" s="328">
        <f>补亏!F18</f>
        <v>0</v>
      </c>
      <c r="F13" s="329">
        <f t="shared" si="0"/>
        <v>0</v>
      </c>
      <c r="G13" s="328" t="s">
        <v>133</v>
      </c>
      <c r="H13" s="328" t="s">
        <v>133</v>
      </c>
      <c r="I13" s="328" t="s">
        <v>133</v>
      </c>
      <c r="J13" s="328" t="s">
        <v>133</v>
      </c>
      <c r="K13" s="328" t="s">
        <v>133</v>
      </c>
      <c r="L13" s="329">
        <f>IF(D13&gt;0,SUM(L8:L12), 0)</f>
        <v>0</v>
      </c>
      <c r="M13" s="328">
        <f>-F13</f>
        <v>0</v>
      </c>
    </row>
    <row r="14" spans="1:13" s="327" customFormat="1" ht="14.25" customHeight="1">
      <c r="A14" s="126">
        <v>7</v>
      </c>
      <c r="B14" s="4208" t="s">
        <v>759</v>
      </c>
      <c r="C14" s="4209"/>
      <c r="D14" s="4209"/>
      <c r="E14" s="4209"/>
      <c r="F14" s="4209"/>
      <c r="G14" s="4209"/>
      <c r="H14" s="4209"/>
      <c r="I14" s="4209"/>
      <c r="J14" s="4209"/>
      <c r="K14" s="4209"/>
      <c r="L14" s="4210"/>
      <c r="M14" s="331">
        <f>ROUND(SUM(M9:M13),2)</f>
        <v>0</v>
      </c>
    </row>
    <row r="15" spans="1:13">
      <c r="A15" s="4213"/>
      <c r="B15" s="4099"/>
      <c r="C15" s="4099"/>
      <c r="D15" s="4099"/>
      <c r="E15" s="4099"/>
      <c r="F15" s="4099"/>
      <c r="G15" s="4099"/>
      <c r="H15" s="4099"/>
      <c r="I15" s="4099"/>
      <c r="J15" s="4099"/>
      <c r="K15" s="4099"/>
      <c r="L15" s="4099"/>
      <c r="M15" s="4099"/>
    </row>
    <row r="16" spans="1:13">
      <c r="A16" s="4214"/>
      <c r="B16" s="4012"/>
      <c r="C16" s="4012"/>
      <c r="D16" s="4012"/>
      <c r="E16" s="4012"/>
      <c r="F16" s="4012"/>
      <c r="G16" s="4012"/>
      <c r="H16" s="4012"/>
      <c r="I16" s="4012"/>
      <c r="J16" s="4012"/>
      <c r="K16" s="4012"/>
      <c r="L16" s="4012"/>
      <c r="M16" s="4012"/>
    </row>
    <row r="17" spans="1:17" s="214" customFormat="1" ht="14.25" customHeight="1">
      <c r="A17" s="4097" t="s">
        <v>1461</v>
      </c>
      <c r="B17" s="4097"/>
      <c r="C17" s="4097"/>
      <c r="D17" s="4097"/>
      <c r="E17" s="4097"/>
      <c r="F17" s="4097"/>
      <c r="G17" s="4097"/>
      <c r="H17" s="4097"/>
      <c r="I17" s="4097"/>
      <c r="J17" s="4097"/>
      <c r="K17" s="4097"/>
      <c r="L17" s="4097"/>
      <c r="M17" s="4097"/>
      <c r="N17" s="4096"/>
      <c r="O17" s="4096"/>
      <c r="P17" s="4096"/>
      <c r="Q17" s="4096"/>
    </row>
    <row r="18" spans="1:17" s="215" customFormat="1" ht="14.25" customHeight="1">
      <c r="A18" s="4095" t="s">
        <v>1462</v>
      </c>
      <c r="B18" s="4095"/>
      <c r="C18" s="4095"/>
      <c r="D18" s="4095"/>
      <c r="E18" s="4095"/>
      <c r="F18" s="4095"/>
      <c r="G18" s="4095"/>
      <c r="H18" s="4095"/>
      <c r="I18" s="4095"/>
      <c r="J18" s="4095"/>
      <c r="K18" s="4095"/>
      <c r="L18" s="4095"/>
      <c r="M18" s="4095"/>
      <c r="N18" s="4095"/>
      <c r="O18" s="4095"/>
      <c r="P18" s="4095"/>
      <c r="Q18" s="4095"/>
    </row>
  </sheetData>
  <mergeCells count="23">
    <mergeCell ref="A18:M18"/>
    <mergeCell ref="N18:Q18"/>
    <mergeCell ref="M3:M6"/>
    <mergeCell ref="G5:G6"/>
    <mergeCell ref="H5:H6"/>
    <mergeCell ref="I5:I6"/>
    <mergeCell ref="J5:J6"/>
    <mergeCell ref="K5:K6"/>
    <mergeCell ref="B14:L14"/>
    <mergeCell ref="A15:M15"/>
    <mergeCell ref="A16:M16"/>
    <mergeCell ref="A17:M17"/>
    <mergeCell ref="N17:Q17"/>
    <mergeCell ref="A1:M1"/>
    <mergeCell ref="A2:M2"/>
    <mergeCell ref="A3:A7"/>
    <mergeCell ref="B3:B7"/>
    <mergeCell ref="C3:C6"/>
    <mergeCell ref="D3:D6"/>
    <mergeCell ref="E3:E6"/>
    <mergeCell ref="F3:F6"/>
    <mergeCell ref="G3:K4"/>
    <mergeCell ref="L3:L6"/>
  </mergeCells>
  <phoneticPr fontId="37" type="noConversion"/>
  <hyperlinks>
    <hyperlink ref="A1:M1" location="'A100000 中华人民共和国企业所得税年度纳税申报表（A类）'!A1" display="返回主表（A100000）"/>
    <hyperlink ref="A18:M18" r:id="rId1" display="《中国税务合规实务指南—所得税》  亏损的结转弥补[¶30-820]-[¶30-840]"/>
    <hyperlink ref="A18:IV18" r:id="rId2" display="《中国税务合规实务指南—所得税》  亏损的结转弥补[¶30-820]-[¶30-840]"/>
  </hyperlinks>
  <pageMargins left="0.70866141732283472" right="0.70866141732283472" top="0.74803149606299213" bottom="0.74803149606299213" header="0.31496062992125984" footer="0.31496062992125984"/>
  <pageSetup paperSize="9" scale="95" orientation="landscape" r:id="rId3"/>
  <legacyDrawing r:id="rId4"/>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pageSetUpPr fitToPage="1"/>
  </sheetPr>
  <dimension ref="A1:E52"/>
  <sheetViews>
    <sheetView workbookViewId="0">
      <selection sqref="A1:C1"/>
    </sheetView>
  </sheetViews>
  <sheetFormatPr defaultColWidth="56.25" defaultRowHeight="14.25"/>
  <cols>
    <col min="1" max="1" width="5" style="333" customWidth="1"/>
    <col min="2" max="2" width="69.75" style="333" customWidth="1"/>
    <col min="3" max="3" width="18.625" style="333" customWidth="1"/>
    <col min="4" max="4" width="4.75" style="333" customWidth="1"/>
    <col min="5" max="16384" width="56.25" style="333"/>
  </cols>
  <sheetData>
    <row r="1" spans="1:3" ht="20.100000000000001" customHeight="1">
      <c r="A1" s="4081" t="s">
        <v>1197</v>
      </c>
      <c r="B1" s="4081"/>
      <c r="C1" s="4081"/>
    </row>
    <row r="2" spans="1:3" ht="25.5" customHeight="1">
      <c r="A2" s="4175" t="s">
        <v>1198</v>
      </c>
      <c r="B2" s="4176"/>
      <c r="C2" s="4176"/>
    </row>
    <row r="3" spans="1:3">
      <c r="A3" s="334" t="s">
        <v>147</v>
      </c>
      <c r="B3" s="334" t="s">
        <v>761</v>
      </c>
      <c r="C3" s="334" t="s">
        <v>314</v>
      </c>
    </row>
    <row r="4" spans="1:3">
      <c r="A4" s="334">
        <v>1</v>
      </c>
      <c r="B4" s="335" t="s">
        <v>762</v>
      </c>
      <c r="C4" s="336">
        <f>ROUND(C5+C6+C9+C10+C11+C12+C13+C14+C15+C16+C17+C18+C19,2)</f>
        <v>0</v>
      </c>
    </row>
    <row r="5" spans="1:3">
      <c r="A5" s="334">
        <v>2</v>
      </c>
      <c r="B5" s="335" t="s">
        <v>763</v>
      </c>
      <c r="C5" s="337">
        <f>免税、减计收入及加计扣除优惠审核表!C5</f>
        <v>0</v>
      </c>
    </row>
    <row r="6" spans="1:3" ht="26.25" customHeight="1">
      <c r="A6" s="334">
        <v>3</v>
      </c>
      <c r="B6" s="338" t="s">
        <v>764</v>
      </c>
      <c r="C6" s="336">
        <f>A107011符合条件的居民企业之间的股息、红利等…优惠明细表!R24</f>
        <v>0</v>
      </c>
    </row>
    <row r="7" spans="1:3" ht="27.75" customHeight="1">
      <c r="A7" s="334">
        <v>4</v>
      </c>
      <c r="B7" s="339" t="s">
        <v>765</v>
      </c>
      <c r="C7" s="336">
        <f>A107011符合条件的居民企业之间的股息、红利等…优惠明细表!R25</f>
        <v>0</v>
      </c>
    </row>
    <row r="8" spans="1:3" ht="24">
      <c r="A8" s="334">
        <v>5</v>
      </c>
      <c r="B8" s="339" t="s">
        <v>766</v>
      </c>
      <c r="C8" s="336">
        <f>A107011符合条件的居民企业之间的股息、红利等…优惠明细表!R26</f>
        <v>0</v>
      </c>
    </row>
    <row r="9" spans="1:3">
      <c r="A9" s="334">
        <v>6</v>
      </c>
      <c r="B9" s="335" t="s">
        <v>767</v>
      </c>
      <c r="C9" s="337">
        <f>免税、减计收入及加计扣除优惠审核表!C9</f>
        <v>0</v>
      </c>
    </row>
    <row r="10" spans="1:3">
      <c r="A10" s="334">
        <v>7</v>
      </c>
      <c r="B10" s="335" t="s">
        <v>768</v>
      </c>
      <c r="C10" s="336">
        <f>免税、减计收入及加计扣除优惠审核表!C10</f>
        <v>0</v>
      </c>
    </row>
    <row r="11" spans="1:3" ht="24.75" customHeight="1">
      <c r="A11" s="334">
        <v>8</v>
      </c>
      <c r="B11" s="335" t="s">
        <v>769</v>
      </c>
      <c r="C11" s="337">
        <f>免税、减计收入及加计扣除优惠审核表!C11</f>
        <v>0</v>
      </c>
    </row>
    <row r="12" spans="1:3">
      <c r="A12" s="334">
        <v>9</v>
      </c>
      <c r="B12" s="335" t="s">
        <v>770</v>
      </c>
      <c r="C12" s="337">
        <f>免税、减计收入及加计扣除优惠审核表!C12</f>
        <v>0</v>
      </c>
    </row>
    <row r="13" spans="1:3">
      <c r="A13" s="334">
        <v>10</v>
      </c>
      <c r="B13" s="335" t="s">
        <v>771</v>
      </c>
      <c r="C13" s="337">
        <f>免税、减计收入及加计扣除优惠审核表!C13</f>
        <v>0</v>
      </c>
    </row>
    <row r="14" spans="1:3">
      <c r="A14" s="334">
        <v>11</v>
      </c>
      <c r="B14" s="335" t="s">
        <v>772</v>
      </c>
      <c r="C14" s="337">
        <f>免税、减计收入及加计扣除优惠审核表!C14</f>
        <v>0</v>
      </c>
    </row>
    <row r="15" spans="1:3">
      <c r="A15" s="334">
        <v>12</v>
      </c>
      <c r="B15" s="335" t="s">
        <v>773</v>
      </c>
      <c r="C15" s="337">
        <f>免税、减计收入及加计扣除优惠审核表!C15</f>
        <v>0</v>
      </c>
    </row>
    <row r="16" spans="1:3">
      <c r="A16" s="334">
        <v>13</v>
      </c>
      <c r="B16" s="335" t="s">
        <v>774</v>
      </c>
      <c r="C16" s="337">
        <f>免税、减计收入及加计扣除优惠审核表!C16</f>
        <v>0</v>
      </c>
    </row>
    <row r="17" spans="1:3">
      <c r="A17" s="334">
        <v>14</v>
      </c>
      <c r="B17" s="335" t="s">
        <v>775</v>
      </c>
      <c r="C17" s="337">
        <f>免税、减计收入及加计扣除优惠审核表!C17</f>
        <v>0</v>
      </c>
    </row>
    <row r="18" spans="1:3">
      <c r="A18" s="334">
        <v>15</v>
      </c>
      <c r="B18" s="335" t="s">
        <v>776</v>
      </c>
      <c r="C18" s="337">
        <f>免税、减计收入及加计扣除优惠审核表!C18</f>
        <v>0</v>
      </c>
    </row>
    <row r="19" spans="1:3">
      <c r="A19" s="334">
        <v>16</v>
      </c>
      <c r="B19" s="335" t="s">
        <v>777</v>
      </c>
      <c r="C19" s="337">
        <f>免税、减计收入及加计扣除优惠审核表!C19</f>
        <v>0</v>
      </c>
    </row>
    <row r="20" spans="1:3">
      <c r="A20" s="334">
        <v>17</v>
      </c>
      <c r="B20" s="335" t="s">
        <v>778</v>
      </c>
      <c r="C20" s="336">
        <f>ROUND((C21+C22+C26+C27),2)</f>
        <v>0</v>
      </c>
    </row>
    <row r="21" spans="1:3" ht="18.75" customHeight="1">
      <c r="A21" s="334">
        <v>18</v>
      </c>
      <c r="B21" s="335" t="s">
        <v>779</v>
      </c>
      <c r="C21" s="337">
        <f>免税、减计收入及加计扣除优惠审核表!C21</f>
        <v>0</v>
      </c>
    </row>
    <row r="22" spans="1:3">
      <c r="A22" s="334">
        <v>19</v>
      </c>
      <c r="B22" s="335" t="s">
        <v>780</v>
      </c>
      <c r="C22" s="336">
        <f>SUM(C23:C25)</f>
        <v>0</v>
      </c>
    </row>
    <row r="23" spans="1:3">
      <c r="A23" s="334">
        <v>20</v>
      </c>
      <c r="B23" s="335" t="s">
        <v>781</v>
      </c>
      <c r="C23" s="337">
        <f>免税、减计收入及加计扣除优惠审核表!C23</f>
        <v>0</v>
      </c>
    </row>
    <row r="24" spans="1:3">
      <c r="A24" s="334">
        <v>21</v>
      </c>
      <c r="B24" s="335" t="s">
        <v>782</v>
      </c>
      <c r="C24" s="337">
        <f>免税、减计收入及加计扣除优惠审核表!C24</f>
        <v>0</v>
      </c>
    </row>
    <row r="25" spans="1:3">
      <c r="A25" s="334">
        <v>22</v>
      </c>
      <c r="B25" s="335" t="s">
        <v>783</v>
      </c>
      <c r="C25" s="340">
        <f>免税、减计收入及加计扣除优惠审核表!C25</f>
        <v>0</v>
      </c>
    </row>
    <row r="26" spans="1:3">
      <c r="A26" s="334">
        <v>23</v>
      </c>
      <c r="B26" s="335" t="s">
        <v>784</v>
      </c>
      <c r="C26" s="340">
        <f>免税、减计收入及加计扣除优惠审核表!C26</f>
        <v>0</v>
      </c>
    </row>
    <row r="27" spans="1:3">
      <c r="A27" s="334">
        <v>24</v>
      </c>
      <c r="B27" s="335" t="s">
        <v>785</v>
      </c>
      <c r="C27" s="340">
        <f>免税、减计收入及加计扣除优惠审核表!C27</f>
        <v>0</v>
      </c>
    </row>
    <row r="28" spans="1:3">
      <c r="A28" s="334">
        <v>25</v>
      </c>
      <c r="B28" s="335" t="s">
        <v>786</v>
      </c>
      <c r="C28" s="336">
        <f>SUM(C29:C33)</f>
        <v>0</v>
      </c>
    </row>
    <row r="29" spans="1:3" ht="14.25" customHeight="1">
      <c r="A29" s="334">
        <v>26</v>
      </c>
      <c r="B29" s="335" t="s">
        <v>787</v>
      </c>
      <c r="C29" s="337">
        <f>免税、减计收入及加计扣除优惠审核表!C29</f>
        <v>0</v>
      </c>
    </row>
    <row r="30" spans="1:3" ht="24">
      <c r="A30" s="334">
        <v>27</v>
      </c>
      <c r="B30" s="341" t="s">
        <v>788</v>
      </c>
      <c r="C30" s="337">
        <f>免税、减计收入及加计扣除优惠审核表!C30</f>
        <v>0</v>
      </c>
    </row>
    <row r="31" spans="1:3" ht="24">
      <c r="A31" s="334">
        <v>28</v>
      </c>
      <c r="B31" s="341" t="s">
        <v>789</v>
      </c>
      <c r="C31" s="337">
        <f>免税、减计收入及加计扣除优惠审核表!C31</f>
        <v>0</v>
      </c>
    </row>
    <row r="32" spans="1:3">
      <c r="A32" s="334">
        <v>29</v>
      </c>
      <c r="B32" s="335" t="s">
        <v>790</v>
      </c>
      <c r="C32" s="337">
        <f>免税、减计收入及加计扣除优惠审核表!C32</f>
        <v>0</v>
      </c>
    </row>
    <row r="33" spans="1:5">
      <c r="A33" s="334">
        <v>30</v>
      </c>
      <c r="B33" s="335" t="s">
        <v>791</v>
      </c>
      <c r="C33" s="337">
        <f>免税、减计收入及加计扣除优惠审核表!C33</f>
        <v>0</v>
      </c>
    </row>
    <row r="34" spans="1:5">
      <c r="A34" s="334">
        <v>31</v>
      </c>
      <c r="B34" s="335" t="s">
        <v>792</v>
      </c>
      <c r="C34" s="336">
        <f>C4+C20+C28</f>
        <v>0</v>
      </c>
    </row>
    <row r="35" spans="1:5" ht="15" customHeight="1">
      <c r="A35" s="4179"/>
      <c r="B35" s="4113"/>
      <c r="C35" s="4113"/>
      <c r="D35" s="4113"/>
    </row>
    <row r="36" spans="1:5" ht="15" customHeight="1">
      <c r="A36" s="4186"/>
      <c r="B36" s="4186"/>
      <c r="C36" s="4186"/>
      <c r="D36" s="4186"/>
    </row>
    <row r="37" spans="1:5" s="225" customFormat="1" ht="15" customHeight="1">
      <c r="A37" s="4114" t="s">
        <v>1416</v>
      </c>
      <c r="B37" s="4114"/>
      <c r="C37" s="4114"/>
      <c r="D37" s="4114"/>
      <c r="E37" s="342"/>
    </row>
    <row r="38" spans="1:5" s="215" customFormat="1" ht="15" customHeight="1">
      <c r="A38" s="4111" t="s">
        <v>1463</v>
      </c>
      <c r="B38" s="4111"/>
      <c r="C38" s="4111"/>
      <c r="D38" s="4111"/>
    </row>
    <row r="39" spans="1:5" s="224" customFormat="1" ht="15" customHeight="1">
      <c r="A39" s="4111" t="s">
        <v>1464</v>
      </c>
      <c r="B39" s="4111"/>
      <c r="C39" s="4111"/>
      <c r="D39" s="4111"/>
    </row>
    <row r="40" spans="1:5" s="224" customFormat="1" ht="18.75" customHeight="1">
      <c r="A40" s="4111" t="s">
        <v>1465</v>
      </c>
      <c r="B40" s="4111"/>
      <c r="C40" s="4111"/>
      <c r="D40" s="4111"/>
    </row>
    <row r="41" spans="1:5" s="215" customFormat="1" ht="35.25" customHeight="1">
      <c r="A41" s="4111" t="s">
        <v>1466</v>
      </c>
      <c r="B41" s="4111"/>
      <c r="C41" s="4111"/>
      <c r="D41" s="4111"/>
    </row>
    <row r="42" spans="1:5" s="215" customFormat="1" ht="15" customHeight="1">
      <c r="A42" s="4111" t="s">
        <v>1467</v>
      </c>
      <c r="B42" s="4111"/>
      <c r="C42" s="4111"/>
      <c r="D42" s="4111"/>
    </row>
    <row r="43" spans="1:5" s="224" customFormat="1" ht="15" customHeight="1">
      <c r="A43" s="4111" t="s">
        <v>1468</v>
      </c>
      <c r="B43" s="4111"/>
      <c r="C43" s="4111"/>
      <c r="D43" s="4111"/>
    </row>
    <row r="44" spans="1:5" s="224" customFormat="1" ht="15" customHeight="1">
      <c r="A44" s="4111" t="s">
        <v>1469</v>
      </c>
      <c r="B44" s="4111"/>
      <c r="C44" s="4111"/>
      <c r="D44" s="4111"/>
    </row>
    <row r="45" spans="1:5" s="224" customFormat="1" ht="15" customHeight="1">
      <c r="A45" s="4111" t="s">
        <v>1470</v>
      </c>
      <c r="B45" s="4111"/>
      <c r="C45" s="4111"/>
      <c r="D45" s="4111"/>
    </row>
    <row r="46" spans="1:5" s="224" customFormat="1" ht="15" customHeight="1">
      <c r="A46" s="4111" t="s">
        <v>1471</v>
      </c>
      <c r="B46" s="4111"/>
      <c r="C46" s="4111"/>
      <c r="D46" s="4111"/>
    </row>
    <row r="47" spans="1:5" s="224" customFormat="1" ht="15" customHeight="1">
      <c r="A47" s="4111" t="s">
        <v>1472</v>
      </c>
      <c r="B47" s="4111"/>
      <c r="C47" s="4111"/>
      <c r="D47" s="4111"/>
    </row>
    <row r="48" spans="1:5" s="224" customFormat="1" ht="15" customHeight="1">
      <c r="A48" s="4111" t="s">
        <v>1473</v>
      </c>
      <c r="B48" s="4111"/>
      <c r="C48" s="4111"/>
      <c r="D48" s="4111"/>
    </row>
    <row r="49" spans="1:4" s="224" customFormat="1" ht="15" customHeight="1">
      <c r="A49" s="4111" t="s">
        <v>1474</v>
      </c>
      <c r="B49" s="4111"/>
      <c r="C49" s="4111"/>
      <c r="D49" s="4111"/>
    </row>
    <row r="50" spans="1:4" s="224" customFormat="1" ht="15" customHeight="1">
      <c r="A50" s="4111" t="s">
        <v>1475</v>
      </c>
      <c r="B50" s="4111"/>
      <c r="C50" s="4111"/>
      <c r="D50" s="4111"/>
    </row>
    <row r="51" spans="1:4" s="224" customFormat="1" ht="15" customHeight="1">
      <c r="A51" s="4111" t="s">
        <v>1476</v>
      </c>
      <c r="B51" s="4111"/>
      <c r="C51" s="4111"/>
      <c r="D51" s="4111"/>
    </row>
    <row r="52" spans="1:4" s="343" customFormat="1"/>
  </sheetData>
  <mergeCells count="19">
    <mergeCell ref="A47:D47"/>
    <mergeCell ref="A48:D48"/>
    <mergeCell ref="A49:D49"/>
    <mergeCell ref="A50:D50"/>
    <mergeCell ref="A51:D51"/>
    <mergeCell ref="A1:C1"/>
    <mergeCell ref="A2:C2"/>
    <mergeCell ref="A46:D46"/>
    <mergeCell ref="A35:D35"/>
    <mergeCell ref="A36:D36"/>
    <mergeCell ref="A37:D37"/>
    <mergeCell ref="A38:D38"/>
    <mergeCell ref="A39:D39"/>
    <mergeCell ref="A40:D40"/>
    <mergeCell ref="A41:D41"/>
    <mergeCell ref="A42:D42"/>
    <mergeCell ref="A43:D43"/>
    <mergeCell ref="A44:D44"/>
    <mergeCell ref="A45:D45"/>
  </mergeCells>
  <phoneticPr fontId="37" type="noConversion"/>
  <hyperlinks>
    <hyperlink ref="A1:C1" location="'A100000 中华人民共和国企业所得税年度纳税申报表（A类）'!A1" display="返回主表（A100000）"/>
    <hyperlink ref="A38:D38" r:id="rId1" display="《国家税务总局关于企业国债投资业务企业所得税处理问题的公告》（国家税务总局公告2011年第36号）"/>
    <hyperlink ref="A39:D39" r:id="rId2" display="《财政部、国家税务总局关于非营利组织企业所得税免税收入问题的通知》（财税〔2009〕122号）"/>
    <hyperlink ref="A40:D40" r:id="rId3" display="《财政部、国家税务总局关于非营利组织免税资格认定管理有关问题的通知》（财税〔2014〕13号）"/>
    <hyperlink ref="A41:D41" r:id="rId4" display="《财政部、国家税务总局关于中国清洁发展机制基金及清洁发展机制项目实施企业有关企业所得税政策问题的通知》（财税〔2009〕30号）"/>
    <hyperlink ref="A42:D42" r:id="rId5" display="《财政部、国家税务总局关于企业所得税若干优惠政策的通知》（财税〔2008〕1号）"/>
    <hyperlink ref="A43:D43" r:id="rId6" display="《财政部、国家税务总局关于地方政府债券利息所得免征所得税问题的通知》（财税〔2011〕76号）"/>
    <hyperlink ref="A44:D44" r:id="rId7" display="《财政部、国家税务总局关于地方政府债券利息免征所得税问题的通知》（财税〔2013〕5号）"/>
    <hyperlink ref="A45:D45" r:id="rId8" display="《财政部、海关总署、国家税务总局关于支持芦山地震灾后恢复重建有关税收政策问题的通知》（财税〔2013〕58号）"/>
    <hyperlink ref="A46:D46" r:id="rId9" display="《财政部、国家税务总局关于期货投资者保障基金有关税收政策继续执行的通知》（财税〔2013〕80号）"/>
    <hyperlink ref="A47:D47" r:id="rId10" display="《财政部、国家税务总局关于保险保障基金有关税收政策继续执行的通知》（财税〔2013〕81号）"/>
    <hyperlink ref="A48:D48" r:id="rId11" display="《保险保障基金管理办法》"/>
    <hyperlink ref="A49:D49" r:id="rId12" display="《财政部、国家税务总局关于铁路建设债券利息收入企业所得税政策的通知》（财税〔2011〕99号）"/>
    <hyperlink ref="A50:D50" r:id="rId13" display="《财政部、国家税务总局关于2014 2015年铁路建设债券利息收入企业所得税政策的通知》（财税〔2014〕2号）"/>
    <hyperlink ref="A51:D51" r:id="rId14" display="《财政部、国家税务总局关于安置残疾人员就业有关企业所得税优惠政策问题的通知》（财税〔2009〕70号）"/>
    <hyperlink ref="A38:IV38" r:id="rId15" display="《国家税务总局关于企业国债投资业务企业所得税处理问题的公告》（国家税务总局公告2011年第36号）"/>
    <hyperlink ref="A41:IV41" r:id="rId16" display="《财政部、国家税务总局关于中国清洁发展机制基金及清洁发展机制项目实施企业有关企业所得税政策问题的通知》（财税〔2009〕30号）"/>
    <hyperlink ref="A42:IV42" r:id="rId17" display="《财政部、国家税务总局关于企业所得税若干优惠政策的通知》（财税〔2008〕1号）"/>
  </hyperlinks>
  <pageMargins left="0.70866141732283472" right="0.70866141732283472" top="0.74803149606299213" bottom="0.74803149606299213" header="0.31496062992125984" footer="0.31496062992125984"/>
  <pageSetup paperSize="9" scale="89" orientation="portrait" r:id="rId18"/>
  <legacyDrawing r:id="rId19"/>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fitToPage="1"/>
  </sheetPr>
  <dimension ref="A1:R39"/>
  <sheetViews>
    <sheetView workbookViewId="0">
      <selection sqref="A1:R1"/>
    </sheetView>
  </sheetViews>
  <sheetFormatPr defaultColWidth="10.875" defaultRowHeight="14.25"/>
  <cols>
    <col min="1" max="1" width="5" style="129" customWidth="1"/>
    <col min="2" max="18" width="8.625" style="129" customWidth="1"/>
    <col min="19" max="16384" width="10.875" style="129"/>
  </cols>
  <sheetData>
    <row r="1" spans="1:18" s="128" customFormat="1" ht="20.100000000000001" customHeight="1">
      <c r="A1" s="4081" t="s">
        <v>1199</v>
      </c>
      <c r="B1" s="4081"/>
      <c r="C1" s="4081"/>
      <c r="D1" s="4081"/>
      <c r="E1" s="4081"/>
      <c r="F1" s="4081"/>
      <c r="G1" s="4081"/>
      <c r="H1" s="4081"/>
      <c r="I1" s="4081"/>
      <c r="J1" s="4081"/>
      <c r="K1" s="4081"/>
      <c r="L1" s="4081"/>
      <c r="M1" s="4081"/>
      <c r="N1" s="4081"/>
      <c r="O1" s="4081"/>
      <c r="P1" s="4081"/>
      <c r="Q1" s="4081"/>
      <c r="R1" s="4081"/>
    </row>
    <row r="2" spans="1:18" ht="25.5" customHeight="1">
      <c r="A2" s="4082" t="s">
        <v>1200</v>
      </c>
      <c r="B2" s="4234"/>
      <c r="C2" s="4234"/>
      <c r="D2" s="4234"/>
      <c r="E2" s="4234"/>
      <c r="F2" s="4234"/>
      <c r="G2" s="4234"/>
      <c r="H2" s="4234"/>
      <c r="I2" s="4234"/>
      <c r="J2" s="4234"/>
      <c r="K2" s="4234"/>
      <c r="L2" s="4234"/>
      <c r="M2" s="4234"/>
      <c r="N2" s="4234"/>
      <c r="O2" s="4234"/>
      <c r="P2" s="4234"/>
      <c r="Q2" s="4234"/>
      <c r="R2" s="4234"/>
    </row>
    <row r="3" spans="1:18" ht="14.25" customHeight="1">
      <c r="A3" s="4215" t="s">
        <v>793</v>
      </c>
      <c r="B3" s="4222" t="s">
        <v>794</v>
      </c>
      <c r="C3" s="4222" t="s">
        <v>812</v>
      </c>
      <c r="D3" s="4222" t="s">
        <v>795</v>
      </c>
      <c r="E3" s="4222" t="s">
        <v>796</v>
      </c>
      <c r="F3" s="4222" t="s">
        <v>797</v>
      </c>
      <c r="G3" s="4228" t="s">
        <v>798</v>
      </c>
      <c r="H3" s="4229"/>
      <c r="I3" s="4228" t="s">
        <v>799</v>
      </c>
      <c r="J3" s="4232"/>
      <c r="K3" s="4229"/>
      <c r="L3" s="4232" t="s">
        <v>800</v>
      </c>
      <c r="M3" s="4232"/>
      <c r="N3" s="4232"/>
      <c r="O3" s="4232"/>
      <c r="P3" s="4232"/>
      <c r="Q3" s="4229"/>
      <c r="R3" s="4227" t="s">
        <v>801</v>
      </c>
    </row>
    <row r="4" spans="1:18" ht="14.25" customHeight="1">
      <c r="A4" s="4216"/>
      <c r="B4" s="4223"/>
      <c r="C4" s="4223"/>
      <c r="D4" s="4223"/>
      <c r="E4" s="4223"/>
      <c r="F4" s="4223"/>
      <c r="G4" s="4230"/>
      <c r="H4" s="4231"/>
      <c r="I4" s="4230"/>
      <c r="J4" s="4233"/>
      <c r="K4" s="4231"/>
      <c r="L4" s="4233"/>
      <c r="M4" s="4233"/>
      <c r="N4" s="4233"/>
      <c r="O4" s="4233"/>
      <c r="P4" s="4233"/>
      <c r="Q4" s="4231"/>
      <c r="R4" s="4227"/>
    </row>
    <row r="5" spans="1:18" ht="14.25" customHeight="1">
      <c r="A5" s="4216"/>
      <c r="B5" s="4223"/>
      <c r="C5" s="4223"/>
      <c r="D5" s="4223"/>
      <c r="E5" s="4223"/>
      <c r="F5" s="4223"/>
      <c r="G5" s="4227" t="s">
        <v>802</v>
      </c>
      <c r="H5" s="4227" t="s">
        <v>803</v>
      </c>
      <c r="I5" s="4227" t="s">
        <v>804</v>
      </c>
      <c r="J5" s="4227" t="s">
        <v>805</v>
      </c>
      <c r="K5" s="4227" t="s">
        <v>806</v>
      </c>
      <c r="L5" s="4227" t="s">
        <v>807</v>
      </c>
      <c r="M5" s="4227" t="s">
        <v>808</v>
      </c>
      <c r="N5" s="4227" t="s">
        <v>809</v>
      </c>
      <c r="O5" s="4227" t="s">
        <v>810</v>
      </c>
      <c r="P5" s="4227" t="s">
        <v>811</v>
      </c>
      <c r="Q5" s="4227" t="s">
        <v>806</v>
      </c>
      <c r="R5" s="4227"/>
    </row>
    <row r="6" spans="1:18" ht="14.25" customHeight="1">
      <c r="A6" s="4216"/>
      <c r="B6" s="4223"/>
      <c r="C6" s="4223"/>
      <c r="D6" s="4223"/>
      <c r="E6" s="4223"/>
      <c r="F6" s="4223"/>
      <c r="G6" s="4227"/>
      <c r="H6" s="4227"/>
      <c r="I6" s="4227"/>
      <c r="J6" s="4227"/>
      <c r="K6" s="4227"/>
      <c r="L6" s="4227"/>
      <c r="M6" s="4227"/>
      <c r="N6" s="4227"/>
      <c r="O6" s="4227"/>
      <c r="P6" s="4227"/>
      <c r="Q6" s="4227"/>
      <c r="R6" s="4227"/>
    </row>
    <row r="7" spans="1:18" ht="14.25" customHeight="1">
      <c r="A7" s="4216"/>
      <c r="B7" s="4223"/>
      <c r="C7" s="4223"/>
      <c r="D7" s="4223"/>
      <c r="E7" s="4223"/>
      <c r="F7" s="4223"/>
      <c r="G7" s="4227"/>
      <c r="H7" s="4227"/>
      <c r="I7" s="4227"/>
      <c r="J7" s="4227"/>
      <c r="K7" s="4227"/>
      <c r="L7" s="4227"/>
      <c r="M7" s="4227"/>
      <c r="N7" s="4227"/>
      <c r="O7" s="4227"/>
      <c r="P7" s="4227"/>
      <c r="Q7" s="4227"/>
      <c r="R7" s="4227"/>
    </row>
    <row r="8" spans="1:18" ht="14.25" customHeight="1">
      <c r="A8" s="4216"/>
      <c r="B8" s="4223"/>
      <c r="C8" s="4223"/>
      <c r="D8" s="4223"/>
      <c r="E8" s="4223"/>
      <c r="F8" s="4223"/>
      <c r="G8" s="4227"/>
      <c r="H8" s="4227"/>
      <c r="I8" s="4227"/>
      <c r="J8" s="4227"/>
      <c r="K8" s="4227"/>
      <c r="L8" s="4227"/>
      <c r="M8" s="4227"/>
      <c r="N8" s="4227"/>
      <c r="O8" s="4227"/>
      <c r="P8" s="4227"/>
      <c r="Q8" s="4227"/>
      <c r="R8" s="4227"/>
    </row>
    <row r="9" spans="1:18" ht="14.25" customHeight="1">
      <c r="A9" s="4216"/>
      <c r="B9" s="4223"/>
      <c r="C9" s="4223"/>
      <c r="D9" s="4223"/>
      <c r="E9" s="4223"/>
      <c r="F9" s="4223"/>
      <c r="G9" s="4227"/>
      <c r="H9" s="4227"/>
      <c r="I9" s="4227"/>
      <c r="J9" s="4227"/>
      <c r="K9" s="4227"/>
      <c r="L9" s="4227"/>
      <c r="M9" s="4227"/>
      <c r="N9" s="4227"/>
      <c r="O9" s="4227"/>
      <c r="P9" s="4227"/>
      <c r="Q9" s="4227"/>
      <c r="R9" s="4227"/>
    </row>
    <row r="10" spans="1:18" ht="14.25" customHeight="1">
      <c r="A10" s="4216"/>
      <c r="B10" s="4223"/>
      <c r="C10" s="4223"/>
      <c r="D10" s="4223"/>
      <c r="E10" s="4223"/>
      <c r="F10" s="4223"/>
      <c r="G10" s="4227"/>
      <c r="H10" s="4227"/>
      <c r="I10" s="4227"/>
      <c r="J10" s="4227"/>
      <c r="K10" s="4227"/>
      <c r="L10" s="4227"/>
      <c r="M10" s="4227"/>
      <c r="N10" s="4227"/>
      <c r="O10" s="4227"/>
      <c r="P10" s="4227"/>
      <c r="Q10" s="4227"/>
      <c r="R10" s="4227"/>
    </row>
    <row r="11" spans="1:18" ht="14.25" customHeight="1">
      <c r="A11" s="4216"/>
      <c r="B11" s="4223"/>
      <c r="C11" s="4223"/>
      <c r="D11" s="4223"/>
      <c r="E11" s="4223"/>
      <c r="F11" s="4223"/>
      <c r="G11" s="4227"/>
      <c r="H11" s="4227"/>
      <c r="I11" s="4227"/>
      <c r="J11" s="4227"/>
      <c r="K11" s="4227"/>
      <c r="L11" s="4227"/>
      <c r="M11" s="4227"/>
      <c r="N11" s="4227"/>
      <c r="O11" s="4227"/>
      <c r="P11" s="4227"/>
      <c r="Q11" s="4227"/>
      <c r="R11" s="4227"/>
    </row>
    <row r="12" spans="1:18" ht="14.25" customHeight="1">
      <c r="A12" s="4216"/>
      <c r="B12" s="4223"/>
      <c r="C12" s="4223"/>
      <c r="D12" s="4223"/>
      <c r="E12" s="4223"/>
      <c r="F12" s="4223"/>
      <c r="G12" s="4227"/>
      <c r="H12" s="4227"/>
      <c r="I12" s="4227"/>
      <c r="J12" s="4227"/>
      <c r="K12" s="4227"/>
      <c r="L12" s="4227"/>
      <c r="M12" s="4227"/>
      <c r="N12" s="4227"/>
      <c r="O12" s="4227"/>
      <c r="P12" s="4227"/>
      <c r="Q12" s="4227"/>
      <c r="R12" s="4227"/>
    </row>
    <row r="13" spans="1:18" ht="14.25" customHeight="1">
      <c r="A13" s="4216"/>
      <c r="B13" s="4223"/>
      <c r="C13" s="4224"/>
      <c r="D13" s="4223"/>
      <c r="E13" s="4223"/>
      <c r="F13" s="4223"/>
      <c r="G13" s="4222"/>
      <c r="H13" s="4222"/>
      <c r="I13" s="4222"/>
      <c r="J13" s="4222"/>
      <c r="K13" s="4222"/>
      <c r="L13" s="4222"/>
      <c r="M13" s="4222"/>
      <c r="N13" s="4222"/>
      <c r="O13" s="4222"/>
      <c r="P13" s="4222"/>
      <c r="Q13" s="4222"/>
      <c r="R13" s="4222"/>
    </row>
    <row r="14" spans="1:18" ht="14.25" customHeight="1">
      <c r="A14" s="4216"/>
      <c r="B14" s="4215">
        <v>1</v>
      </c>
      <c r="C14" s="4215">
        <v>2</v>
      </c>
      <c r="D14" s="4215">
        <v>3</v>
      </c>
      <c r="E14" s="4215">
        <v>4</v>
      </c>
      <c r="F14" s="4215">
        <v>5</v>
      </c>
      <c r="G14" s="4215">
        <v>6</v>
      </c>
      <c r="H14" s="4215">
        <v>7</v>
      </c>
      <c r="I14" s="4215">
        <v>8</v>
      </c>
      <c r="J14" s="4215">
        <v>9</v>
      </c>
      <c r="K14" s="4222" t="s">
        <v>813</v>
      </c>
      <c r="L14" s="4222">
        <v>11</v>
      </c>
      <c r="M14" s="4222">
        <v>12</v>
      </c>
      <c r="N14" s="4222" t="s">
        <v>814</v>
      </c>
      <c r="O14" s="4222" t="s">
        <v>815</v>
      </c>
      <c r="P14" s="4222">
        <v>15</v>
      </c>
      <c r="Q14" s="4222" t="s">
        <v>816</v>
      </c>
      <c r="R14" s="4222" t="s">
        <v>817</v>
      </c>
    </row>
    <row r="15" spans="1:18" ht="14.25" customHeight="1">
      <c r="A15" s="4216"/>
      <c r="B15" s="4216"/>
      <c r="C15" s="4216"/>
      <c r="D15" s="4216"/>
      <c r="E15" s="4216"/>
      <c r="F15" s="4216"/>
      <c r="G15" s="4216"/>
      <c r="H15" s="4216"/>
      <c r="I15" s="4216"/>
      <c r="J15" s="4216"/>
      <c r="K15" s="4223"/>
      <c r="L15" s="4223"/>
      <c r="M15" s="4223"/>
      <c r="N15" s="4223"/>
      <c r="O15" s="4223"/>
      <c r="P15" s="4223"/>
      <c r="Q15" s="4223"/>
      <c r="R15" s="4223"/>
    </row>
    <row r="16" spans="1:18" s="134" customFormat="1" ht="14.25" customHeight="1">
      <c r="A16" s="4217"/>
      <c r="B16" s="4217"/>
      <c r="C16" s="4217"/>
      <c r="D16" s="4217"/>
      <c r="E16" s="4217"/>
      <c r="F16" s="4217"/>
      <c r="G16" s="4217"/>
      <c r="H16" s="4217"/>
      <c r="I16" s="4217"/>
      <c r="J16" s="4217"/>
      <c r="K16" s="4224"/>
      <c r="L16" s="4224"/>
      <c r="M16" s="4224"/>
      <c r="N16" s="4224"/>
      <c r="O16" s="4224"/>
      <c r="P16" s="4224"/>
      <c r="Q16" s="4224"/>
      <c r="R16" s="4224"/>
    </row>
    <row r="17" spans="1:18" ht="14.25" customHeight="1">
      <c r="A17" s="135">
        <v>1</v>
      </c>
      <c r="B17" s="136">
        <f>股息红利优惠审核表!B6</f>
        <v>0</v>
      </c>
      <c r="C17" s="136">
        <f>股息红利优惠审核表!C6</f>
        <v>0</v>
      </c>
      <c r="D17" s="136">
        <f>股息红利优惠审核表!D6</f>
        <v>0</v>
      </c>
      <c r="E17" s="136">
        <f>股息红利优惠审核表!E6</f>
        <v>0</v>
      </c>
      <c r="F17" s="136">
        <f>股息红利优惠审核表!F6</f>
        <v>0</v>
      </c>
      <c r="G17" s="136">
        <f>股息红利优惠审核表!G6</f>
        <v>0</v>
      </c>
      <c r="H17" s="136">
        <f>股息红利优惠审核表!H6</f>
        <v>0</v>
      </c>
      <c r="I17" s="136">
        <f>股息红利优惠审核表!I6</f>
        <v>0</v>
      </c>
      <c r="J17" s="136">
        <f>股息红利优惠审核表!J6</f>
        <v>0</v>
      </c>
      <c r="K17" s="344">
        <f>MIN(I17,J17)</f>
        <v>0</v>
      </c>
      <c r="L17" s="137">
        <f>股息红利优惠审核表!L6</f>
        <v>0</v>
      </c>
      <c r="M17" s="137">
        <f>股息红利优惠审核表!M6</f>
        <v>0</v>
      </c>
      <c r="N17" s="345">
        <f>ROUND(E17*M17,2)</f>
        <v>0</v>
      </c>
      <c r="O17" s="345">
        <f>ROUND(L17-N17,2)</f>
        <v>0</v>
      </c>
      <c r="P17" s="137">
        <f>股息红利优惠审核表!P6</f>
        <v>0</v>
      </c>
      <c r="Q17" s="345">
        <f>MIN(O17,P17)</f>
        <v>0</v>
      </c>
      <c r="R17" s="345">
        <f>ROUND(H17+K17+Q17,2)</f>
        <v>0</v>
      </c>
    </row>
    <row r="18" spans="1:18" ht="14.25" customHeight="1">
      <c r="A18" s="135">
        <v>2</v>
      </c>
      <c r="B18" s="136">
        <f>股息红利优惠审核表!B7</f>
        <v>0</v>
      </c>
      <c r="C18" s="136">
        <f>股息红利优惠审核表!C7</f>
        <v>0</v>
      </c>
      <c r="D18" s="136">
        <f>股息红利优惠审核表!D7</f>
        <v>0</v>
      </c>
      <c r="E18" s="136">
        <f>股息红利优惠审核表!E7</f>
        <v>0</v>
      </c>
      <c r="F18" s="136">
        <f>股息红利优惠审核表!F7</f>
        <v>0</v>
      </c>
      <c r="G18" s="136">
        <f>股息红利优惠审核表!G7</f>
        <v>0</v>
      </c>
      <c r="H18" s="136">
        <f>股息红利优惠审核表!H7</f>
        <v>0</v>
      </c>
      <c r="I18" s="136">
        <f>股息红利优惠审核表!I7</f>
        <v>0</v>
      </c>
      <c r="J18" s="136">
        <f>股息红利优惠审核表!J7</f>
        <v>0</v>
      </c>
      <c r="K18" s="344">
        <f t="shared" ref="K18:K23" si="0">MIN(I18,J18)</f>
        <v>0</v>
      </c>
      <c r="L18" s="137">
        <f>股息红利优惠审核表!L7</f>
        <v>0</v>
      </c>
      <c r="M18" s="137">
        <f>股息红利优惠审核表!M7</f>
        <v>0</v>
      </c>
      <c r="N18" s="345">
        <f t="shared" ref="N18:N23" si="1">ROUND(E18*M18,2)</f>
        <v>0</v>
      </c>
      <c r="O18" s="345">
        <f t="shared" ref="O18:O23" si="2">ROUND(L18-N18,2)</f>
        <v>0</v>
      </c>
      <c r="P18" s="137">
        <f>股息红利优惠审核表!P7</f>
        <v>0</v>
      </c>
      <c r="Q18" s="345">
        <f t="shared" ref="Q18:Q23" si="3">MIN(O18,P18)</f>
        <v>0</v>
      </c>
      <c r="R18" s="345">
        <f t="shared" ref="R18:R23" si="4">ROUND(H18+K18+Q18,2)</f>
        <v>0</v>
      </c>
    </row>
    <row r="19" spans="1:18" ht="14.25" customHeight="1">
      <c r="A19" s="135">
        <v>3</v>
      </c>
      <c r="B19" s="136">
        <f>股息红利优惠审核表!B8</f>
        <v>0</v>
      </c>
      <c r="C19" s="136">
        <f>股息红利优惠审核表!C8</f>
        <v>0</v>
      </c>
      <c r="D19" s="136">
        <f>股息红利优惠审核表!D8</f>
        <v>0</v>
      </c>
      <c r="E19" s="136">
        <f>股息红利优惠审核表!E8</f>
        <v>0</v>
      </c>
      <c r="F19" s="136">
        <f>股息红利优惠审核表!F8</f>
        <v>0</v>
      </c>
      <c r="G19" s="136">
        <f>股息红利优惠审核表!G8</f>
        <v>0</v>
      </c>
      <c r="H19" s="136">
        <f>股息红利优惠审核表!H8</f>
        <v>0</v>
      </c>
      <c r="I19" s="136">
        <f>股息红利优惠审核表!I8</f>
        <v>0</v>
      </c>
      <c r="J19" s="136">
        <f>股息红利优惠审核表!J8</f>
        <v>0</v>
      </c>
      <c r="K19" s="344">
        <f t="shared" si="0"/>
        <v>0</v>
      </c>
      <c r="L19" s="137">
        <f>股息红利优惠审核表!L8</f>
        <v>0</v>
      </c>
      <c r="M19" s="137">
        <f>股息红利优惠审核表!M8</f>
        <v>0</v>
      </c>
      <c r="N19" s="345">
        <f t="shared" si="1"/>
        <v>0</v>
      </c>
      <c r="O19" s="345">
        <f t="shared" si="2"/>
        <v>0</v>
      </c>
      <c r="P19" s="137">
        <f>股息红利优惠审核表!P8</f>
        <v>0</v>
      </c>
      <c r="Q19" s="345">
        <f t="shared" si="3"/>
        <v>0</v>
      </c>
      <c r="R19" s="345">
        <f t="shared" si="4"/>
        <v>0</v>
      </c>
    </row>
    <row r="20" spans="1:18" ht="14.25" customHeight="1">
      <c r="A20" s="135">
        <v>4</v>
      </c>
      <c r="B20" s="136">
        <f>股息红利优惠审核表!B9</f>
        <v>0</v>
      </c>
      <c r="C20" s="136">
        <f>股息红利优惠审核表!C9</f>
        <v>0</v>
      </c>
      <c r="D20" s="136">
        <f>股息红利优惠审核表!D9</f>
        <v>0</v>
      </c>
      <c r="E20" s="136">
        <f>股息红利优惠审核表!E9</f>
        <v>0</v>
      </c>
      <c r="F20" s="136">
        <f>股息红利优惠审核表!F9</f>
        <v>0</v>
      </c>
      <c r="G20" s="136">
        <f>股息红利优惠审核表!G9</f>
        <v>0</v>
      </c>
      <c r="H20" s="138">
        <f>股息红利优惠审核表!H9</f>
        <v>0</v>
      </c>
      <c r="I20" s="136">
        <f>股息红利优惠审核表!I9</f>
        <v>0</v>
      </c>
      <c r="J20" s="136">
        <f>股息红利优惠审核表!J9</f>
        <v>0</v>
      </c>
      <c r="K20" s="344">
        <f t="shared" si="0"/>
        <v>0</v>
      </c>
      <c r="L20" s="137">
        <f>股息红利优惠审核表!L9</f>
        <v>0</v>
      </c>
      <c r="M20" s="137">
        <f>股息红利优惠审核表!M9</f>
        <v>0</v>
      </c>
      <c r="N20" s="345">
        <f t="shared" si="1"/>
        <v>0</v>
      </c>
      <c r="O20" s="345">
        <f t="shared" si="2"/>
        <v>0</v>
      </c>
      <c r="P20" s="137">
        <f>股息红利优惠审核表!P9</f>
        <v>0</v>
      </c>
      <c r="Q20" s="345">
        <f t="shared" si="3"/>
        <v>0</v>
      </c>
      <c r="R20" s="345">
        <f t="shared" si="4"/>
        <v>0</v>
      </c>
    </row>
    <row r="21" spans="1:18" ht="14.25" customHeight="1">
      <c r="A21" s="135">
        <v>5</v>
      </c>
      <c r="B21" s="136">
        <f>股息红利优惠审核表!B10</f>
        <v>0</v>
      </c>
      <c r="C21" s="136">
        <f>股息红利优惠审核表!C10</f>
        <v>0</v>
      </c>
      <c r="D21" s="136">
        <f>股息红利优惠审核表!D10</f>
        <v>0</v>
      </c>
      <c r="E21" s="136">
        <f>股息红利优惠审核表!E10</f>
        <v>0</v>
      </c>
      <c r="F21" s="136">
        <f>股息红利优惠审核表!F10</f>
        <v>0</v>
      </c>
      <c r="G21" s="136">
        <f>股息红利优惠审核表!G10</f>
        <v>0</v>
      </c>
      <c r="H21" s="136">
        <f>股息红利优惠审核表!H10</f>
        <v>0</v>
      </c>
      <c r="I21" s="136">
        <f>股息红利优惠审核表!I10</f>
        <v>0</v>
      </c>
      <c r="J21" s="136">
        <f>股息红利优惠审核表!J10</f>
        <v>0</v>
      </c>
      <c r="K21" s="344">
        <f t="shared" si="0"/>
        <v>0</v>
      </c>
      <c r="L21" s="137">
        <f>股息红利优惠审核表!L10</f>
        <v>0</v>
      </c>
      <c r="M21" s="137">
        <f>股息红利优惠审核表!M10</f>
        <v>0</v>
      </c>
      <c r="N21" s="345">
        <f t="shared" si="1"/>
        <v>0</v>
      </c>
      <c r="O21" s="345">
        <f t="shared" si="2"/>
        <v>0</v>
      </c>
      <c r="P21" s="137">
        <f>股息红利优惠审核表!P10</f>
        <v>0</v>
      </c>
      <c r="Q21" s="345">
        <f t="shared" si="3"/>
        <v>0</v>
      </c>
      <c r="R21" s="345">
        <f t="shared" si="4"/>
        <v>0</v>
      </c>
    </row>
    <row r="22" spans="1:18" ht="14.25" customHeight="1">
      <c r="A22" s="135">
        <v>6</v>
      </c>
      <c r="B22" s="136">
        <f>股息红利优惠审核表!B11</f>
        <v>0</v>
      </c>
      <c r="C22" s="136">
        <f>股息红利优惠审核表!C11</f>
        <v>0</v>
      </c>
      <c r="D22" s="136">
        <f>股息红利优惠审核表!D11</f>
        <v>0</v>
      </c>
      <c r="E22" s="136">
        <f>股息红利优惠审核表!E11</f>
        <v>0</v>
      </c>
      <c r="F22" s="136">
        <f>股息红利优惠审核表!F11</f>
        <v>0</v>
      </c>
      <c r="G22" s="136">
        <f>股息红利优惠审核表!G11</f>
        <v>0</v>
      </c>
      <c r="H22" s="136">
        <f>股息红利优惠审核表!H11</f>
        <v>0</v>
      </c>
      <c r="I22" s="136">
        <f>股息红利优惠审核表!I11</f>
        <v>0</v>
      </c>
      <c r="J22" s="136">
        <f>股息红利优惠审核表!J11</f>
        <v>0</v>
      </c>
      <c r="K22" s="344">
        <f t="shared" si="0"/>
        <v>0</v>
      </c>
      <c r="L22" s="137">
        <f>股息红利优惠审核表!L11</f>
        <v>0</v>
      </c>
      <c r="M22" s="137">
        <f>股息红利优惠审核表!M11</f>
        <v>0</v>
      </c>
      <c r="N22" s="345">
        <f t="shared" si="1"/>
        <v>0</v>
      </c>
      <c r="O22" s="345">
        <f t="shared" si="2"/>
        <v>0</v>
      </c>
      <c r="P22" s="137">
        <f>股息红利优惠审核表!P11</f>
        <v>0</v>
      </c>
      <c r="Q22" s="345">
        <f t="shared" si="3"/>
        <v>0</v>
      </c>
      <c r="R22" s="345">
        <f>ROUND(H22+K22+Q22,2)</f>
        <v>0</v>
      </c>
    </row>
    <row r="23" spans="1:18" ht="14.25" customHeight="1">
      <c r="A23" s="135">
        <v>7</v>
      </c>
      <c r="B23" s="136">
        <f>股息红利优惠审核表!B12</f>
        <v>0</v>
      </c>
      <c r="C23" s="136">
        <f>股息红利优惠审核表!C12</f>
        <v>0</v>
      </c>
      <c r="D23" s="136">
        <f>股息红利优惠审核表!D12</f>
        <v>0</v>
      </c>
      <c r="E23" s="136">
        <f>股息红利优惠审核表!E12</f>
        <v>0</v>
      </c>
      <c r="F23" s="136">
        <f>股息红利优惠审核表!F12</f>
        <v>0</v>
      </c>
      <c r="G23" s="136">
        <f>股息红利优惠审核表!G12</f>
        <v>0</v>
      </c>
      <c r="H23" s="136">
        <f>股息红利优惠审核表!H12</f>
        <v>0</v>
      </c>
      <c r="I23" s="136">
        <f>股息红利优惠审核表!I12</f>
        <v>0</v>
      </c>
      <c r="J23" s="136">
        <f>股息红利优惠审核表!J12</f>
        <v>0</v>
      </c>
      <c r="K23" s="344">
        <f t="shared" si="0"/>
        <v>0</v>
      </c>
      <c r="L23" s="137">
        <f>股息红利优惠审核表!L12</f>
        <v>0</v>
      </c>
      <c r="M23" s="137">
        <f>股息红利优惠审核表!M12</f>
        <v>0</v>
      </c>
      <c r="N23" s="345">
        <f t="shared" si="1"/>
        <v>0</v>
      </c>
      <c r="O23" s="345">
        <f t="shared" si="2"/>
        <v>0</v>
      </c>
      <c r="P23" s="137">
        <f>股息红利优惠审核表!P12</f>
        <v>0</v>
      </c>
      <c r="Q23" s="345">
        <f t="shared" si="3"/>
        <v>0</v>
      </c>
      <c r="R23" s="345">
        <f t="shared" si="4"/>
        <v>0</v>
      </c>
    </row>
    <row r="24" spans="1:18" s="143" customFormat="1" ht="14.25" customHeight="1">
      <c r="A24" s="135">
        <v>8</v>
      </c>
      <c r="B24" s="4219" t="s">
        <v>801</v>
      </c>
      <c r="C24" s="4220"/>
      <c r="D24" s="4220"/>
      <c r="E24" s="4220"/>
      <c r="F24" s="4220"/>
      <c r="G24" s="4220"/>
      <c r="H24" s="4220"/>
      <c r="I24" s="4220"/>
      <c r="J24" s="4220"/>
      <c r="K24" s="4220"/>
      <c r="L24" s="4220"/>
      <c r="M24" s="4220"/>
      <c r="N24" s="4220"/>
      <c r="O24" s="4220"/>
      <c r="P24" s="4220"/>
      <c r="Q24" s="4221"/>
      <c r="R24" s="144">
        <f>ROUND(SUM(R17:R23),2)</f>
        <v>0</v>
      </c>
    </row>
    <row r="25" spans="1:18" s="143" customFormat="1" ht="14.25" customHeight="1">
      <c r="A25" s="135">
        <v>9</v>
      </c>
      <c r="B25" s="4218" t="s">
        <v>818</v>
      </c>
      <c r="C25" s="4218"/>
      <c r="D25" s="4218"/>
      <c r="E25" s="4218"/>
      <c r="F25" s="4218"/>
      <c r="G25" s="4218"/>
      <c r="H25" s="4218"/>
      <c r="I25" s="4218"/>
      <c r="J25" s="4218"/>
      <c r="K25" s="4218"/>
      <c r="L25" s="4218"/>
      <c r="M25" s="4218"/>
      <c r="N25" s="4218"/>
      <c r="O25" s="4218"/>
      <c r="P25" s="4218"/>
      <c r="Q25" s="4218"/>
      <c r="R25" s="144">
        <f>股息红利优惠审核表!R14</f>
        <v>0</v>
      </c>
    </row>
    <row r="26" spans="1:18" s="143" customFormat="1" ht="14.25" customHeight="1">
      <c r="A26" s="135">
        <v>10</v>
      </c>
      <c r="B26" s="4218" t="s">
        <v>819</v>
      </c>
      <c r="C26" s="4218"/>
      <c r="D26" s="4218"/>
      <c r="E26" s="4218"/>
      <c r="F26" s="4218"/>
      <c r="G26" s="4218"/>
      <c r="H26" s="4218"/>
      <c r="I26" s="4218"/>
      <c r="J26" s="4218"/>
      <c r="K26" s="4218"/>
      <c r="L26" s="4218"/>
      <c r="M26" s="4218"/>
      <c r="N26" s="4218"/>
      <c r="O26" s="4218"/>
      <c r="P26" s="4218"/>
      <c r="Q26" s="4218"/>
      <c r="R26" s="144">
        <f>股息红利优惠审核表!R15</f>
        <v>0</v>
      </c>
    </row>
    <row r="27" spans="1:18" s="143" customFormat="1" ht="14.25" customHeight="1">
      <c r="A27" s="139"/>
      <c r="B27" s="141"/>
      <c r="C27" s="141"/>
      <c r="D27" s="141"/>
      <c r="E27" s="141"/>
      <c r="F27" s="141"/>
      <c r="G27" s="141"/>
      <c r="H27" s="141"/>
      <c r="I27" s="141"/>
      <c r="J27" s="141"/>
      <c r="K27" s="141"/>
      <c r="L27" s="141"/>
      <c r="M27" s="141"/>
      <c r="N27" s="141"/>
      <c r="O27" s="141"/>
      <c r="P27" s="141"/>
      <c r="Q27" s="141"/>
      <c r="R27" s="142"/>
    </row>
    <row r="28" spans="1:18" s="143" customFormat="1">
      <c r="A28" s="4225"/>
      <c r="B28" s="4225"/>
      <c r="C28" s="4225"/>
      <c r="D28" s="4225"/>
      <c r="E28" s="4225"/>
      <c r="F28" s="4225"/>
      <c r="G28" s="4225"/>
      <c r="H28" s="4225"/>
      <c r="I28" s="4225"/>
      <c r="J28" s="4225"/>
      <c r="K28" s="4225"/>
    </row>
    <row r="29" spans="1:18">
      <c r="A29" s="4226"/>
      <c r="B29" s="4226"/>
      <c r="C29" s="4226"/>
      <c r="D29" s="4226"/>
      <c r="E29" s="4226"/>
      <c r="F29" s="4226"/>
      <c r="G29" s="4226"/>
      <c r="H29" s="4226"/>
      <c r="I29" s="4226"/>
      <c r="J29" s="4226"/>
      <c r="K29" s="4226"/>
      <c r="L29" s="4226"/>
      <c r="M29" s="4226"/>
      <c r="N29" s="4226"/>
      <c r="O29" s="4226"/>
      <c r="P29" s="4226"/>
      <c r="Q29" s="4226"/>
      <c r="R29" s="4226"/>
    </row>
    <row r="30" spans="1:18" s="214" customFormat="1">
      <c r="A30" s="4114" t="s">
        <v>1410</v>
      </c>
      <c r="B30" s="4105"/>
      <c r="C30" s="4105"/>
      <c r="D30" s="4105"/>
      <c r="E30" s="4105"/>
      <c r="F30" s="4105"/>
      <c r="G30" s="4105"/>
      <c r="H30" s="4105"/>
      <c r="I30" s="4105"/>
      <c r="J30" s="4105"/>
      <c r="K30" s="4105"/>
      <c r="L30" s="4105"/>
      <c r="M30" s="4105"/>
      <c r="N30" s="4105"/>
      <c r="O30" s="4105"/>
      <c r="P30" s="4105"/>
      <c r="Q30" s="4105"/>
      <c r="R30" s="4105"/>
    </row>
    <row r="31" spans="1:18" s="215" customFormat="1" ht="12">
      <c r="A31" s="4111" t="s">
        <v>1477</v>
      </c>
      <c r="B31" s="4111"/>
      <c r="C31" s="4111"/>
      <c r="D31" s="4111"/>
      <c r="E31" s="4111"/>
      <c r="F31" s="4111"/>
      <c r="G31" s="4111"/>
      <c r="H31" s="4111"/>
      <c r="I31" s="4111"/>
      <c r="J31" s="4111"/>
      <c r="K31" s="4111"/>
      <c r="L31" s="4111"/>
      <c r="M31" s="4111"/>
      <c r="N31" s="4111"/>
      <c r="O31" s="4111"/>
      <c r="P31" s="4111"/>
      <c r="Q31" s="4111"/>
      <c r="R31" s="4111"/>
    </row>
    <row r="32" spans="1:18" s="214" customFormat="1">
      <c r="A32" s="4105"/>
      <c r="B32" s="4105"/>
      <c r="C32" s="4105"/>
      <c r="D32" s="4105"/>
      <c r="E32" s="4105"/>
      <c r="F32" s="4105"/>
      <c r="G32" s="4105"/>
      <c r="H32" s="4105"/>
      <c r="I32" s="4105"/>
      <c r="J32" s="4105"/>
      <c r="K32" s="4105"/>
      <c r="L32" s="4105"/>
      <c r="M32" s="4105"/>
      <c r="N32" s="4105"/>
      <c r="O32" s="4105"/>
      <c r="P32" s="4105"/>
      <c r="Q32" s="4105"/>
      <c r="R32" s="4105"/>
    </row>
    <row r="33" spans="1:18" s="214" customFormat="1" ht="14.25" customHeight="1">
      <c r="A33" s="4114" t="s">
        <v>1416</v>
      </c>
      <c r="B33" s="4114"/>
      <c r="C33" s="4114"/>
      <c r="D33" s="4114"/>
      <c r="E33" s="4114"/>
      <c r="F33" s="4114"/>
      <c r="G33" s="4114"/>
      <c r="H33" s="4114"/>
      <c r="I33" s="4114"/>
      <c r="J33" s="4114"/>
      <c r="K33" s="4114"/>
      <c r="L33" s="4114"/>
      <c r="M33" s="4114"/>
      <c r="N33" s="4114"/>
      <c r="O33" s="4114"/>
      <c r="P33" s="4114"/>
      <c r="Q33" s="4114"/>
      <c r="R33" s="4114"/>
    </row>
    <row r="34" spans="1:18" s="215" customFormat="1" ht="14.25" customHeight="1">
      <c r="A34" s="4111" t="s">
        <v>1478</v>
      </c>
      <c r="B34" s="4111"/>
      <c r="C34" s="4111"/>
      <c r="D34" s="4111"/>
      <c r="E34" s="4111"/>
      <c r="F34" s="4111"/>
      <c r="G34" s="4111"/>
      <c r="H34" s="4111"/>
      <c r="I34" s="4111"/>
      <c r="J34" s="4111"/>
      <c r="K34" s="4111"/>
      <c r="L34" s="4111"/>
      <c r="M34" s="4111"/>
      <c r="N34" s="4111"/>
      <c r="O34" s="4111"/>
      <c r="P34" s="4111"/>
      <c r="Q34" s="4111"/>
      <c r="R34" s="4111"/>
    </row>
    <row r="35" spans="1:18" s="215" customFormat="1" ht="14.25" customHeight="1">
      <c r="A35" s="4111" t="s">
        <v>1479</v>
      </c>
      <c r="B35" s="4111"/>
      <c r="C35" s="4111"/>
      <c r="D35" s="4111"/>
      <c r="E35" s="4111"/>
      <c r="F35" s="4111"/>
      <c r="G35" s="4111"/>
      <c r="H35" s="4111"/>
      <c r="I35" s="4111"/>
      <c r="J35" s="4111"/>
      <c r="K35" s="4111"/>
      <c r="L35" s="4111"/>
      <c r="M35" s="4111"/>
      <c r="N35" s="4111"/>
      <c r="O35" s="4111"/>
      <c r="P35" s="4111"/>
      <c r="Q35" s="4111"/>
      <c r="R35" s="4111"/>
    </row>
    <row r="36" spans="1:18" s="215" customFormat="1" ht="14.25" customHeight="1">
      <c r="A36" s="4111" t="s">
        <v>1408</v>
      </c>
      <c r="B36" s="4111"/>
      <c r="C36" s="4111"/>
      <c r="D36" s="4111"/>
      <c r="E36" s="4111"/>
      <c r="F36" s="4111"/>
      <c r="G36" s="4111"/>
      <c r="H36" s="4111"/>
      <c r="I36" s="4111"/>
      <c r="J36" s="4111"/>
      <c r="K36" s="4111"/>
      <c r="L36" s="4111"/>
      <c r="M36" s="4111"/>
      <c r="N36" s="4111"/>
      <c r="O36" s="4111"/>
      <c r="P36" s="4111"/>
      <c r="Q36" s="4111"/>
      <c r="R36" s="4111"/>
    </row>
    <row r="37" spans="1:18" s="215" customFormat="1" ht="14.25" customHeight="1">
      <c r="A37" s="4111" t="s">
        <v>1434</v>
      </c>
      <c r="B37" s="4111"/>
      <c r="C37" s="4111"/>
      <c r="D37" s="4111"/>
      <c r="E37" s="4111"/>
      <c r="F37" s="4111"/>
      <c r="G37" s="4111"/>
      <c r="H37" s="4111"/>
      <c r="I37" s="4111"/>
      <c r="J37" s="4111"/>
      <c r="K37" s="4111"/>
      <c r="L37" s="4111"/>
      <c r="M37" s="4111"/>
      <c r="N37" s="4111"/>
      <c r="O37" s="4111"/>
      <c r="P37" s="4111"/>
      <c r="Q37" s="4111"/>
      <c r="R37" s="4111"/>
    </row>
    <row r="38" spans="1:18" s="215" customFormat="1" ht="14.25" customHeight="1">
      <c r="A38" s="4111" t="s">
        <v>1480</v>
      </c>
      <c r="B38" s="4111"/>
      <c r="C38" s="4111"/>
      <c r="D38" s="4111"/>
      <c r="E38" s="4111"/>
      <c r="F38" s="4111"/>
      <c r="G38" s="4111"/>
      <c r="H38" s="4111"/>
      <c r="I38" s="4111"/>
      <c r="J38" s="4111"/>
      <c r="K38" s="4111"/>
      <c r="L38" s="4111"/>
      <c r="M38" s="4111"/>
      <c r="N38" s="4111"/>
      <c r="O38" s="4111"/>
      <c r="P38" s="4111"/>
      <c r="Q38" s="4111"/>
      <c r="R38" s="4111"/>
    </row>
    <row r="39" spans="1:18" s="216" customFormat="1" ht="14.25" customHeight="1">
      <c r="A39" s="4111" t="s">
        <v>1481</v>
      </c>
      <c r="B39" s="4111"/>
      <c r="C39" s="4111"/>
      <c r="D39" s="4111"/>
      <c r="E39" s="4111"/>
      <c r="F39" s="4111"/>
      <c r="G39" s="4111"/>
      <c r="H39" s="4111"/>
      <c r="I39" s="4111"/>
      <c r="J39" s="4111"/>
      <c r="K39" s="4111"/>
      <c r="L39" s="4111"/>
      <c r="M39" s="4111"/>
      <c r="N39" s="4111"/>
      <c r="O39" s="4111"/>
      <c r="P39" s="4111"/>
      <c r="Q39" s="4111"/>
      <c r="R39" s="4111"/>
    </row>
  </sheetData>
  <mergeCells count="55">
    <mergeCell ref="A1:R1"/>
    <mergeCell ref="A2:R2"/>
    <mergeCell ref="A3:A16"/>
    <mergeCell ref="B3:B13"/>
    <mergeCell ref="D3:D13"/>
    <mergeCell ref="E3:E13"/>
    <mergeCell ref="K5:K13"/>
    <mergeCell ref="L5:L13"/>
    <mergeCell ref="N14:N16"/>
    <mergeCell ref="O14:O16"/>
    <mergeCell ref="G14:G16"/>
    <mergeCell ref="H14:H16"/>
    <mergeCell ref="I14:I16"/>
    <mergeCell ref="J14:J16"/>
    <mergeCell ref="L14:L16"/>
    <mergeCell ref="F3:F13"/>
    <mergeCell ref="A30:R30"/>
    <mergeCell ref="R3:R13"/>
    <mergeCell ref="G5:G13"/>
    <mergeCell ref="H5:H13"/>
    <mergeCell ref="I5:I13"/>
    <mergeCell ref="P14:P16"/>
    <mergeCell ref="P5:P13"/>
    <mergeCell ref="G3:H4"/>
    <mergeCell ref="I3:K4"/>
    <mergeCell ref="L3:Q4"/>
    <mergeCell ref="J5:J13"/>
    <mergeCell ref="M5:M13"/>
    <mergeCell ref="N5:N13"/>
    <mergeCell ref="O5:O13"/>
    <mergeCell ref="Q5:Q13"/>
    <mergeCell ref="C3:C13"/>
    <mergeCell ref="A31:R31"/>
    <mergeCell ref="K14:K16"/>
    <mergeCell ref="M14:M16"/>
    <mergeCell ref="A35:R35"/>
    <mergeCell ref="A39:R39"/>
    <mergeCell ref="A38:R38"/>
    <mergeCell ref="A32:R32"/>
    <mergeCell ref="A33:R33"/>
    <mergeCell ref="A34:R34"/>
    <mergeCell ref="A36:R36"/>
    <mergeCell ref="A37:R37"/>
    <mergeCell ref="R14:R16"/>
    <mergeCell ref="A28:K28"/>
    <mergeCell ref="A29:R29"/>
    <mergeCell ref="B14:B16"/>
    <mergeCell ref="D14:D16"/>
    <mergeCell ref="C14:C16"/>
    <mergeCell ref="B25:Q25"/>
    <mergeCell ref="B26:Q26"/>
    <mergeCell ref="B24:Q24"/>
    <mergeCell ref="Q14:Q16"/>
    <mergeCell ref="E14:E16"/>
    <mergeCell ref="F14:F16"/>
  </mergeCells>
  <phoneticPr fontId="46" type="noConversion"/>
  <hyperlinks>
    <hyperlink ref="A1:R1" location="'A100000 中华人民共和国企业所得税年度纳税申报表（A类）'!A1" display="返回主表（A100000） "/>
    <hyperlink ref="A31:R31" r:id="rId1" display="《中国税务合规实务指南—所得税》  符合条件的居民企业之间的股息、红利所得[¶60-170] "/>
    <hyperlink ref="A34:R34" r:id="rId2" display="《财政部、国家税务总局关于企业清算业务企业所得税处理若干问题的通知》（财税〔2009〕60号）"/>
    <hyperlink ref="A35:R35" r:id="rId3" display="《财政部、国家税务总局关于执行企业所得税优惠政策若干问题的通知》（财税〔2009〕69号）"/>
    <hyperlink ref="A36:R36" r:id="rId4" display="《国家税务总局关于贯彻落实企业所得税法若干税收问题的通知》（国税函〔2010〕79号）"/>
    <hyperlink ref="A37:R37" r:id="rId5" display="《国家税务总局关于企业所得税若干问题的公告》（国家税务总局公告2011年第34号）"/>
    <hyperlink ref="A38" r:id="rId6"/>
    <hyperlink ref="A39" r:id="rId7"/>
    <hyperlink ref="A31:IV31" r:id="rId8" display="《中国税务合规实务指南—所得税》  符合条件的居民企业之间的股息、红利所得[¶60-170] "/>
    <hyperlink ref="A34:IV34" r:id="rId9" display="《财政部、国家税务总局关于企业清算业务企业所得税处理若干问题的通知》（财税〔2009〕60号）"/>
    <hyperlink ref="A35:IV35" r:id="rId10" display="《财政部、国家税务总局关于执行企业所得税优惠政策若干问题的通知》（财税〔2009〕69号）"/>
    <hyperlink ref="A36:IV36" r:id="rId11" display="《国家税务总局关于贯彻落实企业所得税法若干税收问题的通知》（国税函〔2010〕79号）"/>
    <hyperlink ref="A37:IV37" r:id="rId12" display="《国家税务总局关于企业所得税若干问题的公告》（国家税务总局公告2011年第34号）"/>
    <hyperlink ref="A38:IV38" r:id="rId13" display="《财政部 国家税务总局 证监会关于沪港股票市场交易互联互通机制试点有关税收政策的通知》（财税〔2014〕81号）"/>
    <hyperlink ref="A39:R39" r:id="rId14" display="《财政部 国家税务总局 证监会关于深港股票市场交易互联互通机制试点有关税收政策的通知》（财税〔2016〕127号）"/>
  </hyperlinks>
  <pageMargins left="0.70866141732283472" right="0.70866141732283472" top="0.74803149606299213" bottom="0.74803149606299213" header="0.31496062992125984" footer="0.31496062992125984"/>
  <pageSetup paperSize="9" scale="83" orientation="landscape" verticalDpi="0" r:id="rId15"/>
  <rowBreaks count="1" manualBreakCount="1">
    <brk id="26" max="16383" man="1"/>
  </rowBreaks>
  <legacyDrawing r:id="rId16"/>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pageSetUpPr fitToPage="1"/>
  </sheetPr>
  <dimension ref="A1:T67"/>
  <sheetViews>
    <sheetView workbookViewId="0">
      <selection sqref="A1:R1"/>
    </sheetView>
  </sheetViews>
  <sheetFormatPr defaultColWidth="8.875" defaultRowHeight="16.5"/>
  <cols>
    <col min="1" max="1" width="5.125" style="145" customWidth="1"/>
    <col min="2" max="2" width="38.875" style="145" customWidth="1"/>
    <col min="3" max="3" width="47.625" style="145" customWidth="1"/>
    <col min="4" max="4" width="17.125" style="349" customWidth="1"/>
    <col min="5" max="16384" width="8.875" style="145"/>
  </cols>
  <sheetData>
    <row r="1" spans="1:18">
      <c r="A1" s="4081" t="s">
        <v>1199</v>
      </c>
      <c r="B1" s="4081"/>
      <c r="C1" s="4081"/>
      <c r="D1" s="4081"/>
      <c r="E1" s="4081"/>
      <c r="F1" s="4081"/>
      <c r="G1" s="4081"/>
      <c r="H1" s="4081"/>
      <c r="I1" s="4081"/>
      <c r="J1" s="4081"/>
      <c r="K1" s="4081"/>
      <c r="L1" s="4081"/>
      <c r="M1" s="4081"/>
      <c r="N1" s="4081"/>
      <c r="O1" s="4081"/>
      <c r="P1" s="4081"/>
      <c r="Q1" s="4081"/>
      <c r="R1" s="4081"/>
    </row>
    <row r="2" spans="1:18" ht="25.5" customHeight="1">
      <c r="A2" s="4235" t="s">
        <v>1201</v>
      </c>
      <c r="B2" s="4235"/>
      <c r="C2" s="4235"/>
      <c r="D2" s="4235"/>
    </row>
    <row r="3" spans="1:18" ht="24.75" customHeight="1">
      <c r="A3" s="4237" t="s">
        <v>820</v>
      </c>
      <c r="B3" s="4237"/>
      <c r="C3" s="4237"/>
      <c r="D3" s="4237"/>
    </row>
    <row r="4" spans="1:18" ht="24" customHeight="1">
      <c r="A4" s="346">
        <v>1</v>
      </c>
      <c r="B4" s="347" t="str">
        <f>研发费用加计扣除优惠审核表!B4</f>
        <v>√一般企业     □科技型中小企业</v>
      </c>
      <c r="C4" s="347" t="s">
        <v>821</v>
      </c>
      <c r="D4" s="347">
        <f>研发费用加计扣除优惠审核表!D4</f>
        <v>0</v>
      </c>
    </row>
    <row r="5" spans="1:18" ht="22.5" customHeight="1">
      <c r="A5" s="346">
        <v>2</v>
      </c>
      <c r="B5" s="347" t="s">
        <v>822</v>
      </c>
      <c r="C5" s="3747">
        <f>研发费用加计扣除优惠审核表!C5</f>
        <v>0</v>
      </c>
      <c r="D5" s="3747"/>
    </row>
    <row r="6" spans="1:18" ht="24" customHeight="1">
      <c r="A6" s="4238" t="s">
        <v>823</v>
      </c>
      <c r="B6" s="4238"/>
      <c r="C6" s="4238"/>
      <c r="D6" s="4238"/>
    </row>
    <row r="7" spans="1:18" ht="18" customHeight="1">
      <c r="A7" s="346">
        <v>3</v>
      </c>
      <c r="B7" s="4240" t="s">
        <v>824</v>
      </c>
      <c r="C7" s="4240"/>
      <c r="D7" s="344">
        <f>ROUND(D8+D12+D21+D24+D28+D39,2)</f>
        <v>0</v>
      </c>
    </row>
    <row r="8" spans="1:18" ht="18" customHeight="1">
      <c r="A8" s="346">
        <v>4</v>
      </c>
      <c r="B8" s="4236" t="s">
        <v>825</v>
      </c>
      <c r="C8" s="4236"/>
      <c r="D8" s="344">
        <f>ROUND(SUM(D9:D11),2)</f>
        <v>0</v>
      </c>
    </row>
    <row r="9" spans="1:18" ht="18" customHeight="1">
      <c r="A9" s="346">
        <v>5</v>
      </c>
      <c r="B9" s="4239" t="s">
        <v>826</v>
      </c>
      <c r="C9" s="4239"/>
      <c r="D9" s="2305">
        <f>研发费用加计扣除优惠审核表!D9</f>
        <v>0</v>
      </c>
    </row>
    <row r="10" spans="1:18" ht="18" customHeight="1">
      <c r="A10" s="346">
        <v>6</v>
      </c>
      <c r="B10" s="4239" t="s">
        <v>827</v>
      </c>
      <c r="C10" s="4239"/>
      <c r="D10" s="2305">
        <f>研发费用加计扣除优惠审核表!D10</f>
        <v>0</v>
      </c>
    </row>
    <row r="11" spans="1:18" ht="18" customHeight="1">
      <c r="A11" s="346">
        <v>7</v>
      </c>
      <c r="B11" s="4239" t="s">
        <v>828</v>
      </c>
      <c r="C11" s="4239"/>
      <c r="D11" s="2305">
        <f>研发费用加计扣除优惠审核表!D11</f>
        <v>0</v>
      </c>
    </row>
    <row r="12" spans="1:18" ht="18" customHeight="1">
      <c r="A12" s="346">
        <v>8</v>
      </c>
      <c r="B12" s="4236" t="s">
        <v>829</v>
      </c>
      <c r="C12" s="4236"/>
      <c r="D12" s="344">
        <f>ROUND(SUM(D13:D20),2)</f>
        <v>0</v>
      </c>
    </row>
    <row r="13" spans="1:18" ht="18" customHeight="1">
      <c r="A13" s="346">
        <v>9</v>
      </c>
      <c r="B13" s="4239" t="s">
        <v>830</v>
      </c>
      <c r="C13" s="4239"/>
      <c r="D13" s="2305">
        <f>研发费用加计扣除优惠审核表!D13</f>
        <v>0</v>
      </c>
    </row>
    <row r="14" spans="1:18" ht="18" customHeight="1">
      <c r="A14" s="346">
        <v>10</v>
      </c>
      <c r="B14" s="4239" t="s">
        <v>831</v>
      </c>
      <c r="C14" s="4239"/>
      <c r="D14" s="2305">
        <f>研发费用加计扣除优惠审核表!D14</f>
        <v>0</v>
      </c>
    </row>
    <row r="15" spans="1:18" ht="18" customHeight="1">
      <c r="A15" s="346">
        <v>11</v>
      </c>
      <c r="B15" s="4239" t="s">
        <v>832</v>
      </c>
      <c r="C15" s="4239"/>
      <c r="D15" s="2305">
        <f>研发费用加计扣除优惠审核表!D15</f>
        <v>0</v>
      </c>
    </row>
    <row r="16" spans="1:18" ht="18" customHeight="1">
      <c r="A16" s="346">
        <v>12</v>
      </c>
      <c r="B16" s="4239" t="s">
        <v>833</v>
      </c>
      <c r="C16" s="4239"/>
      <c r="D16" s="2305">
        <f>研发费用加计扣除优惠审核表!D16</f>
        <v>0</v>
      </c>
    </row>
    <row r="17" spans="1:4" ht="18" customHeight="1">
      <c r="A17" s="346">
        <v>13</v>
      </c>
      <c r="B17" s="4239" t="s">
        <v>834</v>
      </c>
      <c r="C17" s="4239"/>
      <c r="D17" s="2305">
        <f>研发费用加计扣除优惠审核表!D17</f>
        <v>0</v>
      </c>
    </row>
    <row r="18" spans="1:4" ht="18" customHeight="1">
      <c r="A18" s="346">
        <v>14</v>
      </c>
      <c r="B18" s="4239" t="s">
        <v>835</v>
      </c>
      <c r="C18" s="4239"/>
      <c r="D18" s="2305">
        <f>研发费用加计扣除优惠审核表!D18</f>
        <v>0</v>
      </c>
    </row>
    <row r="19" spans="1:4" ht="18" customHeight="1">
      <c r="A19" s="346">
        <v>15</v>
      </c>
      <c r="B19" s="4239" t="s">
        <v>836</v>
      </c>
      <c r="C19" s="4239"/>
      <c r="D19" s="2305">
        <f>研发费用加计扣除优惠审核表!D19</f>
        <v>0</v>
      </c>
    </row>
    <row r="20" spans="1:4" ht="18" customHeight="1">
      <c r="A20" s="346">
        <v>16</v>
      </c>
      <c r="B20" s="4239" t="s">
        <v>837</v>
      </c>
      <c r="C20" s="4239"/>
      <c r="D20" s="2305">
        <f>研发费用加计扣除优惠审核表!D20</f>
        <v>0</v>
      </c>
    </row>
    <row r="21" spans="1:4" ht="18" customHeight="1">
      <c r="A21" s="346">
        <v>17</v>
      </c>
      <c r="B21" s="4236" t="s">
        <v>838</v>
      </c>
      <c r="C21" s="4236"/>
      <c r="D21" s="344">
        <f>ROUND(SUM(D22:D23),2)</f>
        <v>0</v>
      </c>
    </row>
    <row r="22" spans="1:4" ht="18" customHeight="1">
      <c r="A22" s="346">
        <v>18</v>
      </c>
      <c r="B22" s="4239" t="s">
        <v>839</v>
      </c>
      <c r="C22" s="4239"/>
      <c r="D22" s="2305">
        <f>研发费用加计扣除优惠审核表!D22</f>
        <v>0</v>
      </c>
    </row>
    <row r="23" spans="1:4" ht="18" customHeight="1">
      <c r="A23" s="346">
        <v>19</v>
      </c>
      <c r="B23" s="4239" t="s">
        <v>840</v>
      </c>
      <c r="C23" s="4239"/>
      <c r="D23" s="2305">
        <f>研发费用加计扣除优惠审核表!D23</f>
        <v>0</v>
      </c>
    </row>
    <row r="24" spans="1:4" ht="18" customHeight="1">
      <c r="A24" s="346">
        <v>20</v>
      </c>
      <c r="B24" s="4236" t="s">
        <v>841</v>
      </c>
      <c r="C24" s="4236"/>
      <c r="D24" s="344">
        <f>ROUND(SUM(D25:D27),2)</f>
        <v>0</v>
      </c>
    </row>
    <row r="25" spans="1:4" ht="18" customHeight="1">
      <c r="A25" s="346">
        <v>21</v>
      </c>
      <c r="B25" s="4239" t="s">
        <v>842</v>
      </c>
      <c r="C25" s="4239"/>
      <c r="D25" s="2305">
        <f>研发费用加计扣除优惠审核表!D25</f>
        <v>0</v>
      </c>
    </row>
    <row r="26" spans="1:4" ht="18" customHeight="1">
      <c r="A26" s="346">
        <v>22</v>
      </c>
      <c r="B26" s="4239" t="s">
        <v>843</v>
      </c>
      <c r="C26" s="4239"/>
      <c r="D26" s="2305">
        <f>研发费用加计扣除优惠审核表!D26</f>
        <v>0</v>
      </c>
    </row>
    <row r="27" spans="1:4" ht="33" customHeight="1">
      <c r="A27" s="346">
        <v>23</v>
      </c>
      <c r="B27" s="4239" t="s">
        <v>844</v>
      </c>
      <c r="C27" s="4239"/>
      <c r="D27" s="2305">
        <f>研发费用加计扣除优惠审核表!D27</f>
        <v>0</v>
      </c>
    </row>
    <row r="28" spans="1:4" ht="18" customHeight="1">
      <c r="A28" s="346">
        <v>24</v>
      </c>
      <c r="B28" s="4236" t="s">
        <v>845</v>
      </c>
      <c r="C28" s="4236"/>
      <c r="D28" s="344">
        <f>ROUND(SUM(D29:D32),2)</f>
        <v>0</v>
      </c>
    </row>
    <row r="29" spans="1:4" ht="18" customHeight="1">
      <c r="A29" s="346">
        <v>25</v>
      </c>
      <c r="B29" s="4239" t="s">
        <v>846</v>
      </c>
      <c r="C29" s="4239"/>
      <c r="D29" s="2305">
        <f>研发费用加计扣除优惠审核表!D29</f>
        <v>0</v>
      </c>
    </row>
    <row r="30" spans="1:4" ht="18" customHeight="1">
      <c r="A30" s="346">
        <v>26</v>
      </c>
      <c r="B30" s="4239" t="s">
        <v>847</v>
      </c>
      <c r="C30" s="4239"/>
      <c r="D30" s="2305">
        <f>研发费用加计扣除优惠审核表!D30</f>
        <v>0</v>
      </c>
    </row>
    <row r="31" spans="1:4" ht="18" customHeight="1">
      <c r="A31" s="346">
        <v>27</v>
      </c>
      <c r="B31" s="4239" t="s">
        <v>848</v>
      </c>
      <c r="C31" s="4239"/>
      <c r="D31" s="2305">
        <f>研发费用加计扣除优惠审核表!D31</f>
        <v>0</v>
      </c>
    </row>
    <row r="32" spans="1:4" ht="18" customHeight="1">
      <c r="A32" s="346">
        <v>28</v>
      </c>
      <c r="B32" s="4239" t="s">
        <v>849</v>
      </c>
      <c r="C32" s="4239"/>
      <c r="D32" s="2305">
        <f>研发费用加计扣除优惠审核表!D32</f>
        <v>0</v>
      </c>
    </row>
    <row r="33" spans="1:4" ht="18" customHeight="1">
      <c r="A33" s="346">
        <v>29</v>
      </c>
      <c r="B33" s="4236" t="s">
        <v>850</v>
      </c>
      <c r="C33" s="4236"/>
      <c r="D33" s="344">
        <f>ROUND(SUM(D34:D38),2)</f>
        <v>0</v>
      </c>
    </row>
    <row r="34" spans="1:4" ht="18" customHeight="1">
      <c r="A34" s="346">
        <v>30</v>
      </c>
      <c r="B34" s="4239" t="s">
        <v>851</v>
      </c>
      <c r="C34" s="4239"/>
      <c r="D34" s="2305">
        <f>研发费用加计扣除优惠审核表!D34</f>
        <v>0</v>
      </c>
    </row>
    <row r="35" spans="1:4" ht="18" customHeight="1">
      <c r="A35" s="346">
        <v>31</v>
      </c>
      <c r="B35" s="4239" t="s">
        <v>852</v>
      </c>
      <c r="C35" s="4239"/>
      <c r="D35" s="2305">
        <f>研发费用加计扣除优惠审核表!D35</f>
        <v>0</v>
      </c>
    </row>
    <row r="36" spans="1:4" ht="18" customHeight="1">
      <c r="A36" s="346">
        <v>32</v>
      </c>
      <c r="B36" s="4239" t="s">
        <v>853</v>
      </c>
      <c r="C36" s="4239"/>
      <c r="D36" s="2305">
        <f>研发费用加计扣除优惠审核表!D36</f>
        <v>0</v>
      </c>
    </row>
    <row r="37" spans="1:4" ht="18" customHeight="1">
      <c r="A37" s="346">
        <v>33</v>
      </c>
      <c r="B37" s="4239" t="s">
        <v>854</v>
      </c>
      <c r="C37" s="4239"/>
      <c r="D37" s="2307">
        <f>研发费用加计扣除优惠审核表!D37</f>
        <v>0</v>
      </c>
    </row>
    <row r="38" spans="1:4" ht="18" customHeight="1">
      <c r="A38" s="346">
        <v>34</v>
      </c>
      <c r="B38" s="4239" t="s">
        <v>855</v>
      </c>
      <c r="C38" s="4239"/>
      <c r="D38" s="2307">
        <f>研发费用加计扣除优惠审核表!D38</f>
        <v>0</v>
      </c>
    </row>
    <row r="39" spans="1:4" ht="18" customHeight="1">
      <c r="A39" s="346">
        <v>35</v>
      </c>
      <c r="B39" s="4236" t="s">
        <v>856</v>
      </c>
      <c r="C39" s="4236"/>
      <c r="D39" s="2307">
        <f>研发费用加计扣除优惠审核表!D39</f>
        <v>0</v>
      </c>
    </row>
    <row r="40" spans="1:4" ht="18" customHeight="1">
      <c r="A40" s="346">
        <v>36</v>
      </c>
      <c r="B40" s="4240" t="s">
        <v>857</v>
      </c>
      <c r="C40" s="4240"/>
      <c r="D40" s="2308">
        <f>(D41-D42)*80%</f>
        <v>0</v>
      </c>
    </row>
    <row r="41" spans="1:4" ht="18" customHeight="1">
      <c r="A41" s="346">
        <v>37</v>
      </c>
      <c r="B41" s="4236" t="s">
        <v>858</v>
      </c>
      <c r="C41" s="4236"/>
      <c r="D41" s="2307">
        <f>研发费用加计扣除优惠审核表!D41</f>
        <v>0</v>
      </c>
    </row>
    <row r="42" spans="1:4" ht="18" customHeight="1">
      <c r="A42" s="346">
        <v>38</v>
      </c>
      <c r="B42" s="4239" t="s">
        <v>859</v>
      </c>
      <c r="C42" s="4239"/>
      <c r="D42" s="2307">
        <f>研发费用加计扣除优惠审核表!D42</f>
        <v>0</v>
      </c>
    </row>
    <row r="43" spans="1:4" ht="18" customHeight="1">
      <c r="A43" s="346">
        <v>39</v>
      </c>
      <c r="B43" s="3747" t="s">
        <v>860</v>
      </c>
      <c r="C43" s="3747"/>
      <c r="D43" s="2308">
        <f>ROUND(D7+D40,2)</f>
        <v>0</v>
      </c>
    </row>
    <row r="44" spans="1:4" ht="18" customHeight="1">
      <c r="A44" s="346">
        <v>40</v>
      </c>
      <c r="B44" s="4236" t="s">
        <v>861</v>
      </c>
      <c r="C44" s="4236"/>
      <c r="D44" s="2307">
        <f>研发费用加计扣除优惠审核表!D44</f>
        <v>0</v>
      </c>
    </row>
    <row r="45" spans="1:4" ht="18" customHeight="1">
      <c r="A45" s="346">
        <v>41</v>
      </c>
      <c r="B45" s="4236" t="s">
        <v>862</v>
      </c>
      <c r="C45" s="4236"/>
      <c r="D45" s="2307">
        <f>研发费用加计扣除优惠审核表!D45</f>
        <v>0</v>
      </c>
    </row>
    <row r="46" spans="1:4" ht="18" customHeight="1">
      <c r="A46" s="346">
        <v>42</v>
      </c>
      <c r="B46" s="3747" t="s">
        <v>863</v>
      </c>
      <c r="C46" s="3747"/>
      <c r="D46" s="2307">
        <f>研发费用加计扣除优惠审核表!D46</f>
        <v>0</v>
      </c>
    </row>
    <row r="47" spans="1:4" ht="18" customHeight="1">
      <c r="A47" s="346">
        <v>43</v>
      </c>
      <c r="B47" s="3747" t="s">
        <v>864</v>
      </c>
      <c r="C47" s="3747"/>
      <c r="D47" s="2305">
        <f>研发费用加计扣除优惠审核表!D47</f>
        <v>0</v>
      </c>
    </row>
    <row r="48" spans="1:4" ht="18" customHeight="1">
      <c r="A48" s="346">
        <v>44</v>
      </c>
      <c r="B48" s="3747" t="s">
        <v>865</v>
      </c>
      <c r="C48" s="3747"/>
      <c r="D48" s="344">
        <f>ROUND(D44+D46+D47,2)</f>
        <v>0</v>
      </c>
    </row>
    <row r="49" spans="1:20" ht="18" customHeight="1">
      <c r="A49" s="346">
        <v>45</v>
      </c>
      <c r="B49" s="4236" t="s">
        <v>866</v>
      </c>
      <c r="C49" s="4236"/>
      <c r="D49" s="2305">
        <f>研发费用加计扣除优惠审核表!D49</f>
        <v>0</v>
      </c>
    </row>
    <row r="50" spans="1:20" ht="18" customHeight="1">
      <c r="A50" s="346">
        <v>46</v>
      </c>
      <c r="B50" s="3747" t="s">
        <v>867</v>
      </c>
      <c r="C50" s="3747"/>
      <c r="D50" s="344">
        <f>ROUND(D48-D49,2)</f>
        <v>0</v>
      </c>
    </row>
    <row r="51" spans="1:20" ht="18" customHeight="1">
      <c r="A51" s="346">
        <v>47</v>
      </c>
      <c r="B51" s="4236" t="s">
        <v>868</v>
      </c>
      <c r="C51" s="4236"/>
      <c r="D51" s="2305">
        <f>研发费用加计扣除优惠审核表!D51</f>
        <v>0</v>
      </c>
    </row>
    <row r="52" spans="1:20" ht="18" customHeight="1">
      <c r="A52" s="346">
        <v>48</v>
      </c>
      <c r="B52" s="4236" t="s">
        <v>869</v>
      </c>
      <c r="C52" s="4236"/>
      <c r="D52" s="2305">
        <f>研发费用加计扣除优惠审核表!D52</f>
        <v>0</v>
      </c>
    </row>
    <row r="53" spans="1:20" ht="18" customHeight="1">
      <c r="A53" s="346">
        <v>49</v>
      </c>
      <c r="B53" s="3747" t="s">
        <v>870</v>
      </c>
      <c r="C53" s="3747"/>
      <c r="D53" s="2306">
        <f>研发费用加计扣除优惠审核表!D53</f>
        <v>0.5</v>
      </c>
    </row>
    <row r="54" spans="1:20" ht="18" customHeight="1">
      <c r="A54" s="346">
        <v>50</v>
      </c>
      <c r="B54" s="3747" t="s">
        <v>871</v>
      </c>
      <c r="C54" s="3747"/>
      <c r="D54" s="344">
        <f>IF((D50-D51-D52)&lt;0,0,ROUND((D50-D51-D52)*D53,2))</f>
        <v>0</v>
      </c>
    </row>
    <row r="55" spans="1:20" ht="27" customHeight="1">
      <c r="A55" s="346">
        <v>51</v>
      </c>
      <c r="B55" s="3747" t="s">
        <v>872</v>
      </c>
      <c r="C55" s="3747"/>
      <c r="D55" s="344">
        <f>IF((D50-D51-D52)&gt;=0,0,ABS(D50-D51-D52))</f>
        <v>0</v>
      </c>
    </row>
    <row r="58" spans="1:20" s="218" customFormat="1" ht="14.25" customHeight="1">
      <c r="A58" s="4097" t="s">
        <v>1410</v>
      </c>
      <c r="B58" s="4097"/>
      <c r="C58" s="4097"/>
      <c r="D58" s="4097"/>
      <c r="E58" s="4097"/>
      <c r="F58" s="217"/>
      <c r="G58" s="217"/>
      <c r="H58" s="217"/>
      <c r="I58" s="217"/>
      <c r="J58" s="217"/>
      <c r="K58" s="217"/>
      <c r="L58" s="217"/>
      <c r="M58" s="217"/>
      <c r="N58" s="217"/>
      <c r="O58" s="217"/>
      <c r="P58" s="217"/>
      <c r="Q58" s="217"/>
      <c r="R58" s="217"/>
      <c r="S58" s="217"/>
      <c r="T58" s="217"/>
    </row>
    <row r="59" spans="1:20" s="219" customFormat="1" ht="12" customHeight="1">
      <c r="A59" s="4095" t="s">
        <v>1482</v>
      </c>
      <c r="B59" s="4095"/>
      <c r="C59" s="4095"/>
      <c r="D59" s="4095"/>
      <c r="E59" s="4095"/>
      <c r="F59" s="213"/>
      <c r="G59" s="213"/>
      <c r="H59" s="213"/>
      <c r="I59" s="213"/>
      <c r="J59" s="213"/>
      <c r="K59" s="213"/>
      <c r="L59" s="213"/>
      <c r="M59" s="213"/>
      <c r="N59" s="213"/>
      <c r="O59" s="213"/>
      <c r="P59" s="213"/>
      <c r="Q59" s="213"/>
      <c r="R59" s="213"/>
      <c r="S59" s="213"/>
      <c r="T59" s="213"/>
    </row>
    <row r="60" spans="1:20" s="219" customFormat="1" ht="12">
      <c r="A60" s="4096"/>
      <c r="B60" s="4096"/>
      <c r="C60" s="4096"/>
      <c r="D60" s="4096"/>
      <c r="E60" s="4096"/>
      <c r="F60" s="220"/>
      <c r="G60" s="220"/>
      <c r="H60" s="220"/>
      <c r="I60" s="220"/>
      <c r="J60" s="220"/>
      <c r="K60" s="220"/>
      <c r="L60" s="220"/>
      <c r="M60" s="220"/>
      <c r="N60" s="220"/>
      <c r="O60" s="220"/>
      <c r="P60" s="220"/>
      <c r="Q60" s="220"/>
      <c r="R60" s="220"/>
      <c r="S60" s="220"/>
      <c r="T60" s="220"/>
    </row>
    <row r="61" spans="1:20" s="219" customFormat="1" ht="12" customHeight="1">
      <c r="A61" s="4097" t="s">
        <v>1412</v>
      </c>
      <c r="B61" s="4097"/>
      <c r="C61" s="4097"/>
      <c r="D61" s="4097"/>
      <c r="E61" s="4097"/>
      <c r="F61" s="217"/>
      <c r="G61" s="217"/>
      <c r="H61" s="217"/>
      <c r="I61" s="217"/>
      <c r="J61" s="217"/>
      <c r="K61" s="217"/>
      <c r="L61" s="217"/>
      <c r="M61" s="217"/>
      <c r="N61" s="217"/>
      <c r="O61" s="217"/>
      <c r="P61" s="217"/>
      <c r="Q61" s="217"/>
      <c r="R61" s="217"/>
      <c r="S61" s="217"/>
      <c r="T61" s="217"/>
    </row>
    <row r="62" spans="1:20" s="221" customFormat="1" ht="12" customHeight="1">
      <c r="A62" s="4095" t="s">
        <v>1483</v>
      </c>
      <c r="B62" s="4095"/>
      <c r="C62" s="4095"/>
      <c r="D62" s="4095"/>
      <c r="E62" s="4095"/>
      <c r="F62" s="213"/>
      <c r="G62" s="213"/>
      <c r="H62" s="213"/>
      <c r="I62" s="213"/>
      <c r="J62" s="213"/>
      <c r="K62" s="213"/>
      <c r="L62" s="213"/>
      <c r="M62" s="213"/>
      <c r="N62" s="213"/>
      <c r="O62" s="213"/>
      <c r="P62" s="213"/>
      <c r="Q62" s="213"/>
      <c r="R62" s="213"/>
      <c r="S62" s="213"/>
      <c r="T62" s="213"/>
    </row>
    <row r="63" spans="1:20" s="221" customFormat="1" ht="12" customHeight="1">
      <c r="A63" s="4095" t="s">
        <v>1484</v>
      </c>
      <c r="B63" s="4095"/>
      <c r="C63" s="4095"/>
      <c r="D63" s="4095"/>
      <c r="E63" s="4095"/>
      <c r="F63" s="213"/>
      <c r="G63" s="213"/>
      <c r="H63" s="213"/>
      <c r="I63" s="213"/>
      <c r="J63" s="213"/>
      <c r="K63" s="213"/>
      <c r="L63" s="213"/>
      <c r="M63" s="213"/>
      <c r="N63" s="213"/>
      <c r="O63" s="213"/>
      <c r="P63" s="213"/>
      <c r="Q63" s="213"/>
      <c r="R63" s="213"/>
      <c r="S63" s="213"/>
      <c r="T63" s="213"/>
    </row>
    <row r="64" spans="1:20" s="219" customFormat="1" ht="12" customHeight="1">
      <c r="A64" s="4095" t="s">
        <v>1485</v>
      </c>
      <c r="B64" s="4095"/>
      <c r="C64" s="4095"/>
      <c r="D64" s="4095"/>
      <c r="E64" s="4095"/>
      <c r="F64" s="217"/>
      <c r="G64" s="217"/>
      <c r="H64" s="217"/>
      <c r="I64" s="217"/>
      <c r="J64" s="217"/>
      <c r="K64" s="217"/>
      <c r="L64" s="217"/>
      <c r="M64" s="217"/>
      <c r="N64" s="217"/>
      <c r="O64" s="217"/>
      <c r="P64" s="217"/>
      <c r="Q64" s="217"/>
      <c r="R64" s="217"/>
      <c r="S64" s="217"/>
      <c r="T64" s="217"/>
    </row>
    <row r="65" spans="1:20" s="219" customFormat="1" ht="12" customHeight="1">
      <c r="A65" s="4095" t="s">
        <v>1486</v>
      </c>
      <c r="B65" s="4095"/>
      <c r="C65" s="4095"/>
      <c r="D65" s="4095"/>
      <c r="E65" s="4095"/>
      <c r="F65" s="217"/>
      <c r="G65" s="217"/>
      <c r="H65" s="217"/>
      <c r="I65" s="217"/>
      <c r="J65" s="217"/>
      <c r="K65" s="217"/>
      <c r="L65" s="217"/>
      <c r="M65" s="217"/>
      <c r="N65" s="217"/>
      <c r="O65" s="217"/>
      <c r="P65" s="217"/>
      <c r="Q65" s="217"/>
      <c r="R65" s="217"/>
      <c r="S65" s="217"/>
      <c r="T65" s="217"/>
    </row>
    <row r="66" spans="1:20" s="219" customFormat="1" ht="12" customHeight="1">
      <c r="A66" s="4095" t="s">
        <v>1487</v>
      </c>
      <c r="B66" s="4095"/>
      <c r="C66" s="4095"/>
      <c r="D66" s="4095"/>
      <c r="E66" s="4095"/>
    </row>
    <row r="67" spans="1:20" s="219" customFormat="1" ht="14.25" customHeight="1">
      <c r="A67" s="4095" t="s">
        <v>1488</v>
      </c>
      <c r="B67" s="4095"/>
      <c r="C67" s="4095"/>
      <c r="D67" s="4095"/>
      <c r="E67" s="4095"/>
    </row>
  </sheetData>
  <mergeCells count="64">
    <mergeCell ref="B7:C7"/>
    <mergeCell ref="A64:E64"/>
    <mergeCell ref="A65:E65"/>
    <mergeCell ref="A66:E66"/>
    <mergeCell ref="A67:E6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36:C36"/>
    <mergeCell ref="B37:C37"/>
    <mergeCell ref="B26:C26"/>
    <mergeCell ref="B27:C27"/>
    <mergeCell ref="B28:C28"/>
    <mergeCell ref="B29:C29"/>
    <mergeCell ref="B30:C30"/>
    <mergeCell ref="B31:C31"/>
    <mergeCell ref="B33:C33"/>
    <mergeCell ref="B34:C34"/>
    <mergeCell ref="B35:C35"/>
    <mergeCell ref="B49:C49"/>
    <mergeCell ref="B38:C38"/>
    <mergeCell ref="B39:C39"/>
    <mergeCell ref="B40:C40"/>
    <mergeCell ref="B41:C41"/>
    <mergeCell ref="B42:C42"/>
    <mergeCell ref="B43:C43"/>
    <mergeCell ref="B48:C48"/>
    <mergeCell ref="A2:D2"/>
    <mergeCell ref="A1:R1"/>
    <mergeCell ref="A58:E58"/>
    <mergeCell ref="A59:E59"/>
    <mergeCell ref="B50:C50"/>
    <mergeCell ref="B51:C51"/>
    <mergeCell ref="B52:C52"/>
    <mergeCell ref="B53:C53"/>
    <mergeCell ref="A3:D3"/>
    <mergeCell ref="C5:D5"/>
    <mergeCell ref="A6:D6"/>
    <mergeCell ref="B44:C44"/>
    <mergeCell ref="B45:C45"/>
    <mergeCell ref="B46:C46"/>
    <mergeCell ref="B47:C47"/>
    <mergeCell ref="B32:C32"/>
    <mergeCell ref="A60:E60"/>
    <mergeCell ref="A61:E61"/>
    <mergeCell ref="A62:E62"/>
    <mergeCell ref="A63:E63"/>
    <mergeCell ref="B54:C54"/>
    <mergeCell ref="B55:C55"/>
  </mergeCells>
  <phoneticPr fontId="46" type="noConversion"/>
  <hyperlinks>
    <hyperlink ref="A1:R1" location="'A100000 中华人民共和国企业所得税年度纳税申报表（A类）'!A1" display="返回主表（A100000） "/>
    <hyperlink ref="A63" r:id="rId1" display="《国家税务总局关于企业研究开发费用税前加计扣除政策有关问题的公告》"/>
    <hyperlink ref="A62" r:id="rId2"/>
    <hyperlink ref="A64" r:id="rId3"/>
    <hyperlink ref="A65" r:id="rId4"/>
    <hyperlink ref="A66" r:id="rId5"/>
    <hyperlink ref="A67" r:id="rId6"/>
    <hyperlink ref="A62:IV62" r:id="rId7" display="《财政部 国家税务总局 科技部关于完善研究开发费用税前加计扣除政策的通知》（财税〔2015〕119号）"/>
    <hyperlink ref="A63:IV63" r:id="rId8" display="《国家税务总局关于企业研究开发费用税前加计扣除政策有关问题的公告》（国家税务总局公告2015年第97号）"/>
    <hyperlink ref="A64:E64" r:id="rId9" display="《财政部 税务总局 科技部关于提高科技型中小企业研究开发费用税前加计扣除比例的通知》（财税〔2017〕34号）"/>
    <hyperlink ref="A65:E65" r:id="rId10" display="《科技部 财政部 国家税务总局关于印发〈科技型中小企业评价办法〉的通知》（国科发政〔2017〕115号）"/>
    <hyperlink ref="A66:E66" r:id="rId11" display="《国家税务总局关于提高科技型中小企业研究开发费用税前加计扣除比例有关问题的公告》（国家税务总局公告2017年第18号）"/>
    <hyperlink ref="A67:E67" r:id="rId12" display="《国家税务总局关于研发费用税前加计扣除归集范围有关问题的公告》（国家税务总局公告2017年第40号）"/>
    <hyperlink ref="A59:E59" r:id="rId13" display="《中国税务合规实务指南—所得税》   企业研发费用加计扣除[¶60-320]-[¶60-339]"/>
  </hyperlinks>
  <pageMargins left="0.70866141732283472" right="0.70866141732283472" top="0.74803149606299213" bottom="0.74803149606299213" header="0.31496062992125984" footer="0.31496062992125984"/>
  <pageSetup paperSize="9" scale="74" orientation="portrait" verticalDpi="0" r:id="rId14"/>
  <legacyDrawing r:id="rId15"/>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fitToPage="1"/>
  </sheetPr>
  <dimension ref="A1:S66"/>
  <sheetViews>
    <sheetView workbookViewId="0">
      <selection sqref="A1:M1"/>
    </sheetView>
  </sheetViews>
  <sheetFormatPr defaultColWidth="9.25" defaultRowHeight="14.25"/>
  <cols>
    <col min="1" max="1" width="5" style="152" customWidth="1"/>
    <col min="2" max="2" width="24.125" style="157" customWidth="1"/>
    <col min="3" max="5" width="10.625" style="157" customWidth="1"/>
    <col min="6" max="9" width="9.75" style="156" customWidth="1"/>
    <col min="10" max="11" width="9.25" style="156" customWidth="1"/>
    <col min="12" max="12" width="10.75" style="156" customWidth="1"/>
    <col min="13" max="13" width="13.75" style="152" customWidth="1"/>
    <col min="14" max="14" width="1.25" style="152" customWidth="1"/>
    <col min="15" max="16384" width="9.25" style="152"/>
  </cols>
  <sheetData>
    <row r="1" spans="1:14" s="128" customFormat="1">
      <c r="A1" s="4081" t="s">
        <v>1202</v>
      </c>
      <c r="B1" s="4081"/>
      <c r="C1" s="4081"/>
      <c r="D1" s="4081"/>
      <c r="E1" s="4081"/>
      <c r="F1" s="4081"/>
      <c r="G1" s="4081"/>
      <c r="H1" s="4081"/>
      <c r="I1" s="4081"/>
      <c r="J1" s="4081"/>
      <c r="K1" s="4081"/>
      <c r="L1" s="4081"/>
      <c r="M1" s="4081"/>
    </row>
    <row r="2" spans="1:14" s="146" customFormat="1" ht="18.75">
      <c r="A2" s="4082" t="s">
        <v>1203</v>
      </c>
      <c r="B2" s="4234"/>
      <c r="C2" s="4234"/>
      <c r="D2" s="4234"/>
      <c r="E2" s="4234"/>
      <c r="F2" s="4234"/>
      <c r="G2" s="4234"/>
      <c r="H2" s="4234"/>
      <c r="I2" s="4234"/>
      <c r="J2" s="4234"/>
      <c r="K2" s="4234"/>
      <c r="L2" s="4234"/>
      <c r="M2" s="4234"/>
    </row>
    <row r="3" spans="1:14" s="148" customFormat="1" ht="13.5" customHeight="1">
      <c r="A3" s="4215" t="s">
        <v>147</v>
      </c>
      <c r="B3" s="4222" t="s">
        <v>880</v>
      </c>
      <c r="C3" s="4222" t="s">
        <v>881</v>
      </c>
      <c r="D3" s="4222" t="s">
        <v>882</v>
      </c>
      <c r="E3" s="4222" t="s">
        <v>883</v>
      </c>
      <c r="F3" s="4222" t="s">
        <v>873</v>
      </c>
      <c r="G3" s="4222" t="s">
        <v>874</v>
      </c>
      <c r="H3" s="4222" t="s">
        <v>875</v>
      </c>
      <c r="I3" s="4222" t="s">
        <v>876</v>
      </c>
      <c r="J3" s="4222" t="s">
        <v>877</v>
      </c>
      <c r="K3" s="4241" t="s">
        <v>878</v>
      </c>
      <c r="L3" s="4241"/>
      <c r="M3" s="4222" t="s">
        <v>879</v>
      </c>
      <c r="N3" s="147"/>
    </row>
    <row r="4" spans="1:14" s="148" customFormat="1" ht="18" customHeight="1">
      <c r="A4" s="4216"/>
      <c r="B4" s="4223"/>
      <c r="C4" s="4224"/>
      <c r="D4" s="4224"/>
      <c r="E4" s="4224"/>
      <c r="F4" s="4224"/>
      <c r="G4" s="4224"/>
      <c r="H4" s="4224"/>
      <c r="I4" s="4224"/>
      <c r="J4" s="4224"/>
      <c r="K4" s="132" t="s">
        <v>884</v>
      </c>
      <c r="L4" s="135" t="s">
        <v>885</v>
      </c>
      <c r="M4" s="4224"/>
    </row>
    <row r="5" spans="1:14" s="148" customFormat="1" ht="13.5" customHeight="1">
      <c r="A5" s="4217"/>
      <c r="B5" s="4224"/>
      <c r="C5" s="133">
        <v>1</v>
      </c>
      <c r="D5" s="133">
        <v>2</v>
      </c>
      <c r="E5" s="133">
        <v>3</v>
      </c>
      <c r="F5" s="133">
        <v>4</v>
      </c>
      <c r="G5" s="133">
        <v>5</v>
      </c>
      <c r="H5" s="133">
        <v>6</v>
      </c>
      <c r="I5" s="133">
        <v>7</v>
      </c>
      <c r="J5" s="133">
        <v>8</v>
      </c>
      <c r="K5" s="133">
        <v>9</v>
      </c>
      <c r="L5" s="133">
        <v>10</v>
      </c>
      <c r="M5" s="133" t="s">
        <v>886</v>
      </c>
    </row>
    <row r="6" spans="1:14" s="148" customFormat="1" ht="12">
      <c r="A6" s="135">
        <v>1</v>
      </c>
      <c r="B6" s="4242" t="s">
        <v>887</v>
      </c>
      <c r="C6" s="149">
        <f>所得减免优惠审核表!C6</f>
        <v>0</v>
      </c>
      <c r="D6" s="149">
        <f>所得减免优惠审核表!D6</f>
        <v>0</v>
      </c>
      <c r="E6" s="149">
        <f>所得减免优惠审核表!E6</f>
        <v>0</v>
      </c>
      <c r="F6" s="151">
        <f>所得减免优惠审核表!F6</f>
        <v>0</v>
      </c>
      <c r="G6" s="151">
        <f>所得减免优惠审核表!G6</f>
        <v>0</v>
      </c>
      <c r="H6" s="151">
        <f>所得减免优惠审核表!H6</f>
        <v>0</v>
      </c>
      <c r="I6" s="151">
        <f>所得减免优惠审核表!I6</f>
        <v>0</v>
      </c>
      <c r="J6" s="151">
        <f>所得减免优惠审核表!J6</f>
        <v>0</v>
      </c>
      <c r="K6" s="151">
        <f>所得减免优惠审核表!K6</f>
        <v>0</v>
      </c>
      <c r="L6" s="151">
        <f>所得减免优惠审核表!L6</f>
        <v>0</v>
      </c>
      <c r="M6" s="344">
        <f>IF(K6+L6*50%&lt;0,0,K6+L6*50%)</f>
        <v>0</v>
      </c>
    </row>
    <row r="7" spans="1:14" s="148" customFormat="1" ht="12">
      <c r="A7" s="135">
        <v>2</v>
      </c>
      <c r="B7" s="4243"/>
      <c r="C7" s="149">
        <f>所得减免优惠审核表!C7</f>
        <v>0</v>
      </c>
      <c r="D7" s="149">
        <f>所得减免优惠审核表!D7</f>
        <v>0</v>
      </c>
      <c r="E7" s="149">
        <f>所得减免优惠审核表!E7</f>
        <v>0</v>
      </c>
      <c r="F7" s="151">
        <f>所得减免优惠审核表!F7</f>
        <v>0</v>
      </c>
      <c r="G7" s="151">
        <f>所得减免优惠审核表!G7</f>
        <v>0</v>
      </c>
      <c r="H7" s="151">
        <f>所得减免优惠审核表!H7</f>
        <v>0</v>
      </c>
      <c r="I7" s="151">
        <f>所得减免优惠审核表!I7</f>
        <v>0</v>
      </c>
      <c r="J7" s="151">
        <f>所得减免优惠审核表!J7</f>
        <v>0</v>
      </c>
      <c r="K7" s="151">
        <f>所得减免优惠审核表!K7</f>
        <v>0</v>
      </c>
      <c r="L7" s="151">
        <f>所得减免优惠审核表!L7</f>
        <v>0</v>
      </c>
      <c r="M7" s="344">
        <f t="shared" ref="M7:M14" si="0">IF(K7+L7*50%&lt;0,0,K7+L7*50%)</f>
        <v>0</v>
      </c>
    </row>
    <row r="8" spans="1:14" s="148" customFormat="1" ht="12">
      <c r="A8" s="130">
        <v>3</v>
      </c>
      <c r="B8" s="4244"/>
      <c r="C8" s="131" t="s">
        <v>895</v>
      </c>
      <c r="D8" s="131" t="s">
        <v>133</v>
      </c>
      <c r="E8" s="131" t="s">
        <v>133</v>
      </c>
      <c r="F8" s="344">
        <f>ROUND(SUM(F6:F7),2)</f>
        <v>0</v>
      </c>
      <c r="G8" s="344">
        <f t="shared" ref="G8:L8" si="1">ROUND(SUM(G6:G7),2)</f>
        <v>0</v>
      </c>
      <c r="H8" s="344">
        <f t="shared" si="1"/>
        <v>0</v>
      </c>
      <c r="I8" s="344">
        <f t="shared" si="1"/>
        <v>0</v>
      </c>
      <c r="J8" s="344">
        <f t="shared" si="1"/>
        <v>0</v>
      </c>
      <c r="K8" s="344">
        <f t="shared" si="1"/>
        <v>0</v>
      </c>
      <c r="L8" s="344">
        <f t="shared" si="1"/>
        <v>0</v>
      </c>
      <c r="M8" s="344">
        <f t="shared" si="0"/>
        <v>0</v>
      </c>
    </row>
    <row r="9" spans="1:14" s="148" customFormat="1" ht="12">
      <c r="A9" s="135">
        <v>4</v>
      </c>
      <c r="B9" s="4242" t="s">
        <v>888</v>
      </c>
      <c r="C9" s="149">
        <f>所得减免优惠审核表!C9</f>
        <v>0</v>
      </c>
      <c r="D9" s="149">
        <f>所得减免优惠审核表!D9</f>
        <v>0</v>
      </c>
      <c r="E9" s="149">
        <f>所得减免优惠审核表!E9</f>
        <v>0</v>
      </c>
      <c r="F9" s="151">
        <f>所得减免优惠审核表!F9</f>
        <v>0</v>
      </c>
      <c r="G9" s="151">
        <f>所得减免优惠审核表!G9</f>
        <v>0</v>
      </c>
      <c r="H9" s="151">
        <f>所得减免优惠审核表!H9</f>
        <v>0</v>
      </c>
      <c r="I9" s="151">
        <f>所得减免优惠审核表!I9</f>
        <v>0</v>
      </c>
      <c r="J9" s="151">
        <f>所得减免优惠审核表!J9</f>
        <v>0</v>
      </c>
      <c r="K9" s="151">
        <f>所得减免优惠审核表!K9</f>
        <v>0</v>
      </c>
      <c r="L9" s="151">
        <f>所得减免优惠审核表!L9</f>
        <v>0</v>
      </c>
      <c r="M9" s="344">
        <f t="shared" si="0"/>
        <v>0</v>
      </c>
    </row>
    <row r="10" spans="1:14" s="148" customFormat="1" ht="12">
      <c r="A10" s="135">
        <v>5</v>
      </c>
      <c r="B10" s="4243"/>
      <c r="C10" s="149">
        <f>所得减免优惠审核表!C10</f>
        <v>0</v>
      </c>
      <c r="D10" s="149">
        <f>所得减免优惠审核表!D10</f>
        <v>0</v>
      </c>
      <c r="E10" s="149">
        <f>所得减免优惠审核表!E10</f>
        <v>0</v>
      </c>
      <c r="F10" s="151">
        <f>所得减免优惠审核表!F10</f>
        <v>0</v>
      </c>
      <c r="G10" s="151">
        <f>所得减免优惠审核表!G10</f>
        <v>0</v>
      </c>
      <c r="H10" s="151">
        <f>所得减免优惠审核表!H10</f>
        <v>0</v>
      </c>
      <c r="I10" s="151">
        <f>所得减免优惠审核表!I10</f>
        <v>0</v>
      </c>
      <c r="J10" s="151">
        <f>所得减免优惠审核表!J10</f>
        <v>0</v>
      </c>
      <c r="K10" s="151">
        <f>所得减免优惠审核表!K10</f>
        <v>0</v>
      </c>
      <c r="L10" s="151">
        <f>所得减免优惠审核表!L10</f>
        <v>0</v>
      </c>
      <c r="M10" s="344">
        <f t="shared" si="0"/>
        <v>0</v>
      </c>
    </row>
    <row r="11" spans="1:14" s="148" customFormat="1" ht="12">
      <c r="A11" s="135">
        <v>6</v>
      </c>
      <c r="B11" s="4244"/>
      <c r="C11" s="131" t="s">
        <v>895</v>
      </c>
      <c r="D11" s="131" t="s">
        <v>133</v>
      </c>
      <c r="E11" s="131" t="s">
        <v>133</v>
      </c>
      <c r="F11" s="344">
        <f>ROUND(SUM(F9:F10),2)</f>
        <v>0</v>
      </c>
      <c r="G11" s="344">
        <f t="shared" ref="G11:L11" si="2">ROUND(SUM(G9:G10),2)</f>
        <v>0</v>
      </c>
      <c r="H11" s="344">
        <f t="shared" si="2"/>
        <v>0</v>
      </c>
      <c r="I11" s="344">
        <f t="shared" si="2"/>
        <v>0</v>
      </c>
      <c r="J11" s="344">
        <f t="shared" si="2"/>
        <v>0</v>
      </c>
      <c r="K11" s="344">
        <f t="shared" si="2"/>
        <v>0</v>
      </c>
      <c r="L11" s="344">
        <f t="shared" si="2"/>
        <v>0</v>
      </c>
      <c r="M11" s="344">
        <f t="shared" si="0"/>
        <v>0</v>
      </c>
    </row>
    <row r="12" spans="1:14" s="148" customFormat="1" ht="12" customHeight="1">
      <c r="A12" s="135">
        <v>7</v>
      </c>
      <c r="B12" s="4242" t="s">
        <v>889</v>
      </c>
      <c r="C12" s="149">
        <f>所得减免优惠审核表!C12</f>
        <v>0</v>
      </c>
      <c r="D12" s="149">
        <f>所得减免优惠审核表!D12</f>
        <v>0</v>
      </c>
      <c r="E12" s="149">
        <f>所得减免优惠审核表!E12</f>
        <v>0</v>
      </c>
      <c r="F12" s="151">
        <f>所得减免优惠审核表!F12</f>
        <v>0</v>
      </c>
      <c r="G12" s="151">
        <f>所得减免优惠审核表!G12</f>
        <v>0</v>
      </c>
      <c r="H12" s="151">
        <f>所得减免优惠审核表!H12</f>
        <v>0</v>
      </c>
      <c r="I12" s="151">
        <f>所得减免优惠审核表!I12</f>
        <v>0</v>
      </c>
      <c r="J12" s="151">
        <f>所得减免优惠审核表!J12</f>
        <v>0</v>
      </c>
      <c r="K12" s="151">
        <f>所得减免优惠审核表!K12</f>
        <v>0</v>
      </c>
      <c r="L12" s="151">
        <f>所得减免优惠审核表!L12</f>
        <v>0</v>
      </c>
      <c r="M12" s="344">
        <f t="shared" si="0"/>
        <v>0</v>
      </c>
    </row>
    <row r="13" spans="1:14" s="148" customFormat="1" ht="12">
      <c r="A13" s="135">
        <v>8</v>
      </c>
      <c r="B13" s="4243"/>
      <c r="C13" s="149">
        <f>所得减免优惠审核表!C13</f>
        <v>0</v>
      </c>
      <c r="D13" s="149">
        <f>所得减免优惠审核表!D13</f>
        <v>0</v>
      </c>
      <c r="E13" s="149">
        <f>所得减免优惠审核表!E13</f>
        <v>0</v>
      </c>
      <c r="F13" s="151">
        <f>所得减免优惠审核表!F13</f>
        <v>0</v>
      </c>
      <c r="G13" s="151">
        <f>所得减免优惠审核表!G13</f>
        <v>0</v>
      </c>
      <c r="H13" s="151">
        <f>所得减免优惠审核表!H13</f>
        <v>0</v>
      </c>
      <c r="I13" s="151">
        <f>所得减免优惠审核表!I13</f>
        <v>0</v>
      </c>
      <c r="J13" s="151">
        <f>所得减免优惠审核表!J13</f>
        <v>0</v>
      </c>
      <c r="K13" s="151">
        <f>所得减免优惠审核表!K13</f>
        <v>0</v>
      </c>
      <c r="L13" s="151">
        <f>所得减免优惠审核表!L13</f>
        <v>0</v>
      </c>
      <c r="M13" s="344">
        <f t="shared" si="0"/>
        <v>0</v>
      </c>
    </row>
    <row r="14" spans="1:14" s="148" customFormat="1" ht="12">
      <c r="A14" s="130">
        <v>9</v>
      </c>
      <c r="B14" s="4244"/>
      <c r="C14" s="131" t="s">
        <v>895</v>
      </c>
      <c r="D14" s="131" t="s">
        <v>133</v>
      </c>
      <c r="E14" s="131" t="s">
        <v>133</v>
      </c>
      <c r="F14" s="344">
        <f t="shared" ref="F14:K14" si="3">ROUND(SUM(F12:F13),2)</f>
        <v>0</v>
      </c>
      <c r="G14" s="344">
        <f t="shared" si="3"/>
        <v>0</v>
      </c>
      <c r="H14" s="344">
        <f t="shared" si="3"/>
        <v>0</v>
      </c>
      <c r="I14" s="344">
        <f t="shared" si="3"/>
        <v>0</v>
      </c>
      <c r="J14" s="344">
        <f t="shared" si="3"/>
        <v>0</v>
      </c>
      <c r="K14" s="344">
        <f t="shared" si="3"/>
        <v>0</v>
      </c>
      <c r="L14" s="151">
        <f>所得减免优惠审核表!L14</f>
        <v>0</v>
      </c>
      <c r="M14" s="344">
        <f t="shared" si="0"/>
        <v>0</v>
      </c>
    </row>
    <row r="15" spans="1:14" s="148" customFormat="1" ht="12">
      <c r="A15" s="135">
        <v>10</v>
      </c>
      <c r="B15" s="4242" t="s">
        <v>890</v>
      </c>
      <c r="C15" s="149">
        <f>所得减免优惠审核表!C15</f>
        <v>0</v>
      </c>
      <c r="D15" s="131" t="s">
        <v>133</v>
      </c>
      <c r="E15" s="131" t="s">
        <v>133</v>
      </c>
      <c r="F15" s="151">
        <f>所得减免优惠审核表!F15</f>
        <v>0</v>
      </c>
      <c r="G15" s="151">
        <f>所得减免优惠审核表!G15</f>
        <v>0</v>
      </c>
      <c r="H15" s="151">
        <f>所得减免优惠审核表!H15</f>
        <v>0</v>
      </c>
      <c r="I15" s="151">
        <f>所得减免优惠审核表!I15</f>
        <v>0</v>
      </c>
      <c r="J15" s="151">
        <f>所得减免优惠审核表!J15</f>
        <v>0</v>
      </c>
      <c r="K15" s="131" t="s">
        <v>133</v>
      </c>
      <c r="L15" s="131" t="s">
        <v>133</v>
      </c>
      <c r="M15" s="131" t="s">
        <v>133</v>
      </c>
    </row>
    <row r="16" spans="1:14" s="148" customFormat="1" ht="12">
      <c r="A16" s="135">
        <v>11</v>
      </c>
      <c r="B16" s="4243"/>
      <c r="C16" s="149">
        <f>所得减免优惠审核表!C16</f>
        <v>0</v>
      </c>
      <c r="D16" s="131" t="s">
        <v>133</v>
      </c>
      <c r="E16" s="131" t="s">
        <v>133</v>
      </c>
      <c r="F16" s="151">
        <f>所得减免优惠审核表!F16</f>
        <v>0</v>
      </c>
      <c r="G16" s="151">
        <f>所得减免优惠审核表!G16</f>
        <v>0</v>
      </c>
      <c r="H16" s="151">
        <f>所得减免优惠审核表!H16</f>
        <v>0</v>
      </c>
      <c r="I16" s="151">
        <f>所得减免优惠审核表!I16</f>
        <v>0</v>
      </c>
      <c r="J16" s="151">
        <f>所得减免优惠审核表!J16</f>
        <v>0</v>
      </c>
      <c r="K16" s="131" t="s">
        <v>133</v>
      </c>
      <c r="L16" s="131" t="s">
        <v>133</v>
      </c>
      <c r="M16" s="131" t="s">
        <v>133</v>
      </c>
    </row>
    <row r="17" spans="1:19" s="148" customFormat="1" ht="12">
      <c r="A17" s="135">
        <v>12</v>
      </c>
      <c r="B17" s="4244"/>
      <c r="C17" s="131" t="s">
        <v>895</v>
      </c>
      <c r="D17" s="131" t="s">
        <v>133</v>
      </c>
      <c r="E17" s="131" t="s">
        <v>133</v>
      </c>
      <c r="F17" s="344">
        <f>ROUND(SUM(F15:F16),2)</f>
        <v>0</v>
      </c>
      <c r="G17" s="344">
        <f>ROUND(SUM(G15:G16),2)</f>
        <v>0</v>
      </c>
      <c r="H17" s="344">
        <f>ROUND(SUM(H15:H16),2)</f>
        <v>0</v>
      </c>
      <c r="I17" s="344">
        <f>ROUND(SUM(I15:I16),2)</f>
        <v>0</v>
      </c>
      <c r="J17" s="344">
        <f>ROUND(SUM(J15:J16),2)</f>
        <v>0</v>
      </c>
      <c r="K17" s="151">
        <f>所得减免优惠审核表!K17</f>
        <v>0</v>
      </c>
      <c r="L17" s="151">
        <f>所得减免优惠审核表!L17</f>
        <v>0</v>
      </c>
      <c r="M17" s="344">
        <f t="shared" ref="M17:M26" si="4">IF(K17+L17*50%&lt;0,0,K17+L17*50%)</f>
        <v>0</v>
      </c>
    </row>
    <row r="18" spans="1:19" s="148" customFormat="1" ht="12">
      <c r="A18" s="135">
        <v>13</v>
      </c>
      <c r="B18" s="4242" t="s">
        <v>891</v>
      </c>
      <c r="C18" s="149">
        <f>所得减免优惠审核表!C18</f>
        <v>0</v>
      </c>
      <c r="D18" s="149">
        <f>所得减免优惠审核表!D18</f>
        <v>0</v>
      </c>
      <c r="E18" s="149">
        <f>所得减免优惠审核表!E18</f>
        <v>0</v>
      </c>
      <c r="F18" s="151">
        <f>所得减免优惠审核表!F18</f>
        <v>0</v>
      </c>
      <c r="G18" s="151">
        <f>所得减免优惠审核表!G18</f>
        <v>0</v>
      </c>
      <c r="H18" s="151">
        <f>所得减免优惠审核表!H18</f>
        <v>0</v>
      </c>
      <c r="I18" s="151">
        <f>所得减免优惠审核表!I18</f>
        <v>0</v>
      </c>
      <c r="J18" s="151">
        <f>所得减免优惠审核表!J18</f>
        <v>0</v>
      </c>
      <c r="K18" s="151">
        <f>所得减免优惠审核表!K18</f>
        <v>0</v>
      </c>
      <c r="L18" s="151">
        <f>所得减免优惠审核表!L18</f>
        <v>0</v>
      </c>
      <c r="M18" s="344">
        <f t="shared" si="4"/>
        <v>0</v>
      </c>
    </row>
    <row r="19" spans="1:19" s="148" customFormat="1" ht="12">
      <c r="A19" s="135">
        <v>14</v>
      </c>
      <c r="B19" s="4243"/>
      <c r="C19" s="149">
        <f>所得减免优惠审核表!C19</f>
        <v>0</v>
      </c>
      <c r="D19" s="149">
        <f>所得减免优惠审核表!D19</f>
        <v>0</v>
      </c>
      <c r="E19" s="149">
        <f>所得减免优惠审核表!E19</f>
        <v>0</v>
      </c>
      <c r="F19" s="151">
        <f>所得减免优惠审核表!F19</f>
        <v>0</v>
      </c>
      <c r="G19" s="151">
        <f>所得减免优惠审核表!G19</f>
        <v>0</v>
      </c>
      <c r="H19" s="151">
        <f>所得减免优惠审核表!H19</f>
        <v>0</v>
      </c>
      <c r="I19" s="151">
        <f>所得减免优惠审核表!I19</f>
        <v>0</v>
      </c>
      <c r="J19" s="151">
        <f>所得减免优惠审核表!J19</f>
        <v>0</v>
      </c>
      <c r="K19" s="151">
        <f>所得减免优惠审核表!K19</f>
        <v>0</v>
      </c>
      <c r="L19" s="151">
        <f>所得减免优惠审核表!L19</f>
        <v>0</v>
      </c>
      <c r="M19" s="344">
        <f t="shared" si="4"/>
        <v>0</v>
      </c>
    </row>
    <row r="20" spans="1:19" s="148" customFormat="1" ht="12">
      <c r="A20" s="135">
        <v>15</v>
      </c>
      <c r="B20" s="4244"/>
      <c r="C20" s="131" t="s">
        <v>895</v>
      </c>
      <c r="D20" s="131" t="s">
        <v>133</v>
      </c>
      <c r="E20" s="131" t="s">
        <v>133</v>
      </c>
      <c r="F20" s="344">
        <f>ROUND(SUM(F18:F19),2)</f>
        <v>0</v>
      </c>
      <c r="G20" s="344">
        <f t="shared" ref="G20:L20" si="5">ROUND(SUM(G18:G19),2)</f>
        <v>0</v>
      </c>
      <c r="H20" s="344">
        <f t="shared" si="5"/>
        <v>0</v>
      </c>
      <c r="I20" s="344">
        <f t="shared" si="5"/>
        <v>0</v>
      </c>
      <c r="J20" s="344">
        <f t="shared" si="5"/>
        <v>0</v>
      </c>
      <c r="K20" s="344">
        <f t="shared" si="5"/>
        <v>0</v>
      </c>
      <c r="L20" s="344">
        <f t="shared" si="5"/>
        <v>0</v>
      </c>
      <c r="M20" s="344">
        <f t="shared" si="4"/>
        <v>0</v>
      </c>
    </row>
    <row r="21" spans="1:19" s="148" customFormat="1" ht="12">
      <c r="A21" s="135">
        <v>16</v>
      </c>
      <c r="B21" s="4242" t="s">
        <v>892</v>
      </c>
      <c r="C21" s="149">
        <f>所得减免优惠审核表!C21</f>
        <v>0</v>
      </c>
      <c r="D21" s="149">
        <f>所得减免优惠审核表!D21</f>
        <v>0</v>
      </c>
      <c r="E21" s="149">
        <f>所得减免优惠审核表!E21</f>
        <v>0</v>
      </c>
      <c r="F21" s="151">
        <f>所得减免优惠审核表!F21</f>
        <v>0</v>
      </c>
      <c r="G21" s="151">
        <f>所得减免优惠审核表!G21</f>
        <v>0</v>
      </c>
      <c r="H21" s="151">
        <f>所得减免优惠审核表!H21</f>
        <v>0</v>
      </c>
      <c r="I21" s="151">
        <f>所得减免优惠审核表!I21</f>
        <v>0</v>
      </c>
      <c r="J21" s="151">
        <f>所得减免优惠审核表!J21</f>
        <v>0</v>
      </c>
      <c r="K21" s="151">
        <f>所得减免优惠审核表!K21</f>
        <v>0</v>
      </c>
      <c r="L21" s="151">
        <f>所得减免优惠审核表!L21</f>
        <v>0</v>
      </c>
      <c r="M21" s="344">
        <f t="shared" si="4"/>
        <v>0</v>
      </c>
    </row>
    <row r="22" spans="1:19" s="148" customFormat="1" ht="12">
      <c r="A22" s="135">
        <v>17</v>
      </c>
      <c r="B22" s="4243"/>
      <c r="C22" s="149">
        <f>所得减免优惠审核表!C22</f>
        <v>0</v>
      </c>
      <c r="D22" s="149">
        <f>所得减免优惠审核表!D22</f>
        <v>0</v>
      </c>
      <c r="E22" s="149">
        <f>所得减免优惠审核表!E22</f>
        <v>0</v>
      </c>
      <c r="F22" s="151">
        <f>所得减免优惠审核表!F22</f>
        <v>0</v>
      </c>
      <c r="G22" s="151">
        <f>所得减免优惠审核表!G22</f>
        <v>0</v>
      </c>
      <c r="H22" s="151">
        <f>所得减免优惠审核表!H22</f>
        <v>0</v>
      </c>
      <c r="I22" s="151">
        <f>所得减免优惠审核表!I22</f>
        <v>0</v>
      </c>
      <c r="J22" s="151">
        <f>所得减免优惠审核表!J22</f>
        <v>0</v>
      </c>
      <c r="K22" s="151">
        <f>所得减免优惠审核表!K22</f>
        <v>0</v>
      </c>
      <c r="L22" s="151">
        <f>所得减免优惠审核表!L22</f>
        <v>0</v>
      </c>
      <c r="M22" s="344">
        <f t="shared" si="4"/>
        <v>0</v>
      </c>
    </row>
    <row r="23" spans="1:19" s="148" customFormat="1" ht="12">
      <c r="A23" s="135">
        <v>18</v>
      </c>
      <c r="B23" s="4244"/>
      <c r="C23" s="131" t="s">
        <v>895</v>
      </c>
      <c r="D23" s="131" t="s">
        <v>133</v>
      </c>
      <c r="E23" s="131" t="s">
        <v>133</v>
      </c>
      <c r="F23" s="344">
        <f>ROUND(SUM(F21:F22),2)</f>
        <v>0</v>
      </c>
      <c r="G23" s="344">
        <f t="shared" ref="G23:L23" si="6">ROUND(SUM(G21:G22),2)</f>
        <v>0</v>
      </c>
      <c r="H23" s="344">
        <f t="shared" si="6"/>
        <v>0</v>
      </c>
      <c r="I23" s="344">
        <f t="shared" si="6"/>
        <v>0</v>
      </c>
      <c r="J23" s="344">
        <f t="shared" si="6"/>
        <v>0</v>
      </c>
      <c r="K23" s="344">
        <f t="shared" si="6"/>
        <v>0</v>
      </c>
      <c r="L23" s="344">
        <f t="shared" si="6"/>
        <v>0</v>
      </c>
      <c r="M23" s="344">
        <f t="shared" si="4"/>
        <v>0</v>
      </c>
    </row>
    <row r="24" spans="1:19" s="148" customFormat="1" ht="12">
      <c r="A24" s="135">
        <v>19</v>
      </c>
      <c r="B24" s="4242" t="s">
        <v>893</v>
      </c>
      <c r="C24" s="149">
        <f>所得减免优惠审核表!C24</f>
        <v>0</v>
      </c>
      <c r="D24" s="149">
        <f>所得减免优惠审核表!D24</f>
        <v>0</v>
      </c>
      <c r="E24" s="149">
        <f>所得减免优惠审核表!E24</f>
        <v>0</v>
      </c>
      <c r="F24" s="151">
        <f>所得减免优惠审核表!F24</f>
        <v>0</v>
      </c>
      <c r="G24" s="151">
        <f>所得减免优惠审核表!G24</f>
        <v>0</v>
      </c>
      <c r="H24" s="151">
        <f>所得减免优惠审核表!H24</f>
        <v>0</v>
      </c>
      <c r="I24" s="151">
        <f>所得减免优惠审核表!I24</f>
        <v>0</v>
      </c>
      <c r="J24" s="151">
        <f>所得减免优惠审核表!J24</f>
        <v>0</v>
      </c>
      <c r="K24" s="151">
        <f>所得减免优惠审核表!K24</f>
        <v>0</v>
      </c>
      <c r="L24" s="151">
        <f>所得减免优惠审核表!L24</f>
        <v>0</v>
      </c>
      <c r="M24" s="344">
        <f t="shared" si="4"/>
        <v>0</v>
      </c>
    </row>
    <row r="25" spans="1:19" s="148" customFormat="1" ht="12">
      <c r="A25" s="135">
        <v>20</v>
      </c>
      <c r="B25" s="4243"/>
      <c r="C25" s="149">
        <f>所得减免优惠审核表!C25</f>
        <v>0</v>
      </c>
      <c r="D25" s="149">
        <f>所得减免优惠审核表!D25</f>
        <v>0</v>
      </c>
      <c r="E25" s="149">
        <f>所得减免优惠审核表!E25</f>
        <v>0</v>
      </c>
      <c r="F25" s="151">
        <f>所得减免优惠审核表!F25</f>
        <v>0</v>
      </c>
      <c r="G25" s="151">
        <f>所得减免优惠审核表!G25</f>
        <v>0</v>
      </c>
      <c r="H25" s="151">
        <f>所得减免优惠审核表!H25</f>
        <v>0</v>
      </c>
      <c r="I25" s="151">
        <f>所得减免优惠审核表!I25</f>
        <v>0</v>
      </c>
      <c r="J25" s="151">
        <f>所得减免优惠审核表!J25</f>
        <v>0</v>
      </c>
      <c r="K25" s="151">
        <f>所得减免优惠审核表!K25</f>
        <v>0</v>
      </c>
      <c r="L25" s="151">
        <f>所得减免优惠审核表!L25</f>
        <v>0</v>
      </c>
      <c r="M25" s="344">
        <f t="shared" si="4"/>
        <v>0</v>
      </c>
    </row>
    <row r="26" spans="1:19" s="148" customFormat="1" ht="12">
      <c r="A26" s="135">
        <v>21</v>
      </c>
      <c r="B26" s="4244"/>
      <c r="C26" s="131" t="s">
        <v>895</v>
      </c>
      <c r="D26" s="131" t="s">
        <v>133</v>
      </c>
      <c r="E26" s="131" t="s">
        <v>133</v>
      </c>
      <c r="F26" s="344">
        <f>ROUND(SUM(F24:F25),2)</f>
        <v>0</v>
      </c>
      <c r="G26" s="344">
        <f t="shared" ref="G26:L26" si="7">ROUND(SUM(G24:G25),2)</f>
        <v>0</v>
      </c>
      <c r="H26" s="344">
        <f t="shared" si="7"/>
        <v>0</v>
      </c>
      <c r="I26" s="344">
        <f t="shared" si="7"/>
        <v>0</v>
      </c>
      <c r="J26" s="344">
        <f t="shared" si="7"/>
        <v>0</v>
      </c>
      <c r="K26" s="344">
        <f t="shared" si="7"/>
        <v>0</v>
      </c>
      <c r="L26" s="344">
        <f t="shared" si="7"/>
        <v>0</v>
      </c>
      <c r="M26" s="344">
        <f t="shared" si="4"/>
        <v>0</v>
      </c>
    </row>
    <row r="27" spans="1:19" s="148" customFormat="1" ht="17.25" customHeight="1">
      <c r="A27" s="135">
        <v>22</v>
      </c>
      <c r="B27" s="149" t="s">
        <v>894</v>
      </c>
      <c r="C27" s="132" t="s">
        <v>133</v>
      </c>
      <c r="D27" s="132" t="s">
        <v>133</v>
      </c>
      <c r="E27" s="132" t="s">
        <v>133</v>
      </c>
      <c r="F27" s="344">
        <f>ROUND(F8+F11+F14+F17+F20+F23+F26,2)</f>
        <v>0</v>
      </c>
      <c r="G27" s="344">
        <f t="shared" ref="G27:L27" si="8">ROUND(G8+G11+G14+G17+G20+G23+G26,2)</f>
        <v>0</v>
      </c>
      <c r="H27" s="344">
        <f t="shared" si="8"/>
        <v>0</v>
      </c>
      <c r="I27" s="344">
        <f t="shared" si="8"/>
        <v>0</v>
      </c>
      <c r="J27" s="344">
        <f t="shared" si="8"/>
        <v>0</v>
      </c>
      <c r="K27" s="344">
        <f t="shared" si="8"/>
        <v>0</v>
      </c>
      <c r="L27" s="344">
        <f t="shared" si="8"/>
        <v>0</v>
      </c>
      <c r="M27" s="344">
        <f>ROUND(M8+M11+M14+M17+M20+M23+M26,2)</f>
        <v>0</v>
      </c>
    </row>
    <row r="28" spans="1:19" s="148" customFormat="1" ht="12">
      <c r="B28" s="153"/>
      <c r="C28" s="153"/>
      <c r="D28" s="153"/>
      <c r="E28" s="153"/>
      <c r="F28" s="154"/>
      <c r="G28" s="154"/>
      <c r="H28" s="154"/>
      <c r="I28" s="154"/>
      <c r="J28" s="154"/>
      <c r="K28" s="154"/>
      <c r="L28" s="154"/>
    </row>
    <row r="29" spans="1:19" s="148" customFormat="1" ht="12">
      <c r="B29" s="153"/>
      <c r="C29" s="153"/>
      <c r="D29" s="153"/>
      <c r="E29" s="153"/>
      <c r="F29" s="154"/>
      <c r="G29" s="154"/>
      <c r="H29" s="154"/>
      <c r="I29" s="154"/>
      <c r="J29" s="154"/>
      <c r="K29" s="154"/>
      <c r="L29" s="154"/>
    </row>
    <row r="30" spans="1:19">
      <c r="B30" s="155"/>
      <c r="C30" s="155"/>
      <c r="D30" s="155"/>
      <c r="E30" s="155"/>
    </row>
    <row r="31" spans="1:19" s="219" customFormat="1" ht="12">
      <c r="A31" s="4096"/>
      <c r="B31" s="4096"/>
      <c r="C31" s="4096"/>
      <c r="D31" s="4096"/>
      <c r="E31" s="4096"/>
      <c r="F31" s="4096"/>
      <c r="G31" s="4096"/>
      <c r="H31" s="4096"/>
      <c r="I31" s="4096"/>
      <c r="J31" s="4096"/>
      <c r="K31" s="4096"/>
      <c r="L31" s="4096"/>
      <c r="M31" s="4096"/>
      <c r="N31" s="220"/>
      <c r="O31" s="220"/>
      <c r="P31" s="220"/>
      <c r="Q31" s="220"/>
      <c r="R31" s="220"/>
      <c r="S31" s="220"/>
    </row>
    <row r="32" spans="1:19" s="219" customFormat="1" ht="12" customHeight="1">
      <c r="A32" s="4097" t="s">
        <v>1418</v>
      </c>
      <c r="B32" s="4097"/>
      <c r="C32" s="4097"/>
      <c r="D32" s="4097"/>
      <c r="E32" s="4097"/>
      <c r="F32" s="4097"/>
      <c r="G32" s="4097"/>
      <c r="H32" s="4097"/>
      <c r="I32" s="4097"/>
      <c r="J32" s="4097"/>
      <c r="K32" s="4097"/>
      <c r="L32" s="4097"/>
      <c r="M32" s="4097"/>
      <c r="N32" s="217"/>
      <c r="O32" s="217"/>
      <c r="P32" s="217"/>
      <c r="Q32" s="217"/>
      <c r="R32" s="217"/>
      <c r="S32" s="217"/>
    </row>
    <row r="33" spans="1:19" s="219" customFormat="1" ht="12" customHeight="1">
      <c r="A33" s="4095"/>
      <c r="B33" s="4095"/>
      <c r="C33" s="4095"/>
      <c r="D33" s="4095"/>
      <c r="E33" s="4095"/>
      <c r="F33" s="4095"/>
      <c r="G33" s="4095"/>
      <c r="H33" s="4095"/>
      <c r="I33" s="4095"/>
      <c r="J33" s="4095"/>
      <c r="K33" s="4095"/>
      <c r="L33" s="4095"/>
      <c r="M33" s="4095"/>
      <c r="N33" s="213"/>
      <c r="O33" s="213"/>
      <c r="P33" s="213"/>
      <c r="Q33" s="213"/>
      <c r="R33" s="213"/>
      <c r="S33" s="213"/>
    </row>
    <row r="34" spans="1:19" s="219" customFormat="1" ht="12" customHeight="1">
      <c r="A34" s="4096" t="s">
        <v>1489</v>
      </c>
      <c r="B34" s="4096"/>
      <c r="C34" s="4096"/>
      <c r="D34" s="4096"/>
      <c r="E34" s="4096"/>
      <c r="F34" s="4096"/>
      <c r="G34" s="4096"/>
      <c r="H34" s="4096"/>
      <c r="I34" s="4096"/>
      <c r="J34" s="4096"/>
      <c r="K34" s="4096"/>
      <c r="L34" s="4096"/>
      <c r="M34" s="4096"/>
      <c r="N34" s="217"/>
      <c r="O34" s="217"/>
      <c r="P34" s="217"/>
      <c r="Q34" s="217"/>
      <c r="R34" s="217"/>
      <c r="S34" s="217"/>
    </row>
    <row r="35" spans="1:19" s="221" customFormat="1" ht="12" customHeight="1">
      <c r="A35" s="4095" t="s">
        <v>1490</v>
      </c>
      <c r="B35" s="4095"/>
      <c r="C35" s="4095"/>
      <c r="D35" s="4095"/>
      <c r="E35" s="4095"/>
      <c r="F35" s="4095"/>
      <c r="G35" s="4095"/>
      <c r="H35" s="4095"/>
      <c r="I35" s="4095"/>
      <c r="J35" s="4095"/>
      <c r="K35" s="4095"/>
      <c r="L35" s="4095"/>
      <c r="M35" s="4095"/>
      <c r="N35" s="213"/>
      <c r="O35" s="213"/>
      <c r="P35" s="213"/>
      <c r="Q35" s="213"/>
      <c r="R35" s="213"/>
      <c r="S35" s="213"/>
    </row>
    <row r="36" spans="1:19" s="221" customFormat="1" ht="12" customHeight="1">
      <c r="A36" s="4095" t="s">
        <v>1491</v>
      </c>
      <c r="B36" s="4095"/>
      <c r="C36" s="4095"/>
      <c r="D36" s="4095"/>
      <c r="E36" s="4095"/>
      <c r="F36" s="4095"/>
      <c r="G36" s="4095"/>
      <c r="H36" s="4095"/>
      <c r="I36" s="4095"/>
      <c r="J36" s="4095"/>
      <c r="K36" s="4095"/>
      <c r="L36" s="4095"/>
      <c r="M36" s="4095"/>
    </row>
    <row r="37" spans="1:19" s="221" customFormat="1" ht="14.25" customHeight="1">
      <c r="A37" s="4095" t="s">
        <v>1492</v>
      </c>
      <c r="B37" s="4095"/>
      <c r="C37" s="4095"/>
      <c r="D37" s="4095"/>
      <c r="E37" s="4095"/>
      <c r="F37" s="4095"/>
      <c r="G37" s="4095"/>
      <c r="H37" s="4095"/>
      <c r="I37" s="4095"/>
      <c r="J37" s="4095"/>
      <c r="K37" s="4095"/>
      <c r="L37" s="4095"/>
      <c r="M37" s="4095"/>
    </row>
    <row r="38" spans="1:19" s="221" customFormat="1" ht="12">
      <c r="A38" s="4095" t="s">
        <v>1493</v>
      </c>
      <c r="B38" s="4095"/>
      <c r="C38" s="4095"/>
      <c r="D38" s="4095"/>
      <c r="E38" s="4095"/>
      <c r="F38" s="4095"/>
      <c r="G38" s="4095"/>
      <c r="H38" s="4095"/>
      <c r="I38" s="4095"/>
      <c r="J38" s="4095"/>
      <c r="K38" s="4095"/>
      <c r="L38" s="4095"/>
      <c r="M38" s="4095"/>
    </row>
    <row r="39" spans="1:19" s="221" customFormat="1" ht="12">
      <c r="A39" s="4095" t="s">
        <v>1494</v>
      </c>
      <c r="B39" s="4095"/>
      <c r="C39" s="4095"/>
      <c r="D39" s="4095"/>
      <c r="E39" s="4095"/>
      <c r="F39" s="4095"/>
      <c r="G39" s="4095"/>
      <c r="H39" s="4095"/>
      <c r="I39" s="4095"/>
      <c r="J39" s="4095"/>
      <c r="K39" s="4095"/>
      <c r="L39" s="4095"/>
      <c r="M39" s="4095"/>
    </row>
    <row r="40" spans="1:19" s="222" customFormat="1" ht="12">
      <c r="A40" s="4095"/>
      <c r="B40" s="4095"/>
      <c r="C40" s="4095"/>
      <c r="D40" s="4095"/>
      <c r="E40" s="4095"/>
      <c r="F40" s="4095"/>
      <c r="G40" s="4095"/>
      <c r="H40" s="4095"/>
      <c r="I40" s="4095"/>
      <c r="J40" s="4095"/>
      <c r="K40" s="4095"/>
      <c r="L40" s="4095"/>
      <c r="M40" s="4095"/>
    </row>
    <row r="41" spans="1:19" s="222" customFormat="1" ht="14.25" customHeight="1">
      <c r="A41" s="4096" t="s">
        <v>1495</v>
      </c>
      <c r="B41" s="4096"/>
      <c r="C41" s="4096"/>
      <c r="D41" s="4096"/>
      <c r="E41" s="4096"/>
      <c r="F41" s="4096"/>
      <c r="G41" s="4096"/>
      <c r="H41" s="4096"/>
      <c r="I41" s="4096"/>
      <c r="J41" s="4096"/>
      <c r="K41" s="4096"/>
      <c r="L41" s="4096"/>
      <c r="M41" s="4096"/>
    </row>
    <row r="42" spans="1:19" s="221" customFormat="1" ht="12">
      <c r="A42" s="4095" t="s">
        <v>1496</v>
      </c>
      <c r="B42" s="4095"/>
      <c r="C42" s="4095"/>
      <c r="D42" s="4095"/>
      <c r="E42" s="4095"/>
      <c r="F42" s="4095"/>
      <c r="G42" s="4095"/>
      <c r="H42" s="4095"/>
      <c r="I42" s="4095"/>
      <c r="J42" s="4095"/>
      <c r="K42" s="4095"/>
      <c r="L42" s="4095"/>
      <c r="M42" s="4095"/>
    </row>
    <row r="43" spans="1:19" s="221" customFormat="1" ht="12">
      <c r="A43" s="4095" t="s">
        <v>1497</v>
      </c>
      <c r="B43" s="4095"/>
      <c r="C43" s="4095"/>
      <c r="D43" s="4095"/>
      <c r="E43" s="4095"/>
      <c r="F43" s="4095"/>
      <c r="G43" s="4095"/>
      <c r="H43" s="4095"/>
      <c r="I43" s="4095"/>
      <c r="J43" s="4095"/>
      <c r="K43" s="4095"/>
      <c r="L43" s="4095"/>
      <c r="M43" s="4095"/>
    </row>
    <row r="44" spans="1:19" s="221" customFormat="1" ht="12">
      <c r="A44" s="4095" t="s">
        <v>1498</v>
      </c>
      <c r="B44" s="4095"/>
      <c r="C44" s="4095"/>
      <c r="D44" s="4095"/>
      <c r="E44" s="4095"/>
      <c r="F44" s="4095"/>
      <c r="G44" s="4095"/>
      <c r="H44" s="4095"/>
      <c r="I44" s="4095"/>
      <c r="J44" s="4095"/>
      <c r="K44" s="4095"/>
      <c r="L44" s="4095"/>
      <c r="M44" s="4095"/>
    </row>
    <row r="45" spans="1:19" s="221" customFormat="1" ht="12">
      <c r="A45" s="4095" t="s">
        <v>1499</v>
      </c>
      <c r="B45" s="4095"/>
      <c r="C45" s="4095"/>
      <c r="D45" s="4095"/>
      <c r="E45" s="4095"/>
      <c r="F45" s="4095"/>
      <c r="G45" s="4095"/>
      <c r="H45" s="4095"/>
      <c r="I45" s="4095"/>
      <c r="J45" s="4095"/>
      <c r="K45" s="4095"/>
      <c r="L45" s="4095"/>
      <c r="M45" s="4095"/>
    </row>
    <row r="46" spans="1:19" s="221" customFormat="1" ht="12">
      <c r="A46" s="4095" t="s">
        <v>1500</v>
      </c>
      <c r="B46" s="4095"/>
      <c r="C46" s="4095"/>
      <c r="D46" s="4095"/>
      <c r="E46" s="4095"/>
      <c r="F46" s="4095"/>
      <c r="G46" s="4095"/>
      <c r="H46" s="4095"/>
      <c r="I46" s="4095"/>
      <c r="J46" s="4095"/>
      <c r="K46" s="4095"/>
      <c r="L46" s="4095"/>
      <c r="M46" s="4095"/>
    </row>
    <row r="47" spans="1:19" s="221" customFormat="1" ht="12">
      <c r="A47" s="4095" t="s">
        <v>1501</v>
      </c>
      <c r="B47" s="4095"/>
      <c r="C47" s="4095"/>
      <c r="D47" s="4095"/>
      <c r="E47" s="4095"/>
      <c r="F47" s="4095"/>
      <c r="G47" s="4095"/>
      <c r="H47" s="4095"/>
      <c r="I47" s="4095"/>
      <c r="J47" s="4095"/>
      <c r="K47" s="4095"/>
      <c r="L47" s="4095"/>
      <c r="M47" s="4095"/>
    </row>
    <row r="48" spans="1:19" s="221" customFormat="1" ht="12">
      <c r="A48" s="4095" t="s">
        <v>1502</v>
      </c>
      <c r="B48" s="4095"/>
      <c r="C48" s="4095"/>
      <c r="D48" s="4095"/>
      <c r="E48" s="4095"/>
      <c r="F48" s="4095"/>
      <c r="G48" s="4095"/>
      <c r="H48" s="4095"/>
      <c r="I48" s="4095"/>
      <c r="J48" s="4095"/>
      <c r="K48" s="4095"/>
      <c r="L48" s="4095"/>
      <c r="M48" s="4095"/>
    </row>
    <row r="49" spans="1:13" s="222" customFormat="1" ht="12">
      <c r="A49" s="4095"/>
      <c r="B49" s="4095"/>
      <c r="C49" s="4095"/>
      <c r="D49" s="4095"/>
      <c r="E49" s="4095"/>
      <c r="F49" s="4095"/>
      <c r="G49" s="4095"/>
      <c r="H49" s="4095"/>
      <c r="I49" s="4095"/>
      <c r="J49" s="4095"/>
      <c r="K49" s="4095"/>
      <c r="L49" s="4095"/>
      <c r="M49" s="4095"/>
    </row>
    <row r="50" spans="1:13" s="222" customFormat="1" ht="14.25" customHeight="1">
      <c r="A50" s="4096" t="s">
        <v>1503</v>
      </c>
      <c r="B50" s="4096"/>
      <c r="C50" s="4096"/>
      <c r="D50" s="4096"/>
      <c r="E50" s="4096"/>
      <c r="F50" s="4096"/>
      <c r="G50" s="4096"/>
      <c r="H50" s="4096"/>
      <c r="I50" s="4096"/>
      <c r="J50" s="4096"/>
      <c r="K50" s="4096"/>
      <c r="L50" s="4096"/>
      <c r="M50" s="4096"/>
    </row>
    <row r="51" spans="1:13" s="221" customFormat="1" ht="12">
      <c r="A51" s="4095" t="s">
        <v>1504</v>
      </c>
      <c r="B51" s="4095"/>
      <c r="C51" s="4095"/>
      <c r="D51" s="4095"/>
      <c r="E51" s="4095"/>
      <c r="F51" s="4095"/>
      <c r="G51" s="4095"/>
      <c r="H51" s="4095"/>
      <c r="I51" s="4095"/>
      <c r="J51" s="4095"/>
      <c r="K51" s="4095"/>
      <c r="L51" s="4095"/>
      <c r="M51" s="4095"/>
    </row>
    <row r="52" spans="1:13" s="221" customFormat="1" ht="12">
      <c r="A52" s="4095" t="s">
        <v>1505</v>
      </c>
      <c r="B52" s="4095"/>
      <c r="C52" s="4095"/>
      <c r="D52" s="4095"/>
      <c r="E52" s="4095"/>
      <c r="F52" s="4095"/>
      <c r="G52" s="4095"/>
      <c r="H52" s="4095"/>
      <c r="I52" s="4095"/>
      <c r="J52" s="4095"/>
      <c r="K52" s="4095"/>
      <c r="L52" s="4095"/>
      <c r="M52" s="4095"/>
    </row>
    <row r="53" spans="1:13" s="222" customFormat="1" ht="12">
      <c r="A53" s="4095"/>
      <c r="B53" s="4095"/>
      <c r="C53" s="4095"/>
      <c r="D53" s="4095"/>
      <c r="E53" s="4095"/>
      <c r="F53" s="4095"/>
      <c r="G53" s="4095"/>
      <c r="H53" s="4095"/>
      <c r="I53" s="4095"/>
      <c r="J53" s="4095"/>
      <c r="K53" s="4095"/>
      <c r="L53" s="4095"/>
      <c r="M53" s="4095"/>
    </row>
    <row r="54" spans="1:13" s="222" customFormat="1" ht="14.25" customHeight="1">
      <c r="A54" s="4096" t="s">
        <v>1506</v>
      </c>
      <c r="B54" s="4096"/>
      <c r="C54" s="4096"/>
      <c r="D54" s="4096"/>
      <c r="E54" s="4096"/>
      <c r="F54" s="4096"/>
      <c r="G54" s="4096"/>
      <c r="H54" s="4096"/>
      <c r="I54" s="4096"/>
      <c r="J54" s="4096"/>
      <c r="K54" s="4096"/>
      <c r="L54" s="4096"/>
      <c r="M54" s="4096"/>
    </row>
    <row r="55" spans="1:13" s="221" customFormat="1" ht="12">
      <c r="A55" s="4095" t="s">
        <v>1507</v>
      </c>
      <c r="B55" s="4095"/>
      <c r="C55" s="4095"/>
      <c r="D55" s="4095"/>
      <c r="E55" s="4095"/>
      <c r="F55" s="4095"/>
      <c r="G55" s="4095"/>
      <c r="H55" s="4095"/>
      <c r="I55" s="4095"/>
      <c r="J55" s="4095"/>
      <c r="K55" s="4095"/>
      <c r="L55" s="4095"/>
      <c r="M55" s="4095"/>
    </row>
    <row r="56" spans="1:13" s="221" customFormat="1" ht="12">
      <c r="A56" s="4095" t="s">
        <v>1508</v>
      </c>
      <c r="B56" s="4095"/>
      <c r="C56" s="4095"/>
      <c r="D56" s="4095"/>
      <c r="E56" s="4095"/>
      <c r="F56" s="4095"/>
      <c r="G56" s="4095"/>
      <c r="H56" s="4095"/>
      <c r="I56" s="4095"/>
      <c r="J56" s="4095"/>
      <c r="K56" s="4095"/>
      <c r="L56" s="4095"/>
      <c r="M56" s="4095"/>
    </row>
    <row r="57" spans="1:13" s="221" customFormat="1" ht="12">
      <c r="A57" s="4095" t="s">
        <v>1509</v>
      </c>
      <c r="B57" s="4095"/>
      <c r="C57" s="4095"/>
      <c r="D57" s="4095"/>
      <c r="E57" s="4095"/>
      <c r="F57" s="4095"/>
      <c r="G57" s="4095"/>
      <c r="H57" s="4095"/>
      <c r="I57" s="4095"/>
      <c r="J57" s="4095"/>
      <c r="K57" s="4095"/>
      <c r="L57" s="4095"/>
      <c r="M57" s="4095"/>
    </row>
    <row r="58" spans="1:13" s="221" customFormat="1" ht="12">
      <c r="A58" s="4095" t="s">
        <v>1510</v>
      </c>
      <c r="B58" s="4095"/>
      <c r="C58" s="4095"/>
      <c r="D58" s="4095"/>
      <c r="E58" s="4095"/>
      <c r="F58" s="4095"/>
      <c r="G58" s="4095"/>
      <c r="H58" s="4095"/>
      <c r="I58" s="4095"/>
      <c r="J58" s="4095"/>
      <c r="K58" s="4095"/>
      <c r="L58" s="4095"/>
      <c r="M58" s="4095"/>
    </row>
    <row r="59" spans="1:13" s="222" customFormat="1" ht="12">
      <c r="A59" s="4095"/>
      <c r="B59" s="4095"/>
      <c r="C59" s="4095"/>
      <c r="D59" s="4095"/>
      <c r="E59" s="4095"/>
      <c r="F59" s="4095"/>
      <c r="G59" s="4095"/>
      <c r="H59" s="4095"/>
      <c r="I59" s="4095"/>
      <c r="J59" s="4095"/>
      <c r="K59" s="4095"/>
      <c r="L59" s="4095"/>
      <c r="M59" s="4095"/>
    </row>
    <row r="60" spans="1:13" s="222" customFormat="1" ht="14.25" customHeight="1">
      <c r="A60" s="4096" t="s">
        <v>1511</v>
      </c>
      <c r="B60" s="4096"/>
      <c r="C60" s="4096"/>
      <c r="D60" s="4096"/>
      <c r="E60" s="4096"/>
      <c r="F60" s="4096"/>
      <c r="G60" s="4096"/>
      <c r="H60" s="4096"/>
      <c r="I60" s="4096"/>
      <c r="J60" s="4096"/>
      <c r="K60" s="4096"/>
      <c r="L60" s="4096"/>
      <c r="M60" s="4096"/>
    </row>
    <row r="61" spans="1:13" s="221" customFormat="1" ht="12">
      <c r="A61" s="4095" t="s">
        <v>1512</v>
      </c>
      <c r="B61" s="4095"/>
      <c r="C61" s="4095"/>
      <c r="D61" s="4095"/>
      <c r="E61" s="4095"/>
      <c r="F61" s="4095"/>
      <c r="G61" s="4095"/>
      <c r="H61" s="4095"/>
      <c r="I61" s="4095"/>
      <c r="J61" s="4095"/>
      <c r="K61" s="4095"/>
      <c r="L61" s="4095"/>
      <c r="M61" s="4095"/>
    </row>
    <row r="62" spans="1:13" s="222" customFormat="1" ht="12">
      <c r="A62" s="4095"/>
      <c r="B62" s="4095"/>
      <c r="C62" s="4095"/>
      <c r="D62" s="4095"/>
      <c r="E62" s="4095"/>
      <c r="F62" s="4095"/>
      <c r="G62" s="4095"/>
      <c r="H62" s="4095"/>
      <c r="I62" s="4095"/>
      <c r="J62" s="4095"/>
      <c r="K62" s="4095"/>
      <c r="L62" s="4095"/>
      <c r="M62" s="4095"/>
    </row>
    <row r="63" spans="1:13" s="222" customFormat="1" ht="14.25" customHeight="1">
      <c r="A63" s="4096" t="s">
        <v>1513</v>
      </c>
      <c r="B63" s="4096"/>
      <c r="C63" s="4096"/>
      <c r="D63" s="4096"/>
      <c r="E63" s="4096"/>
      <c r="F63" s="4096"/>
      <c r="G63" s="4096"/>
      <c r="H63" s="4096"/>
      <c r="I63" s="4096"/>
      <c r="J63" s="4096"/>
      <c r="K63" s="4096"/>
      <c r="L63" s="4096"/>
      <c r="M63" s="4096"/>
    </row>
    <row r="64" spans="1:13" s="221" customFormat="1" ht="12">
      <c r="A64" s="4095" t="s">
        <v>1514</v>
      </c>
      <c r="B64" s="4095"/>
      <c r="C64" s="4095"/>
      <c r="D64" s="4095"/>
      <c r="E64" s="4095"/>
      <c r="F64" s="4095"/>
      <c r="G64" s="4095"/>
      <c r="H64" s="4095"/>
      <c r="I64" s="4095"/>
      <c r="J64" s="4095"/>
      <c r="K64" s="4095"/>
      <c r="L64" s="4095"/>
      <c r="M64" s="4095"/>
    </row>
    <row r="65" spans="1:13" s="221" customFormat="1" ht="12">
      <c r="A65" s="4095" t="s">
        <v>1515</v>
      </c>
      <c r="B65" s="4095"/>
      <c r="C65" s="4095"/>
      <c r="D65" s="4095"/>
      <c r="E65" s="4095"/>
      <c r="F65" s="4095"/>
      <c r="G65" s="4095"/>
      <c r="H65" s="4095"/>
      <c r="I65" s="4095"/>
      <c r="J65" s="4095"/>
      <c r="K65" s="4095"/>
      <c r="L65" s="4095"/>
      <c r="M65" s="4095"/>
    </row>
    <row r="66" spans="1:13" s="223" customFormat="1">
      <c r="A66" s="4095"/>
      <c r="B66" s="4095"/>
      <c r="C66" s="4095"/>
      <c r="D66" s="4095"/>
      <c r="E66" s="4095"/>
      <c r="F66" s="4095"/>
      <c r="G66" s="4095"/>
      <c r="H66" s="4095"/>
      <c r="I66" s="4095"/>
      <c r="J66" s="4095"/>
      <c r="K66" s="4095"/>
      <c r="L66" s="4095"/>
      <c r="M66" s="4095"/>
    </row>
  </sheetData>
  <mergeCells count="57">
    <mergeCell ref="A66:M66"/>
    <mergeCell ref="M3:M4"/>
    <mergeCell ref="A1:M1"/>
    <mergeCell ref="A2:M2"/>
    <mergeCell ref="A3:A5"/>
    <mergeCell ref="B3:B5"/>
    <mergeCell ref="F3:F4"/>
    <mergeCell ref="G3:G4"/>
    <mergeCell ref="H3:H4"/>
    <mergeCell ref="A59:M59"/>
    <mergeCell ref="A60:M60"/>
    <mergeCell ref="A61:M61"/>
    <mergeCell ref="A62:M62"/>
    <mergeCell ref="A63:M63"/>
    <mergeCell ref="A64:M64"/>
    <mergeCell ref="A47:M47"/>
    <mergeCell ref="A48:M48"/>
    <mergeCell ref="A49:M49"/>
    <mergeCell ref="A50:M50"/>
    <mergeCell ref="A65:M65"/>
    <mergeCell ref="A38:M38"/>
    <mergeCell ref="A52:M52"/>
    <mergeCell ref="A53:M53"/>
    <mergeCell ref="A58:M58"/>
    <mergeCell ref="A57:M57"/>
    <mergeCell ref="A56:M56"/>
    <mergeCell ref="A55:M55"/>
    <mergeCell ref="A54:M54"/>
    <mergeCell ref="A51:M51"/>
    <mergeCell ref="A40:M40"/>
    <mergeCell ref="A41:M41"/>
    <mergeCell ref="A42:M42"/>
    <mergeCell ref="A43:M43"/>
    <mergeCell ref="A44:M44"/>
    <mergeCell ref="A45:M45"/>
    <mergeCell ref="A46:M46"/>
    <mergeCell ref="J3:J4"/>
    <mergeCell ref="B15:B17"/>
    <mergeCell ref="B18:B20"/>
    <mergeCell ref="B21:B23"/>
    <mergeCell ref="B24:B26"/>
    <mergeCell ref="B12:B14"/>
    <mergeCell ref="A39:M39"/>
    <mergeCell ref="C3:C4"/>
    <mergeCell ref="A34:M34"/>
    <mergeCell ref="A35:M35"/>
    <mergeCell ref="A36:M36"/>
    <mergeCell ref="A37:M37"/>
    <mergeCell ref="D3:D4"/>
    <mergeCell ref="A32:M32"/>
    <mergeCell ref="A33:M33"/>
    <mergeCell ref="E3:E4"/>
    <mergeCell ref="K3:L3"/>
    <mergeCell ref="B6:B8"/>
    <mergeCell ref="B9:B11"/>
    <mergeCell ref="A31:M31"/>
    <mergeCell ref="I3:I4"/>
  </mergeCells>
  <phoneticPr fontId="46" type="noConversion"/>
  <hyperlinks>
    <hyperlink ref="A1:M1" location="'A100000 中华人民共和国企业所得税年度纳税申报表（A类）'!A1" display="返回主表（A100000）"/>
    <hyperlink ref="A35:M35" r:id="rId1" display="《财政部 国家税务总局关于发布享受企业所得税优惠政策的农产品初加工范围（试行）的通知》（财税〔2008〕149号）"/>
    <hyperlink ref="A36:M36" r:id="rId2" display="《国家税务总局关于黑龙江垦区国有农场土地承包费缴纳企业所得税问题的批复》（国税函〔2009〕779号）"/>
    <hyperlink ref="A37:M37" r:id="rId3" display="《国家税务总局关于“公司＋农户”经营模式企业所得税优惠问题的公告》（国家税务总局公告2010年第2号）"/>
    <hyperlink ref="A38:M38" r:id="rId4" display="《财政部 国家税务总局关于享受企业所得税优惠的农产品初加工有关范围的补充通知》（财税〔2011〕26号）"/>
    <hyperlink ref="A39:M39" r:id="rId5" display="《国家税务总局关于实施农林牧渔业项目企业所得税优惠问题的公告》（国家税务总局公告2011年第48号）"/>
    <hyperlink ref="A42:M42" r:id="rId6" display="《财政部 国家税务总局关于执行公共基础设施项目企业所得税优惠目录有关问题的通知》（财税〔2008〕46号）"/>
    <hyperlink ref="A43:M43" r:id="rId7" display="《财政部 国家税务总局 国家发展改革委关于公布公共基础设施项目企业所得税优惠目录(2008年版)的通知》（财税〔2008〕116号）"/>
    <hyperlink ref="A44:M44" r:id="rId8" display="《国家税务总局关于实施国家重点扶持的公共基础设施项目企业所得税优惠问题的通知》（国税发〔2009〕80号）"/>
    <hyperlink ref="A45:M45" r:id="rId9" display="《财政部 国家税务总局关于公共基础设施项目和环境保护 节能节水项目企业所得税优惠政策问题的通知》（财税〔2012〕10号）"/>
    <hyperlink ref="A46:M46" r:id="rId10" display="《财政部 国家税务总局关于支持农村饮水安全工程建设运营税收政策的通知》（财税〔2012〕30号）第五条"/>
    <hyperlink ref="A47:M47" r:id="rId11" display="《国家税务总局关于电网企业电网新建项目享受所得税优惠政策问题的公告》（国家税务总局公告2013年第26号）"/>
    <hyperlink ref="A48:M48" r:id="rId12" display="《财政部 国家税务总局关于公共基础设施项目享受企业所得税优惠政策问题的补充通知》（财税〔2014〕55号）"/>
    <hyperlink ref="A51:M51" r:id="rId13" display="《财政部 国家税务总局 国家发展改革委关于公布环境保护节能节水项目企业所得税优惠目录（试行）的通知》（财税〔2009〕166号）"/>
    <hyperlink ref="A52:M52" r:id="rId14" display="《财政部 国家税务总局关于公共基础设施项目和环境保护 节能节水项目企业所得税优惠政策问题的通知》（财税〔2012〕10号）"/>
    <hyperlink ref="A55:M55" r:id="rId15" display="《国家税务总局关于技术转让所得减免企业所得税有关问题的通知》（国税函〔2009〕212号）"/>
    <hyperlink ref="A56:M56" r:id="rId16" display="《财政部 国家税务总局关于居民企业技术转让有关企业所得税政策问题的通知》（财税〔2010〕111号）"/>
    <hyperlink ref="A57:M57" r:id="rId17" display="《国家税务总局关于技术转让所得减免企业所得税有关问题的公告》（国家税务总局公告2013年第62号）"/>
    <hyperlink ref="A58:M58" r:id="rId18" display="《国家税务总局关于许可使用权技术转让所得企业所得税有关问题的公告》（国家税务总局公告2015年第82号）"/>
    <hyperlink ref="A61:M61" r:id="rId19" display="《财政部 国家税务总局关于中国清洁发展机制基金及清洁发展机制项目实施企业有关企业所得税政策问题的通知》（财税〔2009〕30号）"/>
    <hyperlink ref="A64:M64" r:id="rId20" display="《财政部 国家税务总局关于促进节能服务产业发展增值税营业税和企业所得税政策问题的通知》（财税〔2010〕110号）"/>
    <hyperlink ref="A65:M65" r:id="rId21" display="《国家税务总局 国家发展改革委关于落实节能服务企业合同能源管理项目企业所得税优惠政策有关征收管理问题的公告》（国家税务总局 国家发展改革委公告2013年第77号）"/>
    <hyperlink ref="A35:IV35" r:id="rId22" display="《财政部 国家税务总局关于发布享受企业所得税优惠政策的农产品初加工范围（试行）的通知》（财税〔2008〕149号）"/>
    <hyperlink ref="A36:IV36" r:id="rId23" display="《国家税务总局关于黑龙江垦区国有农场土地承包费缴纳企业所得税问题的批复》（国税函〔2009〕779号）"/>
    <hyperlink ref="A37:IV37" r:id="rId24" display="《国家税务总局关于“公司＋农户”经营模式企业所得税优惠问题的公告》（国家税务总局公告2010年第2号）"/>
    <hyperlink ref="A38:IV38" r:id="rId25" display="《财政部 国家税务总局关于享受企业所得税优惠的农产品初加工有关范围的补充通知》（财税〔2011〕26号）"/>
    <hyperlink ref="A39:IV39" r:id="rId26" display="《国家税务总局关于实施农林牧渔业项目企业所得税优惠问题的公告》（国家税务总局公告2011年第48号）"/>
    <hyperlink ref="A42:IV42" r:id="rId27" display="《财政部 国家税务总局关于执行公共基础设施项目企业所得税优惠目录有关问题的通知》（财税〔2008〕46号）"/>
    <hyperlink ref="A43:IV43" r:id="rId28" display="《财政部 国家税务总局 国家发展改革委关于公布公共基础设施项目企业所得税优惠目录(2008年版)的通知》（财税〔2008〕116号）"/>
    <hyperlink ref="A44:IV44" r:id="rId29" display="《国家税务总局关于实施国家重点扶持的公共基础设施项目企业所得税优惠问题的通知》（国税发〔2009〕80号）"/>
    <hyperlink ref="A45:IV45" r:id="rId30" display="《财政部 国家税务总局关于公共基础设施项目和环境保护 节能节水项目企业所得税优惠政策问题的通知》（财税〔2012〕10号）"/>
    <hyperlink ref="A46:IV46" r:id="rId31" display="《财政部 国家税务总局关于支持农村饮水安全工程建设运营税收政策的通知》（财税〔2012〕30号）第五条"/>
    <hyperlink ref="A47:IV47" r:id="rId32" display="《国家税务总局关于电网企业电网新建项目享受所得税优惠政策问题的公告》（国家税务总局公告2013年第26号）"/>
    <hyperlink ref="A48:IV48" r:id="rId33" display="《财政部 国家税务总局关于公共基础设施项目享受企业所得税优惠政策问题的补充通知》（财税〔2014〕55号）"/>
    <hyperlink ref="A51:IV51" r:id="rId34" display="《财政部 国家税务总局 国家发展改革委关于公布环境保护节能节水项目企业所得税优惠目录（试行）的通知》（财税〔2009〕166号）"/>
    <hyperlink ref="A52:IV52" r:id="rId35" display="《财政部 国家税务总局关于公共基础设施项目和环境保护 节能节水项目企业所得税优惠政策问题的通知》（财税〔2012〕10号）"/>
    <hyperlink ref="A55:IV55" r:id="rId36" display="《国家税务总局关于技术转让所得减免企业所得税有关问题的通知》（国税函〔2009〕212号）"/>
    <hyperlink ref="A56:IV56" r:id="rId37" display="《财政部 国家税务总局关于居民企业技术转让有关企业所得税政策问题的通知》（财税〔2010〕111号）"/>
    <hyperlink ref="A57:IV57" r:id="rId38" display="《国家税务总局关于技术转让所得减免企业所得税有关问题的公告》（国家税务总局公告2013年第62号）"/>
    <hyperlink ref="A58:IV58" r:id="rId39" display="《国家税务总局关于许可使用权技术转让所得企业所得税有关问题的公告》（国家税务总局公告2015年第82号）"/>
    <hyperlink ref="A61:IV61" r:id="rId40" display="《财政部 国家税务总局关于中国清洁发展机制基金及清洁发展机制项目实施企业有关企业所得税政策问题的通知》（财税〔2009〕30号）"/>
    <hyperlink ref="A64:IV64" r:id="rId41" display="《财政部 国家税务总局关于促进节能服务产业发展增值税营业税和企业所得税政策问题的通知》（财税〔2010〕110号）"/>
    <hyperlink ref="A65:IV65" r:id="rId42" display="《国家税务总局 国家发展改革委关于落实节能服务企业合同能源管理项目企业所得税优惠政策有关征收管理问题的公告》（国家税务总局 国家发展改革委公告2013年第77号）"/>
  </hyperlinks>
  <pageMargins left="0.70866141732283472" right="0.70866141732283472" top="0.74803149606299213" bottom="0.74803149606299213" header="0.31496062992125984" footer="0.31496062992125984"/>
  <pageSetup paperSize="9" scale="87" orientation="landscape" verticalDpi="0" r:id="rId43"/>
  <rowBreaks count="1" manualBreakCount="1">
    <brk id="27" max="16383" man="1"/>
  </rowBreaks>
  <legacyDrawing r:id="rId44"/>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fitToPage="1"/>
  </sheetPr>
  <dimension ref="A1:M34"/>
  <sheetViews>
    <sheetView workbookViewId="0">
      <selection sqref="A1:M1"/>
    </sheetView>
  </sheetViews>
  <sheetFormatPr defaultColWidth="8.875" defaultRowHeight="16.5"/>
  <cols>
    <col min="1" max="1" width="5" style="145" customWidth="1"/>
    <col min="2" max="2" width="58.875" style="145" customWidth="1"/>
    <col min="3" max="3" width="16.75" style="145" customWidth="1"/>
    <col min="4" max="4" width="17.75" style="145" customWidth="1"/>
    <col min="5" max="5" width="19.25" style="145" customWidth="1"/>
    <col min="6" max="16384" width="8.875" style="145"/>
  </cols>
  <sheetData>
    <row r="1" spans="1:13">
      <c r="A1" s="4246" t="s">
        <v>1202</v>
      </c>
      <c r="B1" s="4247"/>
      <c r="C1" s="4247"/>
      <c r="D1" s="4247"/>
      <c r="E1" s="4247"/>
      <c r="F1" s="4247"/>
      <c r="G1" s="4247"/>
      <c r="H1" s="4247"/>
      <c r="I1" s="4247"/>
      <c r="J1" s="4247"/>
      <c r="K1" s="4247"/>
      <c r="L1" s="4247"/>
      <c r="M1" s="4247"/>
    </row>
    <row r="2" spans="1:13" ht="25.5" customHeight="1">
      <c r="A2" s="4235" t="s">
        <v>1204</v>
      </c>
      <c r="B2" s="4235"/>
      <c r="C2" s="4235"/>
      <c r="D2" s="4235"/>
      <c r="E2" s="4235"/>
    </row>
    <row r="3" spans="1:13" ht="24">
      <c r="A3" s="4251" t="s">
        <v>147</v>
      </c>
      <c r="B3" s="4251" t="s">
        <v>750</v>
      </c>
      <c r="C3" s="346" t="s">
        <v>896</v>
      </c>
      <c r="D3" s="346" t="s">
        <v>897</v>
      </c>
      <c r="E3" s="346" t="s">
        <v>898</v>
      </c>
    </row>
    <row r="4" spans="1:13">
      <c r="A4" s="4251"/>
      <c r="B4" s="4251"/>
      <c r="C4" s="346" t="s">
        <v>899</v>
      </c>
      <c r="D4" s="346">
        <v>2</v>
      </c>
      <c r="E4" s="346">
        <v>3</v>
      </c>
    </row>
    <row r="5" spans="1:13" ht="18" customHeight="1">
      <c r="A5" s="4245" t="s">
        <v>900</v>
      </c>
      <c r="B5" s="4245"/>
      <c r="C5" s="4245"/>
      <c r="D5" s="4245"/>
      <c r="E5" s="4245"/>
    </row>
    <row r="6" spans="1:13" ht="18" customHeight="1">
      <c r="A6" s="346">
        <v>1</v>
      </c>
      <c r="B6" s="347" t="s">
        <v>901</v>
      </c>
      <c r="C6" s="344">
        <f>ROUND(D6+E6,2)</f>
        <v>0</v>
      </c>
      <c r="D6" s="350">
        <f>抵扣应纳税所得额审核表!D6</f>
        <v>0</v>
      </c>
      <c r="E6" s="350">
        <f>抵扣应纳税所得额审核表!E6</f>
        <v>0</v>
      </c>
    </row>
    <row r="7" spans="1:13" ht="18" customHeight="1">
      <c r="A7" s="346">
        <v>2</v>
      </c>
      <c r="B7" s="347" t="s">
        <v>902</v>
      </c>
      <c r="C7" s="351">
        <v>0.7</v>
      </c>
      <c r="D7" s="351">
        <v>0.7</v>
      </c>
      <c r="E7" s="351">
        <v>0.7</v>
      </c>
    </row>
    <row r="8" spans="1:13" ht="18" customHeight="1">
      <c r="A8" s="346">
        <v>3</v>
      </c>
      <c r="B8" s="347" t="s">
        <v>903</v>
      </c>
      <c r="C8" s="344">
        <f>C6*C7</f>
        <v>0</v>
      </c>
      <c r="D8" s="344">
        <f>D6*D7</f>
        <v>0</v>
      </c>
      <c r="E8" s="344">
        <f>E6*E7</f>
        <v>0</v>
      </c>
    </row>
    <row r="9" spans="1:13" ht="18" customHeight="1">
      <c r="A9" s="346">
        <v>4</v>
      </c>
      <c r="B9" s="347" t="s">
        <v>904</v>
      </c>
      <c r="C9" s="346">
        <f>抵扣应纳税所得额审核表!C9</f>
        <v>0</v>
      </c>
      <c r="D9" s="352" t="s">
        <v>133</v>
      </c>
      <c r="E9" s="352" t="s">
        <v>133</v>
      </c>
    </row>
    <row r="10" spans="1:13" ht="18" customHeight="1">
      <c r="A10" s="346">
        <v>5</v>
      </c>
      <c r="B10" s="347" t="s">
        <v>905</v>
      </c>
      <c r="C10" s="344">
        <f>ROUND(C8+C9,2)</f>
        <v>0</v>
      </c>
      <c r="D10" s="352" t="s">
        <v>133</v>
      </c>
      <c r="E10" s="352" t="s">
        <v>133</v>
      </c>
    </row>
    <row r="11" spans="1:13" ht="18" customHeight="1">
      <c r="A11" s="346">
        <v>6</v>
      </c>
      <c r="B11" s="347" t="s">
        <v>906</v>
      </c>
      <c r="C11" s="344">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0</v>
      </c>
      <c r="D11" s="353" t="s">
        <v>133</v>
      </c>
      <c r="E11" s="353" t="s">
        <v>133</v>
      </c>
    </row>
    <row r="12" spans="1:13" ht="18" customHeight="1">
      <c r="A12" s="346">
        <v>7</v>
      </c>
      <c r="B12" s="347" t="s">
        <v>907</v>
      </c>
      <c r="C12" s="344">
        <f>IF(C10&lt;=C11,C10,C11)</f>
        <v>0</v>
      </c>
      <c r="D12" s="350">
        <f>抵扣应纳税所得额审核表!D12</f>
        <v>0</v>
      </c>
      <c r="E12" s="350">
        <f>抵扣应纳税所得额审核表!E12</f>
        <v>0</v>
      </c>
    </row>
    <row r="13" spans="1:13" ht="18" customHeight="1">
      <c r="A13" s="346">
        <v>8</v>
      </c>
      <c r="B13" s="347" t="s">
        <v>908</v>
      </c>
      <c r="C13" s="344">
        <f>IF(C10&gt;C11,C10-C12,0)</f>
        <v>0</v>
      </c>
      <c r="D13" s="352" t="s">
        <v>133</v>
      </c>
      <c r="E13" s="352" t="s">
        <v>133</v>
      </c>
    </row>
    <row r="14" spans="1:13" ht="18" customHeight="1">
      <c r="A14" s="4245" t="s">
        <v>909</v>
      </c>
      <c r="B14" s="4245"/>
      <c r="C14" s="4245"/>
      <c r="D14" s="4245"/>
      <c r="E14" s="4245"/>
    </row>
    <row r="15" spans="1:13" ht="18" customHeight="1">
      <c r="A15" s="346">
        <v>9</v>
      </c>
      <c r="B15" s="347" t="s">
        <v>910</v>
      </c>
      <c r="C15" s="344">
        <f>ROUND(D15+E15,2)</f>
        <v>0</v>
      </c>
      <c r="D15" s="350">
        <f>抵扣应纳税所得额审核表!D15</f>
        <v>0</v>
      </c>
      <c r="E15" s="350">
        <f>抵扣应纳税所得额审核表!E15</f>
        <v>0</v>
      </c>
    </row>
    <row r="16" spans="1:13" ht="18" customHeight="1">
      <c r="A16" s="346">
        <v>10</v>
      </c>
      <c r="B16" s="347" t="s">
        <v>911</v>
      </c>
      <c r="C16" s="344">
        <f>ROUND(D16+E16,2)</f>
        <v>0</v>
      </c>
      <c r="D16" s="350">
        <f>抵扣应纳税所得额审核表!D16</f>
        <v>0</v>
      </c>
      <c r="E16" s="350">
        <f>抵扣应纳税所得额审核表!E16</f>
        <v>0</v>
      </c>
    </row>
    <row r="17" spans="1:5" ht="18" customHeight="1">
      <c r="A17" s="346">
        <v>11</v>
      </c>
      <c r="B17" s="347" t="s">
        <v>912</v>
      </c>
      <c r="C17" s="346">
        <f>抵扣应纳税所得额审核表!C17</f>
        <v>0</v>
      </c>
      <c r="D17" s="352" t="s">
        <v>133</v>
      </c>
      <c r="E17" s="352" t="s">
        <v>133</v>
      </c>
    </row>
    <row r="18" spans="1:5" ht="18" customHeight="1">
      <c r="A18" s="346">
        <v>12</v>
      </c>
      <c r="B18" s="347" t="s">
        <v>913</v>
      </c>
      <c r="C18" s="344">
        <f>ROUND(SUM(C16:C17),2)</f>
        <v>0</v>
      </c>
      <c r="D18" s="352" t="s">
        <v>133</v>
      </c>
      <c r="E18" s="352" t="s">
        <v>133</v>
      </c>
    </row>
    <row r="19" spans="1:5" ht="18" customHeight="1">
      <c r="A19" s="346">
        <v>13</v>
      </c>
      <c r="B19" s="347" t="s">
        <v>914</v>
      </c>
      <c r="C19" s="344">
        <f>ROUND(D19+E19,2)</f>
        <v>0</v>
      </c>
      <c r="D19" s="350">
        <f>抵扣应纳税所得额审核表!D19</f>
        <v>0</v>
      </c>
      <c r="E19" s="350">
        <f>抵扣应纳税所得额审核表!E19</f>
        <v>0</v>
      </c>
    </row>
    <row r="20" spans="1:5" ht="18" customHeight="1">
      <c r="A20" s="346">
        <v>14</v>
      </c>
      <c r="B20" s="347" t="s">
        <v>915</v>
      </c>
      <c r="C20" s="344">
        <f>ROUND(C18-C19,2)</f>
        <v>0</v>
      </c>
      <c r="D20" s="352" t="s">
        <v>133</v>
      </c>
      <c r="E20" s="352" t="s">
        <v>133</v>
      </c>
    </row>
    <row r="21" spans="1:5" ht="18" customHeight="1">
      <c r="A21" s="4245" t="s">
        <v>916</v>
      </c>
      <c r="B21" s="4245"/>
      <c r="C21" s="4245"/>
      <c r="D21" s="4245"/>
      <c r="E21" s="4245"/>
    </row>
    <row r="22" spans="1:5" ht="18" customHeight="1">
      <c r="A22" s="346">
        <v>15</v>
      </c>
      <c r="B22" s="347" t="s">
        <v>917</v>
      </c>
      <c r="C22" s="344">
        <f>ROUND(C12+C19,2)</f>
        <v>0</v>
      </c>
      <c r="D22" s="344">
        <f>ROUND(D12+D19,2)</f>
        <v>0</v>
      </c>
      <c r="E22" s="344">
        <f>ROUND(E12+E19,2)</f>
        <v>0</v>
      </c>
    </row>
    <row r="25" spans="1:5" s="216" customFormat="1" ht="15" customHeight="1">
      <c r="A25" s="4248" t="s">
        <v>1410</v>
      </c>
      <c r="B25" s="4248"/>
      <c r="C25" s="4248"/>
      <c r="D25" s="4248"/>
      <c r="E25" s="4248"/>
    </row>
    <row r="26" spans="1:5" s="215" customFormat="1" ht="15" customHeight="1">
      <c r="A26" s="4249" t="s">
        <v>1516</v>
      </c>
      <c r="B26" s="4249"/>
      <c r="C26" s="4249"/>
      <c r="D26" s="4249"/>
      <c r="E26" s="4249"/>
    </row>
    <row r="27" spans="1:5" s="216" customFormat="1" ht="15" customHeight="1">
      <c r="A27" s="4250"/>
      <c r="B27" s="4250"/>
      <c r="C27" s="4250"/>
      <c r="D27" s="4250"/>
      <c r="E27" s="4250"/>
    </row>
    <row r="28" spans="1:5" s="216" customFormat="1" ht="15" customHeight="1">
      <c r="A28" s="4114" t="s">
        <v>1418</v>
      </c>
      <c r="B28" s="4114"/>
      <c r="C28" s="4114"/>
      <c r="D28" s="4114"/>
      <c r="E28" s="4114"/>
    </row>
    <row r="29" spans="1:5" s="215" customFormat="1" ht="15" customHeight="1">
      <c r="A29" s="4111" t="s">
        <v>1517</v>
      </c>
      <c r="B29" s="4111"/>
      <c r="C29" s="4111"/>
      <c r="D29" s="4111"/>
      <c r="E29" s="4111"/>
    </row>
    <row r="30" spans="1:5" s="316" customFormat="1" ht="15" customHeight="1">
      <c r="A30" s="4095" t="s">
        <v>1518</v>
      </c>
      <c r="B30" s="4095"/>
      <c r="C30" s="4095"/>
      <c r="D30" s="4095"/>
      <c r="E30" s="4095"/>
    </row>
    <row r="31" spans="1:5" s="316" customFormat="1" ht="15.75" customHeight="1">
      <c r="A31" s="4095" t="s">
        <v>1519</v>
      </c>
      <c r="B31" s="4095"/>
      <c r="C31" s="4095"/>
      <c r="D31" s="4095"/>
      <c r="E31" s="4095"/>
    </row>
    <row r="32" spans="1:5" s="316" customFormat="1" ht="18" customHeight="1">
      <c r="A32" s="4095" t="s">
        <v>1520</v>
      </c>
      <c r="B32" s="4095"/>
      <c r="C32" s="4095"/>
      <c r="D32" s="4095"/>
      <c r="E32" s="4095"/>
    </row>
    <row r="33" spans="1:5" s="354" customFormat="1" ht="12">
      <c r="A33" s="4111" t="s">
        <v>1521</v>
      </c>
      <c r="B33" s="4111"/>
      <c r="C33" s="4111"/>
      <c r="D33" s="4111"/>
      <c r="E33" s="4111"/>
    </row>
    <row r="34" spans="1:5" s="354" customFormat="1" ht="12">
      <c r="A34" s="4111" t="s">
        <v>1522</v>
      </c>
      <c r="B34" s="4111"/>
      <c r="C34" s="4111"/>
      <c r="D34" s="4111"/>
      <c r="E34" s="4111"/>
    </row>
  </sheetData>
  <mergeCells count="17">
    <mergeCell ref="A1:M1"/>
    <mergeCell ref="A25:E25"/>
    <mergeCell ref="A26:E26"/>
    <mergeCell ref="A27:E27"/>
    <mergeCell ref="A28:E28"/>
    <mergeCell ref="A3:A4"/>
    <mergeCell ref="B3:B4"/>
    <mergeCell ref="A5:E5"/>
    <mergeCell ref="A14:E14"/>
    <mergeCell ref="A31:E31"/>
    <mergeCell ref="A32:E32"/>
    <mergeCell ref="A21:E21"/>
    <mergeCell ref="A2:E2"/>
    <mergeCell ref="A34:E34"/>
    <mergeCell ref="A33:E33"/>
    <mergeCell ref="A29:E29"/>
    <mergeCell ref="A30:E30"/>
  </mergeCells>
  <phoneticPr fontId="46" type="noConversion"/>
  <hyperlinks>
    <hyperlink ref="A1:M1" location="'A100000中华人民共和国企业所得税年度纳税申报表（A类）'!A1" display="A107020    返回主表（A100000）"/>
    <hyperlink ref="A26:C26" r:id="rId1" display="《中国税务合规实务指南—所得税》  创业投资企业[¶60-440]-[¶60-446]"/>
    <hyperlink ref="A29:C29" r:id="rId2" display="《国家税务总局关于实施创业投资企业所得税优惠问题的通知》（国税发〔2009〕87号）"/>
    <hyperlink ref="A30:C30" r:id="rId3" display="《财政部、国家税务总局关于执行企业所得税优惠政策若干问题的通知》（财税〔2009〕69号）"/>
    <hyperlink ref="A31:C31" r:id="rId4" display="《财政部 国家税务总局关于将国家自主创新示范区有关税收试点政策推广到全国范围实施的通知》（财税〔2015〕116号）"/>
    <hyperlink ref="A32:C32" r:id="rId5" display="《国家税务总局关于有限合伙制创业投资企业法人合伙人企业所得税有关问题的公告》（国家税务总局公告2015年第81号）"/>
    <hyperlink ref="A33" r:id="rId6"/>
    <hyperlink ref="A34" r:id="rId7"/>
    <hyperlink ref="A26:IV26" r:id="rId8" display="《中国税务合规实务指南—所得税》  创业投资企业[¶60-440]-[¶60-446]"/>
    <hyperlink ref="A29:IV29" r:id="rId9" display="《国家税务总局关于实施创业投资企业所得税优惠问题的通知》（国税发〔2009〕87号）"/>
    <hyperlink ref="A30:IV30" r:id="rId10" display="《财政部、国家税务总局关于执行企业所得税优惠政策若干问题的通知》（财税〔2009〕69号）"/>
    <hyperlink ref="A31:IV31" r:id="rId11" display="《财政部、国家税务总局关于将国家自主创新示范区有关税收试点政策推广到全国范围实施的通知》（财税〔2015〕116号）"/>
    <hyperlink ref="A32:IV32" r:id="rId12" display="《国家税务总局关于有限合伙制创业投资企业法人合伙人企业所得税有关问题的公告》（国家税务总局公告2015年第81号）"/>
    <hyperlink ref="A33:IV33" r:id="rId13" display="《财政部 税务总局关于创业投资企业和天使投资个人有关税收试点政策的通知》（财税〔2017〕38号）"/>
    <hyperlink ref="A34:IV34" r:id="rId14" display="《国家税务总局关于创业投资企业和天使投资个人税收试点政策有关问题的公告》（国家税务总局公告2017年第20号）"/>
  </hyperlinks>
  <pageMargins left="0.70866141732283472" right="0.70866141732283472" top="0.74803149606299213" bottom="0.74803149606299213" header="0.31496062992125984" footer="0.31496062992125984"/>
  <pageSetup paperSize="9" orientation="landscape" verticalDpi="0" r:id="rId15"/>
  <rowBreaks count="1" manualBreakCount="1">
    <brk id="22" max="16383" man="1"/>
  </rowBreaks>
  <colBreaks count="1" manualBreakCount="1">
    <brk id="5" max="1048575" man="1"/>
  </colBreaks>
  <legacyDrawing r:id="rId16"/>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D149"/>
  <sheetViews>
    <sheetView workbookViewId="0">
      <selection sqref="A1:C1"/>
    </sheetView>
  </sheetViews>
  <sheetFormatPr defaultColWidth="10.875" defaultRowHeight="14.25"/>
  <cols>
    <col min="1" max="1" width="5" style="152" customWidth="1"/>
    <col min="2" max="2" width="62.625" style="157" customWidth="1"/>
    <col min="3" max="3" width="18.625" style="152" customWidth="1"/>
    <col min="4" max="4" width="1.25" style="152" customWidth="1"/>
    <col min="5" max="16384" width="10.875" style="152"/>
  </cols>
  <sheetData>
    <row r="1" spans="1:4" s="128" customFormat="1" ht="20.100000000000001" customHeight="1">
      <c r="A1" s="4174" t="s">
        <v>1202</v>
      </c>
      <c r="B1" s="4174"/>
      <c r="C1" s="4174"/>
      <c r="D1" s="158"/>
    </row>
    <row r="2" spans="1:4" s="146" customFormat="1" ht="25.5" customHeight="1">
      <c r="A2" s="4175" t="s">
        <v>1205</v>
      </c>
      <c r="B2" s="4258"/>
      <c r="C2" s="4258"/>
      <c r="D2" s="159"/>
    </row>
    <row r="3" spans="1:4" s="148" customFormat="1" ht="14.25" customHeight="1">
      <c r="A3" s="135" t="s">
        <v>147</v>
      </c>
      <c r="B3" s="132" t="s">
        <v>761</v>
      </c>
      <c r="C3" s="135" t="s">
        <v>314</v>
      </c>
      <c r="D3" s="160"/>
    </row>
    <row r="4" spans="1:4" s="148" customFormat="1" ht="14.25" customHeight="1">
      <c r="A4" s="135">
        <v>1</v>
      </c>
      <c r="B4" s="149" t="s">
        <v>918</v>
      </c>
      <c r="C4" s="151">
        <f>减免所得税优惠审核表!C4</f>
        <v>0</v>
      </c>
      <c r="D4" s="161"/>
    </row>
    <row r="5" spans="1:4" s="148" customFormat="1" ht="27.75" customHeight="1">
      <c r="A5" s="135">
        <v>2</v>
      </c>
      <c r="B5" s="149" t="s">
        <v>919</v>
      </c>
      <c r="C5" s="344">
        <f>'A107041 高新技术企业优惠情况及明细表'!I37</f>
        <v>0</v>
      </c>
    </row>
    <row r="6" spans="1:4" s="148" customFormat="1" ht="33" customHeight="1">
      <c r="A6" s="135">
        <v>3</v>
      </c>
      <c r="B6" s="149" t="s">
        <v>920</v>
      </c>
      <c r="C6" s="344">
        <f>'A107041 高新技术企业优惠情况及明细表'!I38</f>
        <v>0</v>
      </c>
    </row>
    <row r="7" spans="1:4" s="148" customFormat="1" ht="14.25" customHeight="1">
      <c r="A7" s="135">
        <v>4</v>
      </c>
      <c r="B7" s="149" t="s">
        <v>921</v>
      </c>
      <c r="C7" s="344">
        <f>ROUND(SUM(C8:C9),2)</f>
        <v>0</v>
      </c>
    </row>
    <row r="8" spans="1:4" s="148" customFormat="1" ht="14.25" customHeight="1">
      <c r="A8" s="135">
        <v>4.0999999999999996</v>
      </c>
      <c r="B8" s="149" t="s">
        <v>950</v>
      </c>
      <c r="C8" s="151">
        <f>减免所得税优惠审核表!C8</f>
        <v>0</v>
      </c>
    </row>
    <row r="9" spans="1:4" s="148" customFormat="1" ht="14.25" customHeight="1">
      <c r="A9" s="135">
        <v>4.2</v>
      </c>
      <c r="B9" s="140" t="s">
        <v>951</v>
      </c>
      <c r="C9" s="151">
        <f>减免所得税优惠审核表!C9</f>
        <v>0</v>
      </c>
    </row>
    <row r="10" spans="1:4" s="148" customFormat="1" ht="14.25" customHeight="1">
      <c r="A10" s="130">
        <v>5</v>
      </c>
      <c r="B10" s="140" t="s">
        <v>922</v>
      </c>
      <c r="C10" s="151">
        <f>减免所得税优惠审核表!C10</f>
        <v>0</v>
      </c>
    </row>
    <row r="11" spans="1:4" s="148" customFormat="1" ht="29.25" customHeight="1">
      <c r="A11" s="135">
        <v>6</v>
      </c>
      <c r="B11" s="162" t="s">
        <v>923</v>
      </c>
      <c r="C11" s="151">
        <f>减免所得税优惠审核表!C11</f>
        <v>0</v>
      </c>
    </row>
    <row r="12" spans="1:4" s="148" customFormat="1" ht="27" customHeight="1">
      <c r="A12" s="135">
        <v>7</v>
      </c>
      <c r="B12" s="162" t="s">
        <v>924</v>
      </c>
      <c r="C12" s="151">
        <f>减免所得税优惠审核表!C12</f>
        <v>0</v>
      </c>
    </row>
    <row r="13" spans="1:4" s="148" customFormat="1" ht="25.5" customHeight="1">
      <c r="A13" s="135">
        <v>8</v>
      </c>
      <c r="B13" s="149" t="s">
        <v>925</v>
      </c>
      <c r="C13" s="151">
        <f>减免所得税优惠审核表!C13</f>
        <v>0</v>
      </c>
    </row>
    <row r="14" spans="1:4" s="148" customFormat="1" ht="14.25" customHeight="1">
      <c r="A14" s="135">
        <v>9</v>
      </c>
      <c r="B14" s="140" t="s">
        <v>926</v>
      </c>
      <c r="C14" s="151">
        <f>减免所得税优惠审核表!C14</f>
        <v>0</v>
      </c>
    </row>
    <row r="15" spans="1:4" s="148" customFormat="1" ht="14.25" customHeight="1">
      <c r="A15" s="135">
        <v>10</v>
      </c>
      <c r="B15" s="162" t="s">
        <v>927</v>
      </c>
      <c r="C15" s="151">
        <f>减免所得税优惠审核表!C15</f>
        <v>0</v>
      </c>
    </row>
    <row r="16" spans="1:4" s="148" customFormat="1" ht="14.25" customHeight="1">
      <c r="A16" s="135">
        <v>11</v>
      </c>
      <c r="B16" s="162" t="s">
        <v>928</v>
      </c>
      <c r="C16" s="151">
        <f>减免所得税优惠审核表!C16</f>
        <v>0</v>
      </c>
    </row>
    <row r="17" spans="1:3" s="148" customFormat="1" ht="27" customHeight="1">
      <c r="A17" s="135">
        <v>12</v>
      </c>
      <c r="B17" s="149" t="s">
        <v>929</v>
      </c>
      <c r="C17" s="151">
        <f>减免所得税优惠审核表!C17</f>
        <v>0</v>
      </c>
    </row>
    <row r="18" spans="1:3" s="148" customFormat="1" ht="14.25" customHeight="1">
      <c r="A18" s="135">
        <v>13</v>
      </c>
      <c r="B18" s="140" t="s">
        <v>930</v>
      </c>
      <c r="C18" s="151">
        <f>减免所得税优惠审核表!C18</f>
        <v>0</v>
      </c>
    </row>
    <row r="19" spans="1:3" s="148" customFormat="1" ht="29.25" customHeight="1">
      <c r="A19" s="135">
        <v>14</v>
      </c>
      <c r="B19" s="162" t="s">
        <v>931</v>
      </c>
      <c r="C19" s="151">
        <f>减免所得税优惠审核表!C19</f>
        <v>0</v>
      </c>
    </row>
    <row r="20" spans="1:3" s="148" customFormat="1" ht="27" customHeight="1">
      <c r="A20" s="135">
        <v>15</v>
      </c>
      <c r="B20" s="162" t="s">
        <v>932</v>
      </c>
      <c r="C20" s="151">
        <f>减免所得税优惠审核表!C20</f>
        <v>0</v>
      </c>
    </row>
    <row r="21" spans="1:3" s="148" customFormat="1" ht="31.5" customHeight="1">
      <c r="A21" s="135">
        <v>16</v>
      </c>
      <c r="B21" s="149" t="s">
        <v>933</v>
      </c>
      <c r="C21" s="151">
        <f>减免所得税优惠审核表!C21</f>
        <v>0</v>
      </c>
    </row>
    <row r="22" spans="1:3" s="148" customFormat="1" ht="14.25" customHeight="1">
      <c r="A22" s="135">
        <v>17</v>
      </c>
      <c r="B22" s="149" t="s">
        <v>934</v>
      </c>
      <c r="C22" s="151">
        <f>减免所得税优惠审核表!C22</f>
        <v>0</v>
      </c>
    </row>
    <row r="23" spans="1:3" s="148" customFormat="1" ht="14.25" customHeight="1">
      <c r="A23" s="135">
        <v>18</v>
      </c>
      <c r="B23" s="149" t="s">
        <v>935</v>
      </c>
      <c r="C23" s="151">
        <f>减免所得税优惠审核表!C23</f>
        <v>0</v>
      </c>
    </row>
    <row r="24" spans="1:3" s="148" customFormat="1" ht="14.25" customHeight="1">
      <c r="A24" s="135">
        <v>19</v>
      </c>
      <c r="B24" s="149" t="s">
        <v>936</v>
      </c>
      <c r="C24" s="151">
        <f>减免所得税优惠审核表!C24</f>
        <v>0</v>
      </c>
    </row>
    <row r="25" spans="1:3" s="148" customFormat="1" ht="27.75" customHeight="1">
      <c r="A25" s="135">
        <v>20</v>
      </c>
      <c r="B25" s="149" t="s">
        <v>937</v>
      </c>
      <c r="C25" s="151">
        <f>减免所得税优惠审核表!C25</f>
        <v>0</v>
      </c>
    </row>
    <row r="26" spans="1:3" s="148" customFormat="1" ht="14.25" customHeight="1">
      <c r="A26" s="135">
        <v>21</v>
      </c>
      <c r="B26" s="149" t="s">
        <v>938</v>
      </c>
      <c r="C26" s="151">
        <f>减免所得税优惠审核表!C26</f>
        <v>0</v>
      </c>
    </row>
    <row r="27" spans="1:3" s="148" customFormat="1" ht="14.25" customHeight="1">
      <c r="A27" s="135">
        <v>22</v>
      </c>
      <c r="B27" s="149" t="s">
        <v>939</v>
      </c>
      <c r="C27" s="151">
        <f>减免所得税优惠审核表!C27</f>
        <v>0</v>
      </c>
    </row>
    <row r="28" spans="1:3" s="148" customFormat="1" ht="14.25" customHeight="1">
      <c r="A28" s="135">
        <v>23</v>
      </c>
      <c r="B28" s="149" t="s">
        <v>940</v>
      </c>
      <c r="C28" s="151">
        <f>减免所得税优惠审核表!C28</f>
        <v>0</v>
      </c>
    </row>
    <row r="29" spans="1:3" s="148" customFormat="1" ht="25.5" customHeight="1">
      <c r="A29" s="135">
        <v>24</v>
      </c>
      <c r="B29" s="149" t="s">
        <v>941</v>
      </c>
      <c r="C29" s="151">
        <f>减免所得税优惠审核表!C29</f>
        <v>0</v>
      </c>
    </row>
    <row r="30" spans="1:3" s="148" customFormat="1" ht="14.25" customHeight="1">
      <c r="A30" s="135">
        <v>25</v>
      </c>
      <c r="B30" s="149" t="s">
        <v>942</v>
      </c>
      <c r="C30" s="151">
        <f>减免所得税优惠审核表!C30</f>
        <v>0</v>
      </c>
    </row>
    <row r="31" spans="1:3" s="148" customFormat="1" ht="14.25" customHeight="1">
      <c r="A31" s="135">
        <v>26</v>
      </c>
      <c r="B31" s="149" t="s">
        <v>943</v>
      </c>
      <c r="C31" s="151">
        <f>减免所得税优惠审核表!C31</f>
        <v>0</v>
      </c>
    </row>
    <row r="32" spans="1:3" s="148" customFormat="1" ht="14.25" customHeight="1">
      <c r="A32" s="130">
        <v>27</v>
      </c>
      <c r="B32" s="150" t="s">
        <v>944</v>
      </c>
      <c r="C32" s="151">
        <f>减免所得税优惠审核表!C32</f>
        <v>0</v>
      </c>
    </row>
    <row r="33" spans="1:4" s="148" customFormat="1" ht="14.25" customHeight="1">
      <c r="A33" s="135">
        <v>28</v>
      </c>
      <c r="B33" s="149" t="s">
        <v>945</v>
      </c>
      <c r="C33" s="151">
        <f>减免所得税优惠审核表!C33</f>
        <v>0</v>
      </c>
    </row>
    <row r="34" spans="1:4" s="148" customFormat="1" ht="14.25" customHeight="1">
      <c r="A34" s="135">
        <v>29</v>
      </c>
      <c r="B34" s="149" t="s">
        <v>946</v>
      </c>
      <c r="C34" s="344">
        <f>ROUND(SUM(C35:C36),2)</f>
        <v>0</v>
      </c>
    </row>
    <row r="35" spans="1:4" s="148" customFormat="1" ht="14.25" customHeight="1">
      <c r="A35" s="135">
        <v>29.1</v>
      </c>
      <c r="B35" s="149" t="s">
        <v>952</v>
      </c>
      <c r="C35" s="151">
        <f>减免所得税优惠审核表!C35</f>
        <v>0</v>
      </c>
    </row>
    <row r="36" spans="1:4" s="148" customFormat="1" ht="14.25" customHeight="1">
      <c r="A36" s="135">
        <v>29.2</v>
      </c>
      <c r="B36" s="149" t="s">
        <v>953</v>
      </c>
      <c r="C36" s="151">
        <f>减免所得税优惠审核表!C36</f>
        <v>0</v>
      </c>
    </row>
    <row r="37" spans="1:4" s="148" customFormat="1" ht="14.25" customHeight="1">
      <c r="A37" s="135">
        <v>30</v>
      </c>
      <c r="B37" s="149" t="s">
        <v>947</v>
      </c>
      <c r="C37" s="151">
        <f>减免所得税优惠审核表!C37</f>
        <v>0</v>
      </c>
    </row>
    <row r="38" spans="1:4" s="148" customFormat="1" ht="28.5" customHeight="1">
      <c r="A38" s="135">
        <v>31</v>
      </c>
      <c r="B38" s="149" t="s">
        <v>949</v>
      </c>
      <c r="C38" s="151">
        <f>减免所得税优惠审核表!C38</f>
        <v>0</v>
      </c>
    </row>
    <row r="39" spans="1:4" s="148" customFormat="1" ht="14.25" customHeight="1">
      <c r="A39" s="135">
        <v>32</v>
      </c>
      <c r="B39" s="149" t="s">
        <v>948</v>
      </c>
      <c r="C39" s="344">
        <f>ROUND(C4+C5+C6+C7+C10+C11+C12+C13+C14+C15+C16+C17+C18+C19+C20+C21+C22+C23+C24+C25+C26+C27+C28+C29+C30+C31+C32-C33+C34+C37+C38,2)</f>
        <v>0</v>
      </c>
    </row>
    <row r="40" spans="1:4" s="148" customFormat="1" ht="15" customHeight="1">
      <c r="A40" s="4259"/>
      <c r="B40" s="4259"/>
      <c r="C40" s="4259"/>
      <c r="D40" s="4260"/>
    </row>
    <row r="41" spans="1:4" s="148" customFormat="1" ht="15" customHeight="1">
      <c r="A41" s="4261"/>
      <c r="B41" s="4260"/>
      <c r="C41" s="4260"/>
      <c r="D41" s="4260"/>
    </row>
    <row r="42" spans="1:4" s="222" customFormat="1" ht="15" customHeight="1">
      <c r="A42" s="4262" t="s">
        <v>1416</v>
      </c>
      <c r="B42" s="4097"/>
      <c r="C42" s="4097"/>
      <c r="D42" s="4097"/>
    </row>
    <row r="43" spans="1:4" s="222" customFormat="1" ht="15" customHeight="1">
      <c r="A43" s="4254" t="s">
        <v>1523</v>
      </c>
      <c r="B43" s="4255"/>
      <c r="C43" s="4255"/>
      <c r="D43" s="4255"/>
    </row>
    <row r="44" spans="1:4" s="221" customFormat="1" ht="15" customHeight="1">
      <c r="A44" s="4252" t="s">
        <v>1524</v>
      </c>
      <c r="B44" s="4095"/>
      <c r="C44" s="4095"/>
      <c r="D44" s="4095"/>
    </row>
    <row r="45" spans="1:4" s="221" customFormat="1" ht="26.25" customHeight="1">
      <c r="A45" s="4252" t="s">
        <v>1525</v>
      </c>
      <c r="B45" s="4095"/>
      <c r="C45" s="4095"/>
      <c r="D45" s="4095"/>
    </row>
    <row r="46" spans="1:4" s="223" customFormat="1">
      <c r="A46" s="4253"/>
      <c r="B46" s="4096"/>
      <c r="C46" s="4096"/>
      <c r="D46" s="4096"/>
    </row>
    <row r="47" spans="1:4" s="223" customFormat="1">
      <c r="A47" s="4254" t="s">
        <v>1526</v>
      </c>
      <c r="B47" s="4255"/>
      <c r="C47" s="4255"/>
      <c r="D47" s="4255"/>
    </row>
    <row r="48" spans="1:4" s="221" customFormat="1" ht="12">
      <c r="A48" s="4252" t="s">
        <v>1527</v>
      </c>
      <c r="B48" s="4095"/>
      <c r="C48" s="4095"/>
      <c r="D48" s="4095"/>
    </row>
    <row r="49" spans="1:4" s="222" customFormat="1" ht="12">
      <c r="A49" s="4252" t="s">
        <v>1528</v>
      </c>
      <c r="B49" s="4095"/>
      <c r="C49" s="4095"/>
      <c r="D49" s="4095"/>
    </row>
    <row r="50" spans="1:4" s="223" customFormat="1">
      <c r="A50" s="4253"/>
      <c r="B50" s="4096"/>
      <c r="C50" s="4096"/>
      <c r="D50" s="4096"/>
    </row>
    <row r="51" spans="1:4" s="223" customFormat="1">
      <c r="A51" s="4254" t="s">
        <v>1529</v>
      </c>
      <c r="B51" s="4255"/>
      <c r="C51" s="4255"/>
      <c r="D51" s="4255"/>
    </row>
    <row r="52" spans="1:4" s="222" customFormat="1" ht="18" customHeight="1">
      <c r="A52" s="4252" t="s">
        <v>1530</v>
      </c>
      <c r="B52" s="4095"/>
      <c r="C52" s="4095"/>
      <c r="D52" s="4095"/>
    </row>
    <row r="53" spans="1:4" s="222" customFormat="1" ht="12">
      <c r="A53" s="4252" t="s">
        <v>1531</v>
      </c>
      <c r="B53" s="4095"/>
      <c r="C53" s="4095"/>
      <c r="D53" s="4095"/>
    </row>
    <row r="54" spans="1:4" s="223" customFormat="1">
      <c r="A54" s="4253"/>
      <c r="B54" s="4096"/>
      <c r="C54" s="4096"/>
      <c r="D54" s="4096"/>
    </row>
    <row r="55" spans="1:4" s="223" customFormat="1">
      <c r="A55" s="4254" t="s">
        <v>1532</v>
      </c>
      <c r="B55" s="4255"/>
      <c r="C55" s="4255"/>
      <c r="D55" s="4255"/>
    </row>
    <row r="56" spans="1:4" s="222" customFormat="1" ht="12">
      <c r="A56" s="4252" t="s">
        <v>1533</v>
      </c>
      <c r="B56" s="4095"/>
      <c r="C56" s="4095"/>
      <c r="D56" s="4095"/>
    </row>
    <row r="57" spans="1:4" s="222" customFormat="1" ht="12">
      <c r="A57" s="4252" t="s">
        <v>1534</v>
      </c>
      <c r="B57" s="4095"/>
      <c r="C57" s="4095"/>
      <c r="D57" s="4095"/>
    </row>
    <row r="58" spans="1:4" s="222" customFormat="1" ht="12">
      <c r="A58" s="4252" t="s">
        <v>1535</v>
      </c>
      <c r="B58" s="4095"/>
      <c r="C58" s="4095"/>
      <c r="D58" s="4095"/>
    </row>
    <row r="59" spans="1:4" s="223" customFormat="1">
      <c r="A59" s="4253"/>
      <c r="B59" s="4096"/>
      <c r="C59" s="4096"/>
      <c r="D59" s="4096"/>
    </row>
    <row r="60" spans="1:4" s="223" customFormat="1">
      <c r="A60" s="4254" t="s">
        <v>1536</v>
      </c>
      <c r="B60" s="4255"/>
      <c r="C60" s="4255"/>
      <c r="D60" s="4255"/>
    </row>
    <row r="61" spans="1:4" s="222" customFormat="1" ht="12">
      <c r="A61" s="4252" t="s">
        <v>1537</v>
      </c>
      <c r="B61" s="4095"/>
      <c r="C61" s="4095"/>
      <c r="D61" s="4095"/>
    </row>
    <row r="62" spans="1:4" s="222" customFormat="1" ht="27.75" customHeight="1">
      <c r="A62" s="4252" t="s">
        <v>1538</v>
      </c>
      <c r="B62" s="4095"/>
      <c r="C62" s="4095"/>
      <c r="D62" s="4095"/>
    </row>
    <row r="63" spans="1:4" s="223" customFormat="1">
      <c r="A63" s="4253"/>
      <c r="B63" s="4096"/>
      <c r="C63" s="4096"/>
      <c r="D63" s="4096"/>
    </row>
    <row r="64" spans="1:4" s="223" customFormat="1">
      <c r="A64" s="4254" t="s">
        <v>1539</v>
      </c>
      <c r="B64" s="4255"/>
      <c r="C64" s="4255"/>
      <c r="D64" s="4255"/>
    </row>
    <row r="65" spans="1:4" s="222" customFormat="1" ht="12">
      <c r="A65" s="4252" t="s">
        <v>1537</v>
      </c>
      <c r="B65" s="4095"/>
      <c r="C65" s="4095"/>
      <c r="D65" s="4095"/>
    </row>
    <row r="66" spans="1:4" s="222" customFormat="1" ht="27.75" customHeight="1">
      <c r="A66" s="4256" t="s">
        <v>1538</v>
      </c>
      <c r="B66" s="4257"/>
      <c r="C66" s="4257"/>
      <c r="D66" s="4257"/>
    </row>
    <row r="67" spans="1:4" s="223" customFormat="1">
      <c r="A67" s="4253"/>
      <c r="B67" s="4096"/>
      <c r="C67" s="4096"/>
      <c r="D67" s="4096"/>
    </row>
    <row r="68" spans="1:4" s="223" customFormat="1" ht="14.25" customHeight="1">
      <c r="A68" s="4254" t="s">
        <v>1540</v>
      </c>
      <c r="B68" s="4255"/>
      <c r="C68" s="4255"/>
      <c r="D68" s="4255"/>
    </row>
    <row r="69" spans="1:4" s="222" customFormat="1" ht="12">
      <c r="A69" s="4252" t="s">
        <v>1537</v>
      </c>
      <c r="B69" s="4095"/>
      <c r="C69" s="4095"/>
      <c r="D69" s="4095"/>
    </row>
    <row r="70" spans="1:4" s="222" customFormat="1" ht="27.75" customHeight="1">
      <c r="A70" s="4256" t="s">
        <v>1538</v>
      </c>
      <c r="B70" s="4095"/>
      <c r="C70" s="4095"/>
      <c r="D70" s="4095"/>
    </row>
    <row r="71" spans="1:4" s="223" customFormat="1">
      <c r="A71" s="4253"/>
      <c r="B71" s="4096"/>
      <c r="C71" s="4096"/>
      <c r="D71" s="4096"/>
    </row>
    <row r="72" spans="1:4" s="223" customFormat="1" ht="14.25" customHeight="1">
      <c r="A72" s="4254" t="s">
        <v>1541</v>
      </c>
      <c r="B72" s="4255"/>
      <c r="C72" s="4255"/>
      <c r="D72" s="4255"/>
    </row>
    <row r="73" spans="1:4" s="222" customFormat="1" ht="12">
      <c r="A73" s="4252" t="s">
        <v>1537</v>
      </c>
      <c r="B73" s="4095"/>
      <c r="C73" s="4095"/>
      <c r="D73" s="4095"/>
    </row>
    <row r="74" spans="1:4" s="222" customFormat="1" ht="27.75" customHeight="1">
      <c r="A74" s="4252" t="s">
        <v>1538</v>
      </c>
      <c r="B74" s="4095"/>
      <c r="C74" s="4095"/>
      <c r="D74" s="4095"/>
    </row>
    <row r="75" spans="1:4" s="223" customFormat="1">
      <c r="A75" s="4253"/>
      <c r="B75" s="4096"/>
      <c r="C75" s="4096"/>
      <c r="D75" s="4096"/>
    </row>
    <row r="76" spans="1:4" s="223" customFormat="1">
      <c r="A76" s="4254" t="s">
        <v>1542</v>
      </c>
      <c r="B76" s="4255"/>
      <c r="C76" s="4255"/>
      <c r="D76" s="4255"/>
    </row>
    <row r="77" spans="1:4" s="222" customFormat="1" ht="12">
      <c r="A77" s="4252" t="s">
        <v>1537</v>
      </c>
      <c r="B77" s="4095"/>
      <c r="C77" s="4095"/>
      <c r="D77" s="4095"/>
    </row>
    <row r="78" spans="1:4" s="222" customFormat="1" ht="27.75" customHeight="1">
      <c r="A78" s="4252" t="s">
        <v>1538</v>
      </c>
      <c r="B78" s="4095"/>
      <c r="C78" s="4095"/>
      <c r="D78" s="4095"/>
    </row>
    <row r="79" spans="1:4" s="223" customFormat="1">
      <c r="A79" s="4253"/>
      <c r="B79" s="4096"/>
      <c r="C79" s="4096"/>
      <c r="D79" s="4096"/>
    </row>
    <row r="80" spans="1:4" s="223" customFormat="1">
      <c r="A80" s="4254" t="s">
        <v>1543</v>
      </c>
      <c r="B80" s="4255"/>
      <c r="C80" s="4255"/>
      <c r="D80" s="4255"/>
    </row>
    <row r="81" spans="1:4" s="222" customFormat="1" ht="12">
      <c r="A81" s="4252" t="s">
        <v>1537</v>
      </c>
      <c r="B81" s="4095"/>
      <c r="C81" s="4095"/>
      <c r="D81" s="4095"/>
    </row>
    <row r="82" spans="1:4" s="222" customFormat="1" ht="27.75" customHeight="1">
      <c r="A82" s="4252" t="s">
        <v>1538</v>
      </c>
      <c r="B82" s="4095"/>
      <c r="C82" s="4095"/>
      <c r="D82" s="4095"/>
    </row>
    <row r="83" spans="1:4" s="223" customFormat="1">
      <c r="A83" s="4253"/>
      <c r="B83" s="4096"/>
      <c r="C83" s="4096"/>
      <c r="D83" s="4096"/>
    </row>
    <row r="84" spans="1:4" s="223" customFormat="1">
      <c r="A84" s="4254" t="s">
        <v>1544</v>
      </c>
      <c r="B84" s="4255"/>
      <c r="C84" s="4255"/>
      <c r="D84" s="4255"/>
    </row>
    <row r="85" spans="1:4" s="222" customFormat="1" ht="12">
      <c r="A85" s="4252" t="s">
        <v>1537</v>
      </c>
      <c r="B85" s="4095"/>
      <c r="C85" s="4095"/>
      <c r="D85" s="4095"/>
    </row>
    <row r="86" spans="1:4" s="222" customFormat="1" ht="27.75" customHeight="1">
      <c r="A86" s="4252" t="s">
        <v>1538</v>
      </c>
      <c r="B86" s="4095"/>
      <c r="C86" s="4095"/>
      <c r="D86" s="4095"/>
    </row>
    <row r="87" spans="1:4" s="223" customFormat="1">
      <c r="A87" s="4253"/>
      <c r="B87" s="4096"/>
      <c r="C87" s="4096"/>
      <c r="D87" s="4096"/>
    </row>
    <row r="88" spans="1:4" s="223" customFormat="1">
      <c r="A88" s="4254" t="s">
        <v>1545</v>
      </c>
      <c r="B88" s="4255"/>
      <c r="C88" s="4255"/>
      <c r="D88" s="4255"/>
    </row>
    <row r="89" spans="1:4" s="222" customFormat="1" ht="12">
      <c r="A89" s="4252" t="s">
        <v>1537</v>
      </c>
      <c r="B89" s="4095"/>
      <c r="C89" s="4095"/>
      <c r="D89" s="4095"/>
    </row>
    <row r="90" spans="1:4" s="222" customFormat="1" ht="27.75" customHeight="1">
      <c r="A90" s="4252" t="s">
        <v>1538</v>
      </c>
      <c r="B90" s="4095"/>
      <c r="C90" s="4095"/>
      <c r="D90" s="4095"/>
    </row>
    <row r="91" spans="1:4" s="223" customFormat="1">
      <c r="A91" s="4253"/>
      <c r="B91" s="4096"/>
      <c r="C91" s="4096"/>
      <c r="D91" s="4096"/>
    </row>
    <row r="92" spans="1:4" s="223" customFormat="1">
      <c r="A92" s="4254" t="s">
        <v>1546</v>
      </c>
      <c r="B92" s="4255"/>
      <c r="C92" s="4255"/>
      <c r="D92" s="4255"/>
    </row>
    <row r="93" spans="1:4" s="222" customFormat="1" ht="12">
      <c r="A93" s="4252" t="s">
        <v>1537</v>
      </c>
      <c r="B93" s="4095"/>
      <c r="C93" s="4095"/>
      <c r="D93" s="4095"/>
    </row>
    <row r="94" spans="1:4" s="222" customFormat="1" ht="27.75" customHeight="1">
      <c r="A94" s="4252" t="s">
        <v>1538</v>
      </c>
      <c r="B94" s="4095"/>
      <c r="C94" s="4095"/>
      <c r="D94" s="4095"/>
    </row>
    <row r="95" spans="1:4" s="223" customFormat="1">
      <c r="A95" s="4253"/>
      <c r="B95" s="4096"/>
      <c r="C95" s="4096"/>
      <c r="D95" s="4096"/>
    </row>
    <row r="96" spans="1:4" s="223" customFormat="1">
      <c r="A96" s="4254" t="s">
        <v>1547</v>
      </c>
      <c r="B96" s="4255"/>
      <c r="C96" s="4255"/>
      <c r="D96" s="4255"/>
    </row>
    <row r="97" spans="1:4" s="222" customFormat="1" ht="25.5" customHeight="1">
      <c r="A97" s="4252" t="s">
        <v>1548</v>
      </c>
      <c r="B97" s="4095"/>
      <c r="C97" s="4095"/>
      <c r="D97" s="4095"/>
    </row>
    <row r="98" spans="1:4" s="223" customFormat="1">
      <c r="A98" s="4253"/>
      <c r="B98" s="4096"/>
      <c r="C98" s="4096"/>
      <c r="D98" s="4096"/>
    </row>
    <row r="99" spans="1:4" s="223" customFormat="1">
      <c r="A99" s="4254" t="s">
        <v>1549</v>
      </c>
      <c r="B99" s="4255"/>
      <c r="C99" s="4255"/>
      <c r="D99" s="4255"/>
    </row>
    <row r="100" spans="1:4" s="222" customFormat="1" ht="27" customHeight="1">
      <c r="A100" s="4252" t="s">
        <v>1550</v>
      </c>
      <c r="B100" s="4095"/>
      <c r="C100" s="4095"/>
      <c r="D100" s="4095"/>
    </row>
    <row r="101" spans="1:4" s="223" customFormat="1">
      <c r="A101" s="4253"/>
      <c r="B101" s="4096"/>
      <c r="C101" s="4096"/>
      <c r="D101" s="4096"/>
    </row>
    <row r="102" spans="1:4" s="223" customFormat="1">
      <c r="A102" s="4254" t="s">
        <v>1551</v>
      </c>
      <c r="B102" s="4255"/>
      <c r="C102" s="4255"/>
      <c r="D102" s="4255"/>
    </row>
    <row r="103" spans="1:4" s="222" customFormat="1" ht="26.25" customHeight="1">
      <c r="A103" s="4252" t="s">
        <v>1552</v>
      </c>
      <c r="B103" s="4095"/>
      <c r="C103" s="4095"/>
      <c r="D103" s="4095"/>
    </row>
    <row r="104" spans="1:4" s="223" customFormat="1">
      <c r="A104" s="4253"/>
      <c r="B104" s="4096"/>
      <c r="C104" s="4096"/>
      <c r="D104" s="4096"/>
    </row>
    <row r="105" spans="1:4" s="223" customFormat="1">
      <c r="A105" s="4254" t="s">
        <v>1553</v>
      </c>
      <c r="B105" s="4255"/>
      <c r="C105" s="4255"/>
      <c r="D105" s="4255"/>
    </row>
    <row r="106" spans="1:4" s="222" customFormat="1" ht="18" customHeight="1">
      <c r="A106" s="4252" t="s">
        <v>1554</v>
      </c>
      <c r="B106" s="4095"/>
      <c r="C106" s="4095"/>
      <c r="D106" s="4095"/>
    </row>
    <row r="107" spans="1:4" s="223" customFormat="1">
      <c r="A107" s="4253"/>
      <c r="B107" s="4096"/>
      <c r="C107" s="4096"/>
      <c r="D107" s="4096"/>
    </row>
    <row r="108" spans="1:4" s="223" customFormat="1">
      <c r="A108" s="4254" t="s">
        <v>1555</v>
      </c>
      <c r="B108" s="4255"/>
      <c r="C108" s="4255"/>
      <c r="D108" s="4255"/>
    </row>
    <row r="109" spans="1:4" s="222" customFormat="1" ht="28.5" customHeight="1">
      <c r="A109" s="4252" t="s">
        <v>1556</v>
      </c>
      <c r="B109" s="4095"/>
      <c r="C109" s="4095"/>
      <c r="D109" s="4095"/>
    </row>
    <row r="110" spans="1:4" s="222" customFormat="1" ht="25.5" customHeight="1">
      <c r="A110" s="4252" t="s">
        <v>1557</v>
      </c>
      <c r="B110" s="4095"/>
      <c r="C110" s="4095"/>
      <c r="D110" s="4095"/>
    </row>
    <row r="111" spans="1:4" s="222" customFormat="1" ht="32.25" customHeight="1">
      <c r="A111" s="4252" t="s">
        <v>1558</v>
      </c>
      <c r="B111" s="4095"/>
      <c r="C111" s="4095"/>
      <c r="D111" s="4095"/>
    </row>
    <row r="112" spans="1:4" s="223" customFormat="1">
      <c r="A112" s="4253"/>
      <c r="B112" s="4096"/>
      <c r="C112" s="4096"/>
      <c r="D112" s="4096"/>
    </row>
    <row r="113" spans="1:4" s="223" customFormat="1">
      <c r="A113" s="4254" t="s">
        <v>1559</v>
      </c>
      <c r="B113" s="4255"/>
      <c r="C113" s="4255"/>
      <c r="D113" s="4255"/>
    </row>
    <row r="114" spans="1:4" s="222" customFormat="1" ht="26.25" customHeight="1">
      <c r="A114" s="4252" t="s">
        <v>1560</v>
      </c>
      <c r="B114" s="4095"/>
      <c r="C114" s="4095"/>
      <c r="D114" s="4095"/>
    </row>
    <row r="115" spans="1:4" s="223" customFormat="1">
      <c r="A115" s="4253"/>
      <c r="B115" s="4096"/>
      <c r="C115" s="4096"/>
      <c r="D115" s="4096"/>
    </row>
    <row r="116" spans="1:4" s="223" customFormat="1">
      <c r="A116" s="4254" t="s">
        <v>1561</v>
      </c>
      <c r="B116" s="4255"/>
      <c r="C116" s="4255"/>
      <c r="D116" s="4255"/>
    </row>
    <row r="117" spans="1:4" s="222" customFormat="1" ht="21.75" customHeight="1">
      <c r="A117" s="4252" t="s">
        <v>1562</v>
      </c>
      <c r="B117" s="4095"/>
      <c r="C117" s="4095"/>
      <c r="D117" s="4095"/>
    </row>
    <row r="118" spans="1:4" s="222" customFormat="1" ht="12">
      <c r="A118" s="4252" t="s">
        <v>1563</v>
      </c>
      <c r="B118" s="4095"/>
      <c r="C118" s="4095"/>
      <c r="D118" s="4095"/>
    </row>
    <row r="119" spans="1:4" s="222" customFormat="1" ht="12">
      <c r="A119" s="4252" t="s">
        <v>1564</v>
      </c>
      <c r="B119" s="4095"/>
      <c r="C119" s="4095"/>
      <c r="D119" s="4095"/>
    </row>
    <row r="120" spans="1:4" s="222" customFormat="1" ht="12">
      <c r="A120" s="4252" t="s">
        <v>1565</v>
      </c>
      <c r="B120" s="4095"/>
      <c r="C120" s="4095"/>
      <c r="D120" s="4095"/>
    </row>
    <row r="121" spans="1:4" s="222" customFormat="1" ht="12">
      <c r="A121" s="4252" t="s">
        <v>1566</v>
      </c>
      <c r="B121" s="4095"/>
      <c r="C121" s="4095"/>
      <c r="D121" s="4095"/>
    </row>
    <row r="122" spans="1:4" s="223" customFormat="1">
      <c r="A122" s="4253"/>
      <c r="B122" s="4096"/>
      <c r="C122" s="4096"/>
      <c r="D122" s="4096"/>
    </row>
    <row r="123" spans="1:4" s="223" customFormat="1">
      <c r="A123" s="4254" t="s">
        <v>1567</v>
      </c>
      <c r="B123" s="4255"/>
      <c r="C123" s="4255"/>
      <c r="D123" s="4255"/>
    </row>
    <row r="124" spans="1:4" s="222" customFormat="1" ht="12">
      <c r="A124" s="4252" t="s">
        <v>1568</v>
      </c>
      <c r="B124" s="4095"/>
      <c r="C124" s="4095"/>
      <c r="D124" s="4095"/>
    </row>
    <row r="125" spans="1:4" s="221" customFormat="1" ht="23.25" customHeight="1">
      <c r="A125" s="4252" t="s">
        <v>1569</v>
      </c>
      <c r="B125" s="4095"/>
      <c r="C125" s="4095"/>
      <c r="D125" s="4095"/>
    </row>
    <row r="126" spans="1:4" s="223" customFormat="1">
      <c r="A126" s="4253"/>
      <c r="B126" s="4096"/>
      <c r="C126" s="4096"/>
      <c r="D126" s="4096"/>
    </row>
    <row r="127" spans="1:4" s="223" customFormat="1">
      <c r="A127" s="4254" t="s">
        <v>1570</v>
      </c>
      <c r="B127" s="4255"/>
      <c r="C127" s="4255"/>
      <c r="D127" s="4255"/>
    </row>
    <row r="128" spans="1:4" s="221" customFormat="1" ht="24.75" customHeight="1">
      <c r="A128" s="4252" t="s">
        <v>1571</v>
      </c>
      <c r="B128" s="4095"/>
      <c r="C128" s="4095"/>
      <c r="D128" s="4095"/>
    </row>
    <row r="129" spans="1:4" s="223" customFormat="1" ht="27.75" customHeight="1">
      <c r="A129" s="4253" t="s">
        <v>1569</v>
      </c>
      <c r="B129" s="4096"/>
      <c r="C129" s="4096"/>
      <c r="D129" s="4096"/>
    </row>
    <row r="130" spans="1:4" s="223" customFormat="1">
      <c r="A130" s="4253"/>
      <c r="B130" s="4096"/>
      <c r="C130" s="4096"/>
      <c r="D130" s="4096"/>
    </row>
    <row r="131" spans="1:4" s="223" customFormat="1">
      <c r="A131" s="4254" t="s">
        <v>1572</v>
      </c>
      <c r="B131" s="4255"/>
      <c r="C131" s="4255"/>
      <c r="D131" s="4255"/>
    </row>
    <row r="132" spans="1:4" s="222" customFormat="1" ht="26.25" customHeight="1">
      <c r="A132" s="4252" t="s">
        <v>1573</v>
      </c>
      <c r="B132" s="4095"/>
      <c r="C132" s="4095"/>
      <c r="D132" s="4095"/>
    </row>
    <row r="133" spans="1:4" s="223" customFormat="1">
      <c r="A133" s="4253"/>
      <c r="B133" s="4096"/>
      <c r="C133" s="4096"/>
      <c r="D133" s="4096"/>
    </row>
    <row r="134" spans="1:4" s="223" customFormat="1">
      <c r="A134" s="4254" t="s">
        <v>1574</v>
      </c>
      <c r="B134" s="4255"/>
      <c r="C134" s="4255"/>
      <c r="D134" s="4255"/>
    </row>
    <row r="135" spans="1:4" s="222" customFormat="1" ht="12">
      <c r="A135" s="4252" t="s">
        <v>1575</v>
      </c>
      <c r="B135" s="4095"/>
      <c r="C135" s="4095"/>
      <c r="D135" s="4095"/>
    </row>
    <row r="136" spans="1:4" s="223" customFormat="1">
      <c r="A136" s="4253"/>
      <c r="B136" s="4096"/>
      <c r="C136" s="4096"/>
      <c r="D136" s="4096"/>
    </row>
    <row r="137" spans="1:4" s="223" customFormat="1">
      <c r="A137" s="4254" t="s">
        <v>1576</v>
      </c>
      <c r="B137" s="4255"/>
      <c r="C137" s="4255"/>
      <c r="D137" s="4255"/>
    </row>
    <row r="138" spans="1:4" s="222" customFormat="1" ht="12">
      <c r="A138" s="4252" t="s">
        <v>1577</v>
      </c>
      <c r="B138" s="4095"/>
      <c r="C138" s="4095"/>
      <c r="D138" s="4095"/>
    </row>
    <row r="139" spans="1:4" s="223" customFormat="1">
      <c r="A139" s="4253"/>
      <c r="B139" s="4096"/>
      <c r="C139" s="4096"/>
      <c r="D139" s="4096"/>
    </row>
    <row r="140" spans="1:4" s="223" customFormat="1">
      <c r="A140" s="4254" t="s">
        <v>1578</v>
      </c>
      <c r="B140" s="4255"/>
      <c r="C140" s="4255"/>
      <c r="D140" s="4255"/>
    </row>
    <row r="141" spans="1:4" s="222" customFormat="1" ht="26.25" customHeight="1">
      <c r="A141" s="4252" t="s">
        <v>1579</v>
      </c>
      <c r="B141" s="4095"/>
      <c r="C141" s="4095"/>
      <c r="D141" s="4095"/>
    </row>
    <row r="142" spans="1:4" s="223" customFormat="1">
      <c r="A142" s="4253"/>
      <c r="B142" s="4096"/>
      <c r="C142" s="4096"/>
      <c r="D142" s="4096"/>
    </row>
    <row r="143" spans="1:4" s="223" customFormat="1">
      <c r="A143" s="4254" t="s">
        <v>1580</v>
      </c>
      <c r="B143" s="4255"/>
      <c r="C143" s="4255"/>
      <c r="D143" s="4255"/>
    </row>
    <row r="144" spans="1:4" s="222" customFormat="1" ht="30.75" customHeight="1">
      <c r="A144" s="4252" t="s">
        <v>1581</v>
      </c>
      <c r="B144" s="4095"/>
      <c r="C144" s="4095"/>
      <c r="D144" s="4095"/>
    </row>
    <row r="145" spans="1:4" s="223" customFormat="1">
      <c r="A145" s="4253"/>
      <c r="B145" s="4096"/>
      <c r="C145" s="4096"/>
      <c r="D145" s="4096"/>
    </row>
    <row r="146" spans="1:4" s="223" customFormat="1" ht="24.75" customHeight="1">
      <c r="A146" s="4254" t="s">
        <v>1582</v>
      </c>
      <c r="B146" s="4255"/>
      <c r="C146" s="4255"/>
      <c r="D146" s="4255"/>
    </row>
    <row r="147" spans="1:4" s="222" customFormat="1" ht="12">
      <c r="A147" s="4252" t="s">
        <v>1583</v>
      </c>
      <c r="B147" s="4095"/>
      <c r="C147" s="4095"/>
      <c r="D147" s="4095"/>
    </row>
    <row r="148" spans="1:4" s="221" customFormat="1" ht="12">
      <c r="A148" s="4252" t="s">
        <v>1584</v>
      </c>
      <c r="B148" s="4095"/>
      <c r="C148" s="4095"/>
      <c r="D148" s="4095"/>
    </row>
    <row r="149" spans="1:4" s="223" customFormat="1">
      <c r="A149" s="4253"/>
      <c r="B149" s="4096"/>
      <c r="C149" s="4096"/>
      <c r="D149" s="4096"/>
    </row>
  </sheetData>
  <mergeCells count="112">
    <mergeCell ref="A1:C1"/>
    <mergeCell ref="A2:C2"/>
    <mergeCell ref="A40:D40"/>
    <mergeCell ref="A41:D41"/>
    <mergeCell ref="A42:D42"/>
    <mergeCell ref="A43:D43"/>
    <mergeCell ref="A44:D44"/>
    <mergeCell ref="A45:D45"/>
    <mergeCell ref="A110:D110"/>
    <mergeCell ref="A70:D70"/>
    <mergeCell ref="A71:D71"/>
    <mergeCell ref="A72:D72"/>
    <mergeCell ref="A102:D102"/>
    <mergeCell ref="A103:D103"/>
    <mergeCell ref="A104:D104"/>
    <mergeCell ref="A105:D105"/>
    <mergeCell ref="A73:D73"/>
    <mergeCell ref="A74:D74"/>
    <mergeCell ref="A96:D96"/>
    <mergeCell ref="A97:D97"/>
    <mergeCell ref="A98:D98"/>
    <mergeCell ref="A99:D99"/>
    <mergeCell ref="A100:D100"/>
    <mergeCell ref="A101:D101"/>
    <mergeCell ref="A111:D111"/>
    <mergeCell ref="A112:D112"/>
    <mergeCell ref="A113:D113"/>
    <mergeCell ref="A49:D49"/>
    <mergeCell ref="A50:D50"/>
    <mergeCell ref="A51:D51"/>
    <mergeCell ref="A52:D52"/>
    <mergeCell ref="A53:D53"/>
    <mergeCell ref="A54:D54"/>
    <mergeCell ref="A65:D65"/>
    <mergeCell ref="A66:D66"/>
    <mergeCell ref="A55:D55"/>
    <mergeCell ref="A56:D56"/>
    <mergeCell ref="A57:D57"/>
    <mergeCell ref="A58:D58"/>
    <mergeCell ref="A59:D59"/>
    <mergeCell ref="A60:D60"/>
    <mergeCell ref="A106:D106"/>
    <mergeCell ref="A107:D107"/>
    <mergeCell ref="A108:D108"/>
    <mergeCell ref="A109:D109"/>
    <mergeCell ref="A67:D67"/>
    <mergeCell ref="A68:D68"/>
    <mergeCell ref="A69:D69"/>
    <mergeCell ref="A90:D90"/>
    <mergeCell ref="A91:D91"/>
    <mergeCell ref="A92:D92"/>
    <mergeCell ref="A93:D93"/>
    <mergeCell ref="A94:D94"/>
    <mergeCell ref="A95:D95"/>
    <mergeCell ref="A84:D84"/>
    <mergeCell ref="A85:D85"/>
    <mergeCell ref="A86:D86"/>
    <mergeCell ref="A87:D87"/>
    <mergeCell ref="A88:D88"/>
    <mergeCell ref="A89:D89"/>
    <mergeCell ref="A78:D78"/>
    <mergeCell ref="A79:D79"/>
    <mergeCell ref="A80:D80"/>
    <mergeCell ref="A81:D81"/>
    <mergeCell ref="A82:D82"/>
    <mergeCell ref="A83:D83"/>
    <mergeCell ref="A46:D46"/>
    <mergeCell ref="A47:D47"/>
    <mergeCell ref="A48:D48"/>
    <mergeCell ref="A75:D75"/>
    <mergeCell ref="A76:D76"/>
    <mergeCell ref="A77:D77"/>
    <mergeCell ref="A61:D61"/>
    <mergeCell ref="A62:D62"/>
    <mergeCell ref="A63:D63"/>
    <mergeCell ref="A64:D64"/>
    <mergeCell ref="A114:D114"/>
    <mergeCell ref="A115:D115"/>
    <mergeCell ref="A116:D116"/>
    <mergeCell ref="A117:D117"/>
    <mergeCell ref="A118:D118"/>
    <mergeCell ref="A119:D119"/>
    <mergeCell ref="A120:D120"/>
    <mergeCell ref="A121:D121"/>
    <mergeCell ref="A122:D122"/>
    <mergeCell ref="A123:D123"/>
    <mergeCell ref="A124:D124"/>
    <mergeCell ref="A125:D125"/>
    <mergeCell ref="A126:D126"/>
    <mergeCell ref="A127:D127"/>
    <mergeCell ref="A128:D128"/>
    <mergeCell ref="A129:D129"/>
    <mergeCell ref="A130:D130"/>
    <mergeCell ref="A131:D131"/>
    <mergeCell ref="A132:D132"/>
    <mergeCell ref="A133:D133"/>
    <mergeCell ref="A134:D134"/>
    <mergeCell ref="A135:D135"/>
    <mergeCell ref="A136:D136"/>
    <mergeCell ref="A137:D137"/>
    <mergeCell ref="A138:D138"/>
    <mergeCell ref="A139:D139"/>
    <mergeCell ref="A140:D140"/>
    <mergeCell ref="A141:D141"/>
    <mergeCell ref="A142:D142"/>
    <mergeCell ref="A143:D143"/>
    <mergeCell ref="A144:D144"/>
    <mergeCell ref="A145:D145"/>
    <mergeCell ref="A146:D146"/>
    <mergeCell ref="A147:D147"/>
    <mergeCell ref="A148:D148"/>
    <mergeCell ref="A149:D149"/>
  </mergeCells>
  <phoneticPr fontId="48" type="noConversion"/>
  <hyperlinks>
    <hyperlink ref="A1:C1" location="'A100000 中华人民共和国企业所得税年度纳税申报表（A类）'!A1" display="返回主表（A100000）"/>
    <hyperlink ref="A48:D48" r:id="rId1" display="《国务院关于经济特区和上海浦东新区新设立高新技术企业实行过渡性税收优惠的通知》（国发〔2007〕40号）"/>
    <hyperlink ref="A49:D49" r:id="rId2" display="《财政部 国家税务总局关于贯彻落实国务院关于实施企业所得税过渡优惠政策有关问题的通知》（财税〔2008〕21号）"/>
    <hyperlink ref="A52:D52" r:id="rId3" display="《财政部 海关总署 国家税务总局关于支持芦山地震灾后恢复重建有关税收政策问题的通知》（财税〔2013〕58号）"/>
    <hyperlink ref="A53:D53" r:id="rId4" display="《财政部 海关总署 国家税务总局关于支持鲁甸地震灾后恢复重建有关税收政策问题的通知》（财税〔2015〕27号）"/>
    <hyperlink ref="A56:D56" r:id="rId5" display="《财政部 国家税务总局关于扶持动漫产业发展有关税收政策问题的通知》（财税〔2009〕65号）"/>
    <hyperlink ref="A57:D57" r:id="rId6" display="《文化部 财政部 国家税务总局关于印发&lt;动漫企业认定管理办法（试行）&gt;的通知》（文市发〔2008〕51号）"/>
    <hyperlink ref="A58:D58" r:id="rId7" display="《文化部 财政部 国家税务总局关于实施&lt;动漫企业认定管理办法（试行）&gt;有关问题的通知》（文产发〔2009〕18号）"/>
    <hyperlink ref="A61:D61" r:id="rId8" display="《财政部 国家税务总局关于进一步鼓励软件产业和集成电路产业发展企业所得税政策的通知》（财税〔2012〕27号）"/>
    <hyperlink ref="A62:D62" r:id="rId9" display="《财政部 国家税务总局 发展改革委 工业和信息化部关于软件和集成电路产业企业所得税优惠政策有关问题的通知》（财税〔2016〕49号）"/>
    <hyperlink ref="A65:D65" r:id="rId10" display="《财政部 国家税务总局关于进一步鼓励软件产业和集成电路产业发展企业所得税政策的通知》（财税〔2012〕27号）"/>
    <hyperlink ref="A66:D66" r:id="rId11" display="《财政部 国家税务总局 发展改革委 工业和信息化部关于软件和集成电路产业企业所得税优惠政策有关问题的通知》（财税〔2016〕49号）"/>
    <hyperlink ref="A69:D69" r:id="rId12" display="《财政部 国家税务总局关于进一步鼓励软件产业和集成电路产业发展企业所得税政策的通知》（财税〔2012〕27号）"/>
    <hyperlink ref="A70:D70" r:id="rId13" display="《财政部 国家税务总局 发展改革委 工业和信息化部关于软件和集成电路产业企业所得税优惠政策有关问题的通知》（财税〔2016〕49号）"/>
    <hyperlink ref="A73:D73" r:id="rId14" display="《财政部 国家税务总局关于进一步鼓励软件产业和集成电路产业发展企业所得税政策的通知》（财税〔2012〕27号）"/>
    <hyperlink ref="A74:D74" r:id="rId15" display="《财政部 国家税务总局 发展改革委 工业和信息化部关于软件和集成电路产业企业所得税优惠政策有关问题的通知》（财税〔2016〕49号）"/>
    <hyperlink ref="A77:D77" r:id="rId16" display="《财政部 国家税务总局关于进一步鼓励软件产业和集成电路产业发展企业所得税政策的通知》（财税〔2012〕27号）"/>
    <hyperlink ref="A78:D78" r:id="rId17" display="《财政部 国家税务总局 发展改革委 工业和信息化部关于软件和集成电路产业企业所得税优惠政策有关问题的通知》（财税〔2016〕49号）"/>
    <hyperlink ref="A81:D81" r:id="rId18" display="《财政部 国家税务总局关于进一步鼓励软件产业和集成电路产业发展企业所得税政策的通知》（财税〔2012〕27号）"/>
    <hyperlink ref="A82:D82" r:id="rId19" display="《财政部 国家税务总局 发展改革委 工业和信息化部关于软件和集成电路产业企业所得税优惠政策有关问题的通知》（财税〔2016〕49号）"/>
    <hyperlink ref="A85:D85" r:id="rId20" display="《财政部 国家税务总局关于进一步鼓励软件产业和集成电路产业发展企业所得税政策的通知》（财税〔2012〕27号）"/>
    <hyperlink ref="A86:D86" r:id="rId21" display="《财政部 国家税务总局 发展改革委 工业和信息化部关于软件和集成电路产业企业所得税优惠政策有关问题的通知》（财税〔2016〕49号）"/>
    <hyperlink ref="A89:D89" r:id="rId22" display="《财政部 国家税务总局关于进一步鼓励软件产业和集成电路产业发展企业所得税政策的通知》（财税〔2012〕27号）"/>
    <hyperlink ref="A90:D90" r:id="rId23" display="《财政部 国家税务总局 发展改革委 工业和信息化部关于软件和集成电路产业企业所得税优惠政策有关问题的通知》（财税〔2016〕49号）"/>
    <hyperlink ref="A93:D93" r:id="rId24" display="《财政部 国家税务总局关于进一步鼓励软件产业和集成电路产业发展企业所得税政策的通知》（财税〔2012〕27号）"/>
    <hyperlink ref="A94:D94" r:id="rId25" display="《财政部 国家税务总局 发展改革委 工业和信息化部关于软件和集成电路产业企业所得税优惠政策有关问题的通知》（财税〔2016〕49号）"/>
    <hyperlink ref="A97:D97" r:id="rId26" display="《财政部 国家税务总局 发展改革委工业和信息化部关于进一步鼓励集成电路产业发展企业所得税政策的通知》（财税〔2015〕6号）"/>
    <hyperlink ref="A100:D100" r:id="rId27" display="《财政部 国家税务总局 发展改革委工业和信息化部关于进一步鼓励集成电路产业发展企业所得税政策的通知》（财税〔2015〕6号）"/>
    <hyperlink ref="A103:D103" r:id="rId28" display="《财政部 国家税务总局 中宣部关于继续实施文化体制改革中经营性文化事业单位转制为企业若干税收政策的通知》（财税〔2014〕84号）"/>
    <hyperlink ref="A106:D106" r:id="rId29" display="《财政部 国家税务总局 民政部关于生产和装配伤残人员专门用品企业免征企业所得税的通知》（财税〔2016〕111号）"/>
    <hyperlink ref="A109:D109" r:id="rId30" display="《财政部 国家税务总局 商务部 科技部 国家发展改革委关于完善技术先进型服务企业有关企业所得税政策问题的通知》（财税〔2014〕59号）"/>
    <hyperlink ref="A110:D110" r:id="rId31" display="《财政部 国家税务总局 商务部 科学技术部 国家发展和改革委员会关于新增中国服务外包示范城市适用技术先进型服务企业所得税政策的通知》（财税〔2016〕108号）"/>
    <hyperlink ref="A111:D111" r:id="rId32" display="《财政部 税务总局 商务部 科技部 国家发展改革委关于将技术先进型服务企业所得税政策推广至全国实施的通知》（财税〔2017〕79号）"/>
    <hyperlink ref="A114:D114" r:id="rId33" display="《财政部 国家税务总局 商务部 科技部 国家发展改革委关于在服务贸易创新发展试点地区推广技术先进型服务企业所得税优惠政策的通知》（财税〔2016〕122号）"/>
    <hyperlink ref="A117:D117" r:id="rId34" display="《财政部 海关总署 国家税务总局关于深入实施西部大开发战略有关税收政策问题的通知》（财税〔2011〕58号）"/>
    <hyperlink ref="A118:D118" r:id="rId35" display="《国家税务总局关于深入实施西部大开发战略有关企业所得税问题的公告》（国家税务总局公告2012年第12号）"/>
    <hyperlink ref="A119:D119" r:id="rId36" display="《财政部 海关总署 国家税务总局关于赣州市执行西部大开发税收政策问题的通知》（财税〔2013〕4号）"/>
    <hyperlink ref="A120:D120" r:id="rId37" display="《西部地区鼓励类产业目录》(中华人民共和国国家发展和改革委员会令第15号)"/>
    <hyperlink ref="A121:D121" r:id="rId38" display="《国家税务总局关于执行&lt;西部地区鼓励类产业目录&gt;有关企业所得税问题的公告》（国家税务总局公告2015年第14号）"/>
    <hyperlink ref="A124:D124" r:id="rId39" display="《财政部 国家税务总局关于新疆困难地区新办企业所得税优惠政策的通知》（财税〔2011〕53号）"/>
    <hyperlink ref="A128:D128" r:id="rId40" display="《财政部 国家税务总局关于新疆喀什 霍尔果斯两个特殊经济开发区企业所得税优惠政策的通知》（财税〔2011〕112号）"/>
    <hyperlink ref="A132:D132" r:id="rId41" display="《财政部 国家税务总局关于广东横琴新区、福建平潭综合实验区、深圳前海深港现代化服务业合作区企业所得税优惠政策及优惠目录的通知》（财税〔2014〕26号）"/>
    <hyperlink ref="A135:D135" r:id="rId42" display="《财政部 税务总局 海关总署关于北京2022年冬奥会和冬残奥会税收政策的通知》（财税〔2017〕60号）"/>
    <hyperlink ref="A138:D138" r:id="rId43" display="《国务院关于实施企业所得税过渡优惠政策的通知》(国发〔2007〕39号)"/>
    <hyperlink ref="A141:D141" r:id="rId44" display="《财政部 税务总局 人力资源社会保障部关于继续实施支持和促进重点群体创业就业有关税收政策的通知》（财税〔2017〕49号）"/>
    <hyperlink ref="A144:D144" r:id="rId45" display="《财政部 税务总局 民政部关于继续实施扶持自主就业退役士兵创业就业有关税收政策的通知》（财税〔2017〕46号）"/>
    <hyperlink ref="A147:D147" r:id="rId46" display="《财政部 国家税务总局关于贯彻落实国务院关于实施企业所得税过渡优惠政策有关问题的通知》（财税〔2008〕21号）"/>
    <hyperlink ref="A148:D148" r:id="rId47" display="《中华人民共和国民族区域自治法》"/>
    <hyperlink ref="A44:IV44" r:id="rId48" display="《财政部 国家税务总局关于扩大小型微利企业所得税优惠政策范围的通知》（财税〔2017〕43号）"/>
    <hyperlink ref="A45:IV45" r:id="rId49" display="《国家税务总局关于贯彻落实扩大小型微利企业所得税优惠政策范围有关征管问题的公告》（国家税务总局公告2017年第23号）"/>
    <hyperlink ref="A48:IV48" r:id="rId50" display="《国务院关于经济特区和上海浦东新区新设立高新技术企业实行过渡性税收优惠的通知》（国发〔2007〕40号）"/>
    <hyperlink ref="A125:IV125" r:id="rId51" display="《财政部 国家税务总局 国家发展改革委 工业和信息化部关于完善新疆困难地区重点鼓励发展产业企业所得税优惠目录的通知》（财税〔2016〕85号）"/>
    <hyperlink ref="A128:IV128" r:id="rId52" display="《财政部 国家税务总局关于新疆喀什 霍尔果斯两个特殊经济开发区企业所得税优惠政策的通知》（财税〔2011〕112号）"/>
    <hyperlink ref="A148:IV148" r:id="rId53" display="《中华人民共和国民族区域自治法》"/>
  </hyperlinks>
  <pageMargins left="0.70866141732283472" right="0.70866141732283472" top="0.74803149606299213" bottom="0.74803149606299213" header="0.31496062992125984" footer="0.31496062992125984"/>
  <pageSetup paperSize="9" scale="97" orientation="portrait" verticalDpi="0" r:id="rId54"/>
  <legacyDrawing r:id="rId55"/>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I51"/>
  <sheetViews>
    <sheetView workbookViewId="0">
      <selection sqref="A1:C1"/>
    </sheetView>
  </sheetViews>
  <sheetFormatPr defaultColWidth="8.875" defaultRowHeight="16.5"/>
  <cols>
    <col min="1" max="2" width="8.875" style="145"/>
    <col min="3" max="3" width="13.75" style="145" customWidth="1"/>
    <col min="4" max="4" width="8.875" style="145"/>
    <col min="5" max="5" width="21.25" style="145" customWidth="1"/>
    <col min="6" max="6" width="16.875" style="145" customWidth="1"/>
    <col min="7" max="7" width="13.75" style="145" customWidth="1"/>
    <col min="8" max="8" width="14.875" style="145" customWidth="1"/>
    <col min="9" max="16384" width="8.875" style="145"/>
  </cols>
  <sheetData>
    <row r="1" spans="1:9" s="128" customFormat="1" ht="20.100000000000001" customHeight="1">
      <c r="A1" s="4174" t="s">
        <v>1206</v>
      </c>
      <c r="B1" s="4174"/>
      <c r="C1" s="4174"/>
      <c r="D1" s="158"/>
    </row>
    <row r="2" spans="1:9" ht="28.5" customHeight="1">
      <c r="A2" s="4274" t="s">
        <v>1207</v>
      </c>
      <c r="B2" s="4274"/>
      <c r="C2" s="4274"/>
      <c r="D2" s="4274"/>
      <c r="E2" s="4274"/>
      <c r="F2" s="4274"/>
      <c r="G2" s="4274"/>
      <c r="H2" s="4274"/>
      <c r="I2" s="4274"/>
    </row>
    <row r="3" spans="1:9">
      <c r="A3" s="4272" t="s">
        <v>820</v>
      </c>
      <c r="B3" s="4272"/>
      <c r="C3" s="4272"/>
      <c r="D3" s="4272"/>
      <c r="E3" s="4272"/>
      <c r="F3" s="4272"/>
      <c r="G3" s="4272"/>
      <c r="H3" s="4272"/>
      <c r="I3" s="4272"/>
    </row>
    <row r="4" spans="1:9">
      <c r="A4" s="358">
        <v>1</v>
      </c>
      <c r="B4" s="4266" t="s">
        <v>954</v>
      </c>
      <c r="C4" s="4266"/>
      <c r="D4" s="359">
        <f>高新技术企业优惠情况审核表!D4</f>
        <v>0</v>
      </c>
      <c r="E4" s="4266" t="s">
        <v>955</v>
      </c>
      <c r="F4" s="4266"/>
      <c r="G4" s="4266"/>
      <c r="H4" s="4266"/>
      <c r="I4" s="360">
        <f>高新技术企业优惠情况审核表!I4</f>
        <v>0</v>
      </c>
    </row>
    <row r="5" spans="1:9">
      <c r="A5" s="4270">
        <v>2</v>
      </c>
      <c r="B5" s="4266" t="s">
        <v>956</v>
      </c>
      <c r="C5" s="4266"/>
      <c r="D5" s="3782" t="s">
        <v>957</v>
      </c>
      <c r="E5" s="3782"/>
      <c r="F5" s="3782"/>
      <c r="G5" s="3782"/>
      <c r="H5" s="3782"/>
      <c r="I5" s="3782"/>
    </row>
    <row r="6" spans="1:9">
      <c r="A6" s="4270"/>
      <c r="B6" s="4266"/>
      <c r="C6" s="4266"/>
      <c r="D6" s="361" t="s">
        <v>958</v>
      </c>
      <c r="E6" s="4270" t="s">
        <v>959</v>
      </c>
      <c r="F6" s="4270"/>
      <c r="G6" s="4270" t="s">
        <v>960</v>
      </c>
      <c r="H6" s="4270"/>
      <c r="I6" s="4270"/>
    </row>
    <row r="7" spans="1:9">
      <c r="A7" s="4270"/>
      <c r="B7" s="4266"/>
      <c r="C7" s="4266"/>
      <c r="D7" s="359" t="str">
        <f>高新技术企业优惠情况审核表!D7&amp;""</f>
        <v/>
      </c>
      <c r="E7" s="3782" t="str">
        <f>高新技术企业优惠情况审核表!E7&amp;""</f>
        <v/>
      </c>
      <c r="F7" s="3782"/>
      <c r="G7" s="3782" t="str">
        <f>高新技术企业优惠情况审核表!G7&amp;""</f>
        <v/>
      </c>
      <c r="H7" s="3782"/>
      <c r="I7" s="3782"/>
    </row>
    <row r="8" spans="1:9">
      <c r="A8" s="358">
        <v>3</v>
      </c>
      <c r="B8" s="4272" t="s">
        <v>961</v>
      </c>
      <c r="C8" s="4272"/>
      <c r="D8" s="4272"/>
      <c r="E8" s="4272"/>
      <c r="F8" s="4272"/>
      <c r="G8" s="4272"/>
      <c r="H8" s="4272"/>
      <c r="I8" s="4272"/>
    </row>
    <row r="9" spans="1:9">
      <c r="A9" s="358">
        <v>4</v>
      </c>
      <c r="B9" s="3782" t="s">
        <v>962</v>
      </c>
      <c r="C9" s="4265" t="s">
        <v>963</v>
      </c>
      <c r="D9" s="4265"/>
      <c r="E9" s="4265"/>
      <c r="F9" s="4265"/>
      <c r="G9" s="4265"/>
      <c r="H9" s="4265"/>
      <c r="I9" s="362">
        <f>高新技术企业优惠情况审核表!I9</f>
        <v>0</v>
      </c>
    </row>
    <row r="10" spans="1:9">
      <c r="A10" s="358">
        <v>5</v>
      </c>
      <c r="B10" s="3782"/>
      <c r="C10" s="4273" t="s">
        <v>964</v>
      </c>
      <c r="D10" s="4273"/>
      <c r="E10" s="4273"/>
      <c r="F10" s="4273"/>
      <c r="G10" s="4273"/>
      <c r="H10" s="4273"/>
      <c r="I10" s="362">
        <f>高新技术企业优惠情况审核表!I10</f>
        <v>0</v>
      </c>
    </row>
    <row r="11" spans="1:9">
      <c r="A11" s="358">
        <v>6</v>
      </c>
      <c r="B11" s="3782"/>
      <c r="C11" s="4271" t="s">
        <v>965</v>
      </c>
      <c r="D11" s="4271"/>
      <c r="E11" s="4271"/>
      <c r="F11" s="4271"/>
      <c r="G11" s="4271"/>
      <c r="H11" s="4271"/>
      <c r="I11" s="362">
        <f>高新技术企业优惠情况审核表!I11</f>
        <v>0</v>
      </c>
    </row>
    <row r="12" spans="1:9">
      <c r="A12" s="358">
        <v>7</v>
      </c>
      <c r="B12" s="3782"/>
      <c r="C12" s="4265" t="s">
        <v>966</v>
      </c>
      <c r="D12" s="4265"/>
      <c r="E12" s="4265"/>
      <c r="F12" s="4265"/>
      <c r="G12" s="4265"/>
      <c r="H12" s="4265"/>
      <c r="I12" s="362">
        <f>高新技术企业优惠情况审核表!I12</f>
        <v>0</v>
      </c>
    </row>
    <row r="13" spans="1:9">
      <c r="A13" s="358">
        <v>8</v>
      </c>
      <c r="B13" s="3782"/>
      <c r="C13" s="4273" t="s">
        <v>967</v>
      </c>
      <c r="D13" s="4273"/>
      <c r="E13" s="4273"/>
      <c r="F13" s="4273"/>
      <c r="G13" s="4273"/>
      <c r="H13" s="4273"/>
      <c r="I13" s="362">
        <f>高新技术企业优惠情况审核表!I13</f>
        <v>0</v>
      </c>
    </row>
    <row r="14" spans="1:9">
      <c r="A14" s="358">
        <v>9</v>
      </c>
      <c r="B14" s="3782"/>
      <c r="C14" s="4271" t="s">
        <v>968</v>
      </c>
      <c r="D14" s="4271"/>
      <c r="E14" s="4271"/>
      <c r="F14" s="4271"/>
      <c r="G14" s="4271"/>
      <c r="H14" s="4271"/>
      <c r="I14" s="362">
        <f>高新技术企业优惠情况审核表!I14</f>
        <v>0</v>
      </c>
    </row>
    <row r="15" spans="1:9">
      <c r="A15" s="358">
        <v>10</v>
      </c>
      <c r="B15" s="3782"/>
      <c r="C15" s="4266" t="s">
        <v>969</v>
      </c>
      <c r="D15" s="4266"/>
      <c r="E15" s="4266"/>
      <c r="F15" s="4266"/>
      <c r="G15" s="4266"/>
      <c r="H15" s="4266"/>
      <c r="I15" s="2289">
        <f>高新技术企业优惠情况审核表!I15</f>
        <v>0</v>
      </c>
    </row>
    <row r="16" spans="1:9">
      <c r="A16" s="358">
        <v>11</v>
      </c>
      <c r="B16" s="3782" t="s">
        <v>970</v>
      </c>
      <c r="C16" s="4266" t="s">
        <v>971</v>
      </c>
      <c r="D16" s="4266"/>
      <c r="E16" s="4266"/>
      <c r="F16" s="4266"/>
      <c r="G16" s="4266"/>
      <c r="H16" s="4266"/>
      <c r="I16" s="362">
        <f>高新技术企业优惠情况审核表!I16</f>
        <v>0</v>
      </c>
    </row>
    <row r="17" spans="1:9">
      <c r="A17" s="358">
        <v>12</v>
      </c>
      <c r="B17" s="3782"/>
      <c r="C17" s="4265" t="s">
        <v>972</v>
      </c>
      <c r="D17" s="4265"/>
      <c r="E17" s="4265"/>
      <c r="F17" s="4265"/>
      <c r="G17" s="4265"/>
      <c r="H17" s="4265"/>
      <c r="I17" s="362">
        <f>高新技术企业优惠情况审核表!I17</f>
        <v>0</v>
      </c>
    </row>
    <row r="18" spans="1:9">
      <c r="A18" s="358">
        <v>13</v>
      </c>
      <c r="B18" s="3782"/>
      <c r="C18" s="4266" t="s">
        <v>973</v>
      </c>
      <c r="D18" s="4266"/>
      <c r="E18" s="4266"/>
      <c r="F18" s="4266"/>
      <c r="G18" s="4266"/>
      <c r="H18" s="4266"/>
      <c r="I18" s="2289">
        <f>高新技术企业优惠情况审核表!I18</f>
        <v>0</v>
      </c>
    </row>
    <row r="19" spans="1:9">
      <c r="A19" s="4270">
        <v>14</v>
      </c>
      <c r="B19" s="3782" t="s">
        <v>974</v>
      </c>
      <c r="C19" s="3782" t="s">
        <v>975</v>
      </c>
      <c r="D19" s="3782"/>
      <c r="E19" s="3782"/>
      <c r="F19" s="361" t="s">
        <v>758</v>
      </c>
      <c r="G19" s="363" t="s">
        <v>492</v>
      </c>
      <c r="H19" s="363" t="s">
        <v>491</v>
      </c>
      <c r="I19" s="358" t="s">
        <v>757</v>
      </c>
    </row>
    <row r="20" spans="1:9">
      <c r="A20" s="4270"/>
      <c r="B20" s="3782"/>
      <c r="C20" s="3782"/>
      <c r="D20" s="3782"/>
      <c r="E20" s="3782"/>
      <c r="F20" s="361">
        <v>1</v>
      </c>
      <c r="G20" s="360">
        <v>2</v>
      </c>
      <c r="H20" s="363">
        <v>3</v>
      </c>
      <c r="I20" s="358">
        <v>4</v>
      </c>
    </row>
    <row r="21" spans="1:9" ht="24" customHeight="1">
      <c r="A21" s="358">
        <v>15</v>
      </c>
      <c r="B21" s="3782"/>
      <c r="C21" s="4266" t="s">
        <v>976</v>
      </c>
      <c r="D21" s="4266"/>
      <c r="E21" s="4266"/>
      <c r="F21" s="362">
        <f>ROUND(F22+F31,2)</f>
        <v>0</v>
      </c>
      <c r="G21" s="362">
        <f>ROUND(G22+G31,2)</f>
        <v>0</v>
      </c>
      <c r="H21" s="362">
        <f>ROUND(H22+H31,2)</f>
        <v>0</v>
      </c>
      <c r="I21" s="364">
        <f>高新技术企业优惠情况审核表!I21</f>
        <v>0</v>
      </c>
    </row>
    <row r="22" spans="1:9" ht="24" customHeight="1">
      <c r="A22" s="358">
        <v>16</v>
      </c>
      <c r="B22" s="3782"/>
      <c r="C22" s="4268" t="s">
        <v>977</v>
      </c>
      <c r="D22" s="4268"/>
      <c r="E22" s="4268"/>
      <c r="F22" s="362">
        <f>ROUND(SUM(F23:F28)+F30,2)</f>
        <v>0</v>
      </c>
      <c r="G22" s="362">
        <f>ROUND(SUM(G23:G28)+G30,2)</f>
        <v>0</v>
      </c>
      <c r="H22" s="362">
        <f>ROUND(SUM(H23:H28)+H30,2)</f>
        <v>0</v>
      </c>
      <c r="I22" s="364">
        <f>高新技术企业优惠情况审核表!I22</f>
        <v>0</v>
      </c>
    </row>
    <row r="23" spans="1:9">
      <c r="A23" s="358">
        <v>17</v>
      </c>
      <c r="B23" s="3782"/>
      <c r="C23" s="4269" t="s">
        <v>978</v>
      </c>
      <c r="D23" s="4269"/>
      <c r="E23" s="4269"/>
      <c r="F23" s="364">
        <f>高新技术企业优惠情况审核表!F23</f>
        <v>0</v>
      </c>
      <c r="G23" s="365">
        <f>高新技术企业优惠情况审核表!G23</f>
        <v>0</v>
      </c>
      <c r="H23" s="357">
        <f>高新技术企业优惠情况审核表!H23</f>
        <v>0</v>
      </c>
      <c r="I23" s="364">
        <f>高新技术企业优惠情况审核表!I23</f>
        <v>0</v>
      </c>
    </row>
    <row r="24" spans="1:9">
      <c r="A24" s="358">
        <v>18</v>
      </c>
      <c r="B24" s="3782"/>
      <c r="C24" s="4269" t="s">
        <v>979</v>
      </c>
      <c r="D24" s="4269"/>
      <c r="E24" s="4269"/>
      <c r="F24" s="364">
        <f>高新技术企业优惠情况审核表!F24</f>
        <v>0</v>
      </c>
      <c r="G24" s="365">
        <f>高新技术企业优惠情况审核表!G24</f>
        <v>0</v>
      </c>
      <c r="H24" s="366">
        <f>高新技术企业优惠情况审核表!H24</f>
        <v>0</v>
      </c>
      <c r="I24" s="364">
        <f>高新技术企业优惠情况审核表!I24</f>
        <v>0</v>
      </c>
    </row>
    <row r="25" spans="1:9">
      <c r="A25" s="358">
        <v>19</v>
      </c>
      <c r="B25" s="3782"/>
      <c r="C25" s="4269" t="s">
        <v>980</v>
      </c>
      <c r="D25" s="4269"/>
      <c r="E25" s="4269"/>
      <c r="F25" s="364">
        <f>高新技术企业优惠情况审核表!F25</f>
        <v>0</v>
      </c>
      <c r="G25" s="365">
        <f>高新技术企业优惠情况审核表!G25</f>
        <v>0</v>
      </c>
      <c r="H25" s="366">
        <f>高新技术企业优惠情况审核表!H25</f>
        <v>0</v>
      </c>
      <c r="I25" s="364">
        <f>高新技术企业优惠情况审核表!I25</f>
        <v>0</v>
      </c>
    </row>
    <row r="26" spans="1:9">
      <c r="A26" s="358">
        <v>20</v>
      </c>
      <c r="B26" s="3782"/>
      <c r="C26" s="4269" t="s">
        <v>981</v>
      </c>
      <c r="D26" s="4269"/>
      <c r="E26" s="4269"/>
      <c r="F26" s="364">
        <f>高新技术企业优惠情况审核表!F26</f>
        <v>0</v>
      </c>
      <c r="G26" s="365">
        <f>高新技术企业优惠情况审核表!G26</f>
        <v>0</v>
      </c>
      <c r="H26" s="366">
        <f>高新技术企业优惠情况审核表!H26</f>
        <v>0</v>
      </c>
      <c r="I26" s="364">
        <f>高新技术企业优惠情况审核表!I26</f>
        <v>0</v>
      </c>
    </row>
    <row r="27" spans="1:9">
      <c r="A27" s="358">
        <v>21</v>
      </c>
      <c r="B27" s="3782"/>
      <c r="C27" s="4269" t="s">
        <v>982</v>
      </c>
      <c r="D27" s="4269"/>
      <c r="E27" s="4269"/>
      <c r="F27" s="364">
        <f>高新技术企业优惠情况审核表!F27</f>
        <v>0</v>
      </c>
      <c r="G27" s="365">
        <f>高新技术企业优惠情况审核表!G27</f>
        <v>0</v>
      </c>
      <c r="H27" s="366">
        <f>高新技术企业优惠情况审核表!H27</f>
        <v>0</v>
      </c>
      <c r="I27" s="364">
        <f>高新技术企业优惠情况审核表!I27</f>
        <v>0</v>
      </c>
    </row>
    <row r="28" spans="1:9">
      <c r="A28" s="358">
        <v>22</v>
      </c>
      <c r="B28" s="3782"/>
      <c r="C28" s="4269" t="s">
        <v>983</v>
      </c>
      <c r="D28" s="4269"/>
      <c r="E28" s="4269"/>
      <c r="F28" s="364">
        <f>高新技术企业优惠情况审核表!F28</f>
        <v>0</v>
      </c>
      <c r="G28" s="365">
        <f>高新技术企业优惠情况审核表!G28</f>
        <v>0</v>
      </c>
      <c r="H28" s="366">
        <f>高新技术企业优惠情况审核表!H28</f>
        <v>0</v>
      </c>
      <c r="I28" s="364">
        <f>高新技术企业优惠情况审核表!I28</f>
        <v>0</v>
      </c>
    </row>
    <row r="29" spans="1:9">
      <c r="A29" s="358">
        <v>23</v>
      </c>
      <c r="B29" s="3782"/>
      <c r="C29" s="4269" t="s">
        <v>984</v>
      </c>
      <c r="D29" s="4269"/>
      <c r="E29" s="4269"/>
      <c r="F29" s="364">
        <f>高新技术企业优惠情况审核表!F29</f>
        <v>0</v>
      </c>
      <c r="G29" s="365">
        <f>高新技术企业优惠情况审核表!G29</f>
        <v>0</v>
      </c>
      <c r="H29" s="366">
        <f>高新技术企业优惠情况审核表!H29</f>
        <v>0</v>
      </c>
      <c r="I29" s="364">
        <f>高新技术企业优惠情况审核表!I29</f>
        <v>0</v>
      </c>
    </row>
    <row r="30" spans="1:9" ht="25.5" customHeight="1">
      <c r="A30" s="358">
        <v>24</v>
      </c>
      <c r="B30" s="3782"/>
      <c r="C30" s="4267" t="s">
        <v>985</v>
      </c>
      <c r="D30" s="4267"/>
      <c r="E30" s="4267"/>
      <c r="F30" s="362">
        <f>MIN(SUM(F23:F28)*20%/(1-20%),F29)</f>
        <v>0</v>
      </c>
      <c r="G30" s="362">
        <f>MIN(SUM(G23:G28)*20%/(1-20%),G29)</f>
        <v>0</v>
      </c>
      <c r="H30" s="362">
        <f>MIN(SUM(H23:H28)*20%/(1-20%),H29)</f>
        <v>0</v>
      </c>
      <c r="I30" s="364">
        <f>高新技术企业优惠情况审核表!I30</f>
        <v>0</v>
      </c>
    </row>
    <row r="31" spans="1:9" ht="24" customHeight="1">
      <c r="A31" s="358">
        <v>25</v>
      </c>
      <c r="B31" s="3782"/>
      <c r="C31" s="4268" t="s">
        <v>986</v>
      </c>
      <c r="D31" s="4268"/>
      <c r="E31" s="4268"/>
      <c r="F31" s="362">
        <f>ROUND((F32+F34)*80%,2)</f>
        <v>0</v>
      </c>
      <c r="G31" s="362">
        <f>ROUND((G32+G34)*80%,2)</f>
        <v>0</v>
      </c>
      <c r="H31" s="362">
        <f>ROUND((H32+H34)*80%,2)</f>
        <v>0</v>
      </c>
      <c r="I31" s="364">
        <f>高新技术企业优惠情况审核表!I31</f>
        <v>0</v>
      </c>
    </row>
    <row r="32" spans="1:9">
      <c r="A32" s="358">
        <v>26</v>
      </c>
      <c r="B32" s="3782"/>
      <c r="C32" s="4269" t="s">
        <v>987</v>
      </c>
      <c r="D32" s="4269"/>
      <c r="E32" s="4269"/>
      <c r="F32" s="364">
        <f>高新技术企业优惠情况审核表!F32</f>
        <v>0</v>
      </c>
      <c r="G32" s="365">
        <f>高新技术企业优惠情况审核表!G32</f>
        <v>0</v>
      </c>
      <c r="H32" s="366">
        <f>高新技术企业优惠情况审核表!H32</f>
        <v>0</v>
      </c>
      <c r="I32" s="364">
        <f>高新技术企业优惠情况审核表!I32</f>
        <v>0</v>
      </c>
    </row>
    <row r="33" spans="1:9">
      <c r="A33" s="358">
        <v>27</v>
      </c>
      <c r="B33" s="3782"/>
      <c r="C33" s="4269" t="s">
        <v>988</v>
      </c>
      <c r="D33" s="4269"/>
      <c r="E33" s="4269"/>
      <c r="F33" s="364">
        <f>高新技术企业优惠情况审核表!F33</f>
        <v>0</v>
      </c>
      <c r="G33" s="365">
        <f>高新技术企业优惠情况审核表!G33</f>
        <v>0</v>
      </c>
      <c r="H33" s="366">
        <f>高新技术企业优惠情况审核表!H33</f>
        <v>0</v>
      </c>
      <c r="I33" s="364">
        <f>高新技术企业优惠情况审核表!I33</f>
        <v>0</v>
      </c>
    </row>
    <row r="34" spans="1:9" ht="24" customHeight="1">
      <c r="A34" s="358">
        <v>28</v>
      </c>
      <c r="B34" s="3782"/>
      <c r="C34" s="4268" t="s">
        <v>989</v>
      </c>
      <c r="D34" s="4268"/>
      <c r="E34" s="4268"/>
      <c r="F34" s="362">
        <f>MIN((SUM(F23:F29)+F32)*40%/(1-40%),F33)</f>
        <v>0</v>
      </c>
      <c r="G34" s="362">
        <f>MIN((SUM(G23:G29)+G32)*40%/(1-40%),G33)</f>
        <v>0</v>
      </c>
      <c r="H34" s="362">
        <f>MIN((SUM(H23:H29)+H32)*40%/(1-40%),H33)</f>
        <v>0</v>
      </c>
      <c r="I34" s="364">
        <f>高新技术企业优惠情况审核表!I34</f>
        <v>0</v>
      </c>
    </row>
    <row r="35" spans="1:9">
      <c r="A35" s="358">
        <v>29</v>
      </c>
      <c r="B35" s="3782"/>
      <c r="C35" s="4266" t="s">
        <v>990</v>
      </c>
      <c r="D35" s="4266"/>
      <c r="E35" s="4266"/>
      <c r="F35" s="364">
        <f>高新技术企业优惠情况审核表!F35</f>
        <v>0</v>
      </c>
      <c r="G35" s="365">
        <f>高新技术企业优惠情况审核表!G35</f>
        <v>0</v>
      </c>
      <c r="H35" s="366">
        <f>高新技术企业优惠情况审核表!H35</f>
        <v>0</v>
      </c>
      <c r="I35" s="364">
        <f>高新技术企业优惠情况审核表!I35</f>
        <v>0</v>
      </c>
    </row>
    <row r="36" spans="1:9">
      <c r="A36" s="358">
        <v>30</v>
      </c>
      <c r="B36" s="3782"/>
      <c r="C36" s="4266" t="s">
        <v>991</v>
      </c>
      <c r="D36" s="4266"/>
      <c r="E36" s="4266"/>
      <c r="F36" s="4266"/>
      <c r="G36" s="4266"/>
      <c r="H36" s="4266"/>
      <c r="I36" s="2290">
        <f>高新技术企业优惠情况审核表!I36</f>
        <v>0</v>
      </c>
    </row>
    <row r="37" spans="1:9">
      <c r="A37" s="358">
        <v>31</v>
      </c>
      <c r="B37" s="3782" t="s">
        <v>992</v>
      </c>
      <c r="C37" s="4265" t="s">
        <v>993</v>
      </c>
      <c r="D37" s="4265"/>
      <c r="E37" s="4265"/>
      <c r="F37" s="4265"/>
      <c r="G37" s="4265"/>
      <c r="H37" s="4265"/>
      <c r="I37" s="364">
        <f>高新技术企业优惠情况审核表!I37</f>
        <v>0</v>
      </c>
    </row>
    <row r="38" spans="1:9">
      <c r="A38" s="358">
        <v>32</v>
      </c>
      <c r="B38" s="3782"/>
      <c r="C38" s="4266" t="s">
        <v>994</v>
      </c>
      <c r="D38" s="4266"/>
      <c r="E38" s="4266"/>
      <c r="F38" s="4266"/>
      <c r="G38" s="4266"/>
      <c r="H38" s="4266"/>
      <c r="I38" s="364">
        <f>高新技术企业优惠情况审核表!I38</f>
        <v>0</v>
      </c>
    </row>
    <row r="41" spans="1:9" s="356" customFormat="1" ht="15" customHeight="1">
      <c r="A41" s="4263" t="s">
        <v>1585</v>
      </c>
      <c r="B41" s="4263"/>
      <c r="C41" s="4263"/>
      <c r="D41" s="4263"/>
      <c r="E41" s="4263"/>
      <c r="F41" s="4263"/>
      <c r="G41" s="4263"/>
      <c r="H41" s="4263"/>
      <c r="I41" s="4263"/>
    </row>
    <row r="42" spans="1:9" s="356" customFormat="1" ht="15" customHeight="1">
      <c r="A42" s="4088" t="s">
        <v>1586</v>
      </c>
      <c r="B42" s="4088"/>
      <c r="C42" s="4088"/>
      <c r="D42" s="4088"/>
      <c r="E42" s="4088"/>
      <c r="F42" s="4088"/>
      <c r="G42" s="4088"/>
      <c r="H42" s="4088"/>
      <c r="I42" s="4088"/>
    </row>
    <row r="43" spans="1:9" s="356" customFormat="1" ht="15" customHeight="1">
      <c r="A43" s="4088"/>
      <c r="B43" s="4088"/>
      <c r="C43" s="4088"/>
      <c r="D43" s="4088"/>
      <c r="E43" s="4088"/>
      <c r="F43" s="4088"/>
      <c r="G43" s="4088"/>
      <c r="H43" s="4088"/>
      <c r="I43" s="4088"/>
    </row>
    <row r="44" spans="1:9" s="356" customFormat="1" ht="15" customHeight="1">
      <c r="A44" s="4264"/>
      <c r="B44" s="4264"/>
      <c r="C44" s="4264"/>
      <c r="D44" s="4264"/>
      <c r="E44" s="4264"/>
      <c r="F44" s="4264"/>
      <c r="G44" s="4264"/>
      <c r="H44" s="4264"/>
      <c r="I44" s="4264"/>
    </row>
    <row r="45" spans="1:9" s="356" customFormat="1" ht="15" customHeight="1">
      <c r="A45" s="4263" t="s">
        <v>1587</v>
      </c>
      <c r="B45" s="4263"/>
      <c r="C45" s="4263"/>
      <c r="D45" s="4263"/>
      <c r="E45" s="4263"/>
      <c r="F45" s="4263"/>
      <c r="G45" s="4263"/>
      <c r="H45" s="4263"/>
      <c r="I45" s="4263"/>
    </row>
    <row r="46" spans="1:9" s="21" customFormat="1" ht="15" customHeight="1">
      <c r="A46" s="4088" t="s">
        <v>995</v>
      </c>
      <c r="B46" s="4088"/>
      <c r="C46" s="4088"/>
      <c r="D46" s="4088"/>
      <c r="E46" s="4088"/>
      <c r="F46" s="4088"/>
      <c r="G46" s="4088"/>
      <c r="H46" s="4088"/>
      <c r="I46" s="4088"/>
    </row>
    <row r="47" spans="1:9" s="21" customFormat="1" ht="15" customHeight="1">
      <c r="A47" s="4088" t="s">
        <v>996</v>
      </c>
      <c r="B47" s="4088"/>
      <c r="C47" s="4088"/>
      <c r="D47" s="4088"/>
      <c r="E47" s="4088"/>
      <c r="F47" s="4088"/>
      <c r="G47" s="4088"/>
      <c r="H47" s="4088"/>
      <c r="I47" s="4088"/>
    </row>
    <row r="48" spans="1:9" s="21" customFormat="1" ht="15.75" customHeight="1">
      <c r="A48" s="4088" t="s">
        <v>997</v>
      </c>
      <c r="B48" s="4088"/>
      <c r="C48" s="4088"/>
      <c r="D48" s="4088"/>
      <c r="E48" s="4088"/>
      <c r="F48" s="4088"/>
      <c r="G48" s="4088"/>
      <c r="H48" s="4088"/>
      <c r="I48" s="4088"/>
    </row>
    <row r="49" spans="1:9" s="21" customFormat="1" ht="10.5" customHeight="1">
      <c r="A49" s="4088"/>
      <c r="B49" s="4088"/>
      <c r="C49" s="4088"/>
      <c r="D49" s="4088"/>
      <c r="E49" s="4088"/>
      <c r="F49" s="4088"/>
      <c r="G49" s="4088"/>
      <c r="H49" s="4088"/>
      <c r="I49" s="4088"/>
    </row>
    <row r="50" spans="1:9" s="21" customFormat="1" ht="10.5" customHeight="1">
      <c r="A50" s="4088"/>
      <c r="B50" s="4088"/>
      <c r="C50" s="4088"/>
      <c r="D50" s="4088"/>
      <c r="E50" s="4088"/>
      <c r="F50" s="4088"/>
      <c r="G50" s="4088"/>
      <c r="H50" s="4088"/>
      <c r="I50" s="4088"/>
    </row>
    <row r="51" spans="1:9" s="21" customFormat="1" ht="10.5" customHeight="1">
      <c r="A51" s="4088"/>
      <c r="B51" s="4088"/>
      <c r="C51" s="4088"/>
      <c r="D51" s="4088"/>
      <c r="E51" s="4088"/>
      <c r="F51" s="4088"/>
      <c r="G51" s="4088"/>
      <c r="H51" s="4088"/>
      <c r="I51" s="4088"/>
    </row>
  </sheetData>
  <mergeCells count="58">
    <mergeCell ref="A1:C1"/>
    <mergeCell ref="A3:I3"/>
    <mergeCell ref="B4:C4"/>
    <mergeCell ref="E4:H4"/>
    <mergeCell ref="A5:A7"/>
    <mergeCell ref="B5:C7"/>
    <mergeCell ref="D5:I5"/>
    <mergeCell ref="E6:F6"/>
    <mergeCell ref="A2:I2"/>
    <mergeCell ref="B16:B18"/>
    <mergeCell ref="C16:H16"/>
    <mergeCell ref="C17:H17"/>
    <mergeCell ref="C18:H18"/>
    <mergeCell ref="G6:I6"/>
    <mergeCell ref="E7:F7"/>
    <mergeCell ref="C14:H14"/>
    <mergeCell ref="C15:H15"/>
    <mergeCell ref="G7:I7"/>
    <mergeCell ref="B8:I8"/>
    <mergeCell ref="B9:B15"/>
    <mergeCell ref="C9:H9"/>
    <mergeCell ref="C10:H10"/>
    <mergeCell ref="C11:H11"/>
    <mergeCell ref="C12:H12"/>
    <mergeCell ref="C13:H13"/>
    <mergeCell ref="A19:A20"/>
    <mergeCell ref="B19:B36"/>
    <mergeCell ref="C19:E20"/>
    <mergeCell ref="C21:E21"/>
    <mergeCell ref="C22:E22"/>
    <mergeCell ref="C23:E23"/>
    <mergeCell ref="C35:E35"/>
    <mergeCell ref="C24:E24"/>
    <mergeCell ref="C25:E25"/>
    <mergeCell ref="C26:E26"/>
    <mergeCell ref="C27:E27"/>
    <mergeCell ref="C33:E33"/>
    <mergeCell ref="C28:E28"/>
    <mergeCell ref="C29:E29"/>
    <mergeCell ref="C36:H36"/>
    <mergeCell ref="B37:B38"/>
    <mergeCell ref="C37:H37"/>
    <mergeCell ref="C38:H38"/>
    <mergeCell ref="C30:E30"/>
    <mergeCell ref="C34:E34"/>
    <mergeCell ref="C31:E31"/>
    <mergeCell ref="C32:E32"/>
    <mergeCell ref="A48:I48"/>
    <mergeCell ref="A49:I49"/>
    <mergeCell ref="A50:I50"/>
    <mergeCell ref="A51:I51"/>
    <mergeCell ref="A41:I41"/>
    <mergeCell ref="A42:I42"/>
    <mergeCell ref="A43:I43"/>
    <mergeCell ref="A44:I44"/>
    <mergeCell ref="A45:I45"/>
    <mergeCell ref="A46:I46"/>
    <mergeCell ref="A47:I47"/>
  </mergeCells>
  <phoneticPr fontId="46" type="noConversion"/>
  <hyperlinks>
    <hyperlink ref="A1:C1" location="'A100000 中华人民共和国企业所得税年度纳税申报表（A类）'!A1" display="返回主表（A100000）"/>
    <hyperlink ref="A42:I42" r:id="rId1" display="《中国税务合规实务指南—所得税》  高新技术企业[¶60-355]-[¶60-376]"/>
    <hyperlink ref="A46:I46" r:id="rId2" display="《科技部 财政部 国家税务总局关于修订印发〈高新技术企业认定管理办法〉的通知》（国科发火〔2016〕32号）"/>
    <hyperlink ref="A47:I47" r:id="rId3" display="《科学技术部 财政部 国家税务总局关于修订印发〈高新技术企业认定管理工作指引〉的通知》（国科发火〔2016〕195号）"/>
    <hyperlink ref="A48:I48" r:id="rId4" display="《国家税务总局关于实施高新技术企业所得税优惠政策有关问题的公告》（国家税务总局公告2017年第24号）"/>
  </hyperlinks>
  <pageMargins left="0.70866141732283472" right="0.70866141732283472" top="0.74803149606299213" bottom="0.74803149606299213" header="0.31496062992125984" footer="0.31496062992125984"/>
  <pageSetup paperSize="9" scale="71" orientation="portrait" verticalDpi="0" r:id="rId5"/>
  <legacyDrawing r:id="rId6"/>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pageSetUpPr fitToPage="1"/>
  </sheetPr>
  <dimension ref="A1:F50"/>
  <sheetViews>
    <sheetView workbookViewId="0">
      <selection sqref="A1:F1"/>
    </sheetView>
  </sheetViews>
  <sheetFormatPr defaultColWidth="12.625" defaultRowHeight="14.25"/>
  <cols>
    <col min="1" max="1" width="5.75" style="31" customWidth="1"/>
    <col min="2" max="2" width="6.25" style="356" customWidth="1"/>
    <col min="3" max="3" width="21.125" style="356" customWidth="1"/>
    <col min="4" max="4" width="39.75" style="356" customWidth="1"/>
    <col min="5" max="5" width="28.25" style="356" customWidth="1"/>
    <col min="6" max="6" width="26" style="367" customWidth="1"/>
    <col min="7" max="16384" width="12.625" style="356"/>
  </cols>
  <sheetData>
    <row r="1" spans="1:6" ht="20.100000000000001" customHeight="1">
      <c r="A1" s="4081" t="s">
        <v>1206</v>
      </c>
      <c r="B1" s="4081"/>
      <c r="C1" s="4081"/>
      <c r="D1" s="4081"/>
      <c r="E1" s="4081"/>
      <c r="F1" s="4081"/>
    </row>
    <row r="2" spans="1:6" ht="25.5" customHeight="1">
      <c r="A2" s="4082" t="s">
        <v>1208</v>
      </c>
      <c r="B2" s="4031"/>
      <c r="C2" s="4031"/>
      <c r="D2" s="4031"/>
      <c r="E2" s="4031"/>
      <c r="F2" s="2265" t="str">
        <f>软件、集成电路企业优惠情况审核表!$D$4&amp;软件、集成电路企业优惠情况审核表!$D$5</f>
        <v>集成电路生产企业线宽小于0.8微米（含）</v>
      </c>
    </row>
    <row r="3" spans="1:6">
      <c r="A3" s="4281" t="s">
        <v>999</v>
      </c>
      <c r="B3" s="4281"/>
      <c r="C3" s="4281"/>
      <c r="D3" s="4281"/>
      <c r="E3" s="4281"/>
    </row>
    <row r="4" spans="1:6">
      <c r="A4" s="355" t="s">
        <v>1000</v>
      </c>
      <c r="B4" s="4283" t="s">
        <v>1001</v>
      </c>
      <c r="C4" s="4283"/>
      <c r="D4" s="4283"/>
      <c r="E4" s="355" t="s">
        <v>1002</v>
      </c>
    </row>
    <row r="5" spans="1:6">
      <c r="A5" s="346">
        <v>1</v>
      </c>
      <c r="B5" s="3747" t="s">
        <v>1003</v>
      </c>
      <c r="C5" s="3747"/>
      <c r="D5" s="347" t="s">
        <v>1004</v>
      </c>
      <c r="E5" s="347" t="str">
        <f>IFERROR(VLOOKUP($F$2,辅助表!$K$10:$O$10,5,0),"□")&amp;"二免三减半"</f>
        <v>√二免三减半</v>
      </c>
    </row>
    <row r="6" spans="1:6">
      <c r="A6" s="346">
        <v>2</v>
      </c>
      <c r="B6" s="3747"/>
      <c r="C6" s="3747"/>
      <c r="D6" s="347" t="s">
        <v>1005</v>
      </c>
      <c r="E6" s="347" t="str">
        <f>IF($F$2="集成电路生产企业线宽小于0.25微米",IF(软件、集成电路企业优惠情况审核表!$E$6="五免五减半","√五免五减半  □15%税率",IF(软件、集成电路企业优惠情况审核表!$E$6="15%税率","□五免五减半  √15%税率","□五免五减半  □15%税率")),"□五免五减半  □15%税率")</f>
        <v>□五免五减半  □15%税率</v>
      </c>
    </row>
    <row r="7" spans="1:6">
      <c r="A7" s="346">
        <v>3</v>
      </c>
      <c r="B7" s="3747"/>
      <c r="C7" s="3747"/>
      <c r="D7" s="347" t="s">
        <v>1006</v>
      </c>
      <c r="E7" s="347" t="str">
        <f>IF($F$2="集成电路生产企业投资额超过80亿元",IF(软件、集成电路企业优惠情况审核表!$E$6="五免五减半","√五免五减半  □15%税率",IF(软件、集成电路企业优惠情况审核表!$E$6="15%税率","□五免五减半  √15%税率","□五免五减半  □15%税率")),"□五免五减半  □15%税率")</f>
        <v>□五免五减半  □15%税率</v>
      </c>
    </row>
    <row r="8" spans="1:6">
      <c r="A8" s="346">
        <v>4</v>
      </c>
      <c r="B8" s="3747" t="s">
        <v>1007</v>
      </c>
      <c r="C8" s="3747"/>
      <c r="D8" s="347" t="s">
        <v>1008</v>
      </c>
      <c r="E8" s="347" t="str">
        <f>IFERROR(VLOOKUP($F$2,辅助表!$K$13:$O$13,5,0),"□")&amp;"二免三减半"</f>
        <v>□二免三减半</v>
      </c>
    </row>
    <row r="9" spans="1:6">
      <c r="A9" s="346">
        <v>5</v>
      </c>
      <c r="B9" s="3747"/>
      <c r="C9" s="3747"/>
      <c r="D9" s="347" t="str">
        <f>IF(F2="集成电路设计企业重点企业——大型","（二）重点企业 √大型 □领域",IF(F2="集成电路设计企业重点企业——领域","（二）重点企业 □大型 √领域","（二）重点企业 □大型 □领域"))</f>
        <v>（二）重点企业 □大型 □领域</v>
      </c>
      <c r="E9" s="347" t="str">
        <f>IFERROR(VLOOKUP($F$2,辅助表!$K$14:$O$15,5,0),"□")&amp;"10%税率"</f>
        <v>□10%税率</v>
      </c>
    </row>
    <row r="10" spans="1:6" ht="14.25" customHeight="1">
      <c r="A10" s="346">
        <v>6</v>
      </c>
      <c r="B10" s="4275" t="str">
        <f>IF(软件、集成电路企业优惠情况审核表!$D$4="软件企业——一般软件","三、软件企业（√一般软件 □嵌入式或信息系统集成软件）",IF(软件、集成电路企业优惠情况审核表!$D$4="软件企业——嵌入式或信息系统集成软件","三、软件企业（□一般软件 √嵌入式或信息系统集成软件）","三、软件企业（□一般软件 □嵌入式或信息系统集成软件）"))</f>
        <v>三、软件企业（□一般软件 □嵌入式或信息系统集成软件）</v>
      </c>
      <c r="C10" s="4276"/>
      <c r="D10" s="347" t="s">
        <v>1008</v>
      </c>
      <c r="E10" s="347" t="str">
        <f>IFERROR(VLOOKUP($F$2,辅助表!$K$16:$O$17,5,0),"□")&amp;"二免三减半"</f>
        <v>□二免三减半</v>
      </c>
    </row>
    <row r="11" spans="1:6">
      <c r="A11" s="346">
        <v>7</v>
      </c>
      <c r="B11" s="4277"/>
      <c r="C11" s="4278"/>
      <c r="D11" s="347" t="str">
        <f>IF(LEFT(软件、集成电路企业优惠情况审核表!$D$4,4)="软件企业",IF(软件、集成电路企业优惠情况审核表!D5="重点企业——大型","（二）重点企业 √大型 □领域 □出口",IF(软件、集成电路企业优惠情况审核表!D5="重点企业——领域","（二）重点企业 □大型 √领域 □出口",IF(软件、集成电路企业优惠情况审核表!D5="重点企业——出口","（二）重点企业 □大型 □领域 √出口","（二）重点企业 □大型 □领域 □出口"))),"（二）重点企业 □大型 □领域 □出口")</f>
        <v>（二）重点企业 □大型 □领域 □出口</v>
      </c>
      <c r="E11" s="347" t="str">
        <f>IFERROR(VLOOKUP($F$2,辅助表!$K$18:$O$23,5,0),"□")&amp;"10%税率"</f>
        <v>□10%税率</v>
      </c>
    </row>
    <row r="12" spans="1:6">
      <c r="A12" s="346">
        <v>8</v>
      </c>
      <c r="B12" s="3747" t="s">
        <v>1009</v>
      </c>
      <c r="C12" s="3747"/>
      <c r="D12" s="3747"/>
      <c r="E12" s="347" t="str">
        <f>IFERROR(VLOOKUP($F$2,辅助表!$K$24:$O$24,5,0),"□")&amp;"二免三减半"</f>
        <v>□二免三减半</v>
      </c>
    </row>
    <row r="13" spans="1:6" ht="14.25" customHeight="1">
      <c r="A13" s="4251">
        <v>9</v>
      </c>
      <c r="B13" s="4275" t="str">
        <f>IF($F$2="集成电路关键专用材料或专用设备生产企业——关键专用材料*","五、集成电路关键专用材料或专用设备生产企业 （√关键专用材料   □专用设备）",IF($F$2="集成电路关键专用材料或专用设备生产企业——专用设备*","五、集成电路关键专用材料或专用设备生产企业 （□关键专用材料   √专用设备）","五、集成电路关键专用材料或专用设备生产企业 （□关键专用材料   □专用设备）"))</f>
        <v>五、集成电路关键专用材料或专用设备生产企业 （□关键专用材料   □专用设备）</v>
      </c>
      <c r="C13" s="4279"/>
      <c r="D13" s="4276"/>
      <c r="E13" s="3747" t="str">
        <f>IFERROR(VLOOKUP($F$2,辅助表!$K$25:$O$26,5,0),"□")&amp;"二免三减半"</f>
        <v>□二免三减半</v>
      </c>
    </row>
    <row r="14" spans="1:6">
      <c r="A14" s="4251"/>
      <c r="B14" s="4277"/>
      <c r="C14" s="4280"/>
      <c r="D14" s="4278"/>
      <c r="E14" s="3747"/>
    </row>
    <row r="15" spans="1:6">
      <c r="A15" s="355">
        <v>10</v>
      </c>
      <c r="B15" s="4282" t="s">
        <v>1010</v>
      </c>
      <c r="C15" s="4282"/>
      <c r="D15" s="4283">
        <f>软件、集成电路企业优惠情况审核表!D7</f>
        <v>0</v>
      </c>
      <c r="E15" s="4283"/>
    </row>
    <row r="16" spans="1:6">
      <c r="A16" s="4281" t="s">
        <v>961</v>
      </c>
      <c r="B16" s="4281"/>
      <c r="C16" s="4281"/>
      <c r="D16" s="4281"/>
      <c r="E16" s="4281"/>
    </row>
    <row r="17" spans="1:5">
      <c r="A17" s="355">
        <v>11</v>
      </c>
      <c r="B17" s="4251" t="s">
        <v>970</v>
      </c>
      <c r="C17" s="3747" t="s">
        <v>1011</v>
      </c>
      <c r="D17" s="3747"/>
      <c r="E17" s="2269">
        <f>软件、集成电路企业优惠情况审核表!E9</f>
        <v>0</v>
      </c>
    </row>
    <row r="18" spans="1:5" ht="36" customHeight="1">
      <c r="A18" s="355">
        <v>12</v>
      </c>
      <c r="B18" s="4251"/>
      <c r="C18" s="3747" t="s">
        <v>1012</v>
      </c>
      <c r="D18" s="3747"/>
      <c r="E18" s="2269">
        <f>软件、集成电路企业优惠情况审核表!E10</f>
        <v>0</v>
      </c>
    </row>
    <row r="19" spans="1:5">
      <c r="A19" s="355">
        <v>13</v>
      </c>
      <c r="B19" s="4251"/>
      <c r="C19" s="3747" t="s">
        <v>1013</v>
      </c>
      <c r="D19" s="3747"/>
      <c r="E19" s="2269">
        <f>软件、集成电路企业优惠情况审核表!E11</f>
        <v>0</v>
      </c>
    </row>
    <row r="20" spans="1:5" ht="24" customHeight="1">
      <c r="A20" s="355">
        <v>14</v>
      </c>
      <c r="B20" s="4251"/>
      <c r="C20" s="3747" t="s">
        <v>1014</v>
      </c>
      <c r="D20" s="3747"/>
      <c r="E20" s="2266">
        <f>软件、集成电路企业优惠情况审核表!E12</f>
        <v>0</v>
      </c>
    </row>
    <row r="21" spans="1:5" ht="24" customHeight="1">
      <c r="A21" s="355">
        <v>15</v>
      </c>
      <c r="B21" s="4251"/>
      <c r="C21" s="3747" t="s">
        <v>1015</v>
      </c>
      <c r="D21" s="3747"/>
      <c r="E21" s="2266">
        <f>软件、集成电路企业优惠情况审核表!E13</f>
        <v>0</v>
      </c>
    </row>
    <row r="22" spans="1:5">
      <c r="A22" s="355">
        <v>16</v>
      </c>
      <c r="B22" s="4251" t="s">
        <v>974</v>
      </c>
      <c r="C22" s="3747" t="s">
        <v>1016</v>
      </c>
      <c r="D22" s="3747"/>
      <c r="E22" s="2270">
        <f>软件、集成电路企业优惠情况审核表!E14</f>
        <v>0</v>
      </c>
    </row>
    <row r="23" spans="1:5">
      <c r="A23" s="355">
        <v>17</v>
      </c>
      <c r="B23" s="4251"/>
      <c r="C23" s="3747" t="s">
        <v>1017</v>
      </c>
      <c r="D23" s="3747"/>
      <c r="E23" s="2270">
        <f>软件、集成电路企业优惠情况审核表!E15</f>
        <v>0</v>
      </c>
    </row>
    <row r="24" spans="1:5" ht="16.5">
      <c r="A24" s="355">
        <v>18</v>
      </c>
      <c r="B24" s="4251"/>
      <c r="C24" s="3747" t="s">
        <v>1018</v>
      </c>
      <c r="D24" s="3747"/>
      <c r="E24" s="2266">
        <f>软件、集成电路企业优惠情况审核表!E16</f>
        <v>0</v>
      </c>
    </row>
    <row r="25" spans="1:5" ht="24" customHeight="1">
      <c r="A25" s="355">
        <v>19</v>
      </c>
      <c r="B25" s="4251"/>
      <c r="C25" s="3747" t="s">
        <v>1019</v>
      </c>
      <c r="D25" s="3747"/>
      <c r="E25" s="2266">
        <f>软件、集成电路企业优惠情况审核表!E17</f>
        <v>0</v>
      </c>
    </row>
    <row r="26" spans="1:5">
      <c r="A26" s="355">
        <v>20</v>
      </c>
      <c r="B26" s="4251" t="s">
        <v>962</v>
      </c>
      <c r="C26" s="3747" t="s">
        <v>1020</v>
      </c>
      <c r="D26" s="3747"/>
      <c r="E26" s="2270">
        <f>软件、集成电路企业优惠情况审核表!E18</f>
        <v>0</v>
      </c>
    </row>
    <row r="27" spans="1:5">
      <c r="A27" s="355">
        <v>21</v>
      </c>
      <c r="B27" s="4251"/>
      <c r="C27" s="3747" t="s">
        <v>1021</v>
      </c>
      <c r="D27" s="3747"/>
      <c r="E27" s="2270">
        <f>软件、集成电路企业优惠情况审核表!E19</f>
        <v>0</v>
      </c>
    </row>
    <row r="28" spans="1:5" ht="24" customHeight="1">
      <c r="A28" s="355">
        <v>22</v>
      </c>
      <c r="B28" s="4251"/>
      <c r="C28" s="3747" t="s">
        <v>1022</v>
      </c>
      <c r="D28" s="3747"/>
      <c r="E28" s="2266">
        <f>软件、集成电路企业优惠情况审核表!E20</f>
        <v>0</v>
      </c>
    </row>
    <row r="29" spans="1:5">
      <c r="A29" s="355">
        <v>23</v>
      </c>
      <c r="B29" s="4251"/>
      <c r="C29" s="3747" t="s">
        <v>1023</v>
      </c>
      <c r="D29" s="347" t="s">
        <v>1024</v>
      </c>
      <c r="E29" s="2270">
        <f>软件、集成电路企业优惠情况审核表!E21</f>
        <v>0</v>
      </c>
    </row>
    <row r="30" spans="1:5" ht="24">
      <c r="A30" s="355">
        <v>24</v>
      </c>
      <c r="B30" s="4251"/>
      <c r="C30" s="3747"/>
      <c r="D30" s="347" t="s">
        <v>1025</v>
      </c>
      <c r="E30" s="2266">
        <f>软件、集成电路企业优惠情况审核表!E22</f>
        <v>0</v>
      </c>
    </row>
    <row r="31" spans="1:5">
      <c r="A31" s="355">
        <v>25</v>
      </c>
      <c r="B31" s="4251"/>
      <c r="C31" s="3747" t="s">
        <v>1026</v>
      </c>
      <c r="D31" s="347" t="s">
        <v>1027</v>
      </c>
      <c r="E31" s="2270">
        <f>软件、集成电路企业优惠情况审核表!E23</f>
        <v>0</v>
      </c>
    </row>
    <row r="32" spans="1:5">
      <c r="A32" s="355">
        <v>26</v>
      </c>
      <c r="B32" s="4251"/>
      <c r="C32" s="3747"/>
      <c r="D32" s="347" t="s">
        <v>1028</v>
      </c>
      <c r="E32" s="2270">
        <f>软件、集成电路企业优惠情况审核表!E24</f>
        <v>0</v>
      </c>
    </row>
    <row r="33" spans="1:6" ht="24">
      <c r="A33" s="355">
        <v>27</v>
      </c>
      <c r="B33" s="4251"/>
      <c r="C33" s="3747"/>
      <c r="D33" s="347" t="s">
        <v>1029</v>
      </c>
      <c r="E33" s="2266">
        <f>软件、集成电路企业优惠情况审核表!E25</f>
        <v>0</v>
      </c>
    </row>
    <row r="34" spans="1:6">
      <c r="A34" s="355">
        <v>28</v>
      </c>
      <c r="B34" s="4251"/>
      <c r="C34" s="3747" t="s">
        <v>1030</v>
      </c>
      <c r="D34" s="347" t="s">
        <v>1031</v>
      </c>
      <c r="E34" s="2270">
        <f>软件、集成电路企业优惠情况审核表!E26</f>
        <v>0</v>
      </c>
    </row>
    <row r="35" spans="1:6">
      <c r="A35" s="355">
        <v>29</v>
      </c>
      <c r="B35" s="4251"/>
      <c r="C35" s="3747"/>
      <c r="D35" s="347" t="s">
        <v>1032</v>
      </c>
      <c r="E35" s="2270">
        <f>软件、集成电路企业优惠情况审核表!E27</f>
        <v>0</v>
      </c>
    </row>
    <row r="36" spans="1:6" ht="24">
      <c r="A36" s="355">
        <v>30</v>
      </c>
      <c r="B36" s="4251"/>
      <c r="C36" s="3747"/>
      <c r="D36" s="347" t="s">
        <v>1033</v>
      </c>
      <c r="E36" s="2266">
        <f>软件、集成电路企业优惠情况审核表!E28</f>
        <v>0</v>
      </c>
    </row>
    <row r="37" spans="1:6" ht="24">
      <c r="A37" s="355">
        <v>31</v>
      </c>
      <c r="B37" s="4251"/>
      <c r="C37" s="347" t="s">
        <v>1034</v>
      </c>
      <c r="D37" s="347" t="s">
        <v>1035</v>
      </c>
      <c r="E37" s="2270">
        <f>软件、集成电路企业优惠情况审核表!E29</f>
        <v>0</v>
      </c>
    </row>
    <row r="38" spans="1:6">
      <c r="A38" s="355">
        <v>32</v>
      </c>
      <c r="B38" s="3747" t="s">
        <v>992</v>
      </c>
      <c r="C38" s="3747"/>
      <c r="D38" s="3747"/>
      <c r="E38" s="2270">
        <f ca="1">软件、集成电路企业优惠情况审核表!E30</f>
        <v>0</v>
      </c>
    </row>
    <row r="41" spans="1:6" s="219" customFormat="1" ht="15" customHeight="1">
      <c r="A41" s="4263" t="s">
        <v>1585</v>
      </c>
      <c r="B41" s="4264"/>
      <c r="C41" s="4264"/>
      <c r="D41" s="4264"/>
      <c r="E41" s="4264"/>
      <c r="F41" s="4264"/>
    </row>
    <row r="42" spans="1:6" s="221" customFormat="1" ht="15" customHeight="1">
      <c r="A42" s="4088" t="s">
        <v>1588</v>
      </c>
      <c r="B42" s="4088"/>
      <c r="C42" s="4088"/>
      <c r="D42" s="4088"/>
      <c r="E42" s="4088"/>
      <c r="F42" s="4088"/>
    </row>
    <row r="43" spans="1:6" s="221" customFormat="1" ht="15" customHeight="1">
      <c r="A43" s="4088" t="s">
        <v>1589</v>
      </c>
      <c r="B43" s="4088"/>
      <c r="C43" s="4088"/>
      <c r="D43" s="4088"/>
      <c r="E43" s="4088"/>
      <c r="F43" s="4088"/>
    </row>
    <row r="44" spans="1:6" s="219" customFormat="1" ht="15" customHeight="1">
      <c r="A44" s="4264"/>
      <c r="B44" s="4264"/>
      <c r="C44" s="4264"/>
      <c r="D44" s="4264"/>
      <c r="E44" s="4264"/>
      <c r="F44" s="4264"/>
    </row>
    <row r="45" spans="1:6" s="219" customFormat="1" ht="15" customHeight="1">
      <c r="A45" s="4263" t="s">
        <v>1587</v>
      </c>
      <c r="B45" s="4263"/>
      <c r="C45" s="4263"/>
      <c r="D45" s="4263"/>
      <c r="E45" s="4263"/>
      <c r="F45" s="4263"/>
    </row>
    <row r="46" spans="1:6" s="221" customFormat="1" ht="12">
      <c r="A46" s="4088" t="s">
        <v>1590</v>
      </c>
      <c r="B46" s="4088"/>
      <c r="C46" s="4088"/>
      <c r="D46" s="4088"/>
      <c r="E46" s="4088"/>
      <c r="F46" s="4088"/>
    </row>
    <row r="47" spans="1:6" s="221" customFormat="1" ht="12">
      <c r="A47" s="4088" t="s">
        <v>1036</v>
      </c>
      <c r="B47" s="4088"/>
      <c r="C47" s="4088"/>
      <c r="D47" s="4088"/>
      <c r="E47" s="4088"/>
      <c r="F47" s="4088"/>
    </row>
    <row r="48" spans="1:6" s="221" customFormat="1" ht="12">
      <c r="A48" s="4088" t="s">
        <v>1037</v>
      </c>
      <c r="B48" s="4088"/>
      <c r="C48" s="4088"/>
      <c r="D48" s="4088"/>
      <c r="E48" s="4088"/>
      <c r="F48" s="4088"/>
    </row>
    <row r="49" spans="1:6" s="221" customFormat="1" ht="12">
      <c r="A49" s="4088" t="s">
        <v>1038</v>
      </c>
      <c r="B49" s="4088"/>
      <c r="C49" s="4088"/>
      <c r="D49" s="4088"/>
      <c r="E49" s="4088"/>
      <c r="F49" s="4088"/>
    </row>
    <row r="50" spans="1:6" s="219" customFormat="1" ht="12">
      <c r="A50" s="4264"/>
      <c r="B50" s="4264"/>
      <c r="C50" s="4264"/>
      <c r="D50" s="4264"/>
      <c r="E50" s="4264"/>
      <c r="F50" s="4264"/>
    </row>
  </sheetData>
  <mergeCells count="43">
    <mergeCell ref="A1:F1"/>
    <mergeCell ref="B38:D38"/>
    <mergeCell ref="B22:B25"/>
    <mergeCell ref="C22:D22"/>
    <mergeCell ref="C23:D23"/>
    <mergeCell ref="C24:D24"/>
    <mergeCell ref="A13:A14"/>
    <mergeCell ref="B15:C15"/>
    <mergeCell ref="D15:E15"/>
    <mergeCell ref="C21:D21"/>
    <mergeCell ref="A3:E3"/>
    <mergeCell ref="B4:D4"/>
    <mergeCell ref="B5:C7"/>
    <mergeCell ref="B8:C9"/>
    <mergeCell ref="B12:D12"/>
    <mergeCell ref="E13:E14"/>
    <mergeCell ref="A44:F44"/>
    <mergeCell ref="A45:F45"/>
    <mergeCell ref="A46:F46"/>
    <mergeCell ref="A49:F49"/>
    <mergeCell ref="A50:F50"/>
    <mergeCell ref="A47:F47"/>
    <mergeCell ref="A48:F48"/>
    <mergeCell ref="A2:E2"/>
    <mergeCell ref="B10:C11"/>
    <mergeCell ref="B13:D14"/>
    <mergeCell ref="A41:F41"/>
    <mergeCell ref="A42:F42"/>
    <mergeCell ref="C28:D28"/>
    <mergeCell ref="C29:C30"/>
    <mergeCell ref="C31:C33"/>
    <mergeCell ref="C34:C36"/>
    <mergeCell ref="A16:E16"/>
    <mergeCell ref="B17:B21"/>
    <mergeCell ref="C17:D17"/>
    <mergeCell ref="C18:D18"/>
    <mergeCell ref="C19:D19"/>
    <mergeCell ref="C20:D20"/>
    <mergeCell ref="A43:F43"/>
    <mergeCell ref="C25:D25"/>
    <mergeCell ref="B26:B37"/>
    <mergeCell ref="C26:D26"/>
    <mergeCell ref="C27:D27"/>
  </mergeCells>
  <phoneticPr fontId="46" type="noConversion"/>
  <hyperlinks>
    <hyperlink ref="A1:F1" location="'A100000 中华人民共和国企业所得税年度纳税申报表（A类）'!A1" display="返回主表（A100000）"/>
    <hyperlink ref="A42:F42" r:id="rId1" display="《中国税务合规实务指南—所得税》  软件企业[¶60-378]-[¶60-380]"/>
    <hyperlink ref="A43:F43" r:id="rId2" display="                                集成电路企业[¶60-381]-[¶60-384]"/>
    <hyperlink ref="A46:F46" r:id="rId3" display="《财政部、国家税务总局关于进一步鼓励软件产业和集成电路产业发展企业所得税政策的通知》（财税〔2012〕27号）"/>
    <hyperlink ref="A47:F47" r:id="rId4" display="《财政部 国家税务总局 发展改革委 工业和信息化部关于软件和集成电路产业企业所得税优惠政策有关问题的通知》（财税〔2016〕49号）"/>
    <hyperlink ref="A48:F48" r:id="rId5" display="《国家发展和改革委员会 工业和信息化部 财政部 国家税务总局关于印发国家规划布局内重点软件和集成电路设计领域的通知》（发改高技〔2016〕1056号）"/>
    <hyperlink ref="A49:F49" r:id="rId6" display="《财政部 国家税务总局 发展改革委 工业和信息化部关于进一步鼓励集成电路产业发展企业所得税政策的通知》（财税〔2015〕6号）"/>
    <hyperlink ref="A42:IV42" r:id="rId7" display="《中国税务合规实务指南—所得税》  软件企业[¶60-378]-[¶60-380]"/>
    <hyperlink ref="A43:IV43" r:id="rId8" display="                                集成电路企业[¶60-381]-[¶60-384]"/>
    <hyperlink ref="A46:IV46" r:id="rId9" display="《财政部、国家税务总局关于进一步鼓励软件产业和集成电路产业发展企业所得税政策的通知》（财税〔2012〕27号）"/>
    <hyperlink ref="A47:IV47" r:id="rId10" display="《财政部 国家税务总局 发展改革委 工业和信息化部关于软件和集成电路产业企业所得税优惠政策有关问题的通知》（财税〔2016〕49号）"/>
    <hyperlink ref="A48:IV48" r:id="rId11" display="《国家发展和改革委员会 工业和信息化部 财政部 国家税务总局关于印发国家规划布局内重点软件和集成电路设计领域的通知》（发改高技〔2016〕1056号）"/>
    <hyperlink ref="A49:IV49" r:id="rId12" display="《财政部 国家税务总局 发展改革委 工业和信息化部关于进一步鼓励集成电路产业发展企业所得税政策的通知》（财税〔2015〕6号）"/>
  </hyperlinks>
  <pageMargins left="0.70866141732283472" right="0.70866141732283472" top="0.74803149606299213" bottom="0.74803149606299213" header="0.31496062992125984" footer="0.31496062992125984"/>
  <pageSetup paperSize="9" scale="82" orientation="portrait" verticalDpi="0" r:id="rId13"/>
  <colBreaks count="1" manualBreakCount="1">
    <brk id="5" max="1048575" man="1"/>
  </colBreaks>
  <legacyDrawing r:id="rId14"/>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pageSetUpPr fitToPage="1"/>
  </sheetPr>
  <dimension ref="A1:T33"/>
  <sheetViews>
    <sheetView workbookViewId="0">
      <selection sqref="A1:N1"/>
    </sheetView>
  </sheetViews>
  <sheetFormatPr defaultColWidth="12.625" defaultRowHeight="14.25"/>
  <cols>
    <col min="1" max="1" width="5.75" style="169" customWidth="1"/>
    <col min="2" max="14" width="12" style="169" customWidth="1"/>
    <col min="15" max="16384" width="12.625" style="169"/>
  </cols>
  <sheetData>
    <row r="1" spans="1:14" ht="20.100000000000001" customHeight="1">
      <c r="A1" s="4081" t="s">
        <v>1209</v>
      </c>
      <c r="B1" s="4081"/>
      <c r="C1" s="4081"/>
      <c r="D1" s="4081"/>
      <c r="E1" s="4081"/>
      <c r="F1" s="4081"/>
      <c r="G1" s="4081"/>
      <c r="H1" s="4081"/>
      <c r="I1" s="4081"/>
      <c r="J1" s="4081"/>
      <c r="K1" s="4081"/>
      <c r="L1" s="4081"/>
      <c r="M1" s="4081"/>
      <c r="N1" s="4081"/>
    </row>
    <row r="2" spans="1:14" ht="25.5" customHeight="1">
      <c r="A2" s="4175" t="s">
        <v>1210</v>
      </c>
      <c r="B2" s="4027"/>
      <c r="C2" s="4027"/>
      <c r="D2" s="4027"/>
      <c r="E2" s="4027"/>
      <c r="F2" s="4027"/>
      <c r="G2" s="4027"/>
      <c r="H2" s="4027"/>
      <c r="I2" s="4027"/>
      <c r="J2" s="4027"/>
      <c r="K2" s="4027"/>
      <c r="L2" s="4027"/>
      <c r="M2" s="4027"/>
      <c r="N2" s="4027"/>
    </row>
    <row r="3" spans="1:14">
      <c r="A3" s="3921" t="s">
        <v>147</v>
      </c>
      <c r="B3" s="3921" t="s">
        <v>750</v>
      </c>
      <c r="C3" s="3921" t="s">
        <v>751</v>
      </c>
      <c r="D3" s="3920" t="s">
        <v>1039</v>
      </c>
      <c r="E3" s="3920" t="s">
        <v>1040</v>
      </c>
      <c r="F3" s="3920" t="s">
        <v>1041</v>
      </c>
      <c r="G3" s="3921" t="s">
        <v>1042</v>
      </c>
      <c r="H3" s="3921"/>
      <c r="I3" s="3921"/>
      <c r="J3" s="3921"/>
      <c r="K3" s="3921"/>
      <c r="L3" s="3921"/>
      <c r="M3" s="3920" t="s">
        <v>1056</v>
      </c>
      <c r="N3" s="3920" t="s">
        <v>1043</v>
      </c>
    </row>
    <row r="4" spans="1:14">
      <c r="A4" s="3921"/>
      <c r="B4" s="3921"/>
      <c r="C4" s="3921"/>
      <c r="D4" s="3920"/>
      <c r="E4" s="3920"/>
      <c r="F4" s="3920"/>
      <c r="G4" s="3921"/>
      <c r="H4" s="3921"/>
      <c r="I4" s="3921"/>
      <c r="J4" s="3921"/>
      <c r="K4" s="3921"/>
      <c r="L4" s="3921"/>
      <c r="M4" s="3920"/>
      <c r="N4" s="3920"/>
    </row>
    <row r="5" spans="1:14">
      <c r="A5" s="3921"/>
      <c r="B5" s="3921"/>
      <c r="C5" s="3921"/>
      <c r="D5" s="3920"/>
      <c r="E5" s="3920"/>
      <c r="F5" s="3920"/>
      <c r="G5" s="163" t="s">
        <v>1044</v>
      </c>
      <c r="H5" s="164" t="s">
        <v>490</v>
      </c>
      <c r="I5" s="164" t="s">
        <v>491</v>
      </c>
      <c r="J5" s="164" t="s">
        <v>492</v>
      </c>
      <c r="K5" s="164" t="s">
        <v>493</v>
      </c>
      <c r="L5" s="164" t="s">
        <v>1045</v>
      </c>
      <c r="M5" s="4293"/>
      <c r="N5" s="4293"/>
    </row>
    <row r="6" spans="1:14">
      <c r="A6" s="3921"/>
      <c r="B6" s="3921"/>
      <c r="C6" s="4038">
        <v>1</v>
      </c>
      <c r="D6" s="4038">
        <v>2</v>
      </c>
      <c r="E6" s="4038">
        <v>3</v>
      </c>
      <c r="F6" s="4038" t="s">
        <v>1046</v>
      </c>
      <c r="G6" s="4038">
        <v>5</v>
      </c>
      <c r="H6" s="4038">
        <v>6</v>
      </c>
      <c r="I6" s="4038">
        <v>7</v>
      </c>
      <c r="J6" s="4038">
        <v>8</v>
      </c>
      <c r="K6" s="4038">
        <v>9</v>
      </c>
      <c r="L6" s="4032" t="s">
        <v>1047</v>
      </c>
      <c r="M6" s="4038">
        <v>11</v>
      </c>
      <c r="N6" s="4032" t="s">
        <v>1048</v>
      </c>
    </row>
    <row r="7" spans="1:14" ht="14.25" customHeight="1">
      <c r="A7" s="3921"/>
      <c r="B7" s="3921"/>
      <c r="C7" s="4039"/>
      <c r="D7" s="4039"/>
      <c r="E7" s="4039"/>
      <c r="F7" s="4039"/>
      <c r="G7" s="4039"/>
      <c r="H7" s="4039"/>
      <c r="I7" s="4039"/>
      <c r="J7" s="4039"/>
      <c r="K7" s="4039"/>
      <c r="L7" s="4083"/>
      <c r="M7" s="4039"/>
      <c r="N7" s="4083"/>
    </row>
    <row r="8" spans="1:14">
      <c r="A8" s="3921"/>
      <c r="B8" s="3921"/>
      <c r="C8" s="4040"/>
      <c r="D8" s="4040"/>
      <c r="E8" s="4040"/>
      <c r="F8" s="4040"/>
      <c r="G8" s="4040"/>
      <c r="H8" s="4040"/>
      <c r="I8" s="4040"/>
      <c r="J8" s="4040"/>
      <c r="K8" s="4040"/>
      <c r="L8" s="4033"/>
      <c r="M8" s="4040"/>
      <c r="N8" s="4033"/>
    </row>
    <row r="9" spans="1:14">
      <c r="A9" s="164">
        <v>1</v>
      </c>
      <c r="B9" s="165" t="s">
        <v>489</v>
      </c>
      <c r="C9" s="2255">
        <f>税额抵免优惠审核表!C6</f>
        <v>2012</v>
      </c>
      <c r="D9" s="166">
        <f>税额抵免优惠审核表!D6</f>
        <v>0</v>
      </c>
      <c r="E9" s="166">
        <f>税额抵免优惠审核表!E6</f>
        <v>0</v>
      </c>
      <c r="F9" s="344">
        <f t="shared" ref="F9:F14" si="0">ROUND(E9*0.1,2)</f>
        <v>0</v>
      </c>
      <c r="G9" s="165">
        <f>税额抵免优惠审核表!G6</f>
        <v>0</v>
      </c>
      <c r="H9" s="165">
        <f>税额抵免优惠审核表!H6</f>
        <v>0</v>
      </c>
      <c r="I9" s="165">
        <f>税额抵免优惠审核表!I6</f>
        <v>0</v>
      </c>
      <c r="J9" s="165">
        <f>税额抵免优惠审核表!J6</f>
        <v>0</v>
      </c>
      <c r="K9" s="165">
        <f>税额抵免优惠审核表!K6</f>
        <v>0</v>
      </c>
      <c r="L9" s="344">
        <f>ROUND(G9+H9+I9+J9+K9,2)</f>
        <v>0</v>
      </c>
      <c r="M9" s="166">
        <f>税额抵免优惠审核表!M6</f>
        <v>0</v>
      </c>
      <c r="N9" s="165" t="s">
        <v>133</v>
      </c>
    </row>
    <row r="10" spans="1:14">
      <c r="A10" s="164">
        <v>2</v>
      </c>
      <c r="B10" s="165" t="s">
        <v>490</v>
      </c>
      <c r="C10" s="2255">
        <f>税额抵免优惠审核表!C7</f>
        <v>2013</v>
      </c>
      <c r="D10" s="166">
        <f>税额抵免优惠审核表!D7</f>
        <v>0</v>
      </c>
      <c r="E10" s="166">
        <f>税额抵免优惠审核表!E7</f>
        <v>0</v>
      </c>
      <c r="F10" s="344">
        <f t="shared" si="0"/>
        <v>0</v>
      </c>
      <c r="G10" s="165" t="s">
        <v>133</v>
      </c>
      <c r="H10" s="165">
        <f>税额抵免优惠审核表!H7</f>
        <v>0</v>
      </c>
      <c r="I10" s="165">
        <f>税额抵免优惠审核表!I7</f>
        <v>0</v>
      </c>
      <c r="J10" s="165">
        <f>税额抵免优惠审核表!J7</f>
        <v>0</v>
      </c>
      <c r="K10" s="165">
        <f>税额抵免优惠审核表!K7</f>
        <v>0</v>
      </c>
      <c r="L10" s="344">
        <f>ROUND(H10+I10+J10+K10,2)</f>
        <v>0</v>
      </c>
      <c r="M10" s="166">
        <f>税额抵免优惠审核表!M7</f>
        <v>0</v>
      </c>
      <c r="N10" s="344">
        <f>ROUND(F10-L10-M10,2)</f>
        <v>0</v>
      </c>
    </row>
    <row r="11" spans="1:14">
      <c r="A11" s="164">
        <v>3</v>
      </c>
      <c r="B11" s="165" t="s">
        <v>491</v>
      </c>
      <c r="C11" s="2255">
        <f>税额抵免优惠审核表!C8</f>
        <v>2014</v>
      </c>
      <c r="D11" s="166">
        <f>税额抵免优惠审核表!D8</f>
        <v>0</v>
      </c>
      <c r="E11" s="166">
        <f>税额抵免优惠审核表!E8</f>
        <v>0</v>
      </c>
      <c r="F11" s="344">
        <f t="shared" si="0"/>
        <v>0</v>
      </c>
      <c r="G11" s="165" t="s">
        <v>133</v>
      </c>
      <c r="H11" s="165" t="s">
        <v>133</v>
      </c>
      <c r="I11" s="165">
        <f>税额抵免优惠审核表!I8</f>
        <v>0</v>
      </c>
      <c r="J11" s="165">
        <f>税额抵免优惠审核表!J8</f>
        <v>0</v>
      </c>
      <c r="K11" s="165">
        <f>税额抵免优惠审核表!K8</f>
        <v>0</v>
      </c>
      <c r="L11" s="344">
        <f>ROUND(I11+J11+K11,2)</f>
        <v>0</v>
      </c>
      <c r="M11" s="166">
        <f>税额抵免优惠审核表!M8</f>
        <v>0</v>
      </c>
      <c r="N11" s="344">
        <f>ROUND(F11-L11-M11,2)</f>
        <v>0</v>
      </c>
    </row>
    <row r="12" spans="1:14">
      <c r="A12" s="164">
        <v>4</v>
      </c>
      <c r="B12" s="165" t="s">
        <v>492</v>
      </c>
      <c r="C12" s="2255">
        <f>税额抵免优惠审核表!C9</f>
        <v>2015</v>
      </c>
      <c r="D12" s="166">
        <f>税额抵免优惠审核表!D9</f>
        <v>0</v>
      </c>
      <c r="E12" s="166">
        <f>税额抵免优惠审核表!E9</f>
        <v>0</v>
      </c>
      <c r="F12" s="344">
        <f t="shared" si="0"/>
        <v>0</v>
      </c>
      <c r="G12" s="165" t="s">
        <v>133</v>
      </c>
      <c r="H12" s="165" t="s">
        <v>133</v>
      </c>
      <c r="I12" s="165" t="s">
        <v>133</v>
      </c>
      <c r="J12" s="165">
        <f>税额抵免优惠审核表!J9</f>
        <v>0</v>
      </c>
      <c r="K12" s="165">
        <f>税额抵免优惠审核表!K9</f>
        <v>0</v>
      </c>
      <c r="L12" s="344">
        <f>ROUND(J12+K12,2)</f>
        <v>0</v>
      </c>
      <c r="M12" s="166">
        <f>税额抵免优惠审核表!M9</f>
        <v>0</v>
      </c>
      <c r="N12" s="344">
        <f>ROUND(F12-L12-M12,2)</f>
        <v>0</v>
      </c>
    </row>
    <row r="13" spans="1:14">
      <c r="A13" s="164">
        <v>5</v>
      </c>
      <c r="B13" s="165" t="s">
        <v>493</v>
      </c>
      <c r="C13" s="2255">
        <f>税额抵免优惠审核表!C10</f>
        <v>2016</v>
      </c>
      <c r="D13" s="166">
        <f>税额抵免优惠审核表!D10</f>
        <v>0</v>
      </c>
      <c r="E13" s="166">
        <f>税额抵免优惠审核表!E10</f>
        <v>0</v>
      </c>
      <c r="F13" s="344">
        <f t="shared" si="0"/>
        <v>0</v>
      </c>
      <c r="G13" s="165" t="s">
        <v>133</v>
      </c>
      <c r="H13" s="165" t="s">
        <v>133</v>
      </c>
      <c r="I13" s="165" t="s">
        <v>133</v>
      </c>
      <c r="J13" s="165" t="s">
        <v>133</v>
      </c>
      <c r="K13" s="165">
        <f>税额抵免优惠审核表!K10</f>
        <v>0</v>
      </c>
      <c r="L13" s="344">
        <f>K13</f>
        <v>0</v>
      </c>
      <c r="M13" s="166">
        <f>税额抵免优惠审核表!M10</f>
        <v>0</v>
      </c>
      <c r="N13" s="344">
        <f>ROUND(F13-L13-M13,2)</f>
        <v>0</v>
      </c>
    </row>
    <row r="14" spans="1:14">
      <c r="A14" s="164">
        <v>6</v>
      </c>
      <c r="B14" s="165" t="s">
        <v>758</v>
      </c>
      <c r="C14" s="2255">
        <f>税额抵免优惠审核表!C11</f>
        <v>2017</v>
      </c>
      <c r="D14" s="344">
        <f>'A100000 中华人民共和国企业所得税年度纳税申报表（A类）'!D28-'A100000 中华人民共和国企业所得税年度纳税申报表（A类）'!D29</f>
        <v>0</v>
      </c>
      <c r="E14" s="166">
        <f>税额抵免优惠审核表!E11</f>
        <v>0</v>
      </c>
      <c r="F14" s="344">
        <f t="shared" si="0"/>
        <v>0</v>
      </c>
      <c r="G14" s="165" t="s">
        <v>133</v>
      </c>
      <c r="H14" s="165" t="s">
        <v>133</v>
      </c>
      <c r="I14" s="165" t="s">
        <v>133</v>
      </c>
      <c r="J14" s="165" t="s">
        <v>133</v>
      </c>
      <c r="K14" s="165" t="s">
        <v>133</v>
      </c>
      <c r="L14" s="165" t="s">
        <v>1049</v>
      </c>
      <c r="M14" s="166">
        <f>税额抵免优惠审核表!M11</f>
        <v>0</v>
      </c>
      <c r="N14" s="344">
        <f>ROUND(F14-M14,2)</f>
        <v>0</v>
      </c>
    </row>
    <row r="15" spans="1:14">
      <c r="A15" s="164">
        <v>7</v>
      </c>
      <c r="B15" s="4290" t="s">
        <v>1050</v>
      </c>
      <c r="C15" s="4290"/>
      <c r="D15" s="4290"/>
      <c r="E15" s="4290"/>
      <c r="F15" s="4290"/>
      <c r="G15" s="4290"/>
      <c r="H15" s="4290"/>
      <c r="I15" s="4290"/>
      <c r="J15" s="4290"/>
      <c r="K15" s="4290"/>
      <c r="L15" s="4290"/>
      <c r="M15" s="167">
        <f>ROUND(SUM(M9:M14),2)</f>
        <v>0</v>
      </c>
      <c r="N15" s="165" t="s">
        <v>133</v>
      </c>
    </row>
    <row r="16" spans="1:14">
      <c r="A16" s="164">
        <v>8</v>
      </c>
      <c r="B16" s="4290" t="s">
        <v>1051</v>
      </c>
      <c r="C16" s="4290"/>
      <c r="D16" s="4290"/>
      <c r="E16" s="4290"/>
      <c r="F16" s="4290"/>
      <c r="G16" s="4290"/>
      <c r="H16" s="4290"/>
      <c r="I16" s="4290"/>
      <c r="J16" s="4290"/>
      <c r="K16" s="4290"/>
      <c r="L16" s="4290"/>
      <c r="M16" s="4290"/>
      <c r="N16" s="166">
        <f>税额抵免优惠审核表!N13</f>
        <v>0</v>
      </c>
    </row>
    <row r="17" spans="1:20">
      <c r="A17" s="164">
        <v>9</v>
      </c>
      <c r="B17" s="4291" t="s">
        <v>1052</v>
      </c>
      <c r="C17" s="4290" t="s">
        <v>1053</v>
      </c>
      <c r="D17" s="4290"/>
      <c r="E17" s="4290"/>
      <c r="F17" s="4290"/>
      <c r="G17" s="4290"/>
      <c r="H17" s="4290"/>
      <c r="I17" s="4290"/>
      <c r="J17" s="4290"/>
      <c r="K17" s="4290">
        <f>税额抵免优惠审核表!K14</f>
        <v>0</v>
      </c>
      <c r="L17" s="4290"/>
      <c r="M17" s="4290"/>
      <c r="N17" s="4290"/>
    </row>
    <row r="18" spans="1:20">
      <c r="A18" s="164">
        <v>10</v>
      </c>
      <c r="B18" s="4292"/>
      <c r="C18" s="4290" t="s">
        <v>1054</v>
      </c>
      <c r="D18" s="4290"/>
      <c r="E18" s="4290"/>
      <c r="F18" s="4290"/>
      <c r="G18" s="4290"/>
      <c r="H18" s="4290"/>
      <c r="I18" s="4290"/>
      <c r="J18" s="4290"/>
      <c r="K18" s="4290">
        <f>税额抵免优惠审核表!K15</f>
        <v>0</v>
      </c>
      <c r="L18" s="4290"/>
      <c r="M18" s="4290"/>
      <c r="N18" s="4290"/>
    </row>
    <row r="19" spans="1:20">
      <c r="A19" s="164">
        <v>11</v>
      </c>
      <c r="B19" s="4292"/>
      <c r="C19" s="4290" t="s">
        <v>1055</v>
      </c>
      <c r="D19" s="4290"/>
      <c r="E19" s="4290"/>
      <c r="F19" s="4290"/>
      <c r="G19" s="4290"/>
      <c r="H19" s="4290"/>
      <c r="I19" s="4290"/>
      <c r="J19" s="4290"/>
      <c r="K19" s="4290">
        <f>税额抵免优惠审核表!K16</f>
        <v>0</v>
      </c>
      <c r="L19" s="4290"/>
      <c r="M19" s="4290"/>
      <c r="N19" s="4290"/>
    </row>
    <row r="20" spans="1:20" ht="15" customHeight="1">
      <c r="A20" s="4286"/>
      <c r="B20" s="4287"/>
      <c r="C20" s="4287"/>
      <c r="D20" s="4287"/>
      <c r="E20" s="4287"/>
      <c r="F20" s="4287"/>
      <c r="G20" s="4287"/>
      <c r="H20" s="4287"/>
      <c r="I20" s="4287"/>
      <c r="J20" s="4287"/>
      <c r="K20" s="4287"/>
      <c r="L20" s="4287"/>
      <c r="M20" s="4287"/>
      <c r="N20" s="4287"/>
    </row>
    <row r="21" spans="1:20" ht="15" customHeight="1">
      <c r="A21" s="4288"/>
      <c r="B21" s="4289"/>
      <c r="C21" s="4289"/>
      <c r="D21" s="4289"/>
      <c r="E21" s="4289"/>
      <c r="F21" s="4289"/>
      <c r="G21" s="4289"/>
      <c r="H21" s="4289"/>
      <c r="I21" s="4289"/>
      <c r="J21" s="4289"/>
      <c r="K21" s="4289"/>
      <c r="L21" s="4289"/>
      <c r="M21" s="4289"/>
      <c r="N21" s="4289"/>
    </row>
    <row r="22" spans="1:20" s="225" customFormat="1" ht="15" customHeight="1">
      <c r="A22" s="4188" t="s">
        <v>1585</v>
      </c>
      <c r="B22" s="4285"/>
      <c r="C22" s="4285"/>
      <c r="D22" s="4285"/>
      <c r="E22" s="4285"/>
      <c r="F22" s="4285"/>
      <c r="G22" s="4285"/>
      <c r="H22" s="4285"/>
      <c r="I22" s="4285"/>
      <c r="J22" s="4285"/>
      <c r="K22" s="4285"/>
      <c r="L22" s="4285"/>
      <c r="M22" s="4285"/>
      <c r="N22" s="4285"/>
    </row>
    <row r="23" spans="1:20" s="215" customFormat="1" ht="15" customHeight="1">
      <c r="A23" s="4173" t="s">
        <v>1591</v>
      </c>
      <c r="B23" s="4173"/>
      <c r="C23" s="4173"/>
      <c r="D23" s="4173"/>
      <c r="E23" s="4173"/>
      <c r="F23" s="4173"/>
      <c r="G23" s="4173"/>
      <c r="H23" s="4173"/>
      <c r="I23" s="4173"/>
      <c r="J23" s="4173"/>
      <c r="K23" s="4173"/>
      <c r="L23" s="4173"/>
      <c r="M23" s="4173"/>
      <c r="N23" s="4173"/>
    </row>
    <row r="24" spans="1:20" s="225" customFormat="1" ht="15" customHeight="1">
      <c r="A24" s="4250"/>
      <c r="B24" s="4250"/>
      <c r="C24" s="4250"/>
      <c r="D24" s="4250"/>
      <c r="E24" s="4250"/>
      <c r="F24" s="4250"/>
      <c r="G24" s="4250"/>
      <c r="H24" s="4250"/>
      <c r="I24" s="4250"/>
      <c r="J24" s="4250"/>
      <c r="K24" s="4250"/>
      <c r="L24" s="4250"/>
      <c r="M24" s="4250"/>
      <c r="N24" s="4250"/>
    </row>
    <row r="25" spans="1:20" s="225" customFormat="1" ht="15" customHeight="1">
      <c r="A25" s="4188" t="s">
        <v>1587</v>
      </c>
      <c r="B25" s="4285"/>
      <c r="C25" s="4285"/>
      <c r="D25" s="4285"/>
      <c r="E25" s="4285"/>
      <c r="F25" s="4285"/>
      <c r="G25" s="4285"/>
      <c r="H25" s="4285"/>
      <c r="I25" s="4285"/>
      <c r="J25" s="4285"/>
      <c r="K25" s="4285"/>
      <c r="L25" s="4285"/>
      <c r="M25" s="4285"/>
      <c r="N25" s="4285"/>
    </row>
    <row r="26" spans="1:20" s="215" customFormat="1" ht="15" customHeight="1">
      <c r="A26" s="4088" t="s">
        <v>1592</v>
      </c>
      <c r="B26" s="4088"/>
      <c r="C26" s="4088"/>
      <c r="D26" s="4088"/>
      <c r="E26" s="4088"/>
      <c r="F26" s="4088"/>
      <c r="G26" s="4088"/>
      <c r="H26" s="4088"/>
      <c r="I26" s="4088"/>
      <c r="J26" s="4088"/>
      <c r="K26" s="4088"/>
      <c r="L26" s="4088"/>
      <c r="M26" s="4088"/>
      <c r="N26" s="4088"/>
      <c r="O26" s="316"/>
      <c r="P26" s="316"/>
      <c r="Q26" s="316"/>
      <c r="R26" s="316"/>
      <c r="S26" s="316"/>
      <c r="T26" s="316"/>
    </row>
    <row r="27" spans="1:20" s="215" customFormat="1" ht="15" customHeight="1">
      <c r="A27" s="4088" t="s">
        <v>1593</v>
      </c>
      <c r="B27" s="4088"/>
      <c r="C27" s="4088"/>
      <c r="D27" s="4088"/>
      <c r="E27" s="4088"/>
      <c r="F27" s="4088"/>
      <c r="G27" s="4088"/>
      <c r="H27" s="4088"/>
      <c r="I27" s="4088"/>
      <c r="J27" s="4088"/>
      <c r="K27" s="4088"/>
      <c r="L27" s="4088"/>
      <c r="M27" s="4088"/>
      <c r="N27" s="4088"/>
    </row>
    <row r="28" spans="1:20" s="215" customFormat="1" ht="15" customHeight="1">
      <c r="A28" s="4190" t="s">
        <v>1594</v>
      </c>
      <c r="B28" s="4190"/>
      <c r="C28" s="4190"/>
      <c r="D28" s="4190"/>
      <c r="E28" s="4190"/>
      <c r="F28" s="4190"/>
      <c r="G28" s="4190"/>
      <c r="H28" s="4190"/>
      <c r="I28" s="4190"/>
      <c r="J28" s="4190"/>
      <c r="K28" s="4190"/>
      <c r="L28" s="4190"/>
      <c r="M28" s="4190"/>
      <c r="N28" s="4190"/>
    </row>
    <row r="29" spans="1:20" s="215" customFormat="1" ht="15" customHeight="1">
      <c r="A29" s="4190" t="s">
        <v>1595</v>
      </c>
      <c r="B29" s="4190"/>
      <c r="C29" s="4190"/>
      <c r="D29" s="4190"/>
      <c r="E29" s="4190"/>
      <c r="F29" s="4190"/>
      <c r="G29" s="4190"/>
      <c r="H29" s="4190"/>
      <c r="I29" s="4190"/>
      <c r="J29" s="4190"/>
      <c r="K29" s="4190"/>
      <c r="L29" s="4190"/>
      <c r="M29" s="4190"/>
      <c r="N29" s="4190"/>
    </row>
    <row r="30" spans="1:20" s="215" customFormat="1" ht="15" customHeight="1">
      <c r="A30" s="4190" t="s">
        <v>1596</v>
      </c>
      <c r="B30" s="4190"/>
      <c r="C30" s="4190"/>
      <c r="D30" s="4190"/>
      <c r="E30" s="4190"/>
      <c r="F30" s="4190"/>
      <c r="G30" s="4190"/>
      <c r="H30" s="4190"/>
      <c r="I30" s="4190"/>
      <c r="J30" s="4190"/>
      <c r="K30" s="4190"/>
      <c r="L30" s="4190"/>
      <c r="M30" s="4190"/>
      <c r="N30" s="4190"/>
    </row>
    <row r="31" spans="1:20" s="215" customFormat="1" ht="12">
      <c r="A31" s="4173" t="s">
        <v>1057</v>
      </c>
      <c r="B31" s="4173"/>
      <c r="C31" s="4173"/>
      <c r="D31" s="4173"/>
      <c r="E31" s="4173"/>
      <c r="F31" s="4173"/>
      <c r="G31" s="4173"/>
      <c r="H31" s="4173"/>
      <c r="I31" s="4173"/>
      <c r="J31" s="4173"/>
      <c r="K31" s="4173"/>
      <c r="L31" s="4173"/>
      <c r="M31" s="4173"/>
      <c r="N31" s="4173"/>
    </row>
    <row r="32" spans="1:20" s="225" customFormat="1">
      <c r="A32" s="4250"/>
      <c r="B32" s="4250"/>
      <c r="C32" s="4250"/>
      <c r="D32" s="4250"/>
      <c r="E32" s="4250"/>
      <c r="F32" s="4250"/>
      <c r="G32" s="4250"/>
      <c r="H32" s="4250"/>
      <c r="I32" s="4250"/>
      <c r="J32" s="4250"/>
      <c r="K32" s="4250"/>
      <c r="L32" s="4250"/>
      <c r="M32" s="4250"/>
      <c r="N32" s="4250"/>
      <c r="O32" s="224"/>
    </row>
    <row r="33" spans="1:15">
      <c r="A33" s="4284"/>
      <c r="B33" s="4284"/>
      <c r="C33" s="4284"/>
      <c r="D33" s="4284"/>
      <c r="E33" s="4284"/>
      <c r="F33" s="4284"/>
      <c r="G33" s="4284"/>
      <c r="H33" s="4284"/>
      <c r="I33" s="4284"/>
      <c r="J33" s="4284"/>
      <c r="K33" s="4284"/>
      <c r="L33" s="4284"/>
      <c r="M33" s="4284"/>
      <c r="N33" s="4284"/>
      <c r="O33" s="168"/>
    </row>
  </sheetData>
  <mergeCells count="46">
    <mergeCell ref="A1:N1"/>
    <mergeCell ref="A2:N2"/>
    <mergeCell ref="A3:A8"/>
    <mergeCell ref="B3:B8"/>
    <mergeCell ref="C3:C5"/>
    <mergeCell ref="D3:D5"/>
    <mergeCell ref="E3:E5"/>
    <mergeCell ref="F3:F5"/>
    <mergeCell ref="G3:L4"/>
    <mergeCell ref="M3:M5"/>
    <mergeCell ref="N3:N5"/>
    <mergeCell ref="C6:C8"/>
    <mergeCell ref="D6:D8"/>
    <mergeCell ref="E6:E8"/>
    <mergeCell ref="F6:F8"/>
    <mergeCell ref="G6:G8"/>
    <mergeCell ref="M6:M8"/>
    <mergeCell ref="N6:N8"/>
    <mergeCell ref="B15:L15"/>
    <mergeCell ref="B16:M16"/>
    <mergeCell ref="B17:B19"/>
    <mergeCell ref="C17:J17"/>
    <mergeCell ref="K17:N17"/>
    <mergeCell ref="C18:J18"/>
    <mergeCell ref="K18:N18"/>
    <mergeCell ref="C19:J19"/>
    <mergeCell ref="K19:N19"/>
    <mergeCell ref="H6:H8"/>
    <mergeCell ref="I6:I8"/>
    <mergeCell ref="J6:J8"/>
    <mergeCell ref="K6:K8"/>
    <mergeCell ref="L6:L8"/>
    <mergeCell ref="A20:N20"/>
    <mergeCell ref="A21:N21"/>
    <mergeCell ref="A22:N22"/>
    <mergeCell ref="A23:N23"/>
    <mergeCell ref="A30:N30"/>
    <mergeCell ref="A31:N31"/>
    <mergeCell ref="A32:N32"/>
    <mergeCell ref="A33:N33"/>
    <mergeCell ref="A24:N24"/>
    <mergeCell ref="A25:N25"/>
    <mergeCell ref="A26:N26"/>
    <mergeCell ref="A27:N27"/>
    <mergeCell ref="A28:N28"/>
    <mergeCell ref="A29:N29"/>
  </mergeCells>
  <phoneticPr fontId="61" type="noConversion"/>
  <hyperlinks>
    <hyperlink ref="A1:N1" location="'A100000 中华人民共和国企业所得税年度纳税申报表（A类）'!A1" display="返回主表（A100000）"/>
    <hyperlink ref="A23:N23" r:id="rId1" display="《中国税务合规实务指南—所得税》  环保节能等专用设备的投资抵免[¶60-260]-[¶60-274]"/>
    <hyperlink ref="A26:N26" r:id="rId2" display="《财政部、国家税务总局关于执行环境保护专用设备企业所得税优惠目录、节能节水专用设备企业所得税优惠目录和安全生产专用设备企业所得税优惠目录有关问题的通知》（财税〔2008〕48号）"/>
    <hyperlink ref="A27:N27" r:id="rId3" display="《财政部、国家税务总局、国家发展改革委关于公布节能节水专用设备企业所得税优惠目录（2008年版）和环境保护专用设备企业所得税优惠目录（2008年版）的通知》（财税〔2008〕115号）"/>
    <hyperlink ref="A28:N28" r:id="rId4" display="《财政部、国家税务总局、安全监管总局关于公布〈安全生产专用设备企业所得税优惠目录（2008年版）〉的通知》（财税〔2008〕118号）"/>
    <hyperlink ref="A29:N29" r:id="rId5" display="《财政部、国家税务总局关于执行企业所得税优惠政策若干问题的通知》（财税〔2009〕69号）"/>
    <hyperlink ref="A30:N30" r:id="rId6" display="《国家税务总局关于环境保护、节能节水、安全生产等专用设备投资抵免企业所得税有关问题的通知》（国税函〔2010〕256号）"/>
    <hyperlink ref="A31:N31" r:id="rId7" display="《财政部 税务总局 国家发展改革委 工业和信息化部 环境保护部关于印发节能节水和环境保护专用设备企业所得税优惠目录（2017年版）的通知》（财税〔2017〕71号）"/>
    <hyperlink ref="A23:IV23" r:id="rId8" display="《中国税务合规实务指南—所得税》  环保节能等专用设备的投资抵免[¶60-260]-[¶60-274]"/>
    <hyperlink ref="A26:IV26" r:id="rId9" display="《财政部、国家税务总局关于执行环境保护专用设备企业所得税优惠目录、节能节水专用设备企业所得税优惠目录和安全生产专用设备企业所得税优惠目录有关问题的通知》（财税〔2008〕48号）"/>
    <hyperlink ref="A27:IV27" r:id="rId10" display="《财政部、国家税务总局、国家发展改革委关于公布节能节水专用设备企业所得税优惠目录（2008年版）和环境保护专用设备企业所得税优惠目录（2008年版）的通知》（财税〔2008〕115号）"/>
    <hyperlink ref="A28:IV28" r:id="rId11" display="《财政部、国家税务总局、安全监管总局关于公布〈安全生产专用设备企业所得税优惠目录（2008年版）〉的通知》（财税〔2008〕118号）"/>
    <hyperlink ref="A29:IV29" r:id="rId12" display="《财政部、国家税务总局关于执行企业所得税优惠政策若干问题的通知》（财税〔2009〕69号）"/>
    <hyperlink ref="A30:IV30" r:id="rId13" display="《国家税务总局关于环境保护、节能节水、安全生产等专用设备投资抵免企业所得税有关问题的通知》（国税函〔2010〕256号）"/>
    <hyperlink ref="A31:IV31" r:id="rId14" display="《财政部 税务总局 国家发展改革委 工业和信息化部 环境保护部关于印发节能节水和环境保护专用设备企业所得税优惠目录（2017年版）的通知》（财税〔2017〕71号）"/>
  </hyperlinks>
  <pageMargins left="0.70866141732283472" right="0.70866141732283472" top="0.74803149606299213" bottom="0.74803149606299213" header="0.31496062992125984" footer="0.31496062992125984"/>
  <pageSetup paperSize="9" scale="77" orientation="landscape" verticalDpi="0" r:id="rId15"/>
  <legacyDrawing r:id="rId16"/>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T36"/>
  <sheetViews>
    <sheetView workbookViewId="0">
      <selection sqref="A1:T1"/>
    </sheetView>
  </sheetViews>
  <sheetFormatPr defaultColWidth="9.75" defaultRowHeight="12.75"/>
  <cols>
    <col min="1" max="1" width="5.75" style="171" customWidth="1"/>
    <col min="2" max="2" width="13.625" style="171" customWidth="1"/>
    <col min="3" max="20" width="9.75" style="171" customWidth="1"/>
    <col min="21" max="16384" width="9.75" style="171"/>
  </cols>
  <sheetData>
    <row r="1" spans="1:20" s="170" customFormat="1" ht="20.100000000000001" customHeight="1">
      <c r="A1" s="4081" t="s">
        <v>1209</v>
      </c>
      <c r="B1" s="4081"/>
      <c r="C1" s="4081"/>
      <c r="D1" s="4081"/>
      <c r="E1" s="4081"/>
      <c r="F1" s="4081"/>
      <c r="G1" s="4081"/>
      <c r="H1" s="4081"/>
      <c r="I1" s="4081"/>
      <c r="J1" s="4081"/>
      <c r="K1" s="4081"/>
      <c r="L1" s="4081"/>
      <c r="M1" s="4081"/>
      <c r="N1" s="4081"/>
      <c r="O1" s="4081"/>
      <c r="P1" s="4081"/>
      <c r="Q1" s="4081"/>
      <c r="R1" s="4081"/>
      <c r="S1" s="4081"/>
      <c r="T1" s="4081"/>
    </row>
    <row r="2" spans="1:20" ht="25.5" customHeight="1">
      <c r="A2" s="4299" t="s">
        <v>1211</v>
      </c>
      <c r="B2" s="4300"/>
      <c r="C2" s="4300"/>
      <c r="D2" s="4300"/>
      <c r="E2" s="4300"/>
      <c r="F2" s="4300"/>
      <c r="G2" s="4300"/>
      <c r="H2" s="4300"/>
      <c r="I2" s="4300"/>
      <c r="J2" s="4300"/>
      <c r="K2" s="4300"/>
      <c r="L2" s="4300"/>
      <c r="M2" s="4300"/>
      <c r="N2" s="4300"/>
      <c r="O2" s="4300"/>
      <c r="P2" s="4300"/>
      <c r="Q2" s="4300"/>
      <c r="R2" s="4300"/>
      <c r="S2" s="4300"/>
      <c r="T2" s="4300"/>
    </row>
    <row r="3" spans="1:20" s="173" customFormat="1" ht="14.25" customHeight="1">
      <c r="A3" s="3920" t="s">
        <v>998</v>
      </c>
      <c r="B3" s="4032" t="s">
        <v>1058</v>
      </c>
      <c r="C3" s="4032" t="s">
        <v>1059</v>
      </c>
      <c r="D3" s="4032" t="s">
        <v>1060</v>
      </c>
      <c r="E3" s="4032" t="s">
        <v>1061</v>
      </c>
      <c r="F3" s="4032" t="s">
        <v>1062</v>
      </c>
      <c r="G3" s="4032" t="s">
        <v>1063</v>
      </c>
      <c r="H3" s="4032" t="s">
        <v>1064</v>
      </c>
      <c r="I3" s="4032" t="s">
        <v>1065</v>
      </c>
      <c r="J3" s="4032" t="s">
        <v>1066</v>
      </c>
      <c r="K3" s="4032" t="s">
        <v>1067</v>
      </c>
      <c r="L3" s="4032" t="s">
        <v>1068</v>
      </c>
      <c r="M3" s="4032" t="s">
        <v>1069</v>
      </c>
      <c r="N3" s="4032" t="s">
        <v>1070</v>
      </c>
      <c r="O3" s="4032" t="s">
        <v>1071</v>
      </c>
      <c r="P3" s="4103" t="s">
        <v>1072</v>
      </c>
      <c r="Q3" s="4015"/>
      <c r="R3" s="4015"/>
      <c r="S3" s="4015"/>
      <c r="T3" s="3920" t="s">
        <v>1073</v>
      </c>
    </row>
    <row r="4" spans="1:20" s="173" customFormat="1" ht="14.25" customHeight="1">
      <c r="A4" s="3920"/>
      <c r="B4" s="4083"/>
      <c r="C4" s="4083"/>
      <c r="D4" s="4083"/>
      <c r="E4" s="4083"/>
      <c r="F4" s="4083"/>
      <c r="G4" s="4083"/>
      <c r="H4" s="4083"/>
      <c r="I4" s="4083"/>
      <c r="J4" s="4083"/>
      <c r="K4" s="4083"/>
      <c r="L4" s="4083"/>
      <c r="M4" s="4083"/>
      <c r="N4" s="4083"/>
      <c r="O4" s="4083"/>
      <c r="P4" s="3920" t="s">
        <v>1083</v>
      </c>
      <c r="Q4" s="3920" t="s">
        <v>1074</v>
      </c>
      <c r="R4" s="3920" t="s">
        <v>1082</v>
      </c>
      <c r="S4" s="3920" t="s">
        <v>1045</v>
      </c>
      <c r="T4" s="3920"/>
    </row>
    <row r="5" spans="1:20" s="173" customFormat="1" ht="14.25" customHeight="1">
      <c r="A5" s="3920"/>
      <c r="B5" s="4083"/>
      <c r="C5" s="4083"/>
      <c r="D5" s="4083"/>
      <c r="E5" s="4083"/>
      <c r="F5" s="4083"/>
      <c r="G5" s="4083"/>
      <c r="H5" s="4083"/>
      <c r="I5" s="4083"/>
      <c r="J5" s="4083"/>
      <c r="K5" s="4083"/>
      <c r="L5" s="4083"/>
      <c r="M5" s="4083"/>
      <c r="N5" s="4083"/>
      <c r="O5" s="4083"/>
      <c r="P5" s="3920"/>
      <c r="Q5" s="3920"/>
      <c r="R5" s="3920"/>
      <c r="S5" s="3920"/>
      <c r="T5" s="3920"/>
    </row>
    <row r="6" spans="1:20" s="173" customFormat="1" ht="14.25" customHeight="1">
      <c r="A6" s="3920"/>
      <c r="B6" s="4083"/>
      <c r="C6" s="4083"/>
      <c r="D6" s="4083"/>
      <c r="E6" s="4083"/>
      <c r="F6" s="4083"/>
      <c r="G6" s="4083"/>
      <c r="H6" s="4083"/>
      <c r="I6" s="4083"/>
      <c r="J6" s="4083"/>
      <c r="K6" s="4083"/>
      <c r="L6" s="4083"/>
      <c r="M6" s="4083"/>
      <c r="N6" s="4083"/>
      <c r="O6" s="4083"/>
      <c r="P6" s="3920"/>
      <c r="Q6" s="3920"/>
      <c r="R6" s="3920"/>
      <c r="S6" s="3920"/>
      <c r="T6" s="3920"/>
    </row>
    <row r="7" spans="1:20" s="173" customFormat="1" ht="14.25" customHeight="1">
      <c r="A7" s="3920"/>
      <c r="B7" s="4083"/>
      <c r="C7" s="4083"/>
      <c r="D7" s="4083"/>
      <c r="E7" s="4083"/>
      <c r="F7" s="4083"/>
      <c r="G7" s="4083"/>
      <c r="H7" s="4083"/>
      <c r="I7" s="4083"/>
      <c r="J7" s="4083"/>
      <c r="K7" s="4083"/>
      <c r="L7" s="4083"/>
      <c r="M7" s="4083"/>
      <c r="N7" s="4083"/>
      <c r="O7" s="4083"/>
      <c r="P7" s="3920"/>
      <c r="Q7" s="3920"/>
      <c r="R7" s="3920"/>
      <c r="S7" s="3920"/>
      <c r="T7" s="3920"/>
    </row>
    <row r="8" spans="1:20" s="173" customFormat="1" ht="14.25" customHeight="1">
      <c r="A8" s="3920"/>
      <c r="B8" s="4083"/>
      <c r="C8" s="4083"/>
      <c r="D8" s="4083"/>
      <c r="E8" s="4083"/>
      <c r="F8" s="4083"/>
      <c r="G8" s="4083"/>
      <c r="H8" s="4083"/>
      <c r="I8" s="4083"/>
      <c r="J8" s="4083"/>
      <c r="K8" s="4083"/>
      <c r="L8" s="4083"/>
      <c r="M8" s="4083"/>
      <c r="N8" s="4083"/>
      <c r="O8" s="4083"/>
      <c r="P8" s="3920"/>
      <c r="Q8" s="3920"/>
      <c r="R8" s="3920"/>
      <c r="S8" s="3920"/>
      <c r="T8" s="3920"/>
    </row>
    <row r="9" spans="1:20" s="173" customFormat="1" ht="14.25" customHeight="1">
      <c r="A9" s="3920"/>
      <c r="B9" s="4033"/>
      <c r="C9" s="4033"/>
      <c r="D9" s="4033"/>
      <c r="E9" s="4033"/>
      <c r="F9" s="4033"/>
      <c r="G9" s="4033"/>
      <c r="H9" s="4033"/>
      <c r="I9" s="4033"/>
      <c r="J9" s="4033"/>
      <c r="K9" s="4033"/>
      <c r="L9" s="4033"/>
      <c r="M9" s="4033"/>
      <c r="N9" s="4033"/>
      <c r="O9" s="4033"/>
      <c r="P9" s="3920"/>
      <c r="Q9" s="3920"/>
      <c r="R9" s="3920"/>
      <c r="S9" s="3920"/>
      <c r="T9" s="3920"/>
    </row>
    <row r="10" spans="1:20" s="173" customFormat="1" ht="14.25" customHeight="1">
      <c r="A10" s="3920"/>
      <c r="B10" s="4032">
        <v>1</v>
      </c>
      <c r="C10" s="4032">
        <v>2</v>
      </c>
      <c r="D10" s="4032">
        <v>3</v>
      </c>
      <c r="E10" s="4032">
        <v>4</v>
      </c>
      <c r="F10" s="4032" t="s">
        <v>1075</v>
      </c>
      <c r="G10" s="4032">
        <v>6</v>
      </c>
      <c r="H10" s="4032" t="s">
        <v>1076</v>
      </c>
      <c r="I10" s="4032">
        <v>8</v>
      </c>
      <c r="J10" s="4032" t="s">
        <v>1077</v>
      </c>
      <c r="K10" s="4032">
        <v>10</v>
      </c>
      <c r="L10" s="4032">
        <v>11</v>
      </c>
      <c r="M10" s="4032">
        <v>12</v>
      </c>
      <c r="N10" s="4032" t="s">
        <v>1078</v>
      </c>
      <c r="O10" s="4032">
        <v>14</v>
      </c>
      <c r="P10" s="4032">
        <v>15</v>
      </c>
      <c r="Q10" s="4032">
        <v>16</v>
      </c>
      <c r="R10" s="4032">
        <v>17</v>
      </c>
      <c r="S10" s="4032" t="s">
        <v>1079</v>
      </c>
      <c r="T10" s="3920" t="s">
        <v>1080</v>
      </c>
    </row>
    <row r="11" spans="1:20" s="173" customFormat="1" ht="14.25" customHeight="1">
      <c r="A11" s="3920"/>
      <c r="B11" s="4083"/>
      <c r="C11" s="4083"/>
      <c r="D11" s="4083"/>
      <c r="E11" s="4083"/>
      <c r="F11" s="4083"/>
      <c r="G11" s="4083"/>
      <c r="H11" s="4083"/>
      <c r="I11" s="4083"/>
      <c r="J11" s="4083"/>
      <c r="K11" s="4083"/>
      <c r="L11" s="4083"/>
      <c r="M11" s="4083"/>
      <c r="N11" s="4083"/>
      <c r="O11" s="4083"/>
      <c r="P11" s="4083"/>
      <c r="Q11" s="4083"/>
      <c r="R11" s="4083"/>
      <c r="S11" s="4083"/>
      <c r="T11" s="3920"/>
    </row>
    <row r="12" spans="1:20" s="173" customFormat="1" ht="14.25" customHeight="1">
      <c r="A12" s="3920"/>
      <c r="B12" s="4033"/>
      <c r="C12" s="4033"/>
      <c r="D12" s="4033"/>
      <c r="E12" s="4033"/>
      <c r="F12" s="4033"/>
      <c r="G12" s="4033"/>
      <c r="H12" s="4033"/>
      <c r="I12" s="4033"/>
      <c r="J12" s="4033"/>
      <c r="K12" s="4033"/>
      <c r="L12" s="4033"/>
      <c r="M12" s="4033"/>
      <c r="N12" s="4033"/>
      <c r="O12" s="4033"/>
      <c r="P12" s="4033"/>
      <c r="Q12" s="4033"/>
      <c r="R12" s="4033"/>
      <c r="S12" s="4033"/>
      <c r="T12" s="3920"/>
    </row>
    <row r="13" spans="1:20" s="170" customFormat="1" ht="14.25" customHeight="1">
      <c r="A13" s="172">
        <v>1</v>
      </c>
      <c r="B13" s="174">
        <f>境外所得税收抵免审核表!B6</f>
        <v>0</v>
      </c>
      <c r="C13" s="174">
        <f>境外所得税收抵免审核表!C6</f>
        <v>0</v>
      </c>
      <c r="D13" s="174">
        <f>境外所得税收抵免审核表!D6</f>
        <v>0</v>
      </c>
      <c r="E13" s="174">
        <f>境外所得税收抵免审核表!E6</f>
        <v>0</v>
      </c>
      <c r="F13" s="344">
        <f>IF((D13-E13)&lt;0,0, D13-E13)</f>
        <v>0</v>
      </c>
      <c r="G13" s="175">
        <f>境外所得税收抵免审核表!G6</f>
        <v>0</v>
      </c>
      <c r="H13" s="344">
        <f>ROUND(F13-G13,2)</f>
        <v>0</v>
      </c>
      <c r="I13" s="175">
        <f>境外所得税收抵免审核表!I6</f>
        <v>0</v>
      </c>
      <c r="J13" s="344">
        <f>ROUND(H13*I13,2)</f>
        <v>0</v>
      </c>
      <c r="K13" s="175">
        <f>境外所得税收抵免审核表!K6</f>
        <v>0</v>
      </c>
      <c r="L13" s="175">
        <f>境外所得税收抵免审核表!L6</f>
        <v>0</v>
      </c>
      <c r="M13" s="344">
        <f>MIN(K13,L13)</f>
        <v>0</v>
      </c>
      <c r="N13" s="344">
        <f>ROUND(L13-M13,2)</f>
        <v>0</v>
      </c>
      <c r="O13" s="344">
        <f>境外所得税收抵免审核表!O6</f>
        <v>0</v>
      </c>
      <c r="P13" s="175">
        <f>境外所得税收抵免审核表!P6</f>
        <v>0</v>
      </c>
      <c r="Q13" s="175">
        <f>境外所得税收抵免审核表!Q6</f>
        <v>0</v>
      </c>
      <c r="R13" s="175">
        <f>境外所得税收抵免审核表!R6</f>
        <v>0</v>
      </c>
      <c r="S13" s="344">
        <f>ROUND(P13+Q13+R13,2)</f>
        <v>0</v>
      </c>
      <c r="T13" s="344">
        <f>ROUND(M13+O13+S13,2)</f>
        <v>0</v>
      </c>
    </row>
    <row r="14" spans="1:20" s="170" customFormat="1" ht="14.25" customHeight="1">
      <c r="A14" s="172">
        <v>2</v>
      </c>
      <c r="B14" s="174">
        <f>境外所得税收抵免审核表!B7</f>
        <v>0</v>
      </c>
      <c r="C14" s="174">
        <f>境外所得税收抵免审核表!C7</f>
        <v>0</v>
      </c>
      <c r="D14" s="174">
        <f>境外所得税收抵免审核表!D7</f>
        <v>0</v>
      </c>
      <c r="E14" s="174">
        <f>境外所得税收抵免审核表!E7</f>
        <v>0</v>
      </c>
      <c r="F14" s="344">
        <f t="shared" ref="F14:F21" si="0">IF((D14-E14)&lt;0,0, D14-E14)</f>
        <v>0</v>
      </c>
      <c r="G14" s="175">
        <f>境外所得税收抵免审核表!G7</f>
        <v>0</v>
      </c>
      <c r="H14" s="344">
        <f t="shared" ref="H14:H21" si="1">ROUND(F14-G14,2)</f>
        <v>0</v>
      </c>
      <c r="I14" s="175">
        <f>境外所得税收抵免审核表!I7</f>
        <v>0</v>
      </c>
      <c r="J14" s="344">
        <f t="shared" ref="J14:J21" si="2">ROUND(H14*I14,2)</f>
        <v>0</v>
      </c>
      <c r="K14" s="175">
        <f>境外所得税收抵免审核表!K7</f>
        <v>0</v>
      </c>
      <c r="L14" s="175">
        <f>境外所得税收抵免审核表!L7</f>
        <v>0</v>
      </c>
      <c r="M14" s="344">
        <f t="shared" ref="M14:M21" si="3">MIN(K14,L14)</f>
        <v>0</v>
      </c>
      <c r="N14" s="344">
        <f t="shared" ref="N14:N21" si="4">ROUND(L14-M14,2)</f>
        <v>0</v>
      </c>
      <c r="O14" s="344">
        <f>境外所得税收抵免审核表!O7</f>
        <v>0</v>
      </c>
      <c r="P14" s="175">
        <f>境外所得税收抵免审核表!P7</f>
        <v>0</v>
      </c>
      <c r="Q14" s="175">
        <f>境外所得税收抵免审核表!Q7</f>
        <v>0</v>
      </c>
      <c r="R14" s="175">
        <f>境外所得税收抵免审核表!R7</f>
        <v>0</v>
      </c>
      <c r="S14" s="344">
        <f t="shared" ref="S14:S21" si="5">ROUND(P14+Q14+R14,2)</f>
        <v>0</v>
      </c>
      <c r="T14" s="344">
        <f t="shared" ref="T14:T21" si="6">ROUND(M14+O14+S14,2)</f>
        <v>0</v>
      </c>
    </row>
    <row r="15" spans="1:20" s="170" customFormat="1" ht="14.25" customHeight="1">
      <c r="A15" s="172">
        <v>3</v>
      </c>
      <c r="B15" s="174">
        <f>境外所得税收抵免审核表!B8</f>
        <v>0</v>
      </c>
      <c r="C15" s="174">
        <f>境外所得税收抵免审核表!C8</f>
        <v>0</v>
      </c>
      <c r="D15" s="174">
        <f>境外所得税收抵免审核表!D8</f>
        <v>0</v>
      </c>
      <c r="E15" s="174">
        <f>境外所得税收抵免审核表!E8</f>
        <v>0</v>
      </c>
      <c r="F15" s="344">
        <f t="shared" si="0"/>
        <v>0</v>
      </c>
      <c r="G15" s="175">
        <f>境外所得税收抵免审核表!G8</f>
        <v>0</v>
      </c>
      <c r="H15" s="344">
        <f t="shared" si="1"/>
        <v>0</v>
      </c>
      <c r="I15" s="175">
        <f>境外所得税收抵免审核表!I8</f>
        <v>0</v>
      </c>
      <c r="J15" s="344">
        <f t="shared" si="2"/>
        <v>0</v>
      </c>
      <c r="K15" s="175">
        <f>境外所得税收抵免审核表!K8</f>
        <v>0</v>
      </c>
      <c r="L15" s="175">
        <f>境外所得税收抵免审核表!L8</f>
        <v>0</v>
      </c>
      <c r="M15" s="344">
        <f t="shared" si="3"/>
        <v>0</v>
      </c>
      <c r="N15" s="344">
        <f t="shared" si="4"/>
        <v>0</v>
      </c>
      <c r="O15" s="344">
        <f>境外所得税收抵免审核表!O8</f>
        <v>0</v>
      </c>
      <c r="P15" s="175">
        <f>境外所得税收抵免审核表!P8</f>
        <v>0</v>
      </c>
      <c r="Q15" s="175">
        <f>境外所得税收抵免审核表!Q8</f>
        <v>0</v>
      </c>
      <c r="R15" s="175">
        <f>境外所得税收抵免审核表!R8</f>
        <v>0</v>
      </c>
      <c r="S15" s="344">
        <f t="shared" si="5"/>
        <v>0</v>
      </c>
      <c r="T15" s="344">
        <f t="shared" si="6"/>
        <v>0</v>
      </c>
    </row>
    <row r="16" spans="1:20" s="170" customFormat="1" ht="14.25" customHeight="1">
      <c r="A16" s="172">
        <v>4</v>
      </c>
      <c r="B16" s="174">
        <f>境外所得税收抵免审核表!B9</f>
        <v>0</v>
      </c>
      <c r="C16" s="174">
        <f>境外所得税收抵免审核表!C9</f>
        <v>0</v>
      </c>
      <c r="D16" s="174">
        <f>境外所得税收抵免审核表!D9</f>
        <v>0</v>
      </c>
      <c r="E16" s="174">
        <f>境外所得税收抵免审核表!E9</f>
        <v>0</v>
      </c>
      <c r="F16" s="344">
        <f t="shared" si="0"/>
        <v>0</v>
      </c>
      <c r="G16" s="175">
        <f>境外所得税收抵免审核表!G9</f>
        <v>0</v>
      </c>
      <c r="H16" s="344">
        <f t="shared" si="1"/>
        <v>0</v>
      </c>
      <c r="I16" s="175">
        <f>境外所得税收抵免审核表!I9</f>
        <v>0</v>
      </c>
      <c r="J16" s="344">
        <f t="shared" si="2"/>
        <v>0</v>
      </c>
      <c r="K16" s="175">
        <f>境外所得税收抵免审核表!K9</f>
        <v>0</v>
      </c>
      <c r="L16" s="175">
        <f>境外所得税收抵免审核表!L9</f>
        <v>0</v>
      </c>
      <c r="M16" s="344">
        <f t="shared" si="3"/>
        <v>0</v>
      </c>
      <c r="N16" s="344">
        <f t="shared" si="4"/>
        <v>0</v>
      </c>
      <c r="O16" s="344">
        <f>境外所得税收抵免审核表!O9</f>
        <v>0</v>
      </c>
      <c r="P16" s="175">
        <f>境外所得税收抵免审核表!P9</f>
        <v>0</v>
      </c>
      <c r="Q16" s="175">
        <f>境外所得税收抵免审核表!Q9</f>
        <v>0</v>
      </c>
      <c r="R16" s="175">
        <f>境外所得税收抵免审核表!R9</f>
        <v>0</v>
      </c>
      <c r="S16" s="344">
        <f>ROUND(P16+Q16+R16,2)</f>
        <v>0</v>
      </c>
      <c r="T16" s="344">
        <f t="shared" si="6"/>
        <v>0</v>
      </c>
    </row>
    <row r="17" spans="1:20" s="170" customFormat="1" ht="14.25" customHeight="1">
      <c r="A17" s="172">
        <v>5</v>
      </c>
      <c r="B17" s="174">
        <f>境外所得税收抵免审核表!B10</f>
        <v>0</v>
      </c>
      <c r="C17" s="174">
        <f>境外所得税收抵免审核表!C10</f>
        <v>0</v>
      </c>
      <c r="D17" s="174">
        <f>境外所得税收抵免审核表!D10</f>
        <v>0</v>
      </c>
      <c r="E17" s="174">
        <f>境外所得税收抵免审核表!E10</f>
        <v>0</v>
      </c>
      <c r="F17" s="344">
        <f t="shared" si="0"/>
        <v>0</v>
      </c>
      <c r="G17" s="175">
        <f>境外所得税收抵免审核表!G10</f>
        <v>0</v>
      </c>
      <c r="H17" s="344">
        <f t="shared" si="1"/>
        <v>0</v>
      </c>
      <c r="I17" s="175">
        <f>境外所得税收抵免审核表!I10</f>
        <v>0</v>
      </c>
      <c r="J17" s="344">
        <f t="shared" si="2"/>
        <v>0</v>
      </c>
      <c r="K17" s="175">
        <f>境外所得税收抵免审核表!K10</f>
        <v>0</v>
      </c>
      <c r="L17" s="175">
        <f>境外所得税收抵免审核表!L10</f>
        <v>0</v>
      </c>
      <c r="M17" s="344">
        <f t="shared" si="3"/>
        <v>0</v>
      </c>
      <c r="N17" s="344">
        <f t="shared" si="4"/>
        <v>0</v>
      </c>
      <c r="O17" s="344">
        <f>境外所得税收抵免审核表!O10</f>
        <v>0</v>
      </c>
      <c r="P17" s="175">
        <f>境外所得税收抵免审核表!P10</f>
        <v>0</v>
      </c>
      <c r="Q17" s="175">
        <f>境外所得税收抵免审核表!Q10</f>
        <v>0</v>
      </c>
      <c r="R17" s="175">
        <f>境外所得税收抵免审核表!R10</f>
        <v>0</v>
      </c>
      <c r="S17" s="344">
        <f t="shared" si="5"/>
        <v>0</v>
      </c>
      <c r="T17" s="344">
        <f t="shared" si="6"/>
        <v>0</v>
      </c>
    </row>
    <row r="18" spans="1:20" s="170" customFormat="1" ht="14.25" customHeight="1">
      <c r="A18" s="172">
        <v>6</v>
      </c>
      <c r="B18" s="174">
        <f>境外所得税收抵免审核表!B11</f>
        <v>0</v>
      </c>
      <c r="C18" s="174">
        <f>境外所得税收抵免审核表!C11</f>
        <v>0</v>
      </c>
      <c r="D18" s="174">
        <f>境外所得税收抵免审核表!D11</f>
        <v>0</v>
      </c>
      <c r="E18" s="174">
        <f>境外所得税收抵免审核表!E11</f>
        <v>0</v>
      </c>
      <c r="F18" s="344">
        <f t="shared" si="0"/>
        <v>0</v>
      </c>
      <c r="G18" s="175">
        <f>境外所得税收抵免审核表!G11</f>
        <v>0</v>
      </c>
      <c r="H18" s="344">
        <f t="shared" si="1"/>
        <v>0</v>
      </c>
      <c r="I18" s="175">
        <f>境外所得税收抵免审核表!I11</f>
        <v>0</v>
      </c>
      <c r="J18" s="344">
        <f t="shared" si="2"/>
        <v>0</v>
      </c>
      <c r="K18" s="175">
        <f>境外所得税收抵免审核表!K11</f>
        <v>0</v>
      </c>
      <c r="L18" s="175">
        <f>境外所得税收抵免审核表!L11</f>
        <v>0</v>
      </c>
      <c r="M18" s="344">
        <f t="shared" si="3"/>
        <v>0</v>
      </c>
      <c r="N18" s="344">
        <f t="shared" si="4"/>
        <v>0</v>
      </c>
      <c r="O18" s="344">
        <f>境外所得税收抵免审核表!O11</f>
        <v>0</v>
      </c>
      <c r="P18" s="175">
        <f>境外所得税收抵免审核表!P11</f>
        <v>0</v>
      </c>
      <c r="Q18" s="175">
        <f>境外所得税收抵免审核表!Q11</f>
        <v>0</v>
      </c>
      <c r="R18" s="175">
        <f>境外所得税收抵免审核表!R11</f>
        <v>0</v>
      </c>
      <c r="S18" s="344">
        <f t="shared" si="5"/>
        <v>0</v>
      </c>
      <c r="T18" s="344">
        <f t="shared" si="6"/>
        <v>0</v>
      </c>
    </row>
    <row r="19" spans="1:20" s="170" customFormat="1" ht="14.25" customHeight="1">
      <c r="A19" s="172">
        <v>7</v>
      </c>
      <c r="B19" s="174">
        <f>境外所得税收抵免审核表!B12</f>
        <v>0</v>
      </c>
      <c r="C19" s="174">
        <f>境外所得税收抵免审核表!C12</f>
        <v>0</v>
      </c>
      <c r="D19" s="174">
        <f>境外所得税收抵免审核表!D12</f>
        <v>0</v>
      </c>
      <c r="E19" s="174">
        <f>境外所得税收抵免审核表!E12</f>
        <v>0</v>
      </c>
      <c r="F19" s="344">
        <f t="shared" si="0"/>
        <v>0</v>
      </c>
      <c r="G19" s="175">
        <f>境外所得税收抵免审核表!G12</f>
        <v>0</v>
      </c>
      <c r="H19" s="344">
        <f t="shared" si="1"/>
        <v>0</v>
      </c>
      <c r="I19" s="175">
        <f>境外所得税收抵免审核表!I12</f>
        <v>0</v>
      </c>
      <c r="J19" s="344">
        <f t="shared" si="2"/>
        <v>0</v>
      </c>
      <c r="K19" s="175">
        <f>境外所得税收抵免审核表!K12</f>
        <v>0</v>
      </c>
      <c r="L19" s="175">
        <f>境外所得税收抵免审核表!L12</f>
        <v>0</v>
      </c>
      <c r="M19" s="344">
        <f t="shared" si="3"/>
        <v>0</v>
      </c>
      <c r="N19" s="344">
        <f t="shared" si="4"/>
        <v>0</v>
      </c>
      <c r="O19" s="344">
        <f>境外所得税收抵免审核表!O12</f>
        <v>0</v>
      </c>
      <c r="P19" s="175">
        <f>境外所得税收抵免审核表!P12</f>
        <v>0</v>
      </c>
      <c r="Q19" s="175">
        <f>境外所得税收抵免审核表!Q12</f>
        <v>0</v>
      </c>
      <c r="R19" s="175">
        <f>境外所得税收抵免审核表!R12</f>
        <v>0</v>
      </c>
      <c r="S19" s="344">
        <f t="shared" si="5"/>
        <v>0</v>
      </c>
      <c r="T19" s="344">
        <f t="shared" si="6"/>
        <v>0</v>
      </c>
    </row>
    <row r="20" spans="1:20" s="170" customFormat="1" ht="14.25" customHeight="1">
      <c r="A20" s="172">
        <v>8</v>
      </c>
      <c r="B20" s="174">
        <f>境外所得税收抵免审核表!B13</f>
        <v>0</v>
      </c>
      <c r="C20" s="174">
        <f>境外所得税收抵免审核表!C13</f>
        <v>0</v>
      </c>
      <c r="D20" s="174">
        <f>境外所得税收抵免审核表!D13</f>
        <v>0</v>
      </c>
      <c r="E20" s="174">
        <f>境外所得税收抵免审核表!E13</f>
        <v>0</v>
      </c>
      <c r="F20" s="344">
        <f t="shared" si="0"/>
        <v>0</v>
      </c>
      <c r="G20" s="175">
        <f>境外所得税收抵免审核表!G13</f>
        <v>0</v>
      </c>
      <c r="H20" s="344">
        <f t="shared" si="1"/>
        <v>0</v>
      </c>
      <c r="I20" s="175">
        <f>境外所得税收抵免审核表!I13</f>
        <v>0</v>
      </c>
      <c r="J20" s="344">
        <f t="shared" si="2"/>
        <v>0</v>
      </c>
      <c r="K20" s="175">
        <f>境外所得税收抵免审核表!K13</f>
        <v>0</v>
      </c>
      <c r="L20" s="175">
        <f>境外所得税收抵免审核表!L13</f>
        <v>0</v>
      </c>
      <c r="M20" s="344">
        <f t="shared" si="3"/>
        <v>0</v>
      </c>
      <c r="N20" s="344">
        <f t="shared" si="4"/>
        <v>0</v>
      </c>
      <c r="O20" s="344">
        <f>境外所得税收抵免审核表!O13</f>
        <v>0</v>
      </c>
      <c r="P20" s="175">
        <f>境外所得税收抵免审核表!P13</f>
        <v>0</v>
      </c>
      <c r="Q20" s="175">
        <f>境外所得税收抵免审核表!Q13</f>
        <v>0</v>
      </c>
      <c r="R20" s="175">
        <f>境外所得税收抵免审核表!R13</f>
        <v>0</v>
      </c>
      <c r="S20" s="344">
        <f t="shared" si="5"/>
        <v>0</v>
      </c>
      <c r="T20" s="344">
        <f t="shared" si="6"/>
        <v>0</v>
      </c>
    </row>
    <row r="21" spans="1:20" s="170" customFormat="1" ht="14.25" customHeight="1">
      <c r="A21" s="172">
        <v>9</v>
      </c>
      <c r="B21" s="174">
        <f>境外所得税收抵免审核表!B14</f>
        <v>0</v>
      </c>
      <c r="C21" s="174">
        <f>境外所得税收抵免审核表!C14</f>
        <v>0</v>
      </c>
      <c r="D21" s="174">
        <f>境外所得税收抵免审核表!D14</f>
        <v>0</v>
      </c>
      <c r="E21" s="174">
        <f>境外所得税收抵免审核表!E14</f>
        <v>0</v>
      </c>
      <c r="F21" s="344">
        <f t="shared" si="0"/>
        <v>0</v>
      </c>
      <c r="G21" s="175">
        <f>境外所得税收抵免审核表!G14</f>
        <v>0</v>
      </c>
      <c r="H21" s="344">
        <f t="shared" si="1"/>
        <v>0</v>
      </c>
      <c r="I21" s="175">
        <f>境外所得税收抵免审核表!I14</f>
        <v>0</v>
      </c>
      <c r="J21" s="344">
        <f t="shared" si="2"/>
        <v>0</v>
      </c>
      <c r="K21" s="175">
        <f>境外所得税收抵免审核表!K14</f>
        <v>0</v>
      </c>
      <c r="L21" s="175">
        <f>境外所得税收抵免审核表!L14</f>
        <v>0</v>
      </c>
      <c r="M21" s="344">
        <f t="shared" si="3"/>
        <v>0</v>
      </c>
      <c r="N21" s="344">
        <f t="shared" si="4"/>
        <v>0</v>
      </c>
      <c r="O21" s="344">
        <f>境外所得税收抵免审核表!O14</f>
        <v>0</v>
      </c>
      <c r="P21" s="175">
        <f>境外所得税收抵免审核表!P14</f>
        <v>0</v>
      </c>
      <c r="Q21" s="175">
        <f>境外所得税收抵免审核表!Q14</f>
        <v>0</v>
      </c>
      <c r="R21" s="175">
        <f>境外所得税收抵免审核表!R14</f>
        <v>0</v>
      </c>
      <c r="S21" s="344">
        <f t="shared" si="5"/>
        <v>0</v>
      </c>
      <c r="T21" s="344">
        <f t="shared" si="6"/>
        <v>0</v>
      </c>
    </row>
    <row r="22" spans="1:20" s="170" customFormat="1" ht="14.25" customHeight="1">
      <c r="A22" s="172">
        <v>10</v>
      </c>
      <c r="B22" s="172" t="s">
        <v>1081</v>
      </c>
      <c r="C22" s="344">
        <f>ROUND(SUM(C13:C21),2)</f>
        <v>0</v>
      </c>
      <c r="D22" s="344">
        <f>ROUND(SUM(D13:D21),2)</f>
        <v>0</v>
      </c>
      <c r="E22" s="344">
        <f>ROUND(SUM(E13:E21),2)</f>
        <v>0</v>
      </c>
      <c r="F22" s="344">
        <f t="shared" ref="F22:T22" si="7">ROUND(SUM(F13:F21),2)</f>
        <v>0</v>
      </c>
      <c r="G22" s="344">
        <f t="shared" si="7"/>
        <v>0</v>
      </c>
      <c r="H22" s="344">
        <f t="shared" si="7"/>
        <v>0</v>
      </c>
      <c r="I22" s="344">
        <f t="shared" si="7"/>
        <v>0</v>
      </c>
      <c r="J22" s="344">
        <f t="shared" si="7"/>
        <v>0</v>
      </c>
      <c r="K22" s="344">
        <f t="shared" si="7"/>
        <v>0</v>
      </c>
      <c r="L22" s="344">
        <f t="shared" si="7"/>
        <v>0</v>
      </c>
      <c r="M22" s="344">
        <f>ROUND(SUM(M13:M21),2)</f>
        <v>0</v>
      </c>
      <c r="N22" s="344">
        <f t="shared" si="7"/>
        <v>0</v>
      </c>
      <c r="O22" s="344">
        <f t="shared" si="7"/>
        <v>0</v>
      </c>
      <c r="P22" s="344">
        <f t="shared" si="7"/>
        <v>0</v>
      </c>
      <c r="Q22" s="344">
        <f t="shared" si="7"/>
        <v>0</v>
      </c>
      <c r="R22" s="344">
        <f t="shared" si="7"/>
        <v>0</v>
      </c>
      <c r="S22" s="344">
        <f t="shared" si="7"/>
        <v>0</v>
      </c>
      <c r="T22" s="344">
        <f t="shared" si="7"/>
        <v>0</v>
      </c>
    </row>
    <row r="23" spans="1:20" s="176" customFormat="1" ht="15" customHeight="1">
      <c r="A23" s="4297"/>
      <c r="B23" s="4298"/>
      <c r="C23" s="4298"/>
      <c r="D23" s="4298"/>
      <c r="E23" s="4298"/>
      <c r="F23" s="4298"/>
      <c r="G23" s="4298"/>
      <c r="H23" s="4298"/>
      <c r="I23" s="4298"/>
      <c r="J23" s="4298"/>
      <c r="K23" s="4298"/>
      <c r="L23" s="4298"/>
      <c r="M23" s="4298"/>
      <c r="N23" s="4298"/>
      <c r="O23" s="4298"/>
      <c r="P23" s="4298"/>
      <c r="Q23" s="4298"/>
      <c r="R23" s="4298"/>
      <c r="S23" s="4298"/>
      <c r="T23" s="4298"/>
    </row>
    <row r="24" spans="1:20" s="176" customFormat="1" ht="15" customHeight="1">
      <c r="A24" s="4297"/>
      <c r="B24" s="4298"/>
      <c r="C24" s="4298"/>
      <c r="D24" s="4298"/>
      <c r="E24" s="4298"/>
      <c r="F24" s="4298"/>
      <c r="G24" s="4298"/>
      <c r="H24" s="4298"/>
      <c r="I24" s="4298"/>
      <c r="J24" s="4298"/>
      <c r="K24" s="4298"/>
      <c r="L24" s="4298"/>
      <c r="M24" s="4298"/>
      <c r="N24" s="4298"/>
      <c r="O24" s="4298"/>
      <c r="P24" s="4298"/>
      <c r="Q24" s="4298"/>
      <c r="R24" s="4298"/>
      <c r="S24" s="4298"/>
      <c r="T24" s="4298"/>
    </row>
    <row r="25" spans="1:20" s="176" customFormat="1" ht="15" customHeight="1">
      <c r="A25" s="4188" t="s">
        <v>1597</v>
      </c>
      <c r="B25" s="4295"/>
      <c r="C25" s="4295"/>
      <c r="D25" s="4295"/>
      <c r="E25" s="4295"/>
      <c r="F25" s="4295"/>
      <c r="G25" s="4295"/>
      <c r="H25" s="4295"/>
      <c r="I25" s="4295"/>
      <c r="J25" s="4295"/>
      <c r="K25" s="4295"/>
      <c r="L25" s="4295"/>
      <c r="M25" s="4295"/>
      <c r="N25" s="4295"/>
      <c r="O25" s="4295"/>
      <c r="P25" s="4295"/>
      <c r="Q25" s="4295"/>
      <c r="R25" s="4295"/>
      <c r="S25" s="4295"/>
      <c r="T25" s="4295"/>
    </row>
    <row r="26" spans="1:20" s="226" customFormat="1" ht="15" customHeight="1">
      <c r="A26" s="4190" t="s">
        <v>1598</v>
      </c>
      <c r="B26" s="4190"/>
      <c r="C26" s="4190"/>
      <c r="D26" s="4190"/>
      <c r="E26" s="4190"/>
      <c r="F26" s="4190"/>
      <c r="G26" s="4190"/>
      <c r="H26" s="4190"/>
      <c r="I26" s="4190"/>
      <c r="J26" s="4190"/>
      <c r="K26" s="4190"/>
      <c r="L26" s="4190"/>
      <c r="M26" s="4190"/>
      <c r="N26" s="4190"/>
      <c r="O26" s="4190"/>
      <c r="P26" s="4190"/>
      <c r="Q26" s="4190"/>
      <c r="R26" s="4190"/>
      <c r="S26" s="4190"/>
      <c r="T26" s="4190"/>
    </row>
    <row r="27" spans="1:20" s="176" customFormat="1" ht="15" customHeight="1">
      <c r="A27" s="4296"/>
      <c r="B27" s="4295"/>
      <c r="C27" s="4295"/>
      <c r="D27" s="4295"/>
      <c r="E27" s="4295"/>
      <c r="F27" s="4295"/>
      <c r="G27" s="4295"/>
      <c r="H27" s="4295"/>
      <c r="I27" s="4295"/>
      <c r="J27" s="4295"/>
      <c r="K27" s="4295"/>
      <c r="L27" s="4295"/>
      <c r="M27" s="4295"/>
      <c r="N27" s="4295"/>
      <c r="O27" s="4295"/>
      <c r="P27" s="4295"/>
      <c r="Q27" s="4295"/>
      <c r="R27" s="4295"/>
      <c r="S27" s="4295"/>
      <c r="T27" s="4295"/>
    </row>
    <row r="28" spans="1:20" s="176" customFormat="1" ht="15" customHeight="1">
      <c r="A28" s="4294" t="s">
        <v>1587</v>
      </c>
      <c r="B28" s="4295"/>
      <c r="C28" s="4295"/>
      <c r="D28" s="4295"/>
      <c r="E28" s="4295"/>
      <c r="F28" s="4295"/>
      <c r="G28" s="4295"/>
      <c r="H28" s="4295"/>
      <c r="I28" s="4295"/>
      <c r="J28" s="4295"/>
      <c r="K28" s="4295"/>
      <c r="L28" s="4295"/>
      <c r="M28" s="4295"/>
      <c r="N28" s="4295"/>
      <c r="O28" s="4295"/>
      <c r="P28" s="4295"/>
      <c r="Q28" s="4295"/>
      <c r="R28" s="4295"/>
      <c r="S28" s="4295"/>
      <c r="T28" s="4295"/>
    </row>
    <row r="29" spans="1:20" s="226" customFormat="1" ht="15" customHeight="1">
      <c r="A29" s="4190" t="s">
        <v>1599</v>
      </c>
      <c r="B29" s="4190"/>
      <c r="C29" s="4190"/>
      <c r="D29" s="4190"/>
      <c r="E29" s="4190"/>
      <c r="F29" s="4190"/>
      <c r="G29" s="4190"/>
      <c r="H29" s="4190"/>
      <c r="I29" s="4190"/>
      <c r="J29" s="4190"/>
      <c r="K29" s="4190"/>
      <c r="L29" s="4190"/>
      <c r="M29" s="4190"/>
      <c r="N29" s="4190"/>
      <c r="O29" s="4190"/>
      <c r="P29" s="4190"/>
      <c r="Q29" s="4190"/>
      <c r="R29" s="4190"/>
      <c r="S29" s="4190"/>
      <c r="T29" s="4190"/>
    </row>
    <row r="30" spans="1:20" s="226" customFormat="1" ht="15" customHeight="1">
      <c r="A30" s="4190" t="s">
        <v>1600</v>
      </c>
      <c r="B30" s="4190"/>
      <c r="C30" s="4190"/>
      <c r="D30" s="4190"/>
      <c r="E30" s="4190"/>
      <c r="F30" s="4190"/>
      <c r="G30" s="4190"/>
      <c r="H30" s="4190"/>
      <c r="I30" s="4190"/>
      <c r="J30" s="4190"/>
      <c r="K30" s="4190"/>
      <c r="L30" s="4190"/>
      <c r="M30" s="4190"/>
      <c r="N30" s="4190"/>
      <c r="O30" s="4190"/>
      <c r="P30" s="4190"/>
      <c r="Q30" s="4190"/>
      <c r="R30" s="4190"/>
      <c r="S30" s="4190"/>
      <c r="T30" s="4190"/>
    </row>
    <row r="31" spans="1:20" s="226" customFormat="1" ht="15" customHeight="1">
      <c r="A31" s="4190" t="s">
        <v>1601</v>
      </c>
      <c r="B31" s="4190"/>
      <c r="C31" s="4190"/>
      <c r="D31" s="4190"/>
      <c r="E31" s="4190"/>
      <c r="F31" s="4190"/>
      <c r="G31" s="4190"/>
      <c r="H31" s="4190"/>
      <c r="I31" s="4190"/>
      <c r="J31" s="4190"/>
      <c r="K31" s="4190"/>
      <c r="L31" s="4190"/>
      <c r="M31" s="4190"/>
      <c r="N31" s="4190"/>
      <c r="O31" s="4190"/>
      <c r="P31" s="4190"/>
      <c r="Q31" s="4190"/>
      <c r="R31" s="4190"/>
      <c r="S31" s="4190"/>
      <c r="T31" s="4190"/>
    </row>
    <row r="32" spans="1:20" s="226" customFormat="1" ht="15" customHeight="1">
      <c r="A32" s="4190" t="s">
        <v>1084</v>
      </c>
      <c r="B32" s="4190"/>
      <c r="C32" s="4190"/>
      <c r="D32" s="4190"/>
      <c r="E32" s="4190"/>
      <c r="F32" s="4190"/>
      <c r="G32" s="4190"/>
      <c r="H32" s="4190"/>
      <c r="I32" s="4190"/>
      <c r="J32" s="4190"/>
      <c r="K32" s="4190"/>
      <c r="L32" s="4190"/>
      <c r="M32" s="4190"/>
      <c r="N32" s="4190"/>
      <c r="O32" s="4190"/>
      <c r="P32" s="4190"/>
      <c r="Q32" s="4190"/>
      <c r="R32" s="4190"/>
      <c r="S32" s="4190"/>
      <c r="T32" s="4190"/>
    </row>
    <row r="33" spans="2:2">
      <c r="B33" s="177"/>
    </row>
    <row r="34" spans="2:2">
      <c r="B34" s="177"/>
    </row>
    <row r="35" spans="2:2">
      <c r="B35" s="177"/>
    </row>
    <row r="36" spans="2:2">
      <c r="B36" s="177"/>
    </row>
  </sheetData>
  <mergeCells count="52">
    <mergeCell ref="A1:T1"/>
    <mergeCell ref="A2:T2"/>
    <mergeCell ref="A3:A12"/>
    <mergeCell ref="B3:B9"/>
    <mergeCell ref="C3:C9"/>
    <mergeCell ref="D3:D9"/>
    <mergeCell ref="E3:E9"/>
    <mergeCell ref="F3:F9"/>
    <mergeCell ref="G3:G9"/>
    <mergeCell ref="H3:H9"/>
    <mergeCell ref="I3:I9"/>
    <mergeCell ref="J3:J9"/>
    <mergeCell ref="K3:K9"/>
    <mergeCell ref="L3:L9"/>
    <mergeCell ref="M3:M9"/>
    <mergeCell ref="N3:N9"/>
    <mergeCell ref="O3:O9"/>
    <mergeCell ref="P3:S3"/>
    <mergeCell ref="T3:T9"/>
    <mergeCell ref="P4:P9"/>
    <mergeCell ref="Q4:Q9"/>
    <mergeCell ref="R4:R9"/>
    <mergeCell ref="S4:S9"/>
    <mergeCell ref="L10:L12"/>
    <mergeCell ref="M10:M12"/>
    <mergeCell ref="B10:B12"/>
    <mergeCell ref="C10:C12"/>
    <mergeCell ref="D10:D12"/>
    <mergeCell ref="E10:E12"/>
    <mergeCell ref="F10:F12"/>
    <mergeCell ref="G10:G12"/>
    <mergeCell ref="A27:T27"/>
    <mergeCell ref="N10:N12"/>
    <mergeCell ref="O10:O12"/>
    <mergeCell ref="P10:P12"/>
    <mergeCell ref="Q10:Q12"/>
    <mergeCell ref="R10:R12"/>
    <mergeCell ref="S10:S12"/>
    <mergeCell ref="H10:H12"/>
    <mergeCell ref="I10:I12"/>
    <mergeCell ref="J10:J12"/>
    <mergeCell ref="T10:T12"/>
    <mergeCell ref="A23:T23"/>
    <mergeCell ref="A24:T24"/>
    <mergeCell ref="A25:T25"/>
    <mergeCell ref="A26:T26"/>
    <mergeCell ref="K10:K12"/>
    <mergeCell ref="A28:T28"/>
    <mergeCell ref="A29:T29"/>
    <mergeCell ref="A30:T30"/>
    <mergeCell ref="A31:T31"/>
    <mergeCell ref="A32:T32"/>
  </mergeCells>
  <phoneticPr fontId="61" type="noConversion"/>
  <hyperlinks>
    <hyperlink ref="A1:T1" location="'A100000 中华人民共和国企业所得税年度纳税申报表（A类）'!A1" display="返回主表（A100000）"/>
    <hyperlink ref="A26:T26" r:id="rId1" display="《中国税务合规实务指南—所得税》  境外所得抵免[¶40-110]-[¶40-218]"/>
    <hyperlink ref="A29:T29" r:id="rId2" display="《财政部、国家税务总局关于企业境外所得税收抵免有关问题的通知》（财税〔2009〕125号）"/>
    <hyperlink ref="A30:T30" r:id="rId3" display="《国家税务总局关于发布〈企业境外所得税收抵免操作指南〉的公告》（国家税务总局公告2010年第1号）"/>
    <hyperlink ref="A31:T31" r:id="rId4" display="《财政部、国家税务总局关于我国石油企业从事油（气）资源开采所得税收抵免有关问题的通知》（财税〔2011〕23号）"/>
    <hyperlink ref="A32:T32" r:id="rId5" display="《财政部 税务总局关于完善企业境外所得税收抵免政策问题的通知》（财税〔2017〕84号）"/>
    <hyperlink ref="A26:IV26" r:id="rId6" display="《中国税务合规实务指南—所得税》  境外所得抵免[¶40-110]-[¶40-218]"/>
    <hyperlink ref="A29:IV29" r:id="rId7" display="《财政部、国家税务总局关于企业境外所得税收抵免有关问题的通知》（财税〔2009〕125号）"/>
    <hyperlink ref="A30:IV30" r:id="rId8" display="《国家税务总局关于发布〈企业境外所得税收抵免操作指南〉的公告》（国家税务总局公告2010年第1号）"/>
    <hyperlink ref="A31:IV31" r:id="rId9" display="《财政部、国家税务总局关于我国石油企业从事油（气）资源开采所得税收抵免有关问题的通知》（财税〔2011〕23号）"/>
    <hyperlink ref="A32:IV32" r:id="rId10"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4" orientation="landscape" verticalDpi="0" r:id="rId11"/>
  <legacyDrawing r:id="rId1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pageSetUpPr fitToPage="1"/>
  </sheetPr>
  <dimension ref="A1:T34"/>
  <sheetViews>
    <sheetView workbookViewId="0">
      <selection sqref="A1:S1"/>
    </sheetView>
  </sheetViews>
  <sheetFormatPr defaultColWidth="9.75" defaultRowHeight="12.75"/>
  <cols>
    <col min="1" max="1" width="5.75" style="171" customWidth="1"/>
    <col min="2" max="2" width="11.625" style="171" customWidth="1"/>
    <col min="3" max="19" width="9.75" style="171" customWidth="1"/>
    <col min="20" max="16384" width="9.75" style="171"/>
  </cols>
  <sheetData>
    <row r="1" spans="1:19" s="170" customFormat="1" ht="20.100000000000001" customHeight="1">
      <c r="A1" s="4081" t="s">
        <v>1209</v>
      </c>
      <c r="B1" s="4081"/>
      <c r="C1" s="4081"/>
      <c r="D1" s="4081"/>
      <c r="E1" s="4081"/>
      <c r="F1" s="4081"/>
      <c r="G1" s="4081"/>
      <c r="H1" s="4081"/>
      <c r="I1" s="4081"/>
      <c r="J1" s="4081"/>
      <c r="K1" s="4081"/>
      <c r="L1" s="4081"/>
      <c r="M1" s="4081"/>
      <c r="N1" s="4081"/>
      <c r="O1" s="4081"/>
      <c r="P1" s="4081"/>
      <c r="Q1" s="4081"/>
      <c r="R1" s="4081"/>
      <c r="S1" s="4081"/>
    </row>
    <row r="2" spans="1:19" s="178" customFormat="1" ht="25.5" customHeight="1">
      <c r="A2" s="4299" t="s">
        <v>1212</v>
      </c>
      <c r="B2" s="4300"/>
      <c r="C2" s="4300"/>
      <c r="D2" s="4300"/>
      <c r="E2" s="4300"/>
      <c r="F2" s="4300"/>
      <c r="G2" s="4300"/>
      <c r="H2" s="4300"/>
      <c r="I2" s="4300"/>
      <c r="J2" s="4300"/>
      <c r="K2" s="4300"/>
      <c r="L2" s="4300"/>
      <c r="M2" s="4300"/>
      <c r="N2" s="4300"/>
      <c r="O2" s="4300"/>
      <c r="P2" s="4300"/>
      <c r="Q2" s="4300"/>
      <c r="R2" s="4300"/>
      <c r="S2" s="4300"/>
    </row>
    <row r="3" spans="1:19" s="173" customFormat="1" ht="14.25" customHeight="1">
      <c r="A3" s="3920" t="s">
        <v>998</v>
      </c>
      <c r="B3" s="3920" t="s">
        <v>1058</v>
      </c>
      <c r="C3" s="4103" t="s">
        <v>1102</v>
      </c>
      <c r="D3" s="4015"/>
      <c r="E3" s="4015"/>
      <c r="F3" s="4015"/>
      <c r="G3" s="4015"/>
      <c r="H3" s="4015"/>
      <c r="I3" s="4015"/>
      <c r="J3" s="4104"/>
      <c r="K3" s="4103" t="s">
        <v>1085</v>
      </c>
      <c r="L3" s="4015"/>
      <c r="M3" s="4015"/>
      <c r="N3" s="4104"/>
      <c r="O3" s="3920" t="s">
        <v>1059</v>
      </c>
      <c r="P3" s="3920" t="s">
        <v>1086</v>
      </c>
      <c r="Q3" s="3920" t="s">
        <v>1103</v>
      </c>
      <c r="R3" s="3920" t="s">
        <v>1087</v>
      </c>
      <c r="S3" s="3920" t="s">
        <v>1104</v>
      </c>
    </row>
    <row r="4" spans="1:19" s="173" customFormat="1" ht="14.25" customHeight="1">
      <c r="A4" s="3920"/>
      <c r="B4" s="3920"/>
      <c r="C4" s="4310"/>
      <c r="D4" s="4311"/>
      <c r="E4" s="4311"/>
      <c r="F4" s="4311"/>
      <c r="G4" s="4311"/>
      <c r="H4" s="4311"/>
      <c r="I4" s="4311"/>
      <c r="J4" s="4312"/>
      <c r="K4" s="4310"/>
      <c r="L4" s="4311"/>
      <c r="M4" s="4311"/>
      <c r="N4" s="4312"/>
      <c r="O4" s="3920"/>
      <c r="P4" s="3920"/>
      <c r="Q4" s="3920"/>
      <c r="R4" s="3920"/>
      <c r="S4" s="3920"/>
    </row>
    <row r="5" spans="1:19" s="173" customFormat="1" ht="14.25" customHeight="1">
      <c r="A5" s="3920"/>
      <c r="B5" s="3920"/>
      <c r="C5" s="4032" t="s">
        <v>1088</v>
      </c>
      <c r="D5" s="4032" t="s">
        <v>1089</v>
      </c>
      <c r="E5" s="4032" t="s">
        <v>1090</v>
      </c>
      <c r="F5" s="4032" t="s">
        <v>1091</v>
      </c>
      <c r="G5" s="4032" t="s">
        <v>1092</v>
      </c>
      <c r="H5" s="4032" t="s">
        <v>1093</v>
      </c>
      <c r="I5" s="4032" t="s">
        <v>1094</v>
      </c>
      <c r="J5" s="4032" t="s">
        <v>1045</v>
      </c>
      <c r="K5" s="4032" t="s">
        <v>1095</v>
      </c>
      <c r="L5" s="4032" t="s">
        <v>1096</v>
      </c>
      <c r="M5" s="4032" t="s">
        <v>1097</v>
      </c>
      <c r="N5" s="4032" t="s">
        <v>1045</v>
      </c>
      <c r="O5" s="3920"/>
      <c r="P5" s="3920"/>
      <c r="Q5" s="3920"/>
      <c r="R5" s="3920"/>
      <c r="S5" s="3920"/>
    </row>
    <row r="6" spans="1:19" s="173" customFormat="1" ht="14.25" customHeight="1">
      <c r="A6" s="3920"/>
      <c r="B6" s="3920"/>
      <c r="C6" s="4083"/>
      <c r="D6" s="4083"/>
      <c r="E6" s="4083"/>
      <c r="F6" s="4083"/>
      <c r="G6" s="4083"/>
      <c r="H6" s="4083"/>
      <c r="I6" s="4083"/>
      <c r="J6" s="4083"/>
      <c r="K6" s="4083"/>
      <c r="L6" s="4083"/>
      <c r="M6" s="4083"/>
      <c r="N6" s="4083"/>
      <c r="O6" s="3920"/>
      <c r="P6" s="3920"/>
      <c r="Q6" s="3920"/>
      <c r="R6" s="3920"/>
      <c r="S6" s="3920"/>
    </row>
    <row r="7" spans="1:19" s="173" customFormat="1" ht="14.25" customHeight="1">
      <c r="A7" s="3920"/>
      <c r="B7" s="3920"/>
      <c r="C7" s="4083"/>
      <c r="D7" s="4083"/>
      <c r="E7" s="4083"/>
      <c r="F7" s="4083"/>
      <c r="G7" s="4083"/>
      <c r="H7" s="4083"/>
      <c r="I7" s="4083"/>
      <c r="J7" s="4083"/>
      <c r="K7" s="4083"/>
      <c r="L7" s="4083"/>
      <c r="M7" s="4083"/>
      <c r="N7" s="4083"/>
      <c r="O7" s="3920"/>
      <c r="P7" s="3920"/>
      <c r="Q7" s="3920"/>
      <c r="R7" s="3920"/>
      <c r="S7" s="3920"/>
    </row>
    <row r="8" spans="1:19" s="173" customFormat="1" ht="14.25" customHeight="1">
      <c r="A8" s="3920"/>
      <c r="B8" s="3920"/>
      <c r="C8" s="4083"/>
      <c r="D8" s="4083"/>
      <c r="E8" s="4083"/>
      <c r="F8" s="4083"/>
      <c r="G8" s="4083"/>
      <c r="H8" s="4083"/>
      <c r="I8" s="4083"/>
      <c r="J8" s="4083"/>
      <c r="K8" s="4083"/>
      <c r="L8" s="4083"/>
      <c r="M8" s="4083"/>
      <c r="N8" s="4083"/>
      <c r="O8" s="3920"/>
      <c r="P8" s="3920"/>
      <c r="Q8" s="3920"/>
      <c r="R8" s="3920"/>
      <c r="S8" s="3920"/>
    </row>
    <row r="9" spans="1:19" s="173" customFormat="1" ht="14.25" customHeight="1">
      <c r="A9" s="3920"/>
      <c r="B9" s="3920"/>
      <c r="C9" s="4033"/>
      <c r="D9" s="4033"/>
      <c r="E9" s="4033"/>
      <c r="F9" s="4033"/>
      <c r="G9" s="4033"/>
      <c r="H9" s="4033"/>
      <c r="I9" s="4033"/>
      <c r="J9" s="4033"/>
      <c r="K9" s="4033"/>
      <c r="L9" s="4033"/>
      <c r="M9" s="4033"/>
      <c r="N9" s="4033"/>
      <c r="O9" s="3920"/>
      <c r="P9" s="3920"/>
      <c r="Q9" s="3920"/>
      <c r="R9" s="3920"/>
      <c r="S9" s="3920"/>
    </row>
    <row r="10" spans="1:19" s="173" customFormat="1" ht="14.25" customHeight="1">
      <c r="A10" s="3920"/>
      <c r="B10" s="4032">
        <v>1</v>
      </c>
      <c r="C10" s="4032">
        <v>2</v>
      </c>
      <c r="D10" s="4032">
        <v>3</v>
      </c>
      <c r="E10" s="4032">
        <v>4</v>
      </c>
      <c r="F10" s="4032">
        <v>5</v>
      </c>
      <c r="G10" s="4032">
        <v>6</v>
      </c>
      <c r="H10" s="4032">
        <v>7</v>
      </c>
      <c r="I10" s="4032">
        <v>8</v>
      </c>
      <c r="J10" s="4032" t="s">
        <v>1098</v>
      </c>
      <c r="K10" s="4032">
        <v>10</v>
      </c>
      <c r="L10" s="4032">
        <v>11</v>
      </c>
      <c r="M10" s="4032">
        <v>12</v>
      </c>
      <c r="N10" s="4032" t="s">
        <v>1099</v>
      </c>
      <c r="O10" s="4032" t="s">
        <v>1100</v>
      </c>
      <c r="P10" s="4032">
        <v>15</v>
      </c>
      <c r="Q10" s="4032">
        <v>16</v>
      </c>
      <c r="R10" s="4032">
        <v>17</v>
      </c>
      <c r="S10" s="4032" t="s">
        <v>1101</v>
      </c>
    </row>
    <row r="11" spans="1:19" s="173" customFormat="1" ht="14.25" customHeight="1">
      <c r="A11" s="3920"/>
      <c r="B11" s="4083"/>
      <c r="C11" s="4083"/>
      <c r="D11" s="4083"/>
      <c r="E11" s="4083"/>
      <c r="F11" s="4083"/>
      <c r="G11" s="4083"/>
      <c r="H11" s="4083"/>
      <c r="I11" s="4083"/>
      <c r="J11" s="4083"/>
      <c r="K11" s="4083"/>
      <c r="L11" s="4083"/>
      <c r="M11" s="4083"/>
      <c r="N11" s="4083"/>
      <c r="O11" s="4083"/>
      <c r="P11" s="4083"/>
      <c r="Q11" s="4083"/>
      <c r="R11" s="4083"/>
      <c r="S11" s="4083"/>
    </row>
    <row r="12" spans="1:19" s="173" customFormat="1" ht="14.25" customHeight="1">
      <c r="A12" s="3920"/>
      <c r="B12" s="4083"/>
      <c r="C12" s="4083"/>
      <c r="D12" s="4083"/>
      <c r="E12" s="4083"/>
      <c r="F12" s="4083"/>
      <c r="G12" s="4083"/>
      <c r="H12" s="4083"/>
      <c r="I12" s="4083"/>
      <c r="J12" s="4083"/>
      <c r="K12" s="4083"/>
      <c r="L12" s="4083"/>
      <c r="M12" s="4083"/>
      <c r="N12" s="4083"/>
      <c r="O12" s="4083"/>
      <c r="P12" s="4083"/>
      <c r="Q12" s="4083"/>
      <c r="R12" s="4083"/>
      <c r="S12" s="4083"/>
    </row>
    <row r="13" spans="1:19" s="173" customFormat="1" ht="14.25" customHeight="1">
      <c r="A13" s="3920"/>
      <c r="B13" s="4033"/>
      <c r="C13" s="4033"/>
      <c r="D13" s="4033"/>
      <c r="E13" s="4033"/>
      <c r="F13" s="4033"/>
      <c r="G13" s="4033"/>
      <c r="H13" s="4033"/>
      <c r="I13" s="4033"/>
      <c r="J13" s="4033"/>
      <c r="K13" s="4033"/>
      <c r="L13" s="4033"/>
      <c r="M13" s="4033"/>
      <c r="N13" s="4033"/>
      <c r="O13" s="4033"/>
      <c r="P13" s="4033"/>
      <c r="Q13" s="4033"/>
      <c r="R13" s="4033"/>
      <c r="S13" s="4033"/>
    </row>
    <row r="14" spans="1:19" s="170" customFormat="1" ht="14.25" customHeight="1">
      <c r="A14" s="172">
        <v>1</v>
      </c>
      <c r="B14" s="174">
        <f>境外所得纳税调整后所得审核表!B6</f>
        <v>0</v>
      </c>
      <c r="C14" s="469">
        <f>境外所得纳税调整后所得审核表!C6</f>
        <v>0</v>
      </c>
      <c r="D14" s="469">
        <f>境外所得纳税调整后所得审核表!D6</f>
        <v>0</v>
      </c>
      <c r="E14" s="469">
        <f>境外所得纳税调整后所得审核表!E6</f>
        <v>0</v>
      </c>
      <c r="F14" s="469">
        <f>境外所得纳税调整后所得审核表!F6</f>
        <v>0</v>
      </c>
      <c r="G14" s="469">
        <f>境外所得纳税调整后所得审核表!G6</f>
        <v>0</v>
      </c>
      <c r="H14" s="469">
        <f>境外所得纳税调整后所得审核表!H6</f>
        <v>0</v>
      </c>
      <c r="I14" s="469">
        <f>境外所得纳税调整后所得审核表!I6</f>
        <v>0</v>
      </c>
      <c r="J14" s="344">
        <f>ROUND(SUM(C14:I14),2)</f>
        <v>0</v>
      </c>
      <c r="K14" s="175">
        <f>境外所得纳税调整后所得审核表!K6</f>
        <v>0</v>
      </c>
      <c r="L14" s="175">
        <f>境外所得纳税调整后所得审核表!L6</f>
        <v>0</v>
      </c>
      <c r="M14" s="175">
        <f>境外所得纳税调整后所得审核表!M6</f>
        <v>0</v>
      </c>
      <c r="N14" s="344">
        <f>ROUND(SUM(K14:M14),2)</f>
        <v>0</v>
      </c>
      <c r="O14" s="344">
        <f>ROUND(J14+K14+L14,2)</f>
        <v>0</v>
      </c>
      <c r="P14" s="175">
        <f>境外所得纳税调整后所得审核表!P6</f>
        <v>0</v>
      </c>
      <c r="Q14" s="175">
        <f>境外所得纳税调整后所得审核表!Q6</f>
        <v>0</v>
      </c>
      <c r="R14" s="175">
        <f>境外所得纳税调整后所得审核表!R6</f>
        <v>0</v>
      </c>
      <c r="S14" s="344">
        <f>ROUND(O14+P14-Q14-R14,2)</f>
        <v>0</v>
      </c>
    </row>
    <row r="15" spans="1:19" s="170" customFormat="1" ht="14.25" customHeight="1">
      <c r="A15" s="172">
        <v>2</v>
      </c>
      <c r="B15" s="469">
        <f>境外所得纳税调整后所得审核表!B7</f>
        <v>0</v>
      </c>
      <c r="C15" s="469">
        <f>境外所得纳税调整后所得审核表!C7</f>
        <v>0</v>
      </c>
      <c r="D15" s="469">
        <f>境外所得纳税调整后所得审核表!D7</f>
        <v>0</v>
      </c>
      <c r="E15" s="469">
        <f>境外所得纳税调整后所得审核表!E7</f>
        <v>0</v>
      </c>
      <c r="F15" s="469">
        <f>境外所得纳税调整后所得审核表!F7</f>
        <v>0</v>
      </c>
      <c r="G15" s="469">
        <f>境外所得纳税调整后所得审核表!G7</f>
        <v>0</v>
      </c>
      <c r="H15" s="469">
        <f>境外所得纳税调整后所得审核表!H7</f>
        <v>0</v>
      </c>
      <c r="I15" s="469">
        <f>境外所得纳税调整后所得审核表!I7</f>
        <v>0</v>
      </c>
      <c r="J15" s="344">
        <f t="shared" ref="J15:J22" si="0">ROUND(SUM(C15:I15),2)</f>
        <v>0</v>
      </c>
      <c r="K15" s="175">
        <f>境外所得纳税调整后所得审核表!K7</f>
        <v>0</v>
      </c>
      <c r="L15" s="175">
        <f>境外所得纳税调整后所得审核表!L7</f>
        <v>0</v>
      </c>
      <c r="M15" s="175">
        <f>境外所得纳税调整后所得审核表!M7</f>
        <v>0</v>
      </c>
      <c r="N15" s="344">
        <f t="shared" ref="N15:N22" si="1">ROUND(SUM(K15:M15),2)</f>
        <v>0</v>
      </c>
      <c r="O15" s="344">
        <f t="shared" ref="O15:O22" si="2">ROUND(SUM(J15+K15+L15),2)</f>
        <v>0</v>
      </c>
      <c r="P15" s="175">
        <f>境外所得纳税调整后所得审核表!P7</f>
        <v>0</v>
      </c>
      <c r="Q15" s="175">
        <f>境外所得纳税调整后所得审核表!Q7</f>
        <v>0</v>
      </c>
      <c r="R15" s="175">
        <f>境外所得纳税调整后所得审核表!R7</f>
        <v>0</v>
      </c>
      <c r="S15" s="344">
        <f t="shared" ref="S15:S22" si="3">ROUND(O15+P15-Q15-R15,2)</f>
        <v>0</v>
      </c>
    </row>
    <row r="16" spans="1:19" s="170" customFormat="1" ht="14.25" customHeight="1">
      <c r="A16" s="172">
        <v>3</v>
      </c>
      <c r="B16" s="469">
        <f>境外所得纳税调整后所得审核表!B8</f>
        <v>0</v>
      </c>
      <c r="C16" s="469">
        <f>境外所得纳税调整后所得审核表!C8</f>
        <v>0</v>
      </c>
      <c r="D16" s="469">
        <f>境外所得纳税调整后所得审核表!D8</f>
        <v>0</v>
      </c>
      <c r="E16" s="469">
        <f>境外所得纳税调整后所得审核表!E8</f>
        <v>0</v>
      </c>
      <c r="F16" s="469">
        <f>境外所得纳税调整后所得审核表!F8</f>
        <v>0</v>
      </c>
      <c r="G16" s="469">
        <f>境外所得纳税调整后所得审核表!G8</f>
        <v>0</v>
      </c>
      <c r="H16" s="469">
        <f>境外所得纳税调整后所得审核表!H8</f>
        <v>0</v>
      </c>
      <c r="I16" s="469">
        <f>境外所得纳税调整后所得审核表!I8</f>
        <v>0</v>
      </c>
      <c r="J16" s="344">
        <f t="shared" si="0"/>
        <v>0</v>
      </c>
      <c r="K16" s="175">
        <f>境外所得纳税调整后所得审核表!K8</f>
        <v>0</v>
      </c>
      <c r="L16" s="175">
        <f>境外所得纳税调整后所得审核表!L8</f>
        <v>0</v>
      </c>
      <c r="M16" s="175">
        <f>境外所得纳税调整后所得审核表!M8</f>
        <v>0</v>
      </c>
      <c r="N16" s="344">
        <f t="shared" si="1"/>
        <v>0</v>
      </c>
      <c r="O16" s="344">
        <f t="shared" si="2"/>
        <v>0</v>
      </c>
      <c r="P16" s="175">
        <f>境外所得纳税调整后所得审核表!P8</f>
        <v>0</v>
      </c>
      <c r="Q16" s="175">
        <f>境外所得纳税调整后所得审核表!Q8</f>
        <v>0</v>
      </c>
      <c r="R16" s="175">
        <f>境外所得纳税调整后所得审核表!R8</f>
        <v>0</v>
      </c>
      <c r="S16" s="344">
        <f t="shared" si="3"/>
        <v>0</v>
      </c>
    </row>
    <row r="17" spans="1:20" s="170" customFormat="1" ht="14.25" customHeight="1">
      <c r="A17" s="172">
        <v>4</v>
      </c>
      <c r="B17" s="469">
        <f>境外所得纳税调整后所得审核表!B9</f>
        <v>0</v>
      </c>
      <c r="C17" s="469">
        <f>境外所得纳税调整后所得审核表!C9</f>
        <v>0</v>
      </c>
      <c r="D17" s="469">
        <f>境外所得纳税调整后所得审核表!D9</f>
        <v>0</v>
      </c>
      <c r="E17" s="469">
        <f>境外所得纳税调整后所得审核表!E9</f>
        <v>0</v>
      </c>
      <c r="F17" s="469">
        <f>境外所得纳税调整后所得审核表!F9</f>
        <v>0</v>
      </c>
      <c r="G17" s="469">
        <f>境外所得纳税调整后所得审核表!G9</f>
        <v>0</v>
      </c>
      <c r="H17" s="469">
        <f>境外所得纳税调整后所得审核表!H9</f>
        <v>0</v>
      </c>
      <c r="I17" s="469">
        <f>境外所得纳税调整后所得审核表!I9</f>
        <v>0</v>
      </c>
      <c r="J17" s="344">
        <f t="shared" si="0"/>
        <v>0</v>
      </c>
      <c r="K17" s="175">
        <f>境外所得纳税调整后所得审核表!K9</f>
        <v>0</v>
      </c>
      <c r="L17" s="175">
        <f>境外所得纳税调整后所得审核表!L9</f>
        <v>0</v>
      </c>
      <c r="M17" s="175">
        <f>境外所得纳税调整后所得审核表!M9</f>
        <v>0</v>
      </c>
      <c r="N17" s="344">
        <f t="shared" si="1"/>
        <v>0</v>
      </c>
      <c r="O17" s="344">
        <f t="shared" si="2"/>
        <v>0</v>
      </c>
      <c r="P17" s="175">
        <f>境外所得纳税调整后所得审核表!P9</f>
        <v>0</v>
      </c>
      <c r="Q17" s="175">
        <f>境外所得纳税调整后所得审核表!Q9</f>
        <v>0</v>
      </c>
      <c r="R17" s="175">
        <f>境外所得纳税调整后所得审核表!R9</f>
        <v>0</v>
      </c>
      <c r="S17" s="344">
        <f t="shared" si="3"/>
        <v>0</v>
      </c>
    </row>
    <row r="18" spans="1:20" s="170" customFormat="1" ht="14.25" customHeight="1">
      <c r="A18" s="172">
        <v>5</v>
      </c>
      <c r="B18" s="469">
        <f>境外所得纳税调整后所得审核表!B10</f>
        <v>0</v>
      </c>
      <c r="C18" s="469">
        <f>境外所得纳税调整后所得审核表!C10</f>
        <v>0</v>
      </c>
      <c r="D18" s="469">
        <f>境外所得纳税调整后所得审核表!D10</f>
        <v>0</v>
      </c>
      <c r="E18" s="469">
        <f>境外所得纳税调整后所得审核表!E10</f>
        <v>0</v>
      </c>
      <c r="F18" s="469">
        <f>境外所得纳税调整后所得审核表!F10</f>
        <v>0</v>
      </c>
      <c r="G18" s="469">
        <f>境外所得纳税调整后所得审核表!G10</f>
        <v>0</v>
      </c>
      <c r="H18" s="469">
        <f>境外所得纳税调整后所得审核表!H10</f>
        <v>0</v>
      </c>
      <c r="I18" s="469">
        <f>境外所得纳税调整后所得审核表!I10</f>
        <v>0</v>
      </c>
      <c r="J18" s="344">
        <f t="shared" si="0"/>
        <v>0</v>
      </c>
      <c r="K18" s="175">
        <f>境外所得纳税调整后所得审核表!K10</f>
        <v>0</v>
      </c>
      <c r="L18" s="175">
        <f>境外所得纳税调整后所得审核表!L10</f>
        <v>0</v>
      </c>
      <c r="M18" s="175">
        <f>境外所得纳税调整后所得审核表!M10</f>
        <v>0</v>
      </c>
      <c r="N18" s="344">
        <f t="shared" si="1"/>
        <v>0</v>
      </c>
      <c r="O18" s="344">
        <f t="shared" si="2"/>
        <v>0</v>
      </c>
      <c r="P18" s="175">
        <f>境外所得纳税调整后所得审核表!P10</f>
        <v>0</v>
      </c>
      <c r="Q18" s="175">
        <f>境外所得纳税调整后所得审核表!Q10</f>
        <v>0</v>
      </c>
      <c r="R18" s="175">
        <f>境外所得纳税调整后所得审核表!R10</f>
        <v>0</v>
      </c>
      <c r="S18" s="344">
        <f t="shared" si="3"/>
        <v>0</v>
      </c>
    </row>
    <row r="19" spans="1:20" s="170" customFormat="1" ht="14.25" customHeight="1">
      <c r="A19" s="172">
        <v>6</v>
      </c>
      <c r="B19" s="469">
        <f>境外所得纳税调整后所得审核表!B11</f>
        <v>0</v>
      </c>
      <c r="C19" s="469">
        <f>境外所得纳税调整后所得审核表!C11</f>
        <v>0</v>
      </c>
      <c r="D19" s="469">
        <f>境外所得纳税调整后所得审核表!D11</f>
        <v>0</v>
      </c>
      <c r="E19" s="469">
        <f>境外所得纳税调整后所得审核表!E11</f>
        <v>0</v>
      </c>
      <c r="F19" s="469">
        <f>境外所得纳税调整后所得审核表!F11</f>
        <v>0</v>
      </c>
      <c r="G19" s="469">
        <f>境外所得纳税调整后所得审核表!G11</f>
        <v>0</v>
      </c>
      <c r="H19" s="469">
        <f>境外所得纳税调整后所得审核表!H11</f>
        <v>0</v>
      </c>
      <c r="I19" s="469">
        <f>境外所得纳税调整后所得审核表!I11</f>
        <v>0</v>
      </c>
      <c r="J19" s="344">
        <f t="shared" si="0"/>
        <v>0</v>
      </c>
      <c r="K19" s="175">
        <f>境外所得纳税调整后所得审核表!K11</f>
        <v>0</v>
      </c>
      <c r="L19" s="175">
        <f>境外所得纳税调整后所得审核表!L11</f>
        <v>0</v>
      </c>
      <c r="M19" s="175">
        <f>境外所得纳税调整后所得审核表!M11</f>
        <v>0</v>
      </c>
      <c r="N19" s="344">
        <f t="shared" si="1"/>
        <v>0</v>
      </c>
      <c r="O19" s="344">
        <f t="shared" si="2"/>
        <v>0</v>
      </c>
      <c r="P19" s="175">
        <f>境外所得纳税调整后所得审核表!P11</f>
        <v>0</v>
      </c>
      <c r="Q19" s="175">
        <f>境外所得纳税调整后所得审核表!Q11</f>
        <v>0</v>
      </c>
      <c r="R19" s="175">
        <f>境外所得纳税调整后所得审核表!R11</f>
        <v>0</v>
      </c>
      <c r="S19" s="344">
        <f t="shared" si="3"/>
        <v>0</v>
      </c>
    </row>
    <row r="20" spans="1:20" s="170" customFormat="1" ht="14.25" customHeight="1">
      <c r="A20" s="172">
        <v>7</v>
      </c>
      <c r="B20" s="469">
        <f>境外所得纳税调整后所得审核表!B12</f>
        <v>0</v>
      </c>
      <c r="C20" s="469">
        <f>境外所得纳税调整后所得审核表!C12</f>
        <v>0</v>
      </c>
      <c r="D20" s="469">
        <f>境外所得纳税调整后所得审核表!D12</f>
        <v>0</v>
      </c>
      <c r="E20" s="469">
        <f>境外所得纳税调整后所得审核表!E12</f>
        <v>0</v>
      </c>
      <c r="F20" s="469">
        <f>境外所得纳税调整后所得审核表!F12</f>
        <v>0</v>
      </c>
      <c r="G20" s="469">
        <f>境外所得纳税调整后所得审核表!G12</f>
        <v>0</v>
      </c>
      <c r="H20" s="469">
        <f>境外所得纳税调整后所得审核表!H12</f>
        <v>0</v>
      </c>
      <c r="I20" s="469">
        <f>境外所得纳税调整后所得审核表!I12</f>
        <v>0</v>
      </c>
      <c r="J20" s="344">
        <f t="shared" si="0"/>
        <v>0</v>
      </c>
      <c r="K20" s="175">
        <f>境外所得纳税调整后所得审核表!K12</f>
        <v>0</v>
      </c>
      <c r="L20" s="175">
        <f>境外所得纳税调整后所得审核表!L12</f>
        <v>0</v>
      </c>
      <c r="M20" s="175">
        <f>境外所得纳税调整后所得审核表!M12</f>
        <v>0</v>
      </c>
      <c r="N20" s="344">
        <f t="shared" si="1"/>
        <v>0</v>
      </c>
      <c r="O20" s="344">
        <f t="shared" si="2"/>
        <v>0</v>
      </c>
      <c r="P20" s="175">
        <f>境外所得纳税调整后所得审核表!P12</f>
        <v>0</v>
      </c>
      <c r="Q20" s="175">
        <f>境外所得纳税调整后所得审核表!Q12</f>
        <v>0</v>
      </c>
      <c r="R20" s="175">
        <f>境外所得纳税调整后所得审核表!R12</f>
        <v>0</v>
      </c>
      <c r="S20" s="344">
        <f t="shared" si="3"/>
        <v>0</v>
      </c>
    </row>
    <row r="21" spans="1:20" s="170" customFormat="1" ht="14.25" customHeight="1">
      <c r="A21" s="172">
        <v>8</v>
      </c>
      <c r="B21" s="469">
        <f>境外所得纳税调整后所得审核表!B13</f>
        <v>0</v>
      </c>
      <c r="C21" s="469">
        <f>境外所得纳税调整后所得审核表!C13</f>
        <v>0</v>
      </c>
      <c r="D21" s="469">
        <f>境外所得纳税调整后所得审核表!D13</f>
        <v>0</v>
      </c>
      <c r="E21" s="469">
        <f>境外所得纳税调整后所得审核表!E13</f>
        <v>0</v>
      </c>
      <c r="F21" s="469">
        <f>境外所得纳税调整后所得审核表!F13</f>
        <v>0</v>
      </c>
      <c r="G21" s="469">
        <f>境外所得纳税调整后所得审核表!G13</f>
        <v>0</v>
      </c>
      <c r="H21" s="469">
        <f>境外所得纳税调整后所得审核表!H13</f>
        <v>0</v>
      </c>
      <c r="I21" s="469">
        <f>境外所得纳税调整后所得审核表!I13</f>
        <v>0</v>
      </c>
      <c r="J21" s="344">
        <f t="shared" si="0"/>
        <v>0</v>
      </c>
      <c r="K21" s="175">
        <f>境外所得纳税调整后所得审核表!K13</f>
        <v>0</v>
      </c>
      <c r="L21" s="175">
        <f>境外所得纳税调整后所得审核表!L13</f>
        <v>0</v>
      </c>
      <c r="M21" s="175">
        <f>境外所得纳税调整后所得审核表!M13</f>
        <v>0</v>
      </c>
      <c r="N21" s="344">
        <f t="shared" si="1"/>
        <v>0</v>
      </c>
      <c r="O21" s="344">
        <f t="shared" si="2"/>
        <v>0</v>
      </c>
      <c r="P21" s="175">
        <f>境外所得纳税调整后所得审核表!P13</f>
        <v>0</v>
      </c>
      <c r="Q21" s="175">
        <f>境外所得纳税调整后所得审核表!Q13</f>
        <v>0</v>
      </c>
      <c r="R21" s="175">
        <f>境外所得纳税调整后所得审核表!R13</f>
        <v>0</v>
      </c>
      <c r="S21" s="344">
        <f t="shared" si="3"/>
        <v>0</v>
      </c>
    </row>
    <row r="22" spans="1:20" s="170" customFormat="1" ht="14.25" customHeight="1">
      <c r="A22" s="172">
        <v>9</v>
      </c>
      <c r="B22" s="469">
        <f>境外所得纳税调整后所得审核表!B14</f>
        <v>0</v>
      </c>
      <c r="C22" s="469">
        <f>境外所得纳税调整后所得审核表!C14</f>
        <v>0</v>
      </c>
      <c r="D22" s="469">
        <f>境外所得纳税调整后所得审核表!D14</f>
        <v>0</v>
      </c>
      <c r="E22" s="469">
        <f>境外所得纳税调整后所得审核表!E14</f>
        <v>0</v>
      </c>
      <c r="F22" s="469">
        <f>境外所得纳税调整后所得审核表!F14</f>
        <v>0</v>
      </c>
      <c r="G22" s="469">
        <f>境外所得纳税调整后所得审核表!G14</f>
        <v>0</v>
      </c>
      <c r="H22" s="469">
        <f>境外所得纳税调整后所得审核表!H14</f>
        <v>0</v>
      </c>
      <c r="I22" s="469">
        <f>境外所得纳税调整后所得审核表!I14</f>
        <v>0</v>
      </c>
      <c r="J22" s="344">
        <f t="shared" si="0"/>
        <v>0</v>
      </c>
      <c r="K22" s="175">
        <f>境外所得纳税调整后所得审核表!K14</f>
        <v>0</v>
      </c>
      <c r="L22" s="175">
        <f>境外所得纳税调整后所得审核表!L14</f>
        <v>0</v>
      </c>
      <c r="M22" s="175">
        <f>境外所得纳税调整后所得审核表!M14</f>
        <v>0</v>
      </c>
      <c r="N22" s="344">
        <f t="shared" si="1"/>
        <v>0</v>
      </c>
      <c r="O22" s="344">
        <f t="shared" si="2"/>
        <v>0</v>
      </c>
      <c r="P22" s="175">
        <f>境外所得纳税调整后所得审核表!P14</f>
        <v>0</v>
      </c>
      <c r="Q22" s="175">
        <f>境外所得纳税调整后所得审核表!Q14</f>
        <v>0</v>
      </c>
      <c r="R22" s="175">
        <f>境外所得纳税调整后所得审核表!R14</f>
        <v>0</v>
      </c>
      <c r="S22" s="344">
        <f t="shared" si="3"/>
        <v>0</v>
      </c>
    </row>
    <row r="23" spans="1:20" s="170" customFormat="1" ht="14.25" customHeight="1">
      <c r="A23" s="172">
        <v>10</v>
      </c>
      <c r="B23" s="172" t="s">
        <v>757</v>
      </c>
      <c r="C23" s="344">
        <f>ROUND(SUM(C14:C22),2)</f>
        <v>0</v>
      </c>
      <c r="D23" s="344">
        <f t="shared" ref="D23:R23" si="4">ROUND(SUM(D14:D22),2)</f>
        <v>0</v>
      </c>
      <c r="E23" s="344">
        <f t="shared" si="4"/>
        <v>0</v>
      </c>
      <c r="F23" s="344">
        <f t="shared" si="4"/>
        <v>0</v>
      </c>
      <c r="G23" s="344">
        <f>ROUND(SUM(G14:G22),2)</f>
        <v>0</v>
      </c>
      <c r="H23" s="344">
        <f t="shared" si="4"/>
        <v>0</v>
      </c>
      <c r="I23" s="344">
        <f t="shared" si="4"/>
        <v>0</v>
      </c>
      <c r="J23" s="344">
        <f>ROUND(SUM(J14:J22),2)</f>
        <v>0</v>
      </c>
      <c r="K23" s="344">
        <f t="shared" si="4"/>
        <v>0</v>
      </c>
      <c r="L23" s="344">
        <f t="shared" si="4"/>
        <v>0</v>
      </c>
      <c r="M23" s="344">
        <f t="shared" si="4"/>
        <v>0</v>
      </c>
      <c r="N23" s="344">
        <f t="shared" si="4"/>
        <v>0</v>
      </c>
      <c r="O23" s="344">
        <f t="shared" si="4"/>
        <v>0</v>
      </c>
      <c r="P23" s="344">
        <f>ROUND(SUM(P14:P22),2)</f>
        <v>0</v>
      </c>
      <c r="Q23" s="344">
        <f t="shared" si="4"/>
        <v>0</v>
      </c>
      <c r="R23" s="344">
        <f t="shared" si="4"/>
        <v>0</v>
      </c>
      <c r="S23" s="344">
        <f>ROUND(SUM(S14:S22),2)</f>
        <v>0</v>
      </c>
    </row>
    <row r="24" spans="1:20" ht="16.5">
      <c r="A24" s="4308"/>
      <c r="B24" s="4309"/>
      <c r="C24" s="4309"/>
      <c r="D24" s="4309"/>
      <c r="E24" s="4309"/>
      <c r="F24" s="4309"/>
      <c r="G24" s="4309"/>
      <c r="H24" s="4309"/>
      <c r="I24" s="4309"/>
      <c r="J24" s="4309"/>
      <c r="K24" s="4309"/>
      <c r="L24" s="4309"/>
      <c r="M24" s="4309"/>
      <c r="N24" s="4309"/>
      <c r="O24" s="4309"/>
      <c r="P24" s="4309"/>
      <c r="Q24" s="4309"/>
      <c r="R24" s="4309"/>
      <c r="S24" s="4309"/>
      <c r="T24" s="368"/>
    </row>
    <row r="25" spans="1:20" ht="16.5">
      <c r="A25" s="4302"/>
      <c r="B25" s="4303"/>
      <c r="C25" s="4303"/>
      <c r="D25" s="4303"/>
      <c r="E25" s="4303"/>
      <c r="F25" s="4303"/>
      <c r="G25" s="4303"/>
      <c r="H25" s="4303"/>
      <c r="I25" s="4303"/>
      <c r="J25" s="4303"/>
      <c r="K25" s="4303"/>
      <c r="L25" s="4303"/>
      <c r="M25" s="4303"/>
      <c r="N25" s="4303"/>
      <c r="O25" s="4303"/>
      <c r="P25" s="4303"/>
      <c r="Q25" s="4303"/>
      <c r="R25" s="4303"/>
      <c r="S25" s="4303"/>
      <c r="T25" s="179"/>
    </row>
    <row r="26" spans="1:20" ht="14.25">
      <c r="A26" s="4304" t="s">
        <v>1597</v>
      </c>
      <c r="B26" s="4295"/>
      <c r="C26" s="4295"/>
      <c r="D26" s="4295"/>
      <c r="E26" s="4295"/>
      <c r="F26" s="4295"/>
      <c r="G26" s="4295"/>
      <c r="H26" s="4295"/>
      <c r="I26" s="4295"/>
      <c r="J26" s="4295"/>
      <c r="K26" s="4295"/>
      <c r="L26" s="4295"/>
      <c r="M26" s="4295"/>
      <c r="N26" s="4295"/>
      <c r="O26" s="4295"/>
      <c r="P26" s="4295"/>
      <c r="Q26" s="4295"/>
      <c r="R26" s="4295"/>
      <c r="S26" s="4295"/>
      <c r="T26" s="369"/>
    </row>
    <row r="27" spans="1:20" s="213" customFormat="1" ht="12">
      <c r="A27" s="4301" t="s">
        <v>1598</v>
      </c>
      <c r="B27" s="4301"/>
      <c r="C27" s="4301"/>
      <c r="D27" s="4301"/>
      <c r="E27" s="4301"/>
      <c r="F27" s="4301"/>
      <c r="G27" s="4301"/>
      <c r="H27" s="4301"/>
      <c r="I27" s="4301"/>
      <c r="J27" s="4301"/>
      <c r="K27" s="4301"/>
      <c r="L27" s="4301"/>
      <c r="M27" s="4301"/>
      <c r="N27" s="4301"/>
      <c r="O27" s="4301"/>
      <c r="P27" s="4301"/>
      <c r="Q27" s="4301"/>
      <c r="R27" s="4301"/>
      <c r="S27" s="4301"/>
      <c r="T27" s="227"/>
    </row>
    <row r="28" spans="1:20" ht="14.25">
      <c r="A28" s="4305"/>
      <c r="B28" s="4306"/>
      <c r="C28" s="4306"/>
      <c r="D28" s="4306"/>
      <c r="E28" s="4306"/>
      <c r="F28" s="4306"/>
      <c r="G28" s="4306"/>
      <c r="H28" s="4306"/>
      <c r="I28" s="4306"/>
      <c r="J28" s="4306"/>
      <c r="K28" s="4306"/>
      <c r="L28" s="4306"/>
      <c r="M28" s="4306"/>
      <c r="N28" s="4306"/>
      <c r="O28" s="4306"/>
      <c r="P28" s="4306"/>
      <c r="Q28" s="4306"/>
      <c r="R28" s="4306"/>
      <c r="S28" s="4306"/>
      <c r="T28" s="228"/>
    </row>
    <row r="29" spans="1:20" ht="14.25">
      <c r="A29" s="4307" t="s">
        <v>1587</v>
      </c>
      <c r="B29" s="4295"/>
      <c r="C29" s="4295"/>
      <c r="D29" s="4295"/>
      <c r="E29" s="4295"/>
      <c r="F29" s="4295"/>
      <c r="G29" s="4295"/>
      <c r="H29" s="4295"/>
      <c r="I29" s="4295"/>
      <c r="J29" s="4295"/>
      <c r="K29" s="4295"/>
      <c r="L29" s="4295"/>
      <c r="M29" s="4295"/>
      <c r="N29" s="4295"/>
      <c r="O29" s="4295"/>
      <c r="P29" s="4295"/>
      <c r="Q29" s="4295"/>
      <c r="R29" s="4295"/>
      <c r="S29" s="4295"/>
      <c r="T29" s="180"/>
    </row>
    <row r="30" spans="1:20" s="213" customFormat="1" ht="12">
      <c r="A30" s="4301" t="s">
        <v>1599</v>
      </c>
      <c r="B30" s="4301"/>
      <c r="C30" s="4301"/>
      <c r="D30" s="4301"/>
      <c r="E30" s="4301"/>
      <c r="F30" s="4301"/>
      <c r="G30" s="4301"/>
      <c r="H30" s="4301"/>
      <c r="I30" s="4301"/>
      <c r="J30" s="4301"/>
      <c r="K30" s="4301"/>
      <c r="L30" s="4301"/>
      <c r="M30" s="4301"/>
      <c r="N30" s="4301"/>
      <c r="O30" s="4301"/>
      <c r="P30" s="4301"/>
      <c r="Q30" s="4301"/>
      <c r="R30" s="4301"/>
      <c r="S30" s="4301"/>
      <c r="T30" s="227"/>
    </row>
    <row r="31" spans="1:20" s="213" customFormat="1" ht="12">
      <c r="A31" s="4301" t="s">
        <v>1600</v>
      </c>
      <c r="B31" s="4301"/>
      <c r="C31" s="4301"/>
      <c r="D31" s="4301"/>
      <c r="E31" s="4301"/>
      <c r="F31" s="4301"/>
      <c r="G31" s="4301"/>
      <c r="H31" s="4301"/>
      <c r="I31" s="4301"/>
      <c r="J31" s="4301"/>
      <c r="K31" s="4301"/>
      <c r="L31" s="4301"/>
      <c r="M31" s="4301"/>
      <c r="N31" s="4301"/>
      <c r="O31" s="4301"/>
      <c r="P31" s="4301"/>
      <c r="Q31" s="4301"/>
      <c r="R31" s="4301"/>
      <c r="S31" s="4301"/>
      <c r="T31" s="227"/>
    </row>
    <row r="32" spans="1:20" s="213" customFormat="1" ht="12">
      <c r="A32" s="4301" t="s">
        <v>1602</v>
      </c>
      <c r="B32" s="4301"/>
      <c r="C32" s="4301"/>
      <c r="D32" s="4301"/>
      <c r="E32" s="4301"/>
      <c r="F32" s="4301"/>
      <c r="G32" s="4301"/>
      <c r="H32" s="4301"/>
      <c r="I32" s="4301"/>
      <c r="J32" s="4301"/>
      <c r="K32" s="4301"/>
      <c r="L32" s="4301"/>
      <c r="M32" s="4301"/>
      <c r="N32" s="4301"/>
      <c r="O32" s="4301"/>
      <c r="P32" s="4301"/>
      <c r="Q32" s="4301"/>
      <c r="R32" s="4301"/>
      <c r="S32" s="4301"/>
    </row>
    <row r="33" spans="1:20" s="226" customFormat="1" ht="15" customHeight="1">
      <c r="A33" s="221" t="s">
        <v>1084</v>
      </c>
      <c r="B33" s="221"/>
      <c r="C33" s="221"/>
      <c r="D33" s="221"/>
      <c r="E33" s="221"/>
      <c r="F33" s="221"/>
      <c r="G33" s="221"/>
      <c r="H33" s="221"/>
      <c r="I33" s="221"/>
      <c r="J33" s="221"/>
      <c r="K33" s="221"/>
      <c r="L33" s="221"/>
      <c r="M33" s="221"/>
      <c r="N33" s="221"/>
      <c r="O33" s="221"/>
      <c r="P33" s="221"/>
      <c r="Q33" s="221"/>
      <c r="R33" s="221"/>
      <c r="S33" s="221"/>
      <c r="T33" s="213"/>
    </row>
    <row r="34" spans="1:20" s="226" customFormat="1" ht="15" customHeight="1">
      <c r="A34" s="221" t="s">
        <v>1601</v>
      </c>
      <c r="B34" s="221"/>
      <c r="C34" s="221"/>
      <c r="D34" s="221"/>
      <c r="E34" s="221"/>
      <c r="F34" s="221"/>
      <c r="G34" s="221"/>
      <c r="H34" s="221"/>
      <c r="I34" s="221"/>
      <c r="J34" s="221"/>
      <c r="K34" s="221"/>
      <c r="L34" s="221"/>
      <c r="M34" s="221"/>
      <c r="N34" s="221"/>
      <c r="O34" s="221"/>
      <c r="P34" s="221"/>
      <c r="Q34" s="221"/>
      <c r="R34" s="221"/>
      <c r="S34" s="221"/>
      <c r="T34" s="213"/>
    </row>
  </sheetData>
  <mergeCells count="50">
    <mergeCell ref="A1:S1"/>
    <mergeCell ref="A2:S2"/>
    <mergeCell ref="A3:A13"/>
    <mergeCell ref="B3:B9"/>
    <mergeCell ref="C3:J4"/>
    <mergeCell ref="K3:N4"/>
    <mergeCell ref="S3:S9"/>
    <mergeCell ref="C5:C9"/>
    <mergeCell ref="D5:D9"/>
    <mergeCell ref="E5:E9"/>
    <mergeCell ref="F5:F9"/>
    <mergeCell ref="G5:G9"/>
    <mergeCell ref="Q3:Q9"/>
    <mergeCell ref="R3:R9"/>
    <mergeCell ref="J5:J9"/>
    <mergeCell ref="K5:K9"/>
    <mergeCell ref="M5:M9"/>
    <mergeCell ref="N5:N9"/>
    <mergeCell ref="O3:O9"/>
    <mergeCell ref="P3:P9"/>
    <mergeCell ref="G10:G13"/>
    <mergeCell ref="H10:H13"/>
    <mergeCell ref="H5:H9"/>
    <mergeCell ref="I5:I9"/>
    <mergeCell ref="L5:L9"/>
    <mergeCell ref="P10:P13"/>
    <mergeCell ref="Q10:Q13"/>
    <mergeCell ref="R10:R13"/>
    <mergeCell ref="S10:S13"/>
    <mergeCell ref="A24:S24"/>
    <mergeCell ref="I10:I13"/>
    <mergeCell ref="J10:J13"/>
    <mergeCell ref="K10:K13"/>
    <mergeCell ref="L10:L13"/>
    <mergeCell ref="B10:B13"/>
    <mergeCell ref="C10:C13"/>
    <mergeCell ref="D10:D13"/>
    <mergeCell ref="E10:E13"/>
    <mergeCell ref="F10:F13"/>
    <mergeCell ref="O10:O13"/>
    <mergeCell ref="M10:M13"/>
    <mergeCell ref="N10:N13"/>
    <mergeCell ref="A31:S31"/>
    <mergeCell ref="A32:S32"/>
    <mergeCell ref="A25:S25"/>
    <mergeCell ref="A26:S26"/>
    <mergeCell ref="A27:S27"/>
    <mergeCell ref="A28:S28"/>
    <mergeCell ref="A29:S29"/>
    <mergeCell ref="A30:S30"/>
  </mergeCells>
  <phoneticPr fontId="61" type="noConversion"/>
  <hyperlinks>
    <hyperlink ref="A1:S1" location="'A100000 中华人民共和国企业所得税年度纳税申报表（A类）'!A1" display="返回主表（A100000）"/>
    <hyperlink ref="A27:S27" r:id="rId1" display="《中国税务合规实务指南—所得税》  境外所得抵免[¶40-110]-[¶40-218]"/>
    <hyperlink ref="A30:S30" r:id="rId2" display="《财政部、国家税务总局关于企业境外所得税收抵免有关问题的通知》（财税〔2009〕125号）"/>
    <hyperlink ref="A31:S31" r:id="rId3" display="《国家税务总局关于发布〈企业境外所得税收抵免操作指南〉的公告》（国家税务总局公告2010年第1号）"/>
    <hyperlink ref="A32:S32" r:id="rId4" display="《受控外国企业信息报告表》（国家税务总局公告2014年第38号附件2）"/>
    <hyperlink ref="A33:T33" r:id="rId5" display="《财政部 税务总局关于完善企业境外所得税收抵免政策问题的通知》（财税〔2017〕84号）"/>
    <hyperlink ref="A34:T34" r:id="rId6" display="《财政部、国家税务总局关于我国石油企业从事油（气）资源开采所得税收抵免有关问题的通知》（财税〔2011〕23号）"/>
    <hyperlink ref="A27:IV27" r:id="rId7" display="《中国税务合规实务指南—所得税》  境外所得抵免[¶40-110]-[¶40-218]"/>
    <hyperlink ref="A30:IV30" r:id="rId8" display="《财政部、国家税务总局关于企业境外所得税收抵免有关问题的通知》（财税〔2009〕125号）"/>
    <hyperlink ref="A31:IV31" r:id="rId9" display="《国家税务总局关于发布〈企业境外所得税收抵免操作指南〉的公告》（国家税务总局公告2010年第1号）"/>
    <hyperlink ref="A32:IV32" r:id="rId10" display="《受控外国企业信息报告表》（国家税务总局公告2014年第38号附件2）"/>
    <hyperlink ref="A33:IV33" r:id="rId11" display="《财政部 税务总局关于完善企业境外所得税收抵免政策问题的通知》（财税〔2017〕84号）"/>
    <hyperlink ref="A34:IV34" r:id="rId12" display="《财政部、国家税务总局关于我国石油企业从事油（气）资源开采所得税收抵免有关问题的通知》（财税〔2011〕23号）"/>
  </hyperlinks>
  <pageMargins left="0.70866141732283472" right="0.70866141732283472" top="0.74803149606299213" bottom="0.74803149606299213" header="0.31496062992125984" footer="0.31496062992125984"/>
  <pageSetup paperSize="9" scale="68" orientation="landscape" verticalDpi="0" r:id="rId13"/>
  <legacyDrawing r:id="rId14"/>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pageSetUpPr fitToPage="1"/>
  </sheetPr>
  <dimension ref="A1:T31"/>
  <sheetViews>
    <sheetView workbookViewId="0">
      <selection sqref="A1:T1"/>
    </sheetView>
  </sheetViews>
  <sheetFormatPr defaultColWidth="9.75" defaultRowHeight="12"/>
  <cols>
    <col min="1" max="1" width="5.75" style="57" customWidth="1"/>
    <col min="2" max="20" width="9.75" style="57" customWidth="1"/>
    <col min="21" max="16384" width="9.75" style="57"/>
  </cols>
  <sheetData>
    <row r="1" spans="1:20" s="181" customFormat="1" ht="20.100000000000001" customHeight="1">
      <c r="A1" s="4081" t="s">
        <v>1209</v>
      </c>
      <c r="B1" s="4081"/>
      <c r="C1" s="4081"/>
      <c r="D1" s="4081"/>
      <c r="E1" s="4081"/>
      <c r="F1" s="4081"/>
      <c r="G1" s="4081"/>
      <c r="H1" s="4081"/>
      <c r="I1" s="4081"/>
      <c r="J1" s="4081"/>
      <c r="K1" s="4081"/>
      <c r="L1" s="4081"/>
      <c r="M1" s="4081"/>
      <c r="N1" s="4081"/>
      <c r="O1" s="4081"/>
      <c r="P1" s="4081"/>
      <c r="Q1" s="4081"/>
      <c r="R1" s="4081"/>
      <c r="S1" s="4081"/>
      <c r="T1" s="4081"/>
    </row>
    <row r="2" spans="1:20" s="182" customFormat="1" ht="25.5" customHeight="1">
      <c r="A2" s="4082" t="s">
        <v>1213</v>
      </c>
      <c r="B2" s="4317"/>
      <c r="C2" s="4317"/>
      <c r="D2" s="4317"/>
      <c r="E2" s="4317"/>
      <c r="F2" s="4317"/>
      <c r="G2" s="4317"/>
      <c r="H2" s="4317"/>
      <c r="I2" s="4317"/>
      <c r="J2" s="4317"/>
      <c r="K2" s="4317"/>
      <c r="L2" s="4317"/>
      <c r="M2" s="4317"/>
      <c r="N2" s="4317"/>
      <c r="O2" s="4317"/>
      <c r="P2" s="4317"/>
      <c r="Q2" s="4317"/>
      <c r="R2" s="4317"/>
      <c r="S2" s="4317"/>
      <c r="T2" s="4317"/>
    </row>
    <row r="3" spans="1:20" s="170" customFormat="1" ht="14.25" customHeight="1">
      <c r="A3" s="4032" t="s">
        <v>998</v>
      </c>
      <c r="B3" s="3920" t="s">
        <v>1058</v>
      </c>
      <c r="C3" s="3920" t="s">
        <v>1105</v>
      </c>
      <c r="D3" s="3920"/>
      <c r="E3" s="3920"/>
      <c r="F3" s="3920"/>
      <c r="G3" s="3920" t="s">
        <v>1106</v>
      </c>
      <c r="H3" s="3920"/>
      <c r="I3" s="3920"/>
      <c r="J3" s="3920"/>
      <c r="K3" s="3920"/>
      <c r="L3" s="3920"/>
      <c r="M3" s="3920"/>
      <c r="N3" s="3920"/>
      <c r="O3" s="3920"/>
      <c r="P3" s="3920"/>
      <c r="Q3" s="3920"/>
      <c r="R3" s="3920"/>
      <c r="S3" s="3920"/>
      <c r="T3" s="3920"/>
    </row>
    <row r="4" spans="1:20" s="170" customFormat="1" ht="14.25" customHeight="1">
      <c r="A4" s="4083"/>
      <c r="B4" s="3920"/>
      <c r="C4" s="3920" t="s">
        <v>1107</v>
      </c>
      <c r="D4" s="3920" t="s">
        <v>1108</v>
      </c>
      <c r="E4" s="3920" t="s">
        <v>1109</v>
      </c>
      <c r="F4" s="3920" t="s">
        <v>1110</v>
      </c>
      <c r="G4" s="3920" t="s">
        <v>1111</v>
      </c>
      <c r="H4" s="3920"/>
      <c r="I4" s="3920"/>
      <c r="J4" s="3920"/>
      <c r="K4" s="3920"/>
      <c r="L4" s="3920"/>
      <c r="M4" s="3920" t="s">
        <v>1112</v>
      </c>
      <c r="N4" s="3920" t="s">
        <v>1113</v>
      </c>
      <c r="O4" s="3920" t="s">
        <v>1114</v>
      </c>
      <c r="P4" s="3920"/>
      <c r="Q4" s="3920"/>
      <c r="R4" s="3920"/>
      <c r="S4" s="3920"/>
      <c r="T4" s="3920"/>
    </row>
    <row r="5" spans="1:20" s="170" customFormat="1" ht="14.25" customHeight="1">
      <c r="A5" s="4083"/>
      <c r="B5" s="3920"/>
      <c r="C5" s="3920"/>
      <c r="D5" s="3920"/>
      <c r="E5" s="3920"/>
      <c r="F5" s="3920"/>
      <c r="G5" s="3920"/>
      <c r="H5" s="3920"/>
      <c r="I5" s="3920"/>
      <c r="J5" s="3920"/>
      <c r="K5" s="3920"/>
      <c r="L5" s="3920"/>
      <c r="M5" s="3920"/>
      <c r="N5" s="3920"/>
      <c r="O5" s="3920"/>
      <c r="P5" s="3920"/>
      <c r="Q5" s="3920"/>
      <c r="R5" s="3920"/>
      <c r="S5" s="3920"/>
      <c r="T5" s="3920"/>
    </row>
    <row r="6" spans="1:20" s="170" customFormat="1" ht="14.25" customHeight="1">
      <c r="A6" s="4083"/>
      <c r="B6" s="3920"/>
      <c r="C6" s="3920"/>
      <c r="D6" s="3920"/>
      <c r="E6" s="3920"/>
      <c r="F6" s="3920"/>
      <c r="G6" s="3920"/>
      <c r="H6" s="3920"/>
      <c r="I6" s="3920"/>
      <c r="J6" s="3920"/>
      <c r="K6" s="3920"/>
      <c r="L6" s="3920"/>
      <c r="M6" s="3920"/>
      <c r="N6" s="3920"/>
      <c r="O6" s="3920"/>
      <c r="P6" s="3920"/>
      <c r="Q6" s="3920"/>
      <c r="R6" s="3920"/>
      <c r="S6" s="3920"/>
      <c r="T6" s="3920"/>
    </row>
    <row r="7" spans="1:20" s="170" customFormat="1" ht="14.25" customHeight="1">
      <c r="A7" s="4083"/>
      <c r="B7" s="3920"/>
      <c r="C7" s="3920"/>
      <c r="D7" s="3920"/>
      <c r="E7" s="3920"/>
      <c r="F7" s="3920"/>
      <c r="G7" s="3920" t="s">
        <v>1115</v>
      </c>
      <c r="H7" s="3920" t="s">
        <v>1116</v>
      </c>
      <c r="I7" s="3920" t="s">
        <v>1117</v>
      </c>
      <c r="J7" s="3920" t="s">
        <v>1118</v>
      </c>
      <c r="K7" s="3920" t="s">
        <v>1119</v>
      </c>
      <c r="L7" s="3920" t="s">
        <v>895</v>
      </c>
      <c r="M7" s="3920"/>
      <c r="N7" s="3920"/>
      <c r="O7" s="3920" t="s">
        <v>1116</v>
      </c>
      <c r="P7" s="3920" t="s">
        <v>1117</v>
      </c>
      <c r="Q7" s="3920" t="s">
        <v>1118</v>
      </c>
      <c r="R7" s="3920" t="s">
        <v>1119</v>
      </c>
      <c r="S7" s="3920" t="s">
        <v>1120</v>
      </c>
      <c r="T7" s="3920" t="s">
        <v>895</v>
      </c>
    </row>
    <row r="8" spans="1:20" s="170" customFormat="1" ht="14.25" customHeight="1">
      <c r="A8" s="4083"/>
      <c r="B8" s="3920"/>
      <c r="C8" s="3920"/>
      <c r="D8" s="3920"/>
      <c r="E8" s="3920"/>
      <c r="F8" s="3920"/>
      <c r="G8" s="3920"/>
      <c r="H8" s="3920"/>
      <c r="I8" s="3920"/>
      <c r="J8" s="3920"/>
      <c r="K8" s="3920"/>
      <c r="L8" s="3920"/>
      <c r="M8" s="3920"/>
      <c r="N8" s="3920"/>
      <c r="O8" s="3920"/>
      <c r="P8" s="3920"/>
      <c r="Q8" s="3920"/>
      <c r="R8" s="3920"/>
      <c r="S8" s="3920"/>
      <c r="T8" s="3920"/>
    </row>
    <row r="9" spans="1:20" ht="14.25" customHeight="1">
      <c r="A9" s="4083"/>
      <c r="B9" s="4038">
        <v>1</v>
      </c>
      <c r="C9" s="4038">
        <v>2</v>
      </c>
      <c r="D9" s="4038">
        <v>3</v>
      </c>
      <c r="E9" s="4038">
        <v>4</v>
      </c>
      <c r="F9" s="3920" t="s">
        <v>1121</v>
      </c>
      <c r="G9" s="4038">
        <v>6</v>
      </c>
      <c r="H9" s="4038">
        <v>7</v>
      </c>
      <c r="I9" s="4038">
        <v>8</v>
      </c>
      <c r="J9" s="4038">
        <v>9</v>
      </c>
      <c r="K9" s="4038">
        <v>10</v>
      </c>
      <c r="L9" s="4032" t="s">
        <v>1122</v>
      </c>
      <c r="M9" s="4038">
        <v>12</v>
      </c>
      <c r="N9" s="4038">
        <v>13</v>
      </c>
      <c r="O9" s="4038">
        <v>14</v>
      </c>
      <c r="P9" s="4038">
        <v>15</v>
      </c>
      <c r="Q9" s="4038">
        <v>16</v>
      </c>
      <c r="R9" s="4038">
        <v>17</v>
      </c>
      <c r="S9" s="4038">
        <v>18</v>
      </c>
      <c r="T9" s="4032" t="s">
        <v>1123</v>
      </c>
    </row>
    <row r="10" spans="1:20" ht="14.25" customHeight="1">
      <c r="A10" s="4083"/>
      <c r="B10" s="4039"/>
      <c r="C10" s="4039"/>
      <c r="D10" s="4039"/>
      <c r="E10" s="4039"/>
      <c r="F10" s="3920"/>
      <c r="G10" s="4039"/>
      <c r="H10" s="4039"/>
      <c r="I10" s="4039"/>
      <c r="J10" s="4039"/>
      <c r="K10" s="4039"/>
      <c r="L10" s="4083"/>
      <c r="M10" s="4039"/>
      <c r="N10" s="4039"/>
      <c r="O10" s="4039"/>
      <c r="P10" s="4039"/>
      <c r="Q10" s="4039"/>
      <c r="R10" s="4039"/>
      <c r="S10" s="4039"/>
      <c r="T10" s="4083"/>
    </row>
    <row r="11" spans="1:20" ht="14.25" customHeight="1">
      <c r="A11" s="4083"/>
      <c r="B11" s="4039"/>
      <c r="C11" s="4039"/>
      <c r="D11" s="4039"/>
      <c r="E11" s="4039"/>
      <c r="F11" s="3920"/>
      <c r="G11" s="4039"/>
      <c r="H11" s="4039"/>
      <c r="I11" s="4039"/>
      <c r="J11" s="4039"/>
      <c r="K11" s="4039"/>
      <c r="L11" s="4083"/>
      <c r="M11" s="4039"/>
      <c r="N11" s="4039"/>
      <c r="O11" s="4039"/>
      <c r="P11" s="4039"/>
      <c r="Q11" s="4039"/>
      <c r="R11" s="4039"/>
      <c r="S11" s="4039"/>
      <c r="T11" s="4083"/>
    </row>
    <row r="12" spans="1:20" ht="14.25" customHeight="1">
      <c r="A12" s="4033"/>
      <c r="B12" s="4040"/>
      <c r="C12" s="4040"/>
      <c r="D12" s="4040"/>
      <c r="E12" s="4040"/>
      <c r="F12" s="3920"/>
      <c r="G12" s="4040"/>
      <c r="H12" s="4040"/>
      <c r="I12" s="4040"/>
      <c r="J12" s="4040"/>
      <c r="K12" s="4040"/>
      <c r="L12" s="4033"/>
      <c r="M12" s="4040"/>
      <c r="N12" s="4040"/>
      <c r="O12" s="4040"/>
      <c r="P12" s="4040"/>
      <c r="Q12" s="4040"/>
      <c r="R12" s="4040"/>
      <c r="S12" s="4040"/>
      <c r="T12" s="4033"/>
    </row>
    <row r="13" spans="1:20" ht="14.25" customHeight="1">
      <c r="A13" s="55">
        <v>1</v>
      </c>
      <c r="B13" s="183">
        <f>境外分支机构弥补亏损审核表!B9</f>
        <v>0</v>
      </c>
      <c r="C13" s="2206">
        <f>境外分支机构弥补亏损审核表!C9</f>
        <v>0</v>
      </c>
      <c r="D13" s="2206">
        <f>境外分支机构弥补亏损审核表!D9</f>
        <v>0</v>
      </c>
      <c r="E13" s="2206">
        <f>境外分支机构弥补亏损审核表!E9</f>
        <v>0</v>
      </c>
      <c r="F13" s="344">
        <f>ROUND(C13+D13-E13,2)</f>
        <v>0</v>
      </c>
      <c r="G13" s="184">
        <f>境外分支机构弥补亏损审核表!G9</f>
        <v>0</v>
      </c>
      <c r="H13" s="440">
        <f>境外分支机构弥补亏损审核表!H9</f>
        <v>0</v>
      </c>
      <c r="I13" s="440">
        <f>境外分支机构弥补亏损审核表!I9</f>
        <v>0</v>
      </c>
      <c r="J13" s="440">
        <f>境外分支机构弥补亏损审核表!J9</f>
        <v>0</v>
      </c>
      <c r="K13" s="440">
        <f>境外分支机构弥补亏损审核表!K9</f>
        <v>0</v>
      </c>
      <c r="L13" s="344">
        <f>ROUND(SUM(G13:K13),2)</f>
        <v>0</v>
      </c>
      <c r="M13" s="184">
        <f>境外分支机构弥补亏损审核表!M9</f>
        <v>0</v>
      </c>
      <c r="N13" s="440">
        <f>境外分支机构弥补亏损审核表!N9</f>
        <v>0</v>
      </c>
      <c r="O13" s="440">
        <f>境外分支机构弥补亏损审核表!O9</f>
        <v>0</v>
      </c>
      <c r="P13" s="440">
        <f>境外分支机构弥补亏损审核表!P9</f>
        <v>0</v>
      </c>
      <c r="Q13" s="440">
        <f>境外分支机构弥补亏损审核表!Q9</f>
        <v>0</v>
      </c>
      <c r="R13" s="440">
        <f>境外分支机构弥补亏损审核表!R9</f>
        <v>0</v>
      </c>
      <c r="S13" s="440">
        <f>境外分支机构弥补亏损审核表!S9</f>
        <v>0</v>
      </c>
      <c r="T13" s="344">
        <f>ROUND(SUM(O13:S13),2)</f>
        <v>0</v>
      </c>
    </row>
    <row r="14" spans="1:20" ht="14.25" customHeight="1">
      <c r="A14" s="55">
        <v>2</v>
      </c>
      <c r="B14" s="2206">
        <f>境外分支机构弥补亏损审核表!B10</f>
        <v>0</v>
      </c>
      <c r="C14" s="2206">
        <f>境外分支机构弥补亏损审核表!C10</f>
        <v>0</v>
      </c>
      <c r="D14" s="2206">
        <f>境外分支机构弥补亏损审核表!D10</f>
        <v>0</v>
      </c>
      <c r="E14" s="2206">
        <f>境外分支机构弥补亏损审核表!E10</f>
        <v>0</v>
      </c>
      <c r="F14" s="344">
        <f t="shared" ref="F14:F21" si="0">ROUND(C14+D14-E14,2)</f>
        <v>0</v>
      </c>
      <c r="G14" s="440">
        <f>境外分支机构弥补亏损审核表!G10</f>
        <v>0</v>
      </c>
      <c r="H14" s="440">
        <f>境外分支机构弥补亏损审核表!H10</f>
        <v>0</v>
      </c>
      <c r="I14" s="440">
        <f>境外分支机构弥补亏损审核表!I10</f>
        <v>0</v>
      </c>
      <c r="J14" s="440">
        <f>境外分支机构弥补亏损审核表!J10</f>
        <v>0</v>
      </c>
      <c r="K14" s="440">
        <f>境外分支机构弥补亏损审核表!K10</f>
        <v>0</v>
      </c>
      <c r="L14" s="344">
        <f>ROUND(SUM(G14:K14),2)</f>
        <v>0</v>
      </c>
      <c r="M14" s="440">
        <f>境外分支机构弥补亏损审核表!M10</f>
        <v>0</v>
      </c>
      <c r="N14" s="440">
        <f>境外分支机构弥补亏损审核表!N10</f>
        <v>0</v>
      </c>
      <c r="O14" s="440">
        <f>境外分支机构弥补亏损审核表!O10</f>
        <v>0</v>
      </c>
      <c r="P14" s="440">
        <f>境外分支机构弥补亏损审核表!P10</f>
        <v>0</v>
      </c>
      <c r="Q14" s="440">
        <f>境外分支机构弥补亏损审核表!Q10</f>
        <v>0</v>
      </c>
      <c r="R14" s="440">
        <f>境外分支机构弥补亏损审核表!R10</f>
        <v>0</v>
      </c>
      <c r="S14" s="440">
        <f>境外分支机构弥补亏损审核表!S10</f>
        <v>0</v>
      </c>
      <c r="T14" s="344">
        <f t="shared" ref="T14:T21" si="1">ROUND(SUM(O14:S14),2)</f>
        <v>0</v>
      </c>
    </row>
    <row r="15" spans="1:20" ht="14.25" customHeight="1">
      <c r="A15" s="55">
        <v>3</v>
      </c>
      <c r="B15" s="2206">
        <f>境外分支机构弥补亏损审核表!B11</f>
        <v>0</v>
      </c>
      <c r="C15" s="2206">
        <f>境外分支机构弥补亏损审核表!C11</f>
        <v>0</v>
      </c>
      <c r="D15" s="2206">
        <f>境外分支机构弥补亏损审核表!D11</f>
        <v>0</v>
      </c>
      <c r="E15" s="2206">
        <f>境外分支机构弥补亏损审核表!E11</f>
        <v>0</v>
      </c>
      <c r="F15" s="344">
        <f t="shared" si="0"/>
        <v>0</v>
      </c>
      <c r="G15" s="440">
        <f>境外分支机构弥补亏损审核表!G11</f>
        <v>0</v>
      </c>
      <c r="H15" s="440">
        <f>境外分支机构弥补亏损审核表!H11</f>
        <v>0</v>
      </c>
      <c r="I15" s="440">
        <f>境外分支机构弥补亏损审核表!I11</f>
        <v>0</v>
      </c>
      <c r="J15" s="440">
        <f>境外分支机构弥补亏损审核表!J11</f>
        <v>0</v>
      </c>
      <c r="K15" s="440">
        <f>境外分支机构弥补亏损审核表!K11</f>
        <v>0</v>
      </c>
      <c r="L15" s="344">
        <f t="shared" ref="L15:L21" si="2">ROUND(SUM(G15:K15),2)</f>
        <v>0</v>
      </c>
      <c r="M15" s="440">
        <f>境外分支机构弥补亏损审核表!M11</f>
        <v>0</v>
      </c>
      <c r="N15" s="440">
        <f>境外分支机构弥补亏损审核表!N11</f>
        <v>0</v>
      </c>
      <c r="O15" s="440">
        <f>境外分支机构弥补亏损审核表!O11</f>
        <v>0</v>
      </c>
      <c r="P15" s="440">
        <f>境外分支机构弥补亏损审核表!P11</f>
        <v>0</v>
      </c>
      <c r="Q15" s="440">
        <f>境外分支机构弥补亏损审核表!Q11</f>
        <v>0</v>
      </c>
      <c r="R15" s="440">
        <f>境外分支机构弥补亏损审核表!R11</f>
        <v>0</v>
      </c>
      <c r="S15" s="440">
        <f>境外分支机构弥补亏损审核表!S11</f>
        <v>0</v>
      </c>
      <c r="T15" s="344">
        <f t="shared" si="1"/>
        <v>0</v>
      </c>
    </row>
    <row r="16" spans="1:20" ht="14.25" customHeight="1">
      <c r="A16" s="55">
        <v>4</v>
      </c>
      <c r="B16" s="2206">
        <f>境外分支机构弥补亏损审核表!B12</f>
        <v>0</v>
      </c>
      <c r="C16" s="2206">
        <f>境外分支机构弥补亏损审核表!C12</f>
        <v>0</v>
      </c>
      <c r="D16" s="2206">
        <f>境外分支机构弥补亏损审核表!D12</f>
        <v>0</v>
      </c>
      <c r="E16" s="2206">
        <f>境外分支机构弥补亏损审核表!E12</f>
        <v>0</v>
      </c>
      <c r="F16" s="344">
        <f t="shared" si="0"/>
        <v>0</v>
      </c>
      <c r="G16" s="440">
        <f>境外分支机构弥补亏损审核表!G12</f>
        <v>0</v>
      </c>
      <c r="H16" s="440">
        <f>境外分支机构弥补亏损审核表!H12</f>
        <v>0</v>
      </c>
      <c r="I16" s="440">
        <f>境外分支机构弥补亏损审核表!I12</f>
        <v>0</v>
      </c>
      <c r="J16" s="440">
        <f>境外分支机构弥补亏损审核表!J12</f>
        <v>0</v>
      </c>
      <c r="K16" s="440">
        <f>境外分支机构弥补亏损审核表!K12</f>
        <v>0</v>
      </c>
      <c r="L16" s="344">
        <f t="shared" si="2"/>
        <v>0</v>
      </c>
      <c r="M16" s="440">
        <f>境外分支机构弥补亏损审核表!M12</f>
        <v>0</v>
      </c>
      <c r="N16" s="440">
        <f>境外分支机构弥补亏损审核表!N12</f>
        <v>0</v>
      </c>
      <c r="O16" s="440">
        <f>境外分支机构弥补亏损审核表!O12</f>
        <v>0</v>
      </c>
      <c r="P16" s="440">
        <f>境外分支机构弥补亏损审核表!P12</f>
        <v>0</v>
      </c>
      <c r="Q16" s="440">
        <f>境外分支机构弥补亏损审核表!Q12</f>
        <v>0</v>
      </c>
      <c r="R16" s="440">
        <f>境外分支机构弥补亏损审核表!R12</f>
        <v>0</v>
      </c>
      <c r="S16" s="440">
        <f>境外分支机构弥补亏损审核表!S12</f>
        <v>0</v>
      </c>
      <c r="T16" s="344">
        <f t="shared" si="1"/>
        <v>0</v>
      </c>
    </row>
    <row r="17" spans="1:20" ht="14.25" customHeight="1">
      <c r="A17" s="55">
        <v>5</v>
      </c>
      <c r="B17" s="2206">
        <f>境外分支机构弥补亏损审核表!B13</f>
        <v>0</v>
      </c>
      <c r="C17" s="2206">
        <f>境外分支机构弥补亏损审核表!C13</f>
        <v>0</v>
      </c>
      <c r="D17" s="2206">
        <f>境外分支机构弥补亏损审核表!D13</f>
        <v>0</v>
      </c>
      <c r="E17" s="2206">
        <f>境外分支机构弥补亏损审核表!E13</f>
        <v>0</v>
      </c>
      <c r="F17" s="344">
        <f t="shared" si="0"/>
        <v>0</v>
      </c>
      <c r="G17" s="440">
        <f>境外分支机构弥补亏损审核表!G13</f>
        <v>0</v>
      </c>
      <c r="H17" s="440">
        <f>境外分支机构弥补亏损审核表!H13</f>
        <v>0</v>
      </c>
      <c r="I17" s="440">
        <f>境外分支机构弥补亏损审核表!I13</f>
        <v>0</v>
      </c>
      <c r="J17" s="440">
        <f>境外分支机构弥补亏损审核表!J13</f>
        <v>0</v>
      </c>
      <c r="K17" s="440">
        <f>境外分支机构弥补亏损审核表!K13</f>
        <v>0</v>
      </c>
      <c r="L17" s="344">
        <f t="shared" si="2"/>
        <v>0</v>
      </c>
      <c r="M17" s="440">
        <f>境外分支机构弥补亏损审核表!M13</f>
        <v>0</v>
      </c>
      <c r="N17" s="440">
        <f>境外分支机构弥补亏损审核表!N13</f>
        <v>0</v>
      </c>
      <c r="O17" s="440">
        <f>境外分支机构弥补亏损审核表!O13</f>
        <v>0</v>
      </c>
      <c r="P17" s="440">
        <f>境外分支机构弥补亏损审核表!P13</f>
        <v>0</v>
      </c>
      <c r="Q17" s="440">
        <f>境外分支机构弥补亏损审核表!Q13</f>
        <v>0</v>
      </c>
      <c r="R17" s="440">
        <f>境外分支机构弥补亏损审核表!R13</f>
        <v>0</v>
      </c>
      <c r="S17" s="440">
        <f>境外分支机构弥补亏损审核表!S13</f>
        <v>0</v>
      </c>
      <c r="T17" s="344">
        <f t="shared" si="1"/>
        <v>0</v>
      </c>
    </row>
    <row r="18" spans="1:20" ht="14.25" customHeight="1">
      <c r="A18" s="55">
        <v>6</v>
      </c>
      <c r="B18" s="2206">
        <f>境外分支机构弥补亏损审核表!B14</f>
        <v>0</v>
      </c>
      <c r="C18" s="2206">
        <f>境外分支机构弥补亏损审核表!C14</f>
        <v>0</v>
      </c>
      <c r="D18" s="2206">
        <f>境外分支机构弥补亏损审核表!D14</f>
        <v>0</v>
      </c>
      <c r="E18" s="2206">
        <f>境外分支机构弥补亏损审核表!E14</f>
        <v>0</v>
      </c>
      <c r="F18" s="344">
        <f t="shared" si="0"/>
        <v>0</v>
      </c>
      <c r="G18" s="440">
        <f>境外分支机构弥补亏损审核表!G14</f>
        <v>0</v>
      </c>
      <c r="H18" s="440">
        <f>境外分支机构弥补亏损审核表!H14</f>
        <v>0</v>
      </c>
      <c r="I18" s="440">
        <f>境外分支机构弥补亏损审核表!I14</f>
        <v>0</v>
      </c>
      <c r="J18" s="440">
        <f>境外分支机构弥补亏损审核表!J14</f>
        <v>0</v>
      </c>
      <c r="K18" s="440">
        <f>境外分支机构弥补亏损审核表!K14</f>
        <v>0</v>
      </c>
      <c r="L18" s="344">
        <f t="shared" si="2"/>
        <v>0</v>
      </c>
      <c r="M18" s="440">
        <f>境外分支机构弥补亏损审核表!M14</f>
        <v>0</v>
      </c>
      <c r="N18" s="440">
        <f>境外分支机构弥补亏损审核表!N14</f>
        <v>0</v>
      </c>
      <c r="O18" s="440">
        <f>境外分支机构弥补亏损审核表!O14</f>
        <v>0</v>
      </c>
      <c r="P18" s="440">
        <f>境外分支机构弥补亏损审核表!P14</f>
        <v>0</v>
      </c>
      <c r="Q18" s="440">
        <f>境外分支机构弥补亏损审核表!Q14</f>
        <v>0</v>
      </c>
      <c r="R18" s="440">
        <f>境外分支机构弥补亏损审核表!R14</f>
        <v>0</v>
      </c>
      <c r="S18" s="440">
        <f>境外分支机构弥补亏损审核表!S14</f>
        <v>0</v>
      </c>
      <c r="T18" s="344">
        <f t="shared" si="1"/>
        <v>0</v>
      </c>
    </row>
    <row r="19" spans="1:20" ht="14.25" customHeight="1">
      <c r="A19" s="55">
        <v>7</v>
      </c>
      <c r="B19" s="2206">
        <f>境外分支机构弥补亏损审核表!B15</f>
        <v>0</v>
      </c>
      <c r="C19" s="2206">
        <f>境外分支机构弥补亏损审核表!C15</f>
        <v>0</v>
      </c>
      <c r="D19" s="2206">
        <f>境外分支机构弥补亏损审核表!D15</f>
        <v>0</v>
      </c>
      <c r="E19" s="2206">
        <f>境外分支机构弥补亏损审核表!E15</f>
        <v>0</v>
      </c>
      <c r="F19" s="344">
        <f t="shared" si="0"/>
        <v>0</v>
      </c>
      <c r="G19" s="440">
        <f>境外分支机构弥补亏损审核表!G15</f>
        <v>0</v>
      </c>
      <c r="H19" s="440">
        <f>境外分支机构弥补亏损审核表!H15</f>
        <v>0</v>
      </c>
      <c r="I19" s="440">
        <f>境外分支机构弥补亏损审核表!I15</f>
        <v>0</v>
      </c>
      <c r="J19" s="440">
        <f>境外分支机构弥补亏损审核表!J15</f>
        <v>0</v>
      </c>
      <c r="K19" s="440">
        <f>境外分支机构弥补亏损审核表!K15</f>
        <v>0</v>
      </c>
      <c r="L19" s="344">
        <f t="shared" si="2"/>
        <v>0</v>
      </c>
      <c r="M19" s="440">
        <f>境外分支机构弥补亏损审核表!M15</f>
        <v>0</v>
      </c>
      <c r="N19" s="440">
        <f>境外分支机构弥补亏损审核表!N15</f>
        <v>0</v>
      </c>
      <c r="O19" s="440">
        <f>境外分支机构弥补亏损审核表!O15</f>
        <v>0</v>
      </c>
      <c r="P19" s="440">
        <f>境外分支机构弥补亏损审核表!P15</f>
        <v>0</v>
      </c>
      <c r="Q19" s="440">
        <f>境外分支机构弥补亏损审核表!Q15</f>
        <v>0</v>
      </c>
      <c r="R19" s="440">
        <f>境外分支机构弥补亏损审核表!R15</f>
        <v>0</v>
      </c>
      <c r="S19" s="440">
        <f>境外分支机构弥补亏损审核表!S15</f>
        <v>0</v>
      </c>
      <c r="T19" s="344">
        <f t="shared" si="1"/>
        <v>0</v>
      </c>
    </row>
    <row r="20" spans="1:20" ht="14.25" customHeight="1">
      <c r="A20" s="55">
        <v>8</v>
      </c>
      <c r="B20" s="2206">
        <f>境外分支机构弥补亏损审核表!B16</f>
        <v>0</v>
      </c>
      <c r="C20" s="2206">
        <f>境外分支机构弥补亏损审核表!C16</f>
        <v>0</v>
      </c>
      <c r="D20" s="2206">
        <f>境外分支机构弥补亏损审核表!D16</f>
        <v>0</v>
      </c>
      <c r="E20" s="2206">
        <f>境外分支机构弥补亏损审核表!E16</f>
        <v>0</v>
      </c>
      <c r="F20" s="344">
        <f t="shared" si="0"/>
        <v>0</v>
      </c>
      <c r="G20" s="440">
        <f>境外分支机构弥补亏损审核表!G16</f>
        <v>0</v>
      </c>
      <c r="H20" s="440">
        <f>境外分支机构弥补亏损审核表!H16</f>
        <v>0</v>
      </c>
      <c r="I20" s="440">
        <f>境外分支机构弥补亏损审核表!I16</f>
        <v>0</v>
      </c>
      <c r="J20" s="440">
        <f>境外分支机构弥补亏损审核表!J16</f>
        <v>0</v>
      </c>
      <c r="K20" s="440">
        <f>境外分支机构弥补亏损审核表!K16</f>
        <v>0</v>
      </c>
      <c r="L20" s="344">
        <f t="shared" si="2"/>
        <v>0</v>
      </c>
      <c r="M20" s="440">
        <f>境外分支机构弥补亏损审核表!M16</f>
        <v>0</v>
      </c>
      <c r="N20" s="440">
        <f>境外分支机构弥补亏损审核表!N16</f>
        <v>0</v>
      </c>
      <c r="O20" s="440">
        <f>境外分支机构弥补亏损审核表!O16</f>
        <v>0</v>
      </c>
      <c r="P20" s="440">
        <f>境外分支机构弥补亏损审核表!P16</f>
        <v>0</v>
      </c>
      <c r="Q20" s="440">
        <f>境外分支机构弥补亏损审核表!Q16</f>
        <v>0</v>
      </c>
      <c r="R20" s="440">
        <f>境外分支机构弥补亏损审核表!R16</f>
        <v>0</v>
      </c>
      <c r="S20" s="440">
        <f>境外分支机构弥补亏损审核表!S16</f>
        <v>0</v>
      </c>
      <c r="T20" s="344">
        <f t="shared" si="1"/>
        <v>0</v>
      </c>
    </row>
    <row r="21" spans="1:20" ht="14.25" customHeight="1">
      <c r="A21" s="55">
        <v>9</v>
      </c>
      <c r="B21" s="2206">
        <f>境外分支机构弥补亏损审核表!B17</f>
        <v>0</v>
      </c>
      <c r="C21" s="2206">
        <f>境外分支机构弥补亏损审核表!C17</f>
        <v>0</v>
      </c>
      <c r="D21" s="2206">
        <f>境外分支机构弥补亏损审核表!D17</f>
        <v>0</v>
      </c>
      <c r="E21" s="2206">
        <f>境外分支机构弥补亏损审核表!E17</f>
        <v>0</v>
      </c>
      <c r="F21" s="344">
        <f t="shared" si="0"/>
        <v>0</v>
      </c>
      <c r="G21" s="440">
        <f>境外分支机构弥补亏损审核表!G17</f>
        <v>0</v>
      </c>
      <c r="H21" s="440">
        <f>境外分支机构弥补亏损审核表!H17</f>
        <v>0</v>
      </c>
      <c r="I21" s="440">
        <f>境外分支机构弥补亏损审核表!I17</f>
        <v>0</v>
      </c>
      <c r="J21" s="440">
        <f>境外分支机构弥补亏损审核表!J17</f>
        <v>0</v>
      </c>
      <c r="K21" s="440">
        <f>境外分支机构弥补亏损审核表!K17</f>
        <v>0</v>
      </c>
      <c r="L21" s="344">
        <f t="shared" si="2"/>
        <v>0</v>
      </c>
      <c r="M21" s="440">
        <f>境外分支机构弥补亏损审核表!M17</f>
        <v>0</v>
      </c>
      <c r="N21" s="440">
        <f>境外分支机构弥补亏损审核表!N17</f>
        <v>0</v>
      </c>
      <c r="O21" s="440">
        <f>境外分支机构弥补亏损审核表!O17</f>
        <v>0</v>
      </c>
      <c r="P21" s="440">
        <f>境外分支机构弥补亏损审核表!P17</f>
        <v>0</v>
      </c>
      <c r="Q21" s="440">
        <f>境外分支机构弥补亏损审核表!Q17</f>
        <v>0</v>
      </c>
      <c r="R21" s="440">
        <f>境外分支机构弥补亏损审核表!R17</f>
        <v>0</v>
      </c>
      <c r="S21" s="440">
        <f>境外分支机构弥补亏损审核表!S17</f>
        <v>0</v>
      </c>
      <c r="T21" s="344">
        <f t="shared" si="1"/>
        <v>0</v>
      </c>
    </row>
    <row r="22" spans="1:20" ht="14.25" customHeight="1">
      <c r="A22" s="55">
        <v>10</v>
      </c>
      <c r="B22" s="55" t="s">
        <v>757</v>
      </c>
      <c r="C22" s="344">
        <f>ROUND(SUM(C13:C21),2)</f>
        <v>0</v>
      </c>
      <c r="D22" s="344">
        <f>ROUND(SUM(D13:D21),2)</f>
        <v>0</v>
      </c>
      <c r="E22" s="344">
        <f t="shared" ref="E22:T22" si="3">ROUND(SUM(E13:E21),2)</f>
        <v>0</v>
      </c>
      <c r="F22" s="344">
        <f t="shared" si="3"/>
        <v>0</v>
      </c>
      <c r="G22" s="344">
        <f t="shared" si="3"/>
        <v>0</v>
      </c>
      <c r="H22" s="344">
        <f t="shared" si="3"/>
        <v>0</v>
      </c>
      <c r="I22" s="344">
        <f t="shared" si="3"/>
        <v>0</v>
      </c>
      <c r="J22" s="344">
        <f t="shared" si="3"/>
        <v>0</v>
      </c>
      <c r="K22" s="344">
        <f t="shared" si="3"/>
        <v>0</v>
      </c>
      <c r="L22" s="344">
        <f t="shared" si="3"/>
        <v>0</v>
      </c>
      <c r="M22" s="344">
        <f>ROUND(SUM(M13:M21),2)</f>
        <v>0</v>
      </c>
      <c r="N22" s="344">
        <f t="shared" si="3"/>
        <v>0</v>
      </c>
      <c r="O22" s="344">
        <f t="shared" si="3"/>
        <v>0</v>
      </c>
      <c r="P22" s="344">
        <f t="shared" si="3"/>
        <v>0</v>
      </c>
      <c r="Q22" s="344">
        <f t="shared" si="3"/>
        <v>0</v>
      </c>
      <c r="R22" s="344">
        <f t="shared" si="3"/>
        <v>0</v>
      </c>
      <c r="S22" s="344">
        <f t="shared" si="3"/>
        <v>0</v>
      </c>
      <c r="T22" s="344">
        <f t="shared" si="3"/>
        <v>0</v>
      </c>
    </row>
    <row r="23" spans="1:20" s="171" customFormat="1" ht="15" customHeight="1">
      <c r="A23" s="4308"/>
      <c r="B23" s="4308"/>
      <c r="C23" s="4308"/>
      <c r="D23" s="4308"/>
      <c r="E23" s="4308"/>
      <c r="F23" s="4308"/>
      <c r="G23" s="4308"/>
      <c r="H23" s="4308"/>
      <c r="I23" s="4308"/>
      <c r="J23" s="4308"/>
      <c r="K23" s="4308"/>
      <c r="L23" s="4308"/>
      <c r="M23" s="4308"/>
      <c r="N23" s="4308"/>
      <c r="O23" s="4308"/>
      <c r="P23" s="4308"/>
      <c r="Q23" s="4308"/>
      <c r="R23" s="4308"/>
      <c r="S23" s="4308"/>
      <c r="T23" s="4308"/>
    </row>
    <row r="24" spans="1:20" s="171" customFormat="1" ht="15" customHeight="1">
      <c r="A24" s="4302"/>
      <c r="B24" s="4302"/>
      <c r="C24" s="4302"/>
      <c r="D24" s="4302"/>
      <c r="E24" s="4302"/>
      <c r="F24" s="4302"/>
      <c r="G24" s="4302"/>
      <c r="H24" s="4302"/>
      <c r="I24" s="4302"/>
      <c r="J24" s="4302"/>
      <c r="K24" s="4302"/>
      <c r="L24" s="4302"/>
      <c r="M24" s="4302"/>
      <c r="N24" s="4302"/>
      <c r="O24" s="4302"/>
      <c r="P24" s="4302"/>
      <c r="Q24" s="4302"/>
      <c r="R24" s="4302"/>
      <c r="S24" s="4302"/>
      <c r="T24" s="4302"/>
    </row>
    <row r="25" spans="1:20" s="171" customFormat="1" ht="15" customHeight="1">
      <c r="A25" s="4304" t="s">
        <v>1585</v>
      </c>
      <c r="B25" s="4296"/>
      <c r="C25" s="4296"/>
      <c r="D25" s="4296"/>
      <c r="E25" s="4296"/>
      <c r="F25" s="4296"/>
      <c r="G25" s="4296"/>
      <c r="H25" s="4296"/>
      <c r="I25" s="4296"/>
      <c r="J25" s="4296"/>
      <c r="K25" s="4296"/>
      <c r="L25" s="4296"/>
      <c r="M25" s="4296"/>
      <c r="N25" s="4296"/>
      <c r="O25" s="4296"/>
      <c r="P25" s="4296"/>
      <c r="Q25" s="4296"/>
      <c r="R25" s="4296"/>
      <c r="S25" s="4296"/>
      <c r="T25" s="4314"/>
    </row>
    <row r="26" spans="1:20" s="213" customFormat="1" ht="15" customHeight="1">
      <c r="A26" s="4313" t="s">
        <v>1603</v>
      </c>
      <c r="B26" s="4313"/>
      <c r="C26" s="4313"/>
      <c r="D26" s="4313"/>
      <c r="E26" s="4313"/>
      <c r="F26" s="4313"/>
      <c r="G26" s="4313"/>
      <c r="H26" s="4313"/>
      <c r="I26" s="4313"/>
      <c r="J26" s="4313"/>
      <c r="K26" s="4313"/>
      <c r="L26" s="4313"/>
      <c r="M26" s="4313"/>
      <c r="N26" s="4313"/>
      <c r="O26" s="4313"/>
      <c r="P26" s="4313"/>
      <c r="Q26" s="4313"/>
      <c r="R26" s="4313"/>
      <c r="S26" s="4313"/>
      <c r="T26" s="4313"/>
    </row>
    <row r="27" spans="1:20" s="229" customFormat="1" ht="15" customHeight="1">
      <c r="A27" s="4315"/>
      <c r="B27" s="4315"/>
      <c r="C27" s="4315"/>
      <c r="D27" s="4315"/>
      <c r="E27" s="4315"/>
      <c r="F27" s="4315"/>
      <c r="G27" s="4315"/>
      <c r="H27" s="4315"/>
      <c r="I27" s="4315"/>
      <c r="J27" s="4315"/>
      <c r="K27" s="4315"/>
      <c r="L27" s="4315"/>
      <c r="M27" s="4315"/>
      <c r="N27" s="4315"/>
      <c r="O27" s="4315"/>
      <c r="P27" s="4315"/>
      <c r="Q27" s="4315"/>
      <c r="R27" s="4315"/>
      <c r="S27" s="4315"/>
      <c r="T27" s="4315"/>
    </row>
    <row r="28" spans="1:20" s="229" customFormat="1" ht="15" customHeight="1">
      <c r="A28" s="4316" t="s">
        <v>1587</v>
      </c>
      <c r="B28" s="4316"/>
      <c r="C28" s="4316"/>
      <c r="D28" s="4316"/>
      <c r="E28" s="4316"/>
      <c r="F28" s="4316"/>
      <c r="G28" s="4316"/>
      <c r="H28" s="4316"/>
      <c r="I28" s="4316"/>
      <c r="J28" s="4316"/>
      <c r="K28" s="4316"/>
      <c r="L28" s="4316"/>
      <c r="M28" s="4316"/>
      <c r="N28" s="4316"/>
      <c r="O28" s="4316"/>
      <c r="P28" s="4316"/>
      <c r="Q28" s="4316"/>
      <c r="R28" s="4316"/>
      <c r="S28" s="4316"/>
      <c r="T28" s="4316"/>
    </row>
    <row r="29" spans="1:20" s="221" customFormat="1" ht="15" customHeight="1">
      <c r="A29" s="4313" t="s">
        <v>1599</v>
      </c>
      <c r="B29" s="4313"/>
      <c r="C29" s="4313"/>
      <c r="D29" s="4313"/>
      <c r="E29" s="4313"/>
      <c r="F29" s="4313"/>
      <c r="G29" s="4313"/>
      <c r="H29" s="4313"/>
      <c r="I29" s="4313"/>
      <c r="J29" s="4313"/>
      <c r="K29" s="4313"/>
      <c r="L29" s="4313"/>
      <c r="M29" s="4313"/>
      <c r="N29" s="4313"/>
      <c r="O29" s="4313"/>
      <c r="P29" s="4313"/>
      <c r="Q29" s="4313"/>
      <c r="R29" s="4313"/>
      <c r="S29" s="4313"/>
      <c r="T29" s="4313"/>
    </row>
    <row r="30" spans="1:20" s="221" customFormat="1" ht="15" customHeight="1">
      <c r="A30" s="4313" t="s">
        <v>1600</v>
      </c>
      <c r="B30" s="4313"/>
      <c r="C30" s="4313"/>
      <c r="D30" s="4313"/>
      <c r="E30" s="4313"/>
      <c r="F30" s="4313"/>
      <c r="G30" s="4313"/>
      <c r="H30" s="4313"/>
      <c r="I30" s="4313"/>
      <c r="J30" s="4313"/>
      <c r="K30" s="4313"/>
      <c r="L30" s="4313"/>
      <c r="M30" s="4313"/>
      <c r="N30" s="4313"/>
      <c r="O30" s="4313"/>
      <c r="P30" s="4313"/>
      <c r="Q30" s="4313"/>
      <c r="R30" s="4313"/>
      <c r="S30" s="4313"/>
      <c r="T30" s="4313"/>
    </row>
    <row r="31" spans="1:20" s="221" customFormat="1">
      <c r="A31" s="4313" t="s">
        <v>1084</v>
      </c>
      <c r="B31" s="4313"/>
      <c r="C31" s="4313"/>
      <c r="D31" s="4313"/>
      <c r="E31" s="4313"/>
      <c r="F31" s="4313"/>
      <c r="G31" s="4313"/>
      <c r="H31" s="4313"/>
      <c r="I31" s="4313"/>
      <c r="J31" s="4313"/>
      <c r="K31" s="4313"/>
      <c r="L31" s="4313"/>
      <c r="M31" s="4313"/>
      <c r="N31" s="4313"/>
      <c r="O31" s="4313"/>
      <c r="P31" s="4313"/>
      <c r="Q31" s="4313"/>
      <c r="R31" s="4313"/>
      <c r="S31" s="4313"/>
      <c r="T31" s="4313"/>
    </row>
  </sheetData>
  <mergeCells count="54">
    <mergeCell ref="A1:T1"/>
    <mergeCell ref="A2:T2"/>
    <mergeCell ref="A3:A12"/>
    <mergeCell ref="B3:B8"/>
    <mergeCell ref="C3:F3"/>
    <mergeCell ref="G3:T3"/>
    <mergeCell ref="C4:C8"/>
    <mergeCell ref="D4:D8"/>
    <mergeCell ref="E4:E8"/>
    <mergeCell ref="F4:F8"/>
    <mergeCell ref="G4:L6"/>
    <mergeCell ref="M4:M8"/>
    <mergeCell ref="N4:N8"/>
    <mergeCell ref="O4:T6"/>
    <mergeCell ref="G7:G8"/>
    <mergeCell ref="H7:H8"/>
    <mergeCell ref="I7:I8"/>
    <mergeCell ref="J7:J8"/>
    <mergeCell ref="K7:K8"/>
    <mergeCell ref="L7:L8"/>
    <mergeCell ref="O7:O8"/>
    <mergeCell ref="P7:P8"/>
    <mergeCell ref="Q7:Q8"/>
    <mergeCell ref="R7:R8"/>
    <mergeCell ref="S7:S8"/>
    <mergeCell ref="T7:T8"/>
    <mergeCell ref="B9:B12"/>
    <mergeCell ref="C9:C12"/>
    <mergeCell ref="D9:D12"/>
    <mergeCell ref="E9:E12"/>
    <mergeCell ref="F9:F12"/>
    <mergeCell ref="O9:O12"/>
    <mergeCell ref="P9:P12"/>
    <mergeCell ref="G9:G12"/>
    <mergeCell ref="H9:H12"/>
    <mergeCell ref="I9:I12"/>
    <mergeCell ref="J9:J12"/>
    <mergeCell ref="K9:K12"/>
    <mergeCell ref="A30:T30"/>
    <mergeCell ref="A31:T31"/>
    <mergeCell ref="T9:T12"/>
    <mergeCell ref="A23:T23"/>
    <mergeCell ref="A24:T24"/>
    <mergeCell ref="A25:T25"/>
    <mergeCell ref="A26:T26"/>
    <mergeCell ref="A27:T27"/>
    <mergeCell ref="Q9:Q12"/>
    <mergeCell ref="R9:R12"/>
    <mergeCell ref="S9:S12"/>
    <mergeCell ref="A28:T28"/>
    <mergeCell ref="A29:T29"/>
    <mergeCell ref="L9:L12"/>
    <mergeCell ref="M9:M12"/>
    <mergeCell ref="N9:N12"/>
  </mergeCells>
  <phoneticPr fontId="61" type="noConversion"/>
  <hyperlinks>
    <hyperlink ref="A1:T1" location="'A100000 中华人民共和国企业所得税年度纳税申报表（A类）'!A1" display="返回主表（A100000）"/>
    <hyperlink ref="A26:T26" r:id="rId1" display="《中国税务合规实务指南—所得税》  境外所得抵免[¶40-110]-[¶40-218]"/>
    <hyperlink ref="A29:T29" r:id="rId2" display="《财政部、国家税务总局关于企业境外所得税收抵免有关问题的通知》（财税〔2009〕125号）"/>
    <hyperlink ref="A30:T30" r:id="rId3" display="《国家税务总局关于发布〈企业境外所得税收抵免操作指南〉的公告》（国家税务总局公告2010年第1号）"/>
    <hyperlink ref="A31:T31" r:id="rId4" display="《财政部 税务总局关于完善企业境外所得税收抵免政策问题的通知》（财税〔2017〕84号）"/>
    <hyperlink ref="A26:IV26" r:id="rId5" display="《中国税务合规实务指南—所得税》  境外所得抵免[¶40-110]-[¶40-218]"/>
    <hyperlink ref="A29:IV29" r:id="rId6" display="《财政部、国家税务总局关于企业境外所得税收抵免有关问题的通知》（财税〔2009〕125号）"/>
    <hyperlink ref="A30:IV30" r:id="rId7" display="《国家税务总局关于发布〈企业境外所得税收抵免操作指南〉的公告》（国家税务总局公告2010年第1号）"/>
    <hyperlink ref="A31:IV31" r:id="rId8"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5" orientation="landscape" verticalDpi="0" r:id="rId9"/>
  <legacyDrawing r:id="rId10"/>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T26"/>
  <sheetViews>
    <sheetView workbookViewId="0">
      <selection sqref="A1:T1"/>
    </sheetView>
  </sheetViews>
  <sheetFormatPr defaultColWidth="12.625" defaultRowHeight="12.75"/>
  <cols>
    <col min="1" max="1" width="5.75" style="188" customWidth="1"/>
    <col min="2" max="20" width="9.75" style="188" customWidth="1"/>
    <col min="21" max="16384" width="12.625" style="188"/>
  </cols>
  <sheetData>
    <row r="1" spans="1:20" s="185" customFormat="1" ht="20.100000000000001" customHeight="1">
      <c r="A1" s="4081" t="s">
        <v>1209</v>
      </c>
      <c r="B1" s="4081"/>
      <c r="C1" s="4081"/>
      <c r="D1" s="4081"/>
      <c r="E1" s="4081"/>
      <c r="F1" s="4081"/>
      <c r="G1" s="4081"/>
      <c r="H1" s="4081"/>
      <c r="I1" s="4081"/>
      <c r="J1" s="4081"/>
      <c r="K1" s="4081"/>
      <c r="L1" s="4081"/>
      <c r="M1" s="4081"/>
      <c r="N1" s="4081"/>
      <c r="O1" s="4081"/>
      <c r="P1" s="4081"/>
      <c r="Q1" s="4081"/>
      <c r="R1" s="4081"/>
      <c r="S1" s="4081"/>
      <c r="T1" s="4081"/>
    </row>
    <row r="2" spans="1:20" s="186" customFormat="1" ht="25.5" customHeight="1">
      <c r="A2" s="4037" t="s">
        <v>1214</v>
      </c>
      <c r="B2" s="4026"/>
      <c r="C2" s="4026"/>
      <c r="D2" s="4026"/>
      <c r="E2" s="4026"/>
      <c r="F2" s="4026"/>
      <c r="G2" s="4026"/>
      <c r="H2" s="4026"/>
      <c r="I2" s="4026"/>
      <c r="J2" s="4026"/>
      <c r="K2" s="4026"/>
      <c r="L2" s="4026"/>
      <c r="M2" s="4026"/>
      <c r="N2" s="4026"/>
      <c r="O2" s="4026"/>
      <c r="P2" s="4026"/>
      <c r="Q2" s="4026"/>
      <c r="R2" s="4026"/>
      <c r="S2" s="4026"/>
      <c r="T2" s="4026"/>
    </row>
    <row r="3" spans="1:20" s="170" customFormat="1" ht="14.25" customHeight="1">
      <c r="A3" s="3920" t="s">
        <v>998</v>
      </c>
      <c r="B3" s="3920" t="s">
        <v>1058</v>
      </c>
      <c r="C3" s="3920" t="s">
        <v>1124</v>
      </c>
      <c r="D3" s="3920"/>
      <c r="E3" s="3920"/>
      <c r="F3" s="3920"/>
      <c r="G3" s="3920"/>
      <c r="H3" s="3920"/>
      <c r="I3" s="3920" t="s">
        <v>1125</v>
      </c>
      <c r="J3" s="3920"/>
      <c r="K3" s="3920"/>
      <c r="L3" s="3920"/>
      <c r="M3" s="3920"/>
      <c r="N3" s="3920"/>
      <c r="O3" s="3920" t="s">
        <v>1126</v>
      </c>
      <c r="P3" s="3920"/>
      <c r="Q3" s="3920"/>
      <c r="R3" s="3920"/>
      <c r="S3" s="3920"/>
      <c r="T3" s="3920"/>
    </row>
    <row r="4" spans="1:20" s="170" customFormat="1" ht="14.25" customHeight="1">
      <c r="A4" s="3920"/>
      <c r="B4" s="3920"/>
      <c r="C4" s="172" t="s">
        <v>1115</v>
      </c>
      <c r="D4" s="172" t="s">
        <v>1116</v>
      </c>
      <c r="E4" s="172" t="s">
        <v>1117</v>
      </c>
      <c r="F4" s="172" t="s">
        <v>1118</v>
      </c>
      <c r="G4" s="172" t="s">
        <v>1119</v>
      </c>
      <c r="H4" s="172" t="s">
        <v>1045</v>
      </c>
      <c r="I4" s="172" t="s">
        <v>1115</v>
      </c>
      <c r="J4" s="172" t="s">
        <v>1116</v>
      </c>
      <c r="K4" s="172" t="s">
        <v>1117</v>
      </c>
      <c r="L4" s="172" t="s">
        <v>1118</v>
      </c>
      <c r="M4" s="172" t="s">
        <v>1119</v>
      </c>
      <c r="N4" s="172" t="s">
        <v>1045</v>
      </c>
      <c r="O4" s="172" t="s">
        <v>1116</v>
      </c>
      <c r="P4" s="172" t="s">
        <v>1117</v>
      </c>
      <c r="Q4" s="172" t="s">
        <v>1118</v>
      </c>
      <c r="R4" s="172" t="s">
        <v>1119</v>
      </c>
      <c r="S4" s="172" t="s">
        <v>1120</v>
      </c>
      <c r="T4" s="172" t="s">
        <v>1045</v>
      </c>
    </row>
    <row r="5" spans="1:20" s="170" customFormat="1" ht="14.25" customHeight="1">
      <c r="A5" s="3920"/>
      <c r="B5" s="4032">
        <v>1</v>
      </c>
      <c r="C5" s="4032">
        <v>2</v>
      </c>
      <c r="D5" s="4032">
        <v>3</v>
      </c>
      <c r="E5" s="4032">
        <v>4</v>
      </c>
      <c r="F5" s="4032">
        <v>5</v>
      </c>
      <c r="G5" s="4032">
        <v>6</v>
      </c>
      <c r="H5" s="4032" t="s">
        <v>1127</v>
      </c>
      <c r="I5" s="4032">
        <v>8</v>
      </c>
      <c r="J5" s="4032">
        <v>9</v>
      </c>
      <c r="K5" s="4032">
        <v>10</v>
      </c>
      <c r="L5" s="4032">
        <v>11</v>
      </c>
      <c r="M5" s="4032">
        <v>12</v>
      </c>
      <c r="N5" s="4032" t="s">
        <v>1128</v>
      </c>
      <c r="O5" s="4032" t="s">
        <v>1129</v>
      </c>
      <c r="P5" s="4032" t="s">
        <v>1130</v>
      </c>
      <c r="Q5" s="4032" t="s">
        <v>1131</v>
      </c>
      <c r="R5" s="4032" t="s">
        <v>1132</v>
      </c>
      <c r="S5" s="4032">
        <v>18</v>
      </c>
      <c r="T5" s="4032" t="s">
        <v>1123</v>
      </c>
    </row>
    <row r="6" spans="1:20" s="170" customFormat="1" ht="14.25" customHeight="1">
      <c r="A6" s="3920"/>
      <c r="B6" s="4083"/>
      <c r="C6" s="4083"/>
      <c r="D6" s="4083"/>
      <c r="E6" s="4083"/>
      <c r="F6" s="4083"/>
      <c r="G6" s="4083"/>
      <c r="H6" s="4083"/>
      <c r="I6" s="4083"/>
      <c r="J6" s="4083"/>
      <c r="K6" s="4083"/>
      <c r="L6" s="4083"/>
      <c r="M6" s="4083"/>
      <c r="N6" s="4083"/>
      <c r="O6" s="4083"/>
      <c r="P6" s="4083"/>
      <c r="Q6" s="4083"/>
      <c r="R6" s="4083"/>
      <c r="S6" s="4083"/>
      <c r="T6" s="4083"/>
    </row>
    <row r="7" spans="1:20" s="170" customFormat="1" ht="14.25" customHeight="1">
      <c r="A7" s="3920"/>
      <c r="B7" s="4033"/>
      <c r="C7" s="4033">
        <v>2</v>
      </c>
      <c r="D7" s="4033">
        <v>3</v>
      </c>
      <c r="E7" s="4033">
        <v>4</v>
      </c>
      <c r="F7" s="4033">
        <v>5</v>
      </c>
      <c r="G7" s="4033">
        <v>6</v>
      </c>
      <c r="H7" s="4033"/>
      <c r="I7" s="4033">
        <v>8</v>
      </c>
      <c r="J7" s="4033">
        <v>9</v>
      </c>
      <c r="K7" s="4033">
        <v>10</v>
      </c>
      <c r="L7" s="4033">
        <v>11</v>
      </c>
      <c r="M7" s="4033">
        <v>12</v>
      </c>
      <c r="N7" s="4033"/>
      <c r="O7" s="4033"/>
      <c r="P7" s="4033"/>
      <c r="Q7" s="4033"/>
      <c r="R7" s="4033"/>
      <c r="S7" s="4033">
        <v>18</v>
      </c>
      <c r="T7" s="4033"/>
    </row>
    <row r="8" spans="1:20" s="170" customFormat="1" ht="14.25" customHeight="1">
      <c r="A8" s="172">
        <v>1</v>
      </c>
      <c r="B8" s="174" t="str">
        <f>跨年度结转抵免境外所得税审核表!B6&amp;""</f>
        <v/>
      </c>
      <c r="C8" s="175">
        <f>跨年度结转抵免境外所得税审核表!C6</f>
        <v>0</v>
      </c>
      <c r="D8" s="175">
        <f>跨年度结转抵免境外所得税审核表!D6</f>
        <v>0</v>
      </c>
      <c r="E8" s="175">
        <f>跨年度结转抵免境外所得税审核表!E6</f>
        <v>0</v>
      </c>
      <c r="F8" s="175">
        <f>跨年度结转抵免境外所得税审核表!F6</f>
        <v>0</v>
      </c>
      <c r="G8" s="175">
        <f>跨年度结转抵免境外所得税审核表!G6</f>
        <v>0</v>
      </c>
      <c r="H8" s="344">
        <f>ROUND(SUM(C8:G8),2)</f>
        <v>0</v>
      </c>
      <c r="I8" s="175">
        <f>跨年度结转抵免境外所得税审核表!I6</f>
        <v>0</v>
      </c>
      <c r="J8" s="175">
        <f>跨年度结转抵免境外所得税审核表!J6</f>
        <v>0</v>
      </c>
      <c r="K8" s="175">
        <f>跨年度结转抵免境外所得税审核表!K6</f>
        <v>0</v>
      </c>
      <c r="L8" s="175">
        <f>跨年度结转抵免境外所得税审核表!L6</f>
        <v>0</v>
      </c>
      <c r="M8" s="175">
        <f>跨年度结转抵免境外所得税审核表!M6</f>
        <v>0</v>
      </c>
      <c r="N8" s="344">
        <f>ROUND(SUM(I8:M8),2)</f>
        <v>0</v>
      </c>
      <c r="O8" s="344">
        <f>ROUND(D8-J8,2)</f>
        <v>0</v>
      </c>
      <c r="P8" s="344">
        <f>ROUND(E8-K8,2)</f>
        <v>0</v>
      </c>
      <c r="Q8" s="344">
        <f>ROUND(F8-L8,2)</f>
        <v>0</v>
      </c>
      <c r="R8" s="344">
        <f>ROUND(G8-M8,2)</f>
        <v>0</v>
      </c>
      <c r="S8" s="175">
        <f>跨年度结转抵免境外所得税审核表!S6</f>
        <v>0</v>
      </c>
      <c r="T8" s="344">
        <f>ROUND(SUM(O8:S8),2)</f>
        <v>0</v>
      </c>
    </row>
    <row r="9" spans="1:20" s="170" customFormat="1" ht="14.25" customHeight="1">
      <c r="A9" s="172">
        <v>2</v>
      </c>
      <c r="B9" s="469" t="str">
        <f>跨年度结转抵免境外所得税审核表!B7&amp;""</f>
        <v/>
      </c>
      <c r="C9" s="175">
        <f>跨年度结转抵免境外所得税审核表!C7</f>
        <v>0</v>
      </c>
      <c r="D9" s="175">
        <f>跨年度结转抵免境外所得税审核表!D7</f>
        <v>0</v>
      </c>
      <c r="E9" s="175">
        <f>跨年度结转抵免境外所得税审核表!E7</f>
        <v>0</v>
      </c>
      <c r="F9" s="175">
        <f>跨年度结转抵免境外所得税审核表!F7</f>
        <v>0</v>
      </c>
      <c r="G9" s="175">
        <f>跨年度结转抵免境外所得税审核表!G7</f>
        <v>0</v>
      </c>
      <c r="H9" s="344">
        <f t="shared" ref="H9:H17" si="0">ROUND(SUM(C9:G9),2)</f>
        <v>0</v>
      </c>
      <c r="I9" s="175">
        <f>跨年度结转抵免境外所得税审核表!I7</f>
        <v>0</v>
      </c>
      <c r="J9" s="175">
        <f>跨年度结转抵免境外所得税审核表!J7</f>
        <v>0</v>
      </c>
      <c r="K9" s="175">
        <f>跨年度结转抵免境外所得税审核表!K7</f>
        <v>0</v>
      </c>
      <c r="L9" s="175">
        <f>跨年度结转抵免境外所得税审核表!L7</f>
        <v>0</v>
      </c>
      <c r="M9" s="175">
        <f>跨年度结转抵免境外所得税审核表!M7</f>
        <v>0</v>
      </c>
      <c r="N9" s="344">
        <f t="shared" ref="N9:N16" si="1">ROUND(SUM(I9:M9),2)</f>
        <v>0</v>
      </c>
      <c r="O9" s="344">
        <f t="shared" ref="O9:R17" si="2">ROUND(D9-J9,2)</f>
        <v>0</v>
      </c>
      <c r="P9" s="344">
        <f t="shared" si="2"/>
        <v>0</v>
      </c>
      <c r="Q9" s="344">
        <f t="shared" si="2"/>
        <v>0</v>
      </c>
      <c r="R9" s="344">
        <f t="shared" si="2"/>
        <v>0</v>
      </c>
      <c r="S9" s="175">
        <f>跨年度结转抵免境外所得税审核表!S7</f>
        <v>0</v>
      </c>
      <c r="T9" s="344">
        <f t="shared" ref="T9:T17" si="3">ROUND(SUM(O9:S9),2)</f>
        <v>0</v>
      </c>
    </row>
    <row r="10" spans="1:20" s="170" customFormat="1" ht="14.25" customHeight="1">
      <c r="A10" s="172">
        <v>3</v>
      </c>
      <c r="B10" s="469" t="str">
        <f>跨年度结转抵免境外所得税审核表!B8&amp;""</f>
        <v/>
      </c>
      <c r="C10" s="175">
        <f>跨年度结转抵免境外所得税审核表!C8</f>
        <v>0</v>
      </c>
      <c r="D10" s="175">
        <f>跨年度结转抵免境外所得税审核表!D8</f>
        <v>0</v>
      </c>
      <c r="E10" s="175">
        <f>跨年度结转抵免境外所得税审核表!E8</f>
        <v>0</v>
      </c>
      <c r="F10" s="175">
        <f>跨年度结转抵免境外所得税审核表!F8</f>
        <v>0</v>
      </c>
      <c r="G10" s="175">
        <f>跨年度结转抵免境外所得税审核表!G8</f>
        <v>0</v>
      </c>
      <c r="H10" s="344">
        <f t="shared" si="0"/>
        <v>0</v>
      </c>
      <c r="I10" s="175">
        <f>跨年度结转抵免境外所得税审核表!I8</f>
        <v>0</v>
      </c>
      <c r="J10" s="175">
        <f>跨年度结转抵免境外所得税审核表!J8</f>
        <v>0</v>
      </c>
      <c r="K10" s="175">
        <f>跨年度结转抵免境外所得税审核表!K8</f>
        <v>0</v>
      </c>
      <c r="L10" s="175">
        <f>跨年度结转抵免境外所得税审核表!L8</f>
        <v>0</v>
      </c>
      <c r="M10" s="175">
        <f>跨年度结转抵免境外所得税审核表!M8</f>
        <v>0</v>
      </c>
      <c r="N10" s="344">
        <f t="shared" si="1"/>
        <v>0</v>
      </c>
      <c r="O10" s="344">
        <f t="shared" si="2"/>
        <v>0</v>
      </c>
      <c r="P10" s="344">
        <f t="shared" si="2"/>
        <v>0</v>
      </c>
      <c r="Q10" s="344">
        <f t="shared" si="2"/>
        <v>0</v>
      </c>
      <c r="R10" s="344">
        <f t="shared" si="2"/>
        <v>0</v>
      </c>
      <c r="S10" s="175">
        <f>跨年度结转抵免境外所得税审核表!S8</f>
        <v>0</v>
      </c>
      <c r="T10" s="344">
        <f t="shared" si="3"/>
        <v>0</v>
      </c>
    </row>
    <row r="11" spans="1:20" s="170" customFormat="1" ht="14.25" customHeight="1">
      <c r="A11" s="172">
        <v>4</v>
      </c>
      <c r="B11" s="469" t="str">
        <f>跨年度结转抵免境外所得税审核表!B9&amp;""</f>
        <v/>
      </c>
      <c r="C11" s="175">
        <f>跨年度结转抵免境外所得税审核表!C9</f>
        <v>0</v>
      </c>
      <c r="D11" s="175">
        <f>跨年度结转抵免境外所得税审核表!D9</f>
        <v>0</v>
      </c>
      <c r="E11" s="175">
        <f>跨年度结转抵免境外所得税审核表!E9</f>
        <v>0</v>
      </c>
      <c r="F11" s="175">
        <f>跨年度结转抵免境外所得税审核表!F9</f>
        <v>0</v>
      </c>
      <c r="G11" s="175">
        <f>跨年度结转抵免境外所得税审核表!G9</f>
        <v>0</v>
      </c>
      <c r="H11" s="344">
        <f t="shared" si="0"/>
        <v>0</v>
      </c>
      <c r="I11" s="175">
        <f>跨年度结转抵免境外所得税审核表!I9</f>
        <v>0</v>
      </c>
      <c r="J11" s="175">
        <f>跨年度结转抵免境外所得税审核表!J9</f>
        <v>0</v>
      </c>
      <c r="K11" s="175">
        <f>跨年度结转抵免境外所得税审核表!K9</f>
        <v>0</v>
      </c>
      <c r="L11" s="175">
        <f>跨年度结转抵免境外所得税审核表!L9</f>
        <v>0</v>
      </c>
      <c r="M11" s="175">
        <f>跨年度结转抵免境外所得税审核表!M9</f>
        <v>0</v>
      </c>
      <c r="N11" s="344">
        <f t="shared" si="1"/>
        <v>0</v>
      </c>
      <c r="O11" s="344">
        <f t="shared" si="2"/>
        <v>0</v>
      </c>
      <c r="P11" s="344">
        <f t="shared" si="2"/>
        <v>0</v>
      </c>
      <c r="Q11" s="344">
        <f t="shared" si="2"/>
        <v>0</v>
      </c>
      <c r="R11" s="344">
        <f t="shared" si="2"/>
        <v>0</v>
      </c>
      <c r="S11" s="175">
        <f>跨年度结转抵免境外所得税审核表!S9</f>
        <v>0</v>
      </c>
      <c r="T11" s="344">
        <f t="shared" si="3"/>
        <v>0</v>
      </c>
    </row>
    <row r="12" spans="1:20" s="170" customFormat="1" ht="14.25" customHeight="1">
      <c r="A12" s="172">
        <v>5</v>
      </c>
      <c r="B12" s="469" t="str">
        <f>跨年度结转抵免境外所得税审核表!B10&amp;""</f>
        <v/>
      </c>
      <c r="C12" s="175">
        <f>跨年度结转抵免境外所得税审核表!C10</f>
        <v>0</v>
      </c>
      <c r="D12" s="175">
        <f>跨年度结转抵免境外所得税审核表!D10</f>
        <v>0</v>
      </c>
      <c r="E12" s="175">
        <f>跨年度结转抵免境外所得税审核表!E10</f>
        <v>0</v>
      </c>
      <c r="F12" s="175">
        <f>跨年度结转抵免境外所得税审核表!F10</f>
        <v>0</v>
      </c>
      <c r="G12" s="175">
        <f>跨年度结转抵免境外所得税审核表!G10</f>
        <v>0</v>
      </c>
      <c r="H12" s="344">
        <f t="shared" si="0"/>
        <v>0</v>
      </c>
      <c r="I12" s="175">
        <f>跨年度结转抵免境外所得税审核表!I10</f>
        <v>0</v>
      </c>
      <c r="J12" s="175">
        <f>跨年度结转抵免境外所得税审核表!J10</f>
        <v>0</v>
      </c>
      <c r="K12" s="175">
        <f>跨年度结转抵免境外所得税审核表!K10</f>
        <v>0</v>
      </c>
      <c r="L12" s="175">
        <f>跨年度结转抵免境外所得税审核表!L10</f>
        <v>0</v>
      </c>
      <c r="M12" s="175">
        <f>跨年度结转抵免境外所得税审核表!M10</f>
        <v>0</v>
      </c>
      <c r="N12" s="344">
        <f t="shared" si="1"/>
        <v>0</v>
      </c>
      <c r="O12" s="344">
        <f t="shared" si="2"/>
        <v>0</v>
      </c>
      <c r="P12" s="344">
        <f t="shared" si="2"/>
        <v>0</v>
      </c>
      <c r="Q12" s="344">
        <f t="shared" si="2"/>
        <v>0</v>
      </c>
      <c r="R12" s="344">
        <f t="shared" si="2"/>
        <v>0</v>
      </c>
      <c r="S12" s="175">
        <f>跨年度结转抵免境外所得税审核表!S10</f>
        <v>0</v>
      </c>
      <c r="T12" s="344">
        <f t="shared" si="3"/>
        <v>0</v>
      </c>
    </row>
    <row r="13" spans="1:20" s="170" customFormat="1" ht="14.25" customHeight="1">
      <c r="A13" s="172">
        <v>6</v>
      </c>
      <c r="B13" s="469" t="str">
        <f>跨年度结转抵免境外所得税审核表!B11&amp;""</f>
        <v/>
      </c>
      <c r="C13" s="175">
        <f>跨年度结转抵免境外所得税审核表!C11</f>
        <v>0</v>
      </c>
      <c r="D13" s="175">
        <f>跨年度结转抵免境外所得税审核表!D11</f>
        <v>0</v>
      </c>
      <c r="E13" s="175">
        <f>跨年度结转抵免境外所得税审核表!E11</f>
        <v>0</v>
      </c>
      <c r="F13" s="175">
        <f>跨年度结转抵免境外所得税审核表!F11</f>
        <v>0</v>
      </c>
      <c r="G13" s="175">
        <f>跨年度结转抵免境外所得税审核表!G11</f>
        <v>0</v>
      </c>
      <c r="H13" s="344">
        <f t="shared" si="0"/>
        <v>0</v>
      </c>
      <c r="I13" s="175">
        <f>跨年度结转抵免境外所得税审核表!I11</f>
        <v>0</v>
      </c>
      <c r="J13" s="175">
        <f>跨年度结转抵免境外所得税审核表!J11</f>
        <v>0</v>
      </c>
      <c r="K13" s="175">
        <f>跨年度结转抵免境外所得税审核表!K11</f>
        <v>0</v>
      </c>
      <c r="L13" s="175">
        <f>跨年度结转抵免境外所得税审核表!L11</f>
        <v>0</v>
      </c>
      <c r="M13" s="175">
        <f>跨年度结转抵免境外所得税审核表!M11</f>
        <v>0</v>
      </c>
      <c r="N13" s="344">
        <f t="shared" si="1"/>
        <v>0</v>
      </c>
      <c r="O13" s="344">
        <f t="shared" si="2"/>
        <v>0</v>
      </c>
      <c r="P13" s="344">
        <f t="shared" si="2"/>
        <v>0</v>
      </c>
      <c r="Q13" s="344">
        <f t="shared" si="2"/>
        <v>0</v>
      </c>
      <c r="R13" s="344">
        <f t="shared" si="2"/>
        <v>0</v>
      </c>
      <c r="S13" s="175">
        <f>跨年度结转抵免境外所得税审核表!S11</f>
        <v>0</v>
      </c>
      <c r="T13" s="344">
        <f t="shared" si="3"/>
        <v>0</v>
      </c>
    </row>
    <row r="14" spans="1:20" s="170" customFormat="1" ht="14.25" customHeight="1">
      <c r="A14" s="172">
        <v>7</v>
      </c>
      <c r="B14" s="469" t="str">
        <f>跨年度结转抵免境外所得税审核表!B12&amp;""</f>
        <v/>
      </c>
      <c r="C14" s="175">
        <f>跨年度结转抵免境外所得税审核表!C12</f>
        <v>0</v>
      </c>
      <c r="D14" s="175">
        <f>跨年度结转抵免境外所得税审核表!D12</f>
        <v>0</v>
      </c>
      <c r="E14" s="175">
        <f>跨年度结转抵免境外所得税审核表!E12</f>
        <v>0</v>
      </c>
      <c r="F14" s="175">
        <f>跨年度结转抵免境外所得税审核表!F12</f>
        <v>0</v>
      </c>
      <c r="G14" s="175">
        <f>跨年度结转抵免境外所得税审核表!G12</f>
        <v>0</v>
      </c>
      <c r="H14" s="344">
        <f t="shared" si="0"/>
        <v>0</v>
      </c>
      <c r="I14" s="175">
        <f>跨年度结转抵免境外所得税审核表!I12</f>
        <v>0</v>
      </c>
      <c r="J14" s="175">
        <f>跨年度结转抵免境外所得税审核表!J12</f>
        <v>0</v>
      </c>
      <c r="K14" s="175">
        <f>跨年度结转抵免境外所得税审核表!K12</f>
        <v>0</v>
      </c>
      <c r="L14" s="175">
        <f>跨年度结转抵免境外所得税审核表!L12</f>
        <v>0</v>
      </c>
      <c r="M14" s="175">
        <f>跨年度结转抵免境外所得税审核表!M12</f>
        <v>0</v>
      </c>
      <c r="N14" s="344">
        <f t="shared" si="1"/>
        <v>0</v>
      </c>
      <c r="O14" s="344">
        <f t="shared" si="2"/>
        <v>0</v>
      </c>
      <c r="P14" s="344">
        <f t="shared" si="2"/>
        <v>0</v>
      </c>
      <c r="Q14" s="344">
        <f t="shared" si="2"/>
        <v>0</v>
      </c>
      <c r="R14" s="344">
        <f t="shared" si="2"/>
        <v>0</v>
      </c>
      <c r="S14" s="175">
        <f>跨年度结转抵免境外所得税审核表!S12</f>
        <v>0</v>
      </c>
      <c r="T14" s="344">
        <f t="shared" si="3"/>
        <v>0</v>
      </c>
    </row>
    <row r="15" spans="1:20" s="170" customFormat="1" ht="14.25" customHeight="1">
      <c r="A15" s="172">
        <v>8</v>
      </c>
      <c r="B15" s="469" t="str">
        <f>跨年度结转抵免境外所得税审核表!B13&amp;""</f>
        <v/>
      </c>
      <c r="C15" s="175">
        <f>跨年度结转抵免境外所得税审核表!C13</f>
        <v>0</v>
      </c>
      <c r="D15" s="175">
        <f>跨年度结转抵免境外所得税审核表!D13</f>
        <v>0</v>
      </c>
      <c r="E15" s="175">
        <f>跨年度结转抵免境外所得税审核表!E13</f>
        <v>0</v>
      </c>
      <c r="F15" s="175">
        <f>跨年度结转抵免境外所得税审核表!F13</f>
        <v>0</v>
      </c>
      <c r="G15" s="175">
        <f>跨年度结转抵免境外所得税审核表!G13</f>
        <v>0</v>
      </c>
      <c r="H15" s="344">
        <f t="shared" si="0"/>
        <v>0</v>
      </c>
      <c r="I15" s="175">
        <f>跨年度结转抵免境外所得税审核表!I13</f>
        <v>0</v>
      </c>
      <c r="J15" s="175">
        <f>跨年度结转抵免境外所得税审核表!J13</f>
        <v>0</v>
      </c>
      <c r="K15" s="175">
        <f>跨年度结转抵免境外所得税审核表!K13</f>
        <v>0</v>
      </c>
      <c r="L15" s="175">
        <f>跨年度结转抵免境外所得税审核表!L13</f>
        <v>0</v>
      </c>
      <c r="M15" s="175">
        <f>跨年度结转抵免境外所得税审核表!M13</f>
        <v>0</v>
      </c>
      <c r="N15" s="344">
        <f t="shared" si="1"/>
        <v>0</v>
      </c>
      <c r="O15" s="344">
        <f t="shared" si="2"/>
        <v>0</v>
      </c>
      <c r="P15" s="344">
        <f t="shared" si="2"/>
        <v>0</v>
      </c>
      <c r="Q15" s="344">
        <f t="shared" si="2"/>
        <v>0</v>
      </c>
      <c r="R15" s="344">
        <f t="shared" si="2"/>
        <v>0</v>
      </c>
      <c r="S15" s="175">
        <f>跨年度结转抵免境外所得税审核表!S13</f>
        <v>0</v>
      </c>
      <c r="T15" s="344">
        <f t="shared" si="3"/>
        <v>0</v>
      </c>
    </row>
    <row r="16" spans="1:20" s="187" customFormat="1" ht="14.25" customHeight="1">
      <c r="A16" s="172">
        <v>9</v>
      </c>
      <c r="B16" s="469" t="str">
        <f>跨年度结转抵免境外所得税审核表!B14&amp;""</f>
        <v/>
      </c>
      <c r="C16" s="175">
        <f>跨年度结转抵免境外所得税审核表!C14</f>
        <v>0</v>
      </c>
      <c r="D16" s="175">
        <f>跨年度结转抵免境外所得税审核表!D14</f>
        <v>0</v>
      </c>
      <c r="E16" s="175">
        <f>跨年度结转抵免境外所得税审核表!E14</f>
        <v>0</v>
      </c>
      <c r="F16" s="175">
        <f>跨年度结转抵免境外所得税审核表!F14</f>
        <v>0</v>
      </c>
      <c r="G16" s="175">
        <f>跨年度结转抵免境外所得税审核表!G14</f>
        <v>0</v>
      </c>
      <c r="H16" s="344">
        <f t="shared" si="0"/>
        <v>0</v>
      </c>
      <c r="I16" s="175">
        <f>跨年度结转抵免境外所得税审核表!I14</f>
        <v>0</v>
      </c>
      <c r="J16" s="175">
        <f>跨年度结转抵免境外所得税审核表!J14</f>
        <v>0</v>
      </c>
      <c r="K16" s="175">
        <f>跨年度结转抵免境外所得税审核表!K14</f>
        <v>0</v>
      </c>
      <c r="L16" s="175">
        <f>跨年度结转抵免境外所得税审核表!L14</f>
        <v>0</v>
      </c>
      <c r="M16" s="175">
        <f>跨年度结转抵免境外所得税审核表!M14</f>
        <v>0</v>
      </c>
      <c r="N16" s="344">
        <f t="shared" si="1"/>
        <v>0</v>
      </c>
      <c r="O16" s="344">
        <f t="shared" si="2"/>
        <v>0</v>
      </c>
      <c r="P16" s="344">
        <f t="shared" si="2"/>
        <v>0</v>
      </c>
      <c r="Q16" s="344">
        <f t="shared" si="2"/>
        <v>0</v>
      </c>
      <c r="R16" s="344">
        <f t="shared" si="2"/>
        <v>0</v>
      </c>
      <c r="S16" s="175">
        <f>跨年度结转抵免境外所得税审核表!S14</f>
        <v>0</v>
      </c>
      <c r="T16" s="344">
        <f t="shared" si="3"/>
        <v>0</v>
      </c>
    </row>
    <row r="17" spans="1:20" s="187" customFormat="1" ht="14.25" customHeight="1">
      <c r="A17" s="172">
        <v>10</v>
      </c>
      <c r="B17" s="55" t="s">
        <v>757</v>
      </c>
      <c r="C17" s="344">
        <f>ROUND(SUM(C8:C16),2)</f>
        <v>0</v>
      </c>
      <c r="D17" s="344">
        <f>ROUND(SUM(D8:D16),2)</f>
        <v>0</v>
      </c>
      <c r="E17" s="344">
        <f>ROUND(SUM(E8:E16),2)</f>
        <v>0</v>
      </c>
      <c r="F17" s="344">
        <f>ROUND(SUM(F8:F16),2)</f>
        <v>0</v>
      </c>
      <c r="G17" s="344">
        <f>ROUND(SUM(G8:G16),2)</f>
        <v>0</v>
      </c>
      <c r="H17" s="344">
        <f t="shared" si="0"/>
        <v>0</v>
      </c>
      <c r="I17" s="344">
        <f>ROUND(SUM(I8:I16),2)</f>
        <v>0</v>
      </c>
      <c r="J17" s="344">
        <f>ROUND(SUM(J8:J16),2)</f>
        <v>0</v>
      </c>
      <c r="K17" s="344">
        <f>ROUND(SUM(K8:K16),2)</f>
        <v>0</v>
      </c>
      <c r="L17" s="344">
        <f>ROUND(SUM(L8:L16),2)</f>
        <v>0</v>
      </c>
      <c r="M17" s="344">
        <f>ROUND(SUM(M8:M16),2)</f>
        <v>0</v>
      </c>
      <c r="N17" s="344">
        <f>ROUND(SUM(I17:M17),2)</f>
        <v>0</v>
      </c>
      <c r="O17" s="344">
        <f t="shared" si="2"/>
        <v>0</v>
      </c>
      <c r="P17" s="344">
        <f t="shared" si="2"/>
        <v>0</v>
      </c>
      <c r="Q17" s="344">
        <f t="shared" si="2"/>
        <v>0</v>
      </c>
      <c r="R17" s="344">
        <f t="shared" si="2"/>
        <v>0</v>
      </c>
      <c r="S17" s="344">
        <f>ROUND(SUM(S8:S16),2)</f>
        <v>0</v>
      </c>
      <c r="T17" s="344">
        <f t="shared" si="3"/>
        <v>0</v>
      </c>
    </row>
    <row r="18" spans="1:20" s="171" customFormat="1" ht="15" customHeight="1">
      <c r="A18" s="4308"/>
      <c r="B18" s="4308"/>
      <c r="C18" s="4308"/>
      <c r="D18" s="4308"/>
      <c r="E18" s="4308"/>
      <c r="F18" s="4308"/>
      <c r="G18" s="4308"/>
      <c r="H18" s="4308"/>
      <c r="I18" s="4308"/>
      <c r="J18" s="4308"/>
      <c r="K18" s="4308"/>
      <c r="L18" s="4308"/>
      <c r="M18" s="4308"/>
      <c r="N18" s="4308"/>
      <c r="O18" s="4308"/>
      <c r="P18" s="4308"/>
      <c r="Q18" s="4308"/>
      <c r="R18" s="4308"/>
      <c r="S18" s="4308"/>
      <c r="T18" s="4308"/>
    </row>
    <row r="19" spans="1:20" s="171" customFormat="1" ht="15" customHeight="1">
      <c r="A19" s="4302"/>
      <c r="B19" s="4303"/>
      <c r="C19" s="4303"/>
      <c r="D19" s="4303"/>
      <c r="E19" s="4303"/>
      <c r="F19" s="4303"/>
      <c r="G19" s="4303"/>
      <c r="H19" s="4303"/>
      <c r="I19" s="4303"/>
      <c r="J19" s="4303"/>
      <c r="K19" s="4303"/>
      <c r="L19" s="4303"/>
      <c r="M19" s="4303"/>
      <c r="N19" s="4303"/>
      <c r="O19" s="4303"/>
      <c r="P19" s="4303"/>
      <c r="Q19" s="4303"/>
      <c r="R19" s="4303"/>
      <c r="S19" s="4303"/>
      <c r="T19" s="4303"/>
    </row>
    <row r="20" spans="1:20" s="171" customFormat="1" ht="15" customHeight="1">
      <c r="A20" s="4304" t="s">
        <v>1585</v>
      </c>
      <c r="B20" s="4295"/>
      <c r="C20" s="4295"/>
      <c r="D20" s="4295"/>
      <c r="E20" s="4295"/>
      <c r="F20" s="4295"/>
      <c r="G20" s="4295"/>
      <c r="H20" s="4295"/>
      <c r="I20" s="4295"/>
      <c r="J20" s="4295"/>
      <c r="K20" s="4295"/>
      <c r="L20" s="4295"/>
      <c r="M20" s="4295"/>
      <c r="N20" s="4295"/>
      <c r="O20" s="4295"/>
      <c r="P20" s="4295"/>
      <c r="Q20" s="4295"/>
      <c r="R20" s="4295"/>
      <c r="S20" s="4295"/>
      <c r="T20" s="4318"/>
    </row>
    <row r="21" spans="1:20" s="213" customFormat="1" ht="15" customHeight="1">
      <c r="A21" s="4313" t="s">
        <v>1603</v>
      </c>
      <c r="B21" s="4313"/>
      <c r="C21" s="4313"/>
      <c r="D21" s="4313"/>
      <c r="E21" s="4313"/>
      <c r="F21" s="4313"/>
      <c r="G21" s="4313"/>
      <c r="H21" s="4313"/>
      <c r="I21" s="4313"/>
      <c r="J21" s="4313"/>
      <c r="K21" s="4313"/>
      <c r="L21" s="4313"/>
      <c r="M21" s="4313"/>
      <c r="N21" s="4313"/>
      <c r="O21" s="4313"/>
      <c r="P21" s="4313"/>
      <c r="Q21" s="4313"/>
      <c r="R21" s="4313"/>
      <c r="S21" s="4313"/>
      <c r="T21" s="4313"/>
    </row>
    <row r="22" spans="1:20" s="229" customFormat="1" ht="15" customHeight="1">
      <c r="A22" s="4315"/>
      <c r="B22" s="4319"/>
      <c r="C22" s="4319"/>
      <c r="D22" s="4319"/>
      <c r="E22" s="4319"/>
      <c r="F22" s="4319"/>
      <c r="G22" s="4319"/>
      <c r="H22" s="4319"/>
      <c r="I22" s="4319"/>
      <c r="J22" s="4319"/>
      <c r="K22" s="4319"/>
      <c r="L22" s="4319"/>
      <c r="M22" s="4319"/>
      <c r="N22" s="4319"/>
      <c r="O22" s="4319"/>
      <c r="P22" s="4319"/>
      <c r="Q22" s="4319"/>
      <c r="R22" s="4319"/>
      <c r="S22" s="4319"/>
      <c r="T22" s="4319"/>
    </row>
    <row r="23" spans="1:20" ht="15" customHeight="1">
      <c r="A23" s="4307" t="s">
        <v>1587</v>
      </c>
      <c r="B23" s="4295"/>
      <c r="C23" s="4295"/>
      <c r="D23" s="4295"/>
      <c r="E23" s="4295"/>
      <c r="F23" s="4295"/>
      <c r="G23" s="4295"/>
      <c r="H23" s="4295"/>
      <c r="I23" s="4295"/>
      <c r="J23" s="4295"/>
      <c r="K23" s="4295"/>
      <c r="L23" s="4295"/>
      <c r="M23" s="4295"/>
      <c r="N23" s="4295"/>
      <c r="O23" s="4295"/>
      <c r="P23" s="4295"/>
      <c r="Q23" s="4295"/>
      <c r="R23" s="4295"/>
      <c r="S23" s="4295"/>
      <c r="T23" s="4318"/>
    </row>
    <row r="24" spans="1:20" s="221" customFormat="1" ht="15" customHeight="1">
      <c r="A24" s="4313" t="s">
        <v>1599</v>
      </c>
      <c r="B24" s="4313"/>
      <c r="C24" s="4313"/>
      <c r="D24" s="4313"/>
      <c r="E24" s="4313"/>
      <c r="F24" s="4313"/>
      <c r="G24" s="4313"/>
      <c r="H24" s="4313"/>
      <c r="I24" s="4313"/>
      <c r="J24" s="4313"/>
      <c r="K24" s="4313"/>
      <c r="L24" s="4313"/>
      <c r="M24" s="4313"/>
      <c r="N24" s="4313"/>
      <c r="O24" s="4313"/>
      <c r="P24" s="4313"/>
      <c r="Q24" s="4313"/>
      <c r="R24" s="4313"/>
      <c r="S24" s="4313"/>
      <c r="T24" s="4313"/>
    </row>
    <row r="25" spans="1:20" s="221" customFormat="1" ht="15" customHeight="1">
      <c r="A25" s="4313" t="s">
        <v>1600</v>
      </c>
      <c r="B25" s="4313"/>
      <c r="C25" s="4313"/>
      <c r="D25" s="4313"/>
      <c r="E25" s="4313"/>
      <c r="F25" s="4313"/>
      <c r="G25" s="4313"/>
      <c r="H25" s="4313"/>
      <c r="I25" s="4313"/>
      <c r="J25" s="4313"/>
      <c r="K25" s="4313"/>
      <c r="L25" s="4313"/>
      <c r="M25" s="4313"/>
      <c r="N25" s="4313"/>
      <c r="O25" s="4313"/>
      <c r="P25" s="4313"/>
      <c r="Q25" s="4313"/>
      <c r="R25" s="4313"/>
      <c r="S25" s="4313"/>
      <c r="T25" s="4313"/>
    </row>
    <row r="26" spans="1:20" s="221" customFormat="1" ht="12">
      <c r="A26" s="4313" t="s">
        <v>1084</v>
      </c>
      <c r="B26" s="4313"/>
      <c r="C26" s="4313"/>
      <c r="D26" s="4313"/>
      <c r="E26" s="4313"/>
      <c r="F26" s="4313"/>
      <c r="G26" s="4313"/>
      <c r="H26" s="4313"/>
      <c r="I26" s="4313"/>
      <c r="J26" s="4313"/>
      <c r="K26" s="4313"/>
      <c r="L26" s="4313"/>
      <c r="M26" s="4313"/>
      <c r="N26" s="4313"/>
      <c r="O26" s="4313"/>
      <c r="P26" s="4313"/>
      <c r="Q26" s="4313"/>
      <c r="R26" s="4313"/>
      <c r="S26" s="4313"/>
      <c r="T26" s="4313"/>
    </row>
  </sheetData>
  <mergeCells count="35">
    <mergeCell ref="A1:T1"/>
    <mergeCell ref="A2:T2"/>
    <mergeCell ref="A3:A7"/>
    <mergeCell ref="B3:B4"/>
    <mergeCell ref="C3:H3"/>
    <mergeCell ref="I3:N3"/>
    <mergeCell ref="O3:T3"/>
    <mergeCell ref="B5:B7"/>
    <mergeCell ref="C5:C7"/>
    <mergeCell ref="D5:D7"/>
    <mergeCell ref="O5:O7"/>
    <mergeCell ref="P5:P7"/>
    <mergeCell ref="E5:E7"/>
    <mergeCell ref="F5:F7"/>
    <mergeCell ref="G5:G7"/>
    <mergeCell ref="H5:H7"/>
    <mergeCell ref="T5:T7"/>
    <mergeCell ref="A18:T18"/>
    <mergeCell ref="A19:T19"/>
    <mergeCell ref="K5:K7"/>
    <mergeCell ref="L5:L7"/>
    <mergeCell ref="M5:M7"/>
    <mergeCell ref="N5:N7"/>
    <mergeCell ref="I5:I7"/>
    <mergeCell ref="J5:J7"/>
    <mergeCell ref="Q5:Q7"/>
    <mergeCell ref="R5:R7"/>
    <mergeCell ref="S5:S7"/>
    <mergeCell ref="A26:T26"/>
    <mergeCell ref="A20:T20"/>
    <mergeCell ref="A21:T21"/>
    <mergeCell ref="A22:T22"/>
    <mergeCell ref="A23:T23"/>
    <mergeCell ref="A24:T24"/>
    <mergeCell ref="A25:T25"/>
  </mergeCells>
  <phoneticPr fontId="61" type="noConversion"/>
  <hyperlinks>
    <hyperlink ref="A1:T1" location="'A100000 中华人民共和国企业所得税年度纳税申报表（A类）'!A1" display="返回主表（A100000）"/>
    <hyperlink ref="A21:T21" r:id="rId1" display="《中国税务合规实务指南—所得税》  境外所得抵免[¶40-110]-[¶40-218]"/>
    <hyperlink ref="A24:T24" r:id="rId2" display="《财政部、国家税务总局关于企业境外所得税收抵免有关问题的通知》（财税〔2009〕125号）"/>
    <hyperlink ref="A25:T25" r:id="rId3" display="《国家税务总局关于发布〈企业境外所得税收抵免操作指南〉的公告》（国家税务总局公告2010年第1号）"/>
    <hyperlink ref="A26:T26" r:id="rId4" display="《财政部 税务总局关于完善企业境外所得税收抵免政策问题的通知》（财税〔2017〕84号）"/>
    <hyperlink ref="A21:IV21" r:id="rId5" display="《中国税务合规实务指南—所得税》  境外所得抵免[¶40-110]-[¶40-218]"/>
    <hyperlink ref="A24:IV24" r:id="rId6" display="《财政部、国家税务总局关于企业境外所得税收抵免有关问题的通知》（财税〔2009〕125号）"/>
    <hyperlink ref="A25:IV25" r:id="rId7" display="《国家税务总局关于发布〈企业境外所得税收抵免操作指南〉的公告》（国家税务总局公告2010年第1号）"/>
    <hyperlink ref="A26:IV26" r:id="rId8"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5" orientation="landscape" verticalDpi="0" r:id="rId9"/>
  <legacyDrawing r:id="rId10"/>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pageSetUpPr fitToPage="1"/>
  </sheetPr>
  <dimension ref="A1:C28"/>
  <sheetViews>
    <sheetView workbookViewId="0">
      <selection sqref="A1:C1"/>
    </sheetView>
  </sheetViews>
  <sheetFormatPr defaultColWidth="12.625" defaultRowHeight="14.25"/>
  <cols>
    <col min="1" max="1" width="5.75" style="192" customWidth="1"/>
    <col min="2" max="2" width="64" style="192" customWidth="1"/>
    <col min="3" max="3" width="21.75" style="192" customWidth="1"/>
    <col min="4" max="16384" width="12.625" style="192"/>
  </cols>
  <sheetData>
    <row r="1" spans="1:3" s="181" customFormat="1" ht="20.100000000000001" customHeight="1">
      <c r="A1" s="4174" t="s">
        <v>1209</v>
      </c>
      <c r="B1" s="4174"/>
      <c r="C1" s="4174"/>
    </row>
    <row r="2" spans="1:3" s="182" customFormat="1" ht="25.5" customHeight="1">
      <c r="A2" s="4175" t="s">
        <v>1215</v>
      </c>
      <c r="B2" s="4027"/>
      <c r="C2" s="4027"/>
    </row>
    <row r="3" spans="1:3" s="189" customFormat="1" ht="14.25" customHeight="1">
      <c r="A3" s="55" t="s">
        <v>147</v>
      </c>
      <c r="B3" s="55" t="s">
        <v>1133</v>
      </c>
      <c r="C3" s="55" t="s">
        <v>1134</v>
      </c>
    </row>
    <row r="4" spans="1:3" s="189" customFormat="1" ht="14.25" customHeight="1">
      <c r="A4" s="55">
        <v>1</v>
      </c>
      <c r="B4" s="190" t="s">
        <v>1135</v>
      </c>
      <c r="C4" s="56">
        <f>跨地区经营汇总纳税企业年度分摊企业所得税审核表!C4</f>
        <v>0</v>
      </c>
    </row>
    <row r="5" spans="1:3" s="189" customFormat="1" ht="14.25" customHeight="1">
      <c r="A5" s="55">
        <v>2</v>
      </c>
      <c r="B5" s="190" t="s">
        <v>1136</v>
      </c>
      <c r="C5" s="2205">
        <f>跨地区经营汇总纳税企业年度分摊企业所得税审核表!C5</f>
        <v>0</v>
      </c>
    </row>
    <row r="6" spans="1:3" s="189" customFormat="1" ht="14.25" customHeight="1">
      <c r="A6" s="55">
        <v>3</v>
      </c>
      <c r="B6" s="190" t="s">
        <v>1137</v>
      </c>
      <c r="C6" s="2205">
        <f>跨地区经营汇总纳税企业年度分摊企业所得税审核表!C6</f>
        <v>0</v>
      </c>
    </row>
    <row r="7" spans="1:3" s="189" customFormat="1" ht="14.25" customHeight="1">
      <c r="A7" s="55">
        <v>4</v>
      </c>
      <c r="B7" s="183" t="s">
        <v>1138</v>
      </c>
      <c r="C7" s="370">
        <f>ROUND(C4-C5+C6,2)</f>
        <v>0</v>
      </c>
    </row>
    <row r="8" spans="1:3" s="189" customFormat="1" ht="14.25" customHeight="1">
      <c r="A8" s="55">
        <v>5</v>
      </c>
      <c r="B8" s="183" t="s">
        <v>1139</v>
      </c>
      <c r="C8" s="370">
        <f>ROUND(SUM(C9:C12),2)</f>
        <v>0</v>
      </c>
    </row>
    <row r="9" spans="1:3" s="189" customFormat="1" ht="14.25" customHeight="1">
      <c r="A9" s="55">
        <v>6</v>
      </c>
      <c r="B9" s="183" t="s">
        <v>1140</v>
      </c>
      <c r="C9" s="56">
        <f>跨地区经营汇总纳税企业年度分摊企业所得税审核表!C9</f>
        <v>0</v>
      </c>
    </row>
    <row r="10" spans="1:3" s="189" customFormat="1" ht="14.25" customHeight="1">
      <c r="A10" s="55">
        <v>7</v>
      </c>
      <c r="B10" s="183" t="s">
        <v>1141</v>
      </c>
      <c r="C10" s="2205">
        <f>跨地区经营汇总纳税企业年度分摊企业所得税审核表!C10</f>
        <v>0</v>
      </c>
    </row>
    <row r="11" spans="1:3" s="189" customFormat="1" ht="14.25" customHeight="1">
      <c r="A11" s="55">
        <v>8</v>
      </c>
      <c r="B11" s="183" t="s">
        <v>1142</v>
      </c>
      <c r="C11" s="2205">
        <f>跨地区经营汇总纳税企业年度分摊企业所得税审核表!C11</f>
        <v>0</v>
      </c>
    </row>
    <row r="12" spans="1:3" s="189" customFormat="1" ht="14.25" customHeight="1">
      <c r="A12" s="55">
        <v>9</v>
      </c>
      <c r="B12" s="183" t="s">
        <v>1143</v>
      </c>
      <c r="C12" s="2205">
        <f>跨地区经营汇总纳税企业年度分摊企业所得税审核表!C12</f>
        <v>0</v>
      </c>
    </row>
    <row r="13" spans="1:3" s="189" customFormat="1" ht="14.25" customHeight="1">
      <c r="A13" s="55">
        <v>10</v>
      </c>
      <c r="B13" s="183" t="s">
        <v>1144</v>
      </c>
      <c r="C13" s="2205">
        <f>跨地区经营汇总纳税企业年度分摊企业所得税审核表!C13</f>
        <v>0</v>
      </c>
    </row>
    <row r="14" spans="1:3" s="189" customFormat="1" ht="14.25" customHeight="1">
      <c r="A14" s="55">
        <v>11</v>
      </c>
      <c r="B14" s="183" t="s">
        <v>1145</v>
      </c>
      <c r="C14" s="370">
        <f>ROUND(C7-C8,2)</f>
        <v>0</v>
      </c>
    </row>
    <row r="15" spans="1:3" s="189" customFormat="1" ht="14.25" customHeight="1">
      <c r="A15" s="55">
        <v>12</v>
      </c>
      <c r="B15" s="183" t="s">
        <v>1146</v>
      </c>
      <c r="C15" s="370">
        <f>ROUND(C14*0.25,2)</f>
        <v>0</v>
      </c>
    </row>
    <row r="16" spans="1:3" s="189" customFormat="1" ht="14.25" customHeight="1">
      <c r="A16" s="55">
        <v>13</v>
      </c>
      <c r="B16" s="183" t="s">
        <v>1147</v>
      </c>
      <c r="C16" s="370">
        <f>ROUND(C14*0.25,2)</f>
        <v>0</v>
      </c>
    </row>
    <row r="17" spans="1:3" s="189" customFormat="1" ht="14.25" customHeight="1">
      <c r="A17" s="55">
        <v>14</v>
      </c>
      <c r="B17" s="183" t="s">
        <v>1148</v>
      </c>
      <c r="C17" s="370">
        <f>ROUND(C14*0.5,2)</f>
        <v>0</v>
      </c>
    </row>
    <row r="18" spans="1:3" s="189" customFormat="1" ht="14.25" customHeight="1">
      <c r="A18" s="55">
        <v>15</v>
      </c>
      <c r="B18" s="183" t="s">
        <v>1149</v>
      </c>
      <c r="C18" s="56">
        <f>跨地区经营汇总纳税企业年度分摊企业所得税审核表!C21</f>
        <v>0</v>
      </c>
    </row>
    <row r="19" spans="1:3" s="189" customFormat="1" ht="14.25" customHeight="1">
      <c r="A19" s="55">
        <v>16</v>
      </c>
      <c r="B19" s="183" t="s">
        <v>1150</v>
      </c>
      <c r="C19" s="370">
        <f>ROUND(C5-C6,2)</f>
        <v>0</v>
      </c>
    </row>
    <row r="20" spans="1:3" s="189" customFormat="1" ht="14.25" customHeight="1">
      <c r="A20" s="55">
        <v>17</v>
      </c>
      <c r="B20" s="183" t="s">
        <v>1151</v>
      </c>
      <c r="C20" s="370">
        <f>ROUND(C15+C16+C18+C19,2)</f>
        <v>0</v>
      </c>
    </row>
    <row r="21" spans="1:3" s="57" customFormat="1" ht="15" customHeight="1">
      <c r="A21" s="4098"/>
      <c r="B21" s="4098"/>
      <c r="C21" s="4098"/>
    </row>
    <row r="22" spans="1:3" s="57" customFormat="1" ht="15" customHeight="1">
      <c r="A22" s="4100"/>
      <c r="B22" s="4100"/>
      <c r="C22" s="4100"/>
    </row>
    <row r="23" spans="1:3" s="229" customFormat="1" ht="15" customHeight="1">
      <c r="A23" s="4097" t="s">
        <v>1585</v>
      </c>
      <c r="B23" s="4097"/>
      <c r="C23" s="4097"/>
    </row>
    <row r="24" spans="1:3" s="229" customFormat="1" ht="15" customHeight="1">
      <c r="A24" s="4095" t="s">
        <v>1606</v>
      </c>
      <c r="B24" s="4095"/>
      <c r="C24" s="4095"/>
    </row>
    <row r="25" spans="1:3" s="229" customFormat="1" ht="15" customHeight="1">
      <c r="A25" s="4096"/>
      <c r="B25" s="4096"/>
      <c r="C25" s="4096"/>
    </row>
    <row r="26" spans="1:3" s="230" customFormat="1" ht="15" customHeight="1">
      <c r="A26" s="4097" t="s">
        <v>1587</v>
      </c>
      <c r="B26" s="4097"/>
      <c r="C26" s="4097"/>
    </row>
    <row r="27" spans="1:3" s="221" customFormat="1" ht="30" customHeight="1">
      <c r="A27" s="4095" t="s">
        <v>1604</v>
      </c>
      <c r="B27" s="4095"/>
      <c r="C27" s="4095"/>
    </row>
    <row r="28" spans="1:3" s="221" customFormat="1" ht="30" customHeight="1">
      <c r="A28" s="4095" t="s">
        <v>1605</v>
      </c>
      <c r="B28" s="4095"/>
      <c r="C28" s="4095"/>
    </row>
  </sheetData>
  <mergeCells count="10">
    <mergeCell ref="A25:C25"/>
    <mergeCell ref="A26:C26"/>
    <mergeCell ref="A27:C27"/>
    <mergeCell ref="A28:C28"/>
    <mergeCell ref="A1:C1"/>
    <mergeCell ref="A2:C2"/>
    <mergeCell ref="A21:C21"/>
    <mergeCell ref="A22:C22"/>
    <mergeCell ref="A23:C23"/>
    <mergeCell ref="A24:C24"/>
  </mergeCells>
  <phoneticPr fontId="61" type="noConversion"/>
  <hyperlinks>
    <hyperlink ref="A1:C1" location="'A100000 中华人民共和国企业所得税年度纳税申报表（A类）'!A1" display="返回主表（A100000）"/>
    <hyperlink ref="A24:C24" r:id="rId1" display="《中国税务合规实务指南—所得税》  汇总（合并）纳税[¶90-500]-[¶90-651]"/>
    <hyperlink ref="A27:C27" r:id="rId2" display="《财政部、国家税务总局、中国人民银行关于印发〈跨省市总分机构企业所得税分配及预算管理办法〉的通知》（财预[2012]40号）"/>
    <hyperlink ref="A28:C28" r:id="rId3" display="《国家税务总局关于印发〈跨地区经营汇总纳税企业所得税征收管理办法〉的公告》（国家税务总局公告2012年第57号）"/>
    <hyperlink ref="A27:IV27" r:id="rId4" display="《财政部、国家税务总局、中国人民银行关于印发〈跨省市总分机构企业所得税分配及预算管理办法〉的通知》（财预[2012]40号）"/>
    <hyperlink ref="A28:IV28" r:id="rId5" display="《国家税务总局关于印发〈跨地区经营汇总纳税企业所得税征收管理办法〉的公告》（国家税务总局公告2012年第57号）"/>
  </hyperlinks>
  <pageMargins left="0.70866141732283472" right="0.70866141732283472" top="0.74803149606299213" bottom="0.74803149606299213" header="0.31496062992125984" footer="0.31496062992125984"/>
  <pageSetup paperSize="9" scale="91" orientation="portrait" verticalDpi="0" r:id="rId6"/>
  <legacyDrawing r:id="rId7"/>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pageSetUpPr fitToPage="1"/>
  </sheetPr>
  <dimension ref="A1:I560"/>
  <sheetViews>
    <sheetView workbookViewId="0">
      <selection sqref="A1:H1"/>
    </sheetView>
  </sheetViews>
  <sheetFormatPr defaultColWidth="9" defaultRowHeight="16.5" zeroHeight="1"/>
  <cols>
    <col min="1" max="1" width="5.75" style="191" customWidth="1"/>
    <col min="2" max="2" width="26.75" style="193" customWidth="1"/>
    <col min="3" max="3" width="25.75" style="193" customWidth="1"/>
    <col min="4" max="6" width="16.75" style="193" customWidth="1"/>
    <col min="7" max="7" width="15.875" style="193" customWidth="1"/>
    <col min="8" max="8" width="19.875" style="193" customWidth="1"/>
    <col min="9" max="16384" width="9" style="193"/>
  </cols>
  <sheetData>
    <row r="1" spans="1:9" ht="20.100000000000001" customHeight="1">
      <c r="A1" s="4329" t="s">
        <v>1209</v>
      </c>
      <c r="B1" s="4329"/>
      <c r="C1" s="4329"/>
      <c r="D1" s="4329"/>
      <c r="E1" s="4329"/>
      <c r="F1" s="4329"/>
      <c r="G1" s="4329"/>
      <c r="H1" s="4329"/>
    </row>
    <row r="2" spans="1:9" ht="25.5" customHeight="1">
      <c r="A2" s="4330" t="s">
        <v>1216</v>
      </c>
      <c r="B2" s="4331"/>
      <c r="C2" s="4331"/>
      <c r="D2" s="4331"/>
      <c r="E2" s="4331"/>
      <c r="F2" s="4331"/>
      <c r="G2" s="4331"/>
      <c r="H2" s="4331"/>
    </row>
    <row r="3" spans="1:9" s="191" customFormat="1" ht="14.25" customHeight="1">
      <c r="A3" s="4332" t="str">
        <f>企业所得税汇总纳税分支机构所得税分配表!A3</f>
        <v>税款所属期间： 2017年01月01日至2017年12月31日</v>
      </c>
      <c r="B3" s="4332"/>
      <c r="C3" s="4332"/>
      <c r="D3" s="4332"/>
      <c r="E3" s="4332"/>
      <c r="F3" s="4332"/>
      <c r="G3" s="4332"/>
      <c r="H3" s="4332"/>
    </row>
    <row r="4" spans="1:9" s="191" customFormat="1" ht="14.25" customHeight="1">
      <c r="A4" s="4333" t="str">
        <f>"总机构名称（盖章）:    "&amp;企业所得税汇总纳税分支机构所得税分配表!$C$4</f>
        <v xml:space="preserve">总机构名称（盖章）:    </v>
      </c>
      <c r="B4" s="4333"/>
      <c r="C4" s="4333"/>
      <c r="D4" s="4333"/>
      <c r="E4" s="2227"/>
      <c r="F4" s="2228"/>
      <c r="G4" s="2228"/>
      <c r="H4" s="2227"/>
    </row>
    <row r="5" spans="1:9" s="191" customFormat="1" ht="14.25" customHeight="1">
      <c r="A5" s="4328" t="str">
        <f>"总机构统一社会信用代码（纳税人识别号）："&amp;企业所得税汇总纳税分支机构所得税分配表!$C$5</f>
        <v>总机构统一社会信用代码（纳税人识别号）：</v>
      </c>
      <c r="B5" s="4328"/>
      <c r="C5" s="4328"/>
      <c r="D5" s="2226"/>
      <c r="E5" s="2227"/>
      <c r="F5" s="2228"/>
      <c r="G5" s="2228"/>
      <c r="H5" s="2229" t="s">
        <v>1153</v>
      </c>
    </row>
    <row r="6" spans="1:9" s="191" customFormat="1" ht="14.25" customHeight="1">
      <c r="A6" s="3813" t="s">
        <v>1154</v>
      </c>
      <c r="B6" s="3813"/>
      <c r="C6" s="2216" t="s">
        <v>1155</v>
      </c>
      <c r="D6" s="4322" t="s">
        <v>1156</v>
      </c>
      <c r="E6" s="4320"/>
      <c r="F6" s="4320"/>
      <c r="G6" s="4320" t="s">
        <v>1157</v>
      </c>
      <c r="H6" s="4321"/>
      <c r="I6" s="371"/>
    </row>
    <row r="7" spans="1:9" s="177" customFormat="1" ht="14.25" customHeight="1">
      <c r="A7" s="4323">
        <f>A109000跨地区经营汇总纳税企业年度分摊企业所得税明细表!C14</f>
        <v>0</v>
      </c>
      <c r="B7" s="4324"/>
      <c r="C7" s="2239">
        <f>企业所得税汇总纳税分支机构所得税分配表!D7</f>
        <v>0</v>
      </c>
      <c r="D7" s="4323">
        <f>企业所得税汇总纳税分支机构所得税分配表!F7</f>
        <v>0</v>
      </c>
      <c r="E7" s="4324"/>
      <c r="F7" s="4325"/>
      <c r="G7" s="4323">
        <f>企业所得税汇总纳税分支机构所得税分配表!H7</f>
        <v>0</v>
      </c>
      <c r="H7" s="4325"/>
      <c r="I7" s="371"/>
    </row>
    <row r="8" spans="1:9" s="177" customFormat="1" ht="14.25" customHeight="1">
      <c r="A8" s="3818" t="s">
        <v>1158</v>
      </c>
      <c r="B8" s="3814" t="s">
        <v>1159</v>
      </c>
      <c r="C8" s="3813" t="s">
        <v>1160</v>
      </c>
      <c r="D8" s="3814" t="s">
        <v>1161</v>
      </c>
      <c r="E8" s="3814"/>
      <c r="F8" s="3814"/>
      <c r="G8" s="3813" t="s">
        <v>1162</v>
      </c>
      <c r="H8" s="3813" t="s">
        <v>1163</v>
      </c>
      <c r="I8" s="371"/>
    </row>
    <row r="9" spans="1:9" s="177" customFormat="1" ht="14.25" customHeight="1">
      <c r="A9" s="3818"/>
      <c r="B9" s="3814"/>
      <c r="C9" s="3813"/>
      <c r="D9" s="2217" t="s">
        <v>1164</v>
      </c>
      <c r="E9" s="2217" t="s">
        <v>1165</v>
      </c>
      <c r="F9" s="2217" t="s">
        <v>1166</v>
      </c>
      <c r="G9" s="3813"/>
      <c r="H9" s="3813"/>
      <c r="I9" s="371"/>
    </row>
    <row r="10" spans="1:9" s="191" customFormat="1" ht="14.25" customHeight="1">
      <c r="A10" s="3818"/>
      <c r="B10" s="2231" t="str">
        <f>企业所得税汇总纳税分支机构所得税分配表!B10&amp;""</f>
        <v/>
      </c>
      <c r="C10" s="2231" t="str">
        <f>企业所得税汇总纳税分支机构所得税分配表!C10&amp;""</f>
        <v/>
      </c>
      <c r="D10" s="2232">
        <f>ROUND(企业所得税汇总纳税分支机构所得税分配表!D10,2)</f>
        <v>0</v>
      </c>
      <c r="E10" s="2232">
        <f>ROUND(企业所得税汇总纳税分支机构所得税分配表!E10,2)</f>
        <v>0</v>
      </c>
      <c r="F10" s="2232">
        <f>ROUND(企业所得税汇总纳税分支机构所得税分配表!F10,2)</f>
        <v>0</v>
      </c>
      <c r="G10" s="2233">
        <f>IF(D24=0,0,D10/D24*0.35+E10/E24*0.35+F10/F24*0.3)</f>
        <v>0</v>
      </c>
      <c r="H10" s="2234">
        <f>ROUND(G10*G7,2)</f>
        <v>0</v>
      </c>
      <c r="I10" s="371"/>
    </row>
    <row r="11" spans="1:9" s="191" customFormat="1" ht="14.25" customHeight="1">
      <c r="A11" s="3818"/>
      <c r="B11" s="2231" t="str">
        <f>企业所得税汇总纳税分支机构所得税分配表!B11&amp;""</f>
        <v/>
      </c>
      <c r="C11" s="2231" t="str">
        <f>企业所得税汇总纳税分支机构所得税分配表!C11&amp;""</f>
        <v/>
      </c>
      <c r="D11" s="2232">
        <f>ROUND(企业所得税汇总纳税分支机构所得税分配表!D11,2)</f>
        <v>0</v>
      </c>
      <c r="E11" s="2232">
        <f>ROUND(企业所得税汇总纳税分支机构所得税分配表!E11,2)</f>
        <v>0</v>
      </c>
      <c r="F11" s="2232">
        <f>ROUND(企业所得税汇总纳税分支机构所得税分配表!F11,2)</f>
        <v>0</v>
      </c>
      <c r="G11" s="2233">
        <f t="shared" ref="G11:G23" si="0">IF(D25=0,0,D11/D25*0.35+E11/E25*0.35+F11/F25*0.3)</f>
        <v>0</v>
      </c>
      <c r="H11" s="2234">
        <f>ROUND(G11*G7,2)</f>
        <v>0</v>
      </c>
      <c r="I11" s="371"/>
    </row>
    <row r="12" spans="1:9" s="191" customFormat="1" ht="14.25" customHeight="1">
      <c r="A12" s="3818"/>
      <c r="B12" s="2231" t="str">
        <f>企业所得税汇总纳税分支机构所得税分配表!B12&amp;""</f>
        <v/>
      </c>
      <c r="C12" s="2231" t="str">
        <f>企业所得税汇总纳税分支机构所得税分配表!C12&amp;""</f>
        <v/>
      </c>
      <c r="D12" s="2232">
        <f>ROUND(企业所得税汇总纳税分支机构所得税分配表!D12,2)</f>
        <v>0</v>
      </c>
      <c r="E12" s="2232">
        <f>ROUND(企业所得税汇总纳税分支机构所得税分配表!E12,2)</f>
        <v>0</v>
      </c>
      <c r="F12" s="2232">
        <f>ROUND(企业所得税汇总纳税分支机构所得税分配表!F12,2)</f>
        <v>0</v>
      </c>
      <c r="G12" s="2233">
        <f t="shared" si="0"/>
        <v>0</v>
      </c>
      <c r="H12" s="2234">
        <f>ROUND(G12*G7,2)</f>
        <v>0</v>
      </c>
      <c r="I12" s="371"/>
    </row>
    <row r="13" spans="1:9" s="191" customFormat="1" ht="14.25" customHeight="1">
      <c r="A13" s="3818"/>
      <c r="B13" s="2231" t="str">
        <f>企业所得税汇总纳税分支机构所得税分配表!B13&amp;""</f>
        <v/>
      </c>
      <c r="C13" s="2231" t="str">
        <f>企业所得税汇总纳税分支机构所得税分配表!C13&amp;""</f>
        <v/>
      </c>
      <c r="D13" s="2232">
        <f>ROUND(企业所得税汇总纳税分支机构所得税分配表!D13,2)</f>
        <v>0</v>
      </c>
      <c r="E13" s="2232">
        <f>ROUND(企业所得税汇总纳税分支机构所得税分配表!E13,2)</f>
        <v>0</v>
      </c>
      <c r="F13" s="2232">
        <f>ROUND(企业所得税汇总纳税分支机构所得税分配表!F13,2)</f>
        <v>0</v>
      </c>
      <c r="G13" s="2233">
        <f t="shared" si="0"/>
        <v>0</v>
      </c>
      <c r="H13" s="2234">
        <f>ROUND(G13*G7,2)</f>
        <v>0</v>
      </c>
      <c r="I13" s="371"/>
    </row>
    <row r="14" spans="1:9" s="191" customFormat="1" ht="14.25" customHeight="1">
      <c r="A14" s="3818"/>
      <c r="B14" s="2231" t="str">
        <f>企业所得税汇总纳税分支机构所得税分配表!B14&amp;""</f>
        <v/>
      </c>
      <c r="C14" s="2231" t="str">
        <f>企业所得税汇总纳税分支机构所得税分配表!C14&amp;""</f>
        <v/>
      </c>
      <c r="D14" s="2232">
        <f>ROUND(企业所得税汇总纳税分支机构所得税分配表!D14,2)</f>
        <v>0</v>
      </c>
      <c r="E14" s="2232">
        <f>ROUND(企业所得税汇总纳税分支机构所得税分配表!E14,2)</f>
        <v>0</v>
      </c>
      <c r="F14" s="2232">
        <f>ROUND(企业所得税汇总纳税分支机构所得税分配表!F14,2)</f>
        <v>0</v>
      </c>
      <c r="G14" s="2233">
        <f t="shared" si="0"/>
        <v>0</v>
      </c>
      <c r="H14" s="2234">
        <f>ROUND(G14*G7,2)</f>
        <v>0</v>
      </c>
      <c r="I14" s="371"/>
    </row>
    <row r="15" spans="1:9" s="191" customFormat="1" ht="14.25" customHeight="1">
      <c r="A15" s="3818"/>
      <c r="B15" s="2231" t="str">
        <f>企业所得税汇总纳税分支机构所得税分配表!B15&amp;""</f>
        <v/>
      </c>
      <c r="C15" s="2231" t="str">
        <f>企业所得税汇总纳税分支机构所得税分配表!C15&amp;""</f>
        <v/>
      </c>
      <c r="D15" s="2232">
        <f>ROUND(企业所得税汇总纳税分支机构所得税分配表!D15,2)</f>
        <v>0</v>
      </c>
      <c r="E15" s="2232">
        <f>ROUND(企业所得税汇总纳税分支机构所得税分配表!E15,2)</f>
        <v>0</v>
      </c>
      <c r="F15" s="2232">
        <f>ROUND(企业所得税汇总纳税分支机构所得税分配表!F15,2)</f>
        <v>0</v>
      </c>
      <c r="G15" s="2233">
        <f t="shared" si="0"/>
        <v>0</v>
      </c>
      <c r="H15" s="2234">
        <f>ROUND(G15*G7,2)</f>
        <v>0</v>
      </c>
      <c r="I15" s="371"/>
    </row>
    <row r="16" spans="1:9" s="191" customFormat="1" ht="14.25" customHeight="1">
      <c r="A16" s="3818"/>
      <c r="B16" s="2231" t="str">
        <f>企业所得税汇总纳税分支机构所得税分配表!B16&amp;""</f>
        <v/>
      </c>
      <c r="C16" s="2231" t="str">
        <f>企业所得税汇总纳税分支机构所得税分配表!C16&amp;""</f>
        <v/>
      </c>
      <c r="D16" s="2232">
        <f>ROUND(企业所得税汇总纳税分支机构所得税分配表!D16,2)</f>
        <v>0</v>
      </c>
      <c r="E16" s="2232">
        <f>ROUND(企业所得税汇总纳税分支机构所得税分配表!E16,2)</f>
        <v>0</v>
      </c>
      <c r="F16" s="2232">
        <f>ROUND(企业所得税汇总纳税分支机构所得税分配表!F16,2)</f>
        <v>0</v>
      </c>
      <c r="G16" s="2233">
        <f t="shared" si="0"/>
        <v>0</v>
      </c>
      <c r="H16" s="2234">
        <f>ROUND(G16*G7,2)</f>
        <v>0</v>
      </c>
      <c r="I16" s="371"/>
    </row>
    <row r="17" spans="1:9" s="191" customFormat="1" ht="14.25" customHeight="1">
      <c r="A17" s="3818"/>
      <c r="B17" s="2231" t="str">
        <f>企业所得税汇总纳税分支机构所得税分配表!B17&amp;""</f>
        <v/>
      </c>
      <c r="C17" s="2231" t="str">
        <f>企业所得税汇总纳税分支机构所得税分配表!C17&amp;""</f>
        <v/>
      </c>
      <c r="D17" s="2232">
        <f>ROUND(企业所得税汇总纳税分支机构所得税分配表!D17,2)</f>
        <v>0</v>
      </c>
      <c r="E17" s="2232">
        <f>ROUND(企业所得税汇总纳税分支机构所得税分配表!E17,2)</f>
        <v>0</v>
      </c>
      <c r="F17" s="2232">
        <f>ROUND(企业所得税汇总纳税分支机构所得税分配表!F17,2)</f>
        <v>0</v>
      </c>
      <c r="G17" s="2233">
        <f t="shared" si="0"/>
        <v>0</v>
      </c>
      <c r="H17" s="2234">
        <f>ROUND(G17*G7,2)</f>
        <v>0</v>
      </c>
      <c r="I17" s="371"/>
    </row>
    <row r="18" spans="1:9" s="191" customFormat="1" ht="14.25" customHeight="1">
      <c r="A18" s="3818"/>
      <c r="B18" s="2231" t="str">
        <f>企业所得税汇总纳税分支机构所得税分配表!B18&amp;""</f>
        <v/>
      </c>
      <c r="C18" s="2231" t="str">
        <f>企业所得税汇总纳税分支机构所得税分配表!C18&amp;""</f>
        <v/>
      </c>
      <c r="D18" s="2232">
        <f>ROUND(企业所得税汇总纳税分支机构所得税分配表!D18,2)</f>
        <v>0</v>
      </c>
      <c r="E18" s="2232">
        <f>ROUND(企业所得税汇总纳税分支机构所得税分配表!E18,2)</f>
        <v>0</v>
      </c>
      <c r="F18" s="2232">
        <f>ROUND(企业所得税汇总纳税分支机构所得税分配表!F18,2)</f>
        <v>0</v>
      </c>
      <c r="G18" s="2233">
        <f>IF(D32=0,0,D18/D32*0.35+E18/E32*0.35+F18/F32*0.3)</f>
        <v>0</v>
      </c>
      <c r="H18" s="2234">
        <f>ROUND(G18*G7,2)</f>
        <v>0</v>
      </c>
      <c r="I18" s="371"/>
    </row>
    <row r="19" spans="1:9" s="191" customFormat="1" ht="14.25" customHeight="1">
      <c r="A19" s="3818"/>
      <c r="B19" s="2231" t="str">
        <f>企业所得税汇总纳税分支机构所得税分配表!B19&amp;""</f>
        <v/>
      </c>
      <c r="C19" s="2231" t="str">
        <f>企业所得税汇总纳税分支机构所得税分配表!C19&amp;""</f>
        <v/>
      </c>
      <c r="D19" s="2232">
        <f>ROUND(企业所得税汇总纳税分支机构所得税分配表!D19,2)</f>
        <v>0</v>
      </c>
      <c r="E19" s="2232">
        <f>ROUND(企业所得税汇总纳税分支机构所得税分配表!E19,2)</f>
        <v>0</v>
      </c>
      <c r="F19" s="2232">
        <f>ROUND(企业所得税汇总纳税分支机构所得税分配表!F19,2)</f>
        <v>0</v>
      </c>
      <c r="G19" s="2233">
        <f t="shared" si="0"/>
        <v>0</v>
      </c>
      <c r="H19" s="2234">
        <f>ROUND(G19*G7,2)</f>
        <v>0</v>
      </c>
      <c r="I19" s="371"/>
    </row>
    <row r="20" spans="1:9" s="191" customFormat="1" ht="14.25" customHeight="1">
      <c r="A20" s="3818"/>
      <c r="B20" s="2231" t="str">
        <f>企业所得税汇总纳税分支机构所得税分配表!B20&amp;""</f>
        <v/>
      </c>
      <c r="C20" s="2231" t="str">
        <f>企业所得税汇总纳税分支机构所得税分配表!C20&amp;""</f>
        <v/>
      </c>
      <c r="D20" s="2232">
        <f>ROUND(企业所得税汇总纳税分支机构所得税分配表!D20,2)</f>
        <v>0</v>
      </c>
      <c r="E20" s="2232">
        <f>ROUND(企业所得税汇总纳税分支机构所得税分配表!E20,2)</f>
        <v>0</v>
      </c>
      <c r="F20" s="2232">
        <f>ROUND(企业所得税汇总纳税分支机构所得税分配表!F20,2)</f>
        <v>0</v>
      </c>
      <c r="G20" s="2233">
        <f t="shared" si="0"/>
        <v>0</v>
      </c>
      <c r="H20" s="2234">
        <f>ROUND(G20*G7,2)</f>
        <v>0</v>
      </c>
      <c r="I20" s="371"/>
    </row>
    <row r="21" spans="1:9" s="191" customFormat="1" ht="14.25" customHeight="1">
      <c r="A21" s="3818"/>
      <c r="B21" s="2231" t="str">
        <f>企业所得税汇总纳税分支机构所得税分配表!B21&amp;""</f>
        <v/>
      </c>
      <c r="C21" s="2231" t="str">
        <f>企业所得税汇总纳税分支机构所得税分配表!C21&amp;""</f>
        <v/>
      </c>
      <c r="D21" s="2232">
        <f>ROUND(企业所得税汇总纳税分支机构所得税分配表!D21,2)</f>
        <v>0</v>
      </c>
      <c r="E21" s="2232">
        <f>ROUND(企业所得税汇总纳税分支机构所得税分配表!E21,2)</f>
        <v>0</v>
      </c>
      <c r="F21" s="2232">
        <f>ROUND(企业所得税汇总纳税分支机构所得税分配表!F21,2)</f>
        <v>0</v>
      </c>
      <c r="G21" s="2233">
        <f t="shared" si="0"/>
        <v>0</v>
      </c>
      <c r="H21" s="2234">
        <f>ROUND(G21*G7,2)</f>
        <v>0</v>
      </c>
      <c r="I21" s="371"/>
    </row>
    <row r="22" spans="1:9" s="191" customFormat="1" ht="14.25" customHeight="1">
      <c r="A22" s="3818"/>
      <c r="B22" s="2231" t="str">
        <f>企业所得税汇总纳税分支机构所得税分配表!B22&amp;""</f>
        <v/>
      </c>
      <c r="C22" s="2231" t="str">
        <f>企业所得税汇总纳税分支机构所得税分配表!C22&amp;""</f>
        <v/>
      </c>
      <c r="D22" s="2232">
        <f>ROUND(企业所得税汇总纳税分支机构所得税分配表!D22,2)</f>
        <v>0</v>
      </c>
      <c r="E22" s="2232">
        <f>ROUND(企业所得税汇总纳税分支机构所得税分配表!E22,2)</f>
        <v>0</v>
      </c>
      <c r="F22" s="2232">
        <f>ROUND(企业所得税汇总纳税分支机构所得税分配表!F22,2)</f>
        <v>0</v>
      </c>
      <c r="G22" s="2233">
        <f t="shared" si="0"/>
        <v>0</v>
      </c>
      <c r="H22" s="2234">
        <f>ROUND(G22*G7,2)</f>
        <v>0</v>
      </c>
      <c r="I22" s="371"/>
    </row>
    <row r="23" spans="1:9" s="191" customFormat="1" ht="14.25" customHeight="1">
      <c r="A23" s="3818"/>
      <c r="B23" s="2231" t="str">
        <f>企业所得税汇总纳税分支机构所得税分配表!B23&amp;""</f>
        <v/>
      </c>
      <c r="C23" s="2231" t="str">
        <f>企业所得税汇总纳税分支机构所得税分配表!C23&amp;""</f>
        <v/>
      </c>
      <c r="D23" s="2232">
        <f>ROUND(企业所得税汇总纳税分支机构所得税分配表!D23,2)</f>
        <v>0</v>
      </c>
      <c r="E23" s="2232">
        <f>ROUND(企业所得税汇总纳税分支机构所得税分配表!E23,2)</f>
        <v>0</v>
      </c>
      <c r="F23" s="2232">
        <f>ROUND(企业所得税汇总纳税分支机构所得税分配表!F23,2)</f>
        <v>0</v>
      </c>
      <c r="G23" s="2233">
        <f t="shared" si="0"/>
        <v>0</v>
      </c>
      <c r="H23" s="2234">
        <f>ROUND(G23*G7,2)</f>
        <v>0</v>
      </c>
      <c r="I23" s="371"/>
    </row>
    <row r="24" spans="1:9" s="191" customFormat="1" ht="14.25" customHeight="1">
      <c r="A24" s="3818"/>
      <c r="B24" s="2216" t="s">
        <v>757</v>
      </c>
      <c r="C24" s="2216" t="s">
        <v>1167</v>
      </c>
      <c r="D24" s="2237">
        <f>ROUND(SUM(D10:D23),2)</f>
        <v>0</v>
      </c>
      <c r="E24" s="2237">
        <f>ROUND(SUM(E10:E23),2)</f>
        <v>0</v>
      </c>
      <c r="F24" s="2237">
        <f>ROUND(SUM(F10:F23),2)</f>
        <v>0</v>
      </c>
      <c r="G24" s="2230"/>
      <c r="H24" s="2237">
        <f>ROUND(SUM(H10:H23),2)</f>
        <v>0</v>
      </c>
      <c r="I24" s="371"/>
    </row>
    <row r="25" spans="1:9" ht="15" customHeight="1">
      <c r="A25" s="4098"/>
      <c r="B25" s="4099"/>
      <c r="C25" s="4099"/>
      <c r="D25" s="4099"/>
      <c r="E25" s="4099"/>
      <c r="F25" s="4099"/>
      <c r="G25" s="4099"/>
      <c r="H25" s="4099"/>
    </row>
    <row r="26" spans="1:9" ht="15" customHeight="1">
      <c r="A26" s="4100"/>
      <c r="B26" s="4012"/>
      <c r="C26" s="4012"/>
      <c r="D26" s="4012"/>
      <c r="E26" s="4012"/>
      <c r="F26" s="4012"/>
      <c r="G26" s="4012"/>
      <c r="H26" s="4012"/>
    </row>
    <row r="27" spans="1:9" s="231" customFormat="1" ht="15" customHeight="1">
      <c r="A27" s="4097" t="s">
        <v>1585</v>
      </c>
      <c r="B27" s="4134"/>
      <c r="C27" s="4134"/>
      <c r="D27" s="4134"/>
      <c r="E27" s="4134"/>
      <c r="F27" s="4134"/>
      <c r="G27" s="4134"/>
      <c r="H27" s="4134"/>
    </row>
    <row r="28" spans="1:9" s="207" customFormat="1" ht="15" customHeight="1">
      <c r="A28" s="4326" t="s">
        <v>1607</v>
      </c>
      <c r="B28" s="4327"/>
      <c r="C28" s="4327"/>
      <c r="D28" s="4327"/>
      <c r="E28" s="4327"/>
      <c r="F28" s="4327"/>
      <c r="G28" s="4327"/>
      <c r="H28" s="4327"/>
    </row>
    <row r="29" spans="1:9" s="231" customFormat="1" ht="15" customHeight="1">
      <c r="A29" s="4096"/>
      <c r="B29" s="4133"/>
      <c r="C29" s="4133"/>
      <c r="D29" s="4133"/>
      <c r="E29" s="4133"/>
      <c r="F29" s="4133"/>
      <c r="G29" s="4133"/>
      <c r="H29" s="4133"/>
    </row>
    <row r="30" spans="1:9" s="230" customFormat="1" ht="15" customHeight="1">
      <c r="A30" s="4097" t="s">
        <v>1587</v>
      </c>
      <c r="B30" s="4134"/>
      <c r="C30" s="4134"/>
      <c r="D30" s="4134"/>
      <c r="E30" s="4134"/>
      <c r="F30" s="4134"/>
      <c r="G30" s="4134"/>
      <c r="H30" s="4134"/>
    </row>
    <row r="31" spans="1:9" s="221" customFormat="1" ht="15" customHeight="1">
      <c r="A31" s="4095" t="s">
        <v>1604</v>
      </c>
      <c r="B31" s="4095"/>
      <c r="C31" s="4095"/>
      <c r="D31" s="4095"/>
      <c r="E31" s="4095"/>
      <c r="F31" s="4095"/>
      <c r="G31" s="4095"/>
      <c r="H31" s="4095"/>
    </row>
    <row r="32" spans="1:9" s="221" customFormat="1" ht="15" customHeight="1">
      <c r="A32" s="4095" t="s">
        <v>1605</v>
      </c>
      <c r="B32" s="4095"/>
      <c r="C32" s="4095"/>
      <c r="D32" s="4095"/>
      <c r="E32" s="4095"/>
      <c r="F32" s="4095"/>
      <c r="G32" s="4095"/>
      <c r="H32" s="4095"/>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row r="552"/>
    <row r="553"/>
    <row r="554"/>
    <row r="555"/>
    <row r="556"/>
    <row r="557"/>
    <row r="558"/>
    <row r="559" ht="14.25" customHeight="1"/>
    <row r="560" ht="14.25" customHeight="1"/>
  </sheetData>
  <mergeCells count="25">
    <mergeCell ref="A26:H26"/>
    <mergeCell ref="A27:H27"/>
    <mergeCell ref="A5:C5"/>
    <mergeCell ref="A30:H30"/>
    <mergeCell ref="A1:H1"/>
    <mergeCell ref="A2:H2"/>
    <mergeCell ref="A3:H3"/>
    <mergeCell ref="A4:D4"/>
    <mergeCell ref="A6:B6"/>
    <mergeCell ref="A31:H31"/>
    <mergeCell ref="A32:H32"/>
    <mergeCell ref="G6:H6"/>
    <mergeCell ref="D6:F6"/>
    <mergeCell ref="A29:H29"/>
    <mergeCell ref="D8:F8"/>
    <mergeCell ref="G8:G9"/>
    <mergeCell ref="D7:F7"/>
    <mergeCell ref="H8:H9"/>
    <mergeCell ref="A28:H28"/>
    <mergeCell ref="A7:B7"/>
    <mergeCell ref="A8:A24"/>
    <mergeCell ref="B8:B9"/>
    <mergeCell ref="C8:C9"/>
    <mergeCell ref="G7:H7"/>
    <mergeCell ref="A25:H25"/>
  </mergeCells>
  <phoneticPr fontId="61" type="noConversion"/>
  <hyperlinks>
    <hyperlink ref="A1:H1" location="'A100000 中华人民共和国企业所得税年度纳税申报表（A类）'!A1" display="返回主表（A100000）"/>
    <hyperlink ref="A28:H28" r:id="rId1" display="《中国税务合规实务指南—所得税》  汇总（合并）纳税[¶90-500]-[¶90-651]"/>
    <hyperlink ref="A31:H31" r:id="rId2" display="《财政部、国家税务总局、中国人民银行关于印发〈跨省市总分机构企业所得税分配及预算管理办法〉的通知》（财预[2012]40号）"/>
    <hyperlink ref="A32:H32" r:id="rId3" display="《国家税务总局关于印发〈跨地区经营汇总纳税企业所得税征收管理办法〉的公告》（国家税务总局公告2012年第57号）"/>
    <hyperlink ref="A31:IV31" r:id="rId4" display="《财政部、国家税务总局、中国人民银行关于印发〈跨省市总分机构企业所得税分配及预算管理办法〉的通知》（财预[2012]40号）"/>
    <hyperlink ref="A32:IV32" r:id="rId5" display="《国家税务总局关于印发〈跨地区经营汇总纳税企业所得税征收管理办法〉的公告》（国家税务总局公告2012年第57号）"/>
    <hyperlink ref="A28:IV28" r:id="rId6" display="《中国税务合规实务指南—所得税》  汇总（合并）纳税[¶90-500]-[¶90-651]"/>
  </hyperlinks>
  <pageMargins left="0.70866141732283472" right="0.70866141732283472" top="0.74803149606299213" bottom="0.74803149606299213" header="0.31496062992125984" footer="0.31496062992125984"/>
  <pageSetup paperSize="9" scale="90" orientation="landscape" verticalDpi="0" r:id="rId7"/>
  <legacyDrawing r:id="rId8"/>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pageSetUpPr fitToPage="1"/>
  </sheetPr>
  <dimension ref="A1:T53"/>
  <sheetViews>
    <sheetView workbookViewId="0">
      <selection sqref="A1:H1"/>
    </sheetView>
  </sheetViews>
  <sheetFormatPr defaultColWidth="10.875" defaultRowHeight="14.25"/>
  <cols>
    <col min="1" max="1" width="4.625" style="387" customWidth="1"/>
    <col min="2" max="2" width="32.875" style="387" customWidth="1"/>
    <col min="3" max="3" width="35.625" style="387" customWidth="1"/>
    <col min="4" max="4" width="25.625" style="387" customWidth="1"/>
    <col min="5" max="16384" width="10.875" style="373"/>
  </cols>
  <sheetData>
    <row r="1" spans="1:8">
      <c r="A1" s="4164" t="s">
        <v>1209</v>
      </c>
      <c r="B1" s="4164"/>
      <c r="C1" s="4164"/>
      <c r="D1" s="4164"/>
      <c r="E1" s="4164"/>
      <c r="F1" s="4164"/>
      <c r="G1" s="4164"/>
      <c r="H1" s="4164"/>
    </row>
    <row r="2" spans="1:8" ht="26.25" customHeight="1">
      <c r="A2" s="3918" t="s">
        <v>1324</v>
      </c>
      <c r="B2" s="4353"/>
      <c r="C2" s="4353"/>
      <c r="D2" s="4353"/>
    </row>
    <row r="3" spans="1:8">
      <c r="A3" s="374" t="s">
        <v>1217</v>
      </c>
      <c r="B3" s="375"/>
      <c r="C3" s="375" t="s">
        <v>1218</v>
      </c>
      <c r="D3" s="376"/>
    </row>
    <row r="4" spans="1:8" ht="15.95" customHeight="1" thickBot="1">
      <c r="A4" s="4354" t="s">
        <v>1219</v>
      </c>
      <c r="B4" s="4354"/>
      <c r="C4" s="377"/>
      <c r="D4" s="378" t="s">
        <v>1220</v>
      </c>
    </row>
    <row r="5" spans="1:8" ht="15" customHeight="1">
      <c r="A5" s="379" t="s">
        <v>1221</v>
      </c>
      <c r="B5" s="4355" t="s">
        <v>1222</v>
      </c>
      <c r="C5" s="4356"/>
      <c r="D5" s="380" t="s">
        <v>1223</v>
      </c>
    </row>
    <row r="6" spans="1:8" ht="15" customHeight="1">
      <c r="A6" s="381">
        <v>1</v>
      </c>
      <c r="B6" s="4334" t="s">
        <v>1224</v>
      </c>
      <c r="C6" s="4335"/>
      <c r="D6" s="205">
        <f>SUM(D7:D9)</f>
        <v>0</v>
      </c>
      <c r="F6" s="382"/>
    </row>
    <row r="7" spans="1:8" ht="15" customHeight="1">
      <c r="A7" s="381">
        <v>1.1000000000000001</v>
      </c>
      <c r="B7" s="4350" t="s">
        <v>1225</v>
      </c>
      <c r="C7" s="383" t="s">
        <v>1226</v>
      </c>
      <c r="D7" s="205">
        <f>“研发支出”辅助账汇总表!L11</f>
        <v>0</v>
      </c>
      <c r="F7" s="382"/>
    </row>
    <row r="8" spans="1:8" ht="15" customHeight="1">
      <c r="A8" s="381">
        <v>1.2</v>
      </c>
      <c r="B8" s="4351"/>
      <c r="C8" s="383" t="s">
        <v>1227</v>
      </c>
      <c r="D8" s="205">
        <f>“研发支出”辅助账汇总表!M11</f>
        <v>0</v>
      </c>
      <c r="F8" s="382"/>
    </row>
    <row r="9" spans="1:8" ht="15" customHeight="1">
      <c r="A9" s="381">
        <v>1.3</v>
      </c>
      <c r="B9" s="4339" t="s">
        <v>1228</v>
      </c>
      <c r="C9" s="4340"/>
      <c r="D9" s="205">
        <f>“研发支出”辅助账汇总表!N11</f>
        <v>0</v>
      </c>
      <c r="F9" s="382"/>
    </row>
    <row r="10" spans="1:8" ht="15" customHeight="1">
      <c r="A10" s="381">
        <v>2</v>
      </c>
      <c r="B10" s="4334" t="s">
        <v>1229</v>
      </c>
      <c r="C10" s="4335"/>
      <c r="D10" s="205">
        <f>SUM(D11:D18)</f>
        <v>0</v>
      </c>
      <c r="F10" s="382"/>
    </row>
    <row r="11" spans="1:8" ht="15" customHeight="1">
      <c r="A11" s="381">
        <v>2.1</v>
      </c>
      <c r="B11" s="4350" t="s">
        <v>1230</v>
      </c>
      <c r="C11" s="384" t="s">
        <v>1231</v>
      </c>
      <c r="D11" s="205">
        <f>“研发支出”辅助账汇总表!O11</f>
        <v>0</v>
      </c>
      <c r="F11" s="382"/>
    </row>
    <row r="12" spans="1:8" ht="15" customHeight="1">
      <c r="A12" s="381">
        <v>2.2000000000000002</v>
      </c>
      <c r="B12" s="4352"/>
      <c r="C12" s="384" t="s">
        <v>1232</v>
      </c>
      <c r="D12" s="205">
        <f>“研发支出”辅助账汇总表!P11</f>
        <v>0</v>
      </c>
      <c r="F12" s="382"/>
    </row>
    <row r="13" spans="1:8" ht="15" customHeight="1">
      <c r="A13" s="381">
        <v>2.2999999999999998</v>
      </c>
      <c r="B13" s="4351"/>
      <c r="C13" s="384" t="s">
        <v>1233</v>
      </c>
      <c r="D13" s="205">
        <f>“研发支出”辅助账汇总表!Q11</f>
        <v>0</v>
      </c>
      <c r="F13" s="382"/>
    </row>
    <row r="14" spans="1:8" ht="15" customHeight="1">
      <c r="A14" s="381">
        <v>2.4</v>
      </c>
      <c r="B14" s="4344" t="s">
        <v>1234</v>
      </c>
      <c r="C14" s="4345"/>
      <c r="D14" s="205">
        <f>“研发支出”辅助账汇总表!R11</f>
        <v>0</v>
      </c>
      <c r="F14" s="382"/>
    </row>
    <row r="15" spans="1:8" ht="15" customHeight="1">
      <c r="A15" s="381">
        <v>2.5</v>
      </c>
      <c r="B15" s="4344" t="s">
        <v>1235</v>
      </c>
      <c r="C15" s="4345"/>
      <c r="D15" s="205">
        <f>“研发支出”辅助账汇总表!S11</f>
        <v>0</v>
      </c>
      <c r="F15" s="382"/>
    </row>
    <row r="16" spans="1:8" ht="15" customHeight="1">
      <c r="A16" s="381">
        <v>2.6</v>
      </c>
      <c r="B16" s="4344" t="s">
        <v>1236</v>
      </c>
      <c r="C16" s="4345"/>
      <c r="D16" s="205">
        <f>“研发支出”辅助账汇总表!T11</f>
        <v>0</v>
      </c>
      <c r="F16" s="382"/>
    </row>
    <row r="17" spans="1:6" ht="15" customHeight="1">
      <c r="A17" s="381">
        <v>2.7</v>
      </c>
      <c r="B17" s="4344" t="s">
        <v>1237</v>
      </c>
      <c r="C17" s="4345"/>
      <c r="D17" s="205">
        <f>“研发支出”辅助账汇总表!U11</f>
        <v>0</v>
      </c>
      <c r="F17" s="382"/>
    </row>
    <row r="18" spans="1:6" ht="15" customHeight="1">
      <c r="A18" s="381">
        <v>2.8</v>
      </c>
      <c r="B18" s="4344" t="s">
        <v>1323</v>
      </c>
      <c r="C18" s="4345"/>
      <c r="D18" s="205">
        <f>“研发支出”辅助账汇总表!V11</f>
        <v>0</v>
      </c>
      <c r="F18" s="382"/>
    </row>
    <row r="19" spans="1:6" ht="15" customHeight="1">
      <c r="A19" s="381">
        <v>3</v>
      </c>
      <c r="B19" s="4334" t="s">
        <v>1239</v>
      </c>
      <c r="C19" s="4335"/>
      <c r="D19" s="205">
        <f>SUM(D20:D21)</f>
        <v>0</v>
      </c>
      <c r="F19" s="382"/>
    </row>
    <row r="20" spans="1:6" ht="15" customHeight="1">
      <c r="A20" s="381">
        <v>3.1</v>
      </c>
      <c r="B20" s="4344" t="s">
        <v>1240</v>
      </c>
      <c r="C20" s="4345"/>
      <c r="D20" s="205">
        <f>“研发支出”辅助账汇总表!W11</f>
        <v>0</v>
      </c>
      <c r="F20" s="382"/>
    </row>
    <row r="21" spans="1:6" ht="15" customHeight="1">
      <c r="A21" s="381">
        <v>3.2</v>
      </c>
      <c r="B21" s="4344" t="s">
        <v>1241</v>
      </c>
      <c r="C21" s="4345"/>
      <c r="D21" s="205">
        <f>“研发支出”辅助账汇总表!X11</f>
        <v>0</v>
      </c>
      <c r="F21" s="382"/>
    </row>
    <row r="22" spans="1:6" ht="15" customHeight="1">
      <c r="A22" s="381">
        <v>4</v>
      </c>
      <c r="B22" s="4334" t="s">
        <v>1242</v>
      </c>
      <c r="C22" s="4335"/>
      <c r="D22" s="205">
        <f>SUM(D23:D25)</f>
        <v>0</v>
      </c>
      <c r="F22" s="382"/>
    </row>
    <row r="23" spans="1:6" ht="15" customHeight="1">
      <c r="A23" s="381">
        <v>4.0999999999999996</v>
      </c>
      <c r="B23" s="4344" t="s">
        <v>1243</v>
      </c>
      <c r="C23" s="4345"/>
      <c r="D23" s="205">
        <f>“研发支出”辅助账汇总表!Y11</f>
        <v>0</v>
      </c>
      <c r="F23" s="382"/>
    </row>
    <row r="24" spans="1:6" ht="15" customHeight="1">
      <c r="A24" s="381">
        <v>4.2</v>
      </c>
      <c r="B24" s="4344" t="s">
        <v>1244</v>
      </c>
      <c r="C24" s="4345"/>
      <c r="D24" s="205">
        <f>“研发支出”辅助账汇总表!Z11</f>
        <v>0</v>
      </c>
      <c r="F24" s="382"/>
    </row>
    <row r="25" spans="1:6" ht="24" customHeight="1">
      <c r="A25" s="381">
        <v>4.3</v>
      </c>
      <c r="B25" s="4344" t="s">
        <v>1245</v>
      </c>
      <c r="C25" s="4345"/>
      <c r="D25" s="205">
        <f>“研发支出”辅助账汇总表!AA11</f>
        <v>0</v>
      </c>
      <c r="F25" s="382"/>
    </row>
    <row r="26" spans="1:6" ht="15" customHeight="1">
      <c r="A26" s="381">
        <v>5</v>
      </c>
      <c r="B26" s="4348" t="s">
        <v>1246</v>
      </c>
      <c r="C26" s="4349"/>
      <c r="D26" s="205">
        <f>SUM(D27:D30)</f>
        <v>0</v>
      </c>
      <c r="F26" s="382"/>
    </row>
    <row r="27" spans="1:6" ht="15" customHeight="1">
      <c r="A27" s="381">
        <v>5.0999999999999996</v>
      </c>
      <c r="B27" s="4344" t="s">
        <v>1247</v>
      </c>
      <c r="C27" s="4345"/>
      <c r="D27" s="205">
        <f>“研发支出”辅助账汇总表!AB11</f>
        <v>0</v>
      </c>
      <c r="F27" s="382"/>
    </row>
    <row r="28" spans="1:6" ht="15" customHeight="1">
      <c r="A28" s="381">
        <v>5.2</v>
      </c>
      <c r="B28" s="4344" t="s">
        <v>1248</v>
      </c>
      <c r="C28" s="4345"/>
      <c r="D28" s="205">
        <f>“研发支出”辅助账汇总表!AC11</f>
        <v>0</v>
      </c>
      <c r="F28" s="382"/>
    </row>
    <row r="29" spans="1:6" ht="15" customHeight="1">
      <c r="A29" s="381">
        <v>5.3</v>
      </c>
      <c r="B29" s="4344" t="s">
        <v>1249</v>
      </c>
      <c r="C29" s="4345"/>
      <c r="D29" s="205">
        <f>“研发支出”辅助账汇总表!AD11</f>
        <v>0</v>
      </c>
      <c r="F29" s="382"/>
    </row>
    <row r="30" spans="1:6" ht="15" customHeight="1">
      <c r="A30" s="381">
        <v>5.4</v>
      </c>
      <c r="B30" s="4344" t="s">
        <v>1250</v>
      </c>
      <c r="C30" s="4345"/>
      <c r="D30" s="205">
        <f>“研发支出”辅助账汇总表!AE11</f>
        <v>0</v>
      </c>
      <c r="F30" s="382"/>
    </row>
    <row r="31" spans="1:6" ht="15" customHeight="1">
      <c r="A31" s="381">
        <v>6</v>
      </c>
      <c r="B31" s="4346" t="s">
        <v>1251</v>
      </c>
      <c r="C31" s="4347"/>
      <c r="D31" s="205">
        <f>SUM(D32:D35)</f>
        <v>0</v>
      </c>
    </row>
    <row r="32" spans="1:6" ht="15" customHeight="1">
      <c r="A32" s="381">
        <v>6.1</v>
      </c>
      <c r="B32" s="4344"/>
      <c r="C32" s="4345"/>
      <c r="D32" s="205"/>
    </row>
    <row r="33" spans="1:4">
      <c r="A33" s="381">
        <v>6.2</v>
      </c>
      <c r="B33" s="4344"/>
      <c r="C33" s="4345"/>
      <c r="D33" s="205"/>
    </row>
    <row r="34" spans="1:4">
      <c r="A34" s="381">
        <v>6.3</v>
      </c>
      <c r="B34" s="4344"/>
      <c r="C34" s="4345"/>
      <c r="D34" s="205"/>
    </row>
    <row r="35" spans="1:4">
      <c r="A35" s="381" t="s">
        <v>1252</v>
      </c>
      <c r="B35" s="4344"/>
      <c r="C35" s="4345"/>
      <c r="D35" s="205"/>
    </row>
    <row r="36" spans="1:4">
      <c r="A36" s="381">
        <v>7</v>
      </c>
      <c r="B36" s="4334" t="s">
        <v>1253</v>
      </c>
      <c r="C36" s="4335"/>
      <c r="D36" s="205">
        <f>“研发支出”辅助账汇总表!AQ11</f>
        <v>0</v>
      </c>
    </row>
    <row r="37" spans="1:4">
      <c r="A37" s="381">
        <v>7.1</v>
      </c>
      <c r="B37" s="4339" t="s">
        <v>1254</v>
      </c>
      <c r="C37" s="4340"/>
      <c r="D37" s="205">
        <f>“研发支出”辅助账汇总表!AR11</f>
        <v>0</v>
      </c>
    </row>
    <row r="38" spans="1:4">
      <c r="A38" s="381">
        <v>8</v>
      </c>
      <c r="B38" s="4334" t="s">
        <v>1255</v>
      </c>
      <c r="C38" s="4335"/>
      <c r="D38" s="205">
        <f>“研发支出”辅助账汇总表!AS11</f>
        <v>0</v>
      </c>
    </row>
    <row r="39" spans="1:4">
      <c r="A39" s="381">
        <v>8.1</v>
      </c>
      <c r="B39" s="4344" t="s">
        <v>1256</v>
      </c>
      <c r="C39" s="4345"/>
      <c r="D39" s="205">
        <f>D38*0.1/(1-0.1)</f>
        <v>0</v>
      </c>
    </row>
    <row r="40" spans="1:4">
      <c r="A40" s="381">
        <v>9</v>
      </c>
      <c r="B40" s="4334" t="s">
        <v>1257</v>
      </c>
      <c r="C40" s="4335"/>
      <c r="D40" s="205">
        <f>“研发支出”辅助账汇总表!AU11</f>
        <v>0</v>
      </c>
    </row>
    <row r="41" spans="1:4">
      <c r="A41" s="381">
        <v>10</v>
      </c>
      <c r="B41" s="4334" t="s">
        <v>1258</v>
      </c>
      <c r="C41" s="4335"/>
      <c r="D41" s="205"/>
    </row>
    <row r="42" spans="1:4">
      <c r="A42" s="381">
        <v>10.1</v>
      </c>
      <c r="B42" s="4339" t="s">
        <v>1259</v>
      </c>
      <c r="C42" s="4340"/>
      <c r="D42" s="205"/>
    </row>
    <row r="43" spans="1:4" ht="15" thickBot="1">
      <c r="A43" s="385">
        <v>11</v>
      </c>
      <c r="B43" s="4341" t="s">
        <v>1260</v>
      </c>
      <c r="C43" s="4342"/>
      <c r="D43" s="386">
        <f>(D40+D42)*50%</f>
        <v>0</v>
      </c>
    </row>
    <row r="44" spans="1:4">
      <c r="A44" s="376"/>
      <c r="B44" s="376"/>
      <c r="C44" s="376"/>
      <c r="D44" s="376"/>
    </row>
    <row r="45" spans="1:4">
      <c r="A45" s="376"/>
      <c r="B45" s="376"/>
      <c r="C45" s="376"/>
      <c r="D45" s="376"/>
    </row>
    <row r="46" spans="1:4">
      <c r="A46" s="376"/>
      <c r="B46" s="376"/>
      <c r="C46" s="376"/>
      <c r="D46" s="376"/>
    </row>
    <row r="47" spans="1:4">
      <c r="A47" s="4343" t="s">
        <v>1261</v>
      </c>
      <c r="B47" s="4343"/>
      <c r="C47" s="4343"/>
      <c r="D47" s="4343"/>
    </row>
    <row r="48" spans="1:4">
      <c r="A48" s="4336" t="s">
        <v>1262</v>
      </c>
      <c r="B48" s="4336"/>
      <c r="C48" s="4336"/>
      <c r="D48" s="4336"/>
    </row>
    <row r="49" spans="1:20">
      <c r="A49" s="4336" t="s">
        <v>1263</v>
      </c>
      <c r="B49" s="4336"/>
      <c r="C49" s="4336"/>
      <c r="D49" s="4336"/>
    </row>
    <row r="50" spans="1:20">
      <c r="A50" s="4336"/>
      <c r="B50" s="4336"/>
      <c r="C50" s="4336"/>
      <c r="D50" s="4336"/>
    </row>
    <row r="51" spans="1:20">
      <c r="A51" s="4337" t="s">
        <v>1608</v>
      </c>
      <c r="B51" s="4337"/>
      <c r="C51" s="4337"/>
      <c r="D51" s="4337"/>
    </row>
    <row r="52" spans="1:20" s="387" customFormat="1" ht="12">
      <c r="A52" s="4338" t="s">
        <v>1609</v>
      </c>
      <c r="B52" s="4338"/>
      <c r="C52" s="4338"/>
      <c r="D52" s="4338"/>
    </row>
    <row r="53" spans="1:20" s="219" customFormat="1" ht="12">
      <c r="A53" s="4095" t="s">
        <v>1610</v>
      </c>
      <c r="B53" s="4095"/>
      <c r="C53" s="4095"/>
      <c r="D53" s="4095"/>
      <c r="E53" s="4095"/>
      <c r="F53" s="4095"/>
      <c r="G53" s="4095"/>
      <c r="H53" s="4095"/>
      <c r="I53" s="4095"/>
      <c r="J53" s="4095"/>
      <c r="K53" s="4095"/>
      <c r="L53" s="4095"/>
      <c r="M53" s="4095"/>
      <c r="N53" s="4095"/>
      <c r="O53" s="4095"/>
      <c r="P53" s="4095"/>
      <c r="Q53" s="4095"/>
      <c r="R53" s="4095"/>
      <c r="S53" s="4095"/>
      <c r="T53" s="4095"/>
    </row>
  </sheetData>
  <mergeCells count="46">
    <mergeCell ref="A1:H1"/>
    <mergeCell ref="A2:D2"/>
    <mergeCell ref="A4:B4"/>
    <mergeCell ref="B5:C5"/>
    <mergeCell ref="B6:C6"/>
    <mergeCell ref="B7:B8"/>
    <mergeCell ref="B9:C9"/>
    <mergeCell ref="B10:C10"/>
    <mergeCell ref="B11:B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A50:D50"/>
    <mergeCell ref="A51:D51"/>
    <mergeCell ref="A52:D52"/>
    <mergeCell ref="A53:T53"/>
    <mergeCell ref="B41:C41"/>
    <mergeCell ref="B42:C42"/>
    <mergeCell ref="B43:C43"/>
    <mergeCell ref="A47:D47"/>
    <mergeCell ref="A48:D48"/>
    <mergeCell ref="A49:D49"/>
  </mergeCells>
  <phoneticPr fontId="61" type="noConversion"/>
  <hyperlinks>
    <hyperlink ref="A1:H1" location="'A100000 中华人民共和国企业所得税年度纳税申报表（A类）'!A1" display="返回主表（A100000）"/>
    <hyperlink ref="A52:D52" r:id="rId1" display="国家税务总局所得税司关于2016年度企业研究开发费用税前加计扣除企业所得税纳税申报有关问题的通知"/>
    <hyperlink ref="A53" r:id="rId2" display="《国家税务总局关于企业研究开发费用税前加计扣除政策有关问题的公告》"/>
    <hyperlink ref="A53:T53" r:id="rId3" display="《国家税务总局关于企业研究开发费用税前加计扣除政策有关问题的公告》（国家税务总局公告2015年第97号）"/>
  </hyperlinks>
  <pageMargins left="0.70866141732283472" right="0.70866141732283472" top="0.74803149606299213" bottom="0.74803149606299213" header="0.31496062992125984" footer="0.31496062992125984"/>
  <pageSetup paperSize="9" scale="84" orientation="portrait" verticalDpi="0" r:id="rId4"/>
  <legacyDrawing r:id="rId5"/>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pageSetUpPr fitToPage="1"/>
  </sheetPr>
  <dimension ref="A1:AX97"/>
  <sheetViews>
    <sheetView workbookViewId="0">
      <selection sqref="A1:H1"/>
    </sheetView>
  </sheetViews>
  <sheetFormatPr defaultColWidth="10.875" defaultRowHeight="12"/>
  <cols>
    <col min="1" max="1" width="7.375" style="389" customWidth="1"/>
    <col min="2" max="2" width="2.875" style="389" customWidth="1"/>
    <col min="3" max="3" width="4" style="389" customWidth="1"/>
    <col min="4" max="4" width="4.875" style="389" customWidth="1"/>
    <col min="5" max="5" width="4.625" style="389" customWidth="1"/>
    <col min="6" max="6" width="9.625" style="389" customWidth="1"/>
    <col min="7" max="7" width="6.375" style="389" customWidth="1"/>
    <col min="8" max="8" width="4.625" style="389" customWidth="1"/>
    <col min="9" max="9" width="10.875" style="389" customWidth="1"/>
    <col min="10" max="10" width="14" style="389" customWidth="1"/>
    <col min="11" max="11" width="4.625" style="389" customWidth="1"/>
    <col min="12" max="47" width="5.625" style="389" customWidth="1"/>
    <col min="48" max="48" width="7" style="389" customWidth="1"/>
    <col min="49" max="50" width="9.875" style="389" customWidth="1"/>
    <col min="51" max="16384" width="10.875" style="389"/>
  </cols>
  <sheetData>
    <row r="1" spans="1:50" ht="14.25">
      <c r="A1" s="4164" t="s">
        <v>1209</v>
      </c>
      <c r="B1" s="4164"/>
      <c r="C1" s="4164"/>
      <c r="D1" s="4164"/>
      <c r="E1" s="4164"/>
      <c r="F1" s="4164"/>
      <c r="G1" s="4164"/>
      <c r="H1" s="4164"/>
      <c r="I1" s="388"/>
      <c r="J1" s="388"/>
    </row>
    <row r="2" spans="1:50" ht="18.75">
      <c r="A2" s="4375" t="s">
        <v>1264</v>
      </c>
      <c r="B2" s="4375"/>
      <c r="C2" s="4375"/>
      <c r="D2" s="4375"/>
      <c r="E2" s="4375"/>
      <c r="F2" s="4375"/>
      <c r="G2" s="4375"/>
      <c r="H2" s="4375"/>
      <c r="I2" s="4375"/>
      <c r="J2" s="4375"/>
      <c r="K2" s="4375"/>
      <c r="L2" s="4375"/>
      <c r="M2" s="4375"/>
      <c r="N2" s="4375"/>
      <c r="O2" s="4375"/>
      <c r="P2" s="4375"/>
      <c r="Q2" s="4375"/>
      <c r="R2" s="4375"/>
      <c r="S2" s="4375"/>
      <c r="T2" s="4375"/>
      <c r="U2" s="4375"/>
      <c r="V2" s="4375"/>
      <c r="W2" s="4375"/>
      <c r="X2" s="4375"/>
      <c r="Y2" s="4375"/>
      <c r="Z2" s="4375"/>
      <c r="AA2" s="4375"/>
      <c r="AB2" s="4375"/>
      <c r="AC2" s="4375"/>
      <c r="AD2" s="4375"/>
      <c r="AE2" s="4375"/>
      <c r="AF2" s="4375"/>
      <c r="AG2" s="4375"/>
      <c r="AH2" s="4375"/>
      <c r="AI2" s="4375"/>
      <c r="AJ2" s="4375"/>
      <c r="AK2" s="4375"/>
      <c r="AL2" s="4375"/>
      <c r="AM2" s="4375"/>
      <c r="AN2" s="4375"/>
      <c r="AO2" s="4375"/>
      <c r="AP2" s="4375"/>
      <c r="AQ2" s="4375"/>
      <c r="AR2" s="4375"/>
      <c r="AS2" s="4375"/>
      <c r="AT2" s="4375"/>
      <c r="AU2" s="4375"/>
      <c r="AV2" s="4375"/>
    </row>
    <row r="3" spans="1:50" s="391" customFormat="1" ht="15" thickBot="1">
      <c r="A3" s="390" t="s">
        <v>1218</v>
      </c>
      <c r="B3" s="390"/>
      <c r="C3" s="390"/>
      <c r="L3" s="390" t="s">
        <v>1217</v>
      </c>
      <c r="O3" s="392"/>
      <c r="P3" s="393"/>
      <c r="Q3" s="394"/>
      <c r="S3" s="392"/>
      <c r="T3" s="392"/>
      <c r="U3" s="392" t="s">
        <v>1265</v>
      </c>
      <c r="V3" s="392"/>
      <c r="W3" s="392"/>
      <c r="X3" s="392"/>
      <c r="Y3" s="392"/>
      <c r="Z3" s="392"/>
      <c r="AA3" s="392"/>
      <c r="AB3" s="392"/>
      <c r="AC3" s="392"/>
      <c r="AD3" s="392"/>
      <c r="AE3" s="392"/>
      <c r="AF3" s="392"/>
      <c r="AG3" s="392"/>
      <c r="AH3" s="392"/>
      <c r="AI3" s="392"/>
      <c r="AJ3" s="392"/>
      <c r="AK3" s="392"/>
      <c r="AL3" s="392"/>
      <c r="AM3" s="392"/>
      <c r="AN3" s="392"/>
      <c r="AO3" s="392"/>
      <c r="AV3" s="395" t="s">
        <v>1266</v>
      </c>
    </row>
    <row r="4" spans="1:50" s="396" customFormat="1">
      <c r="A4" s="4376" t="s">
        <v>1222</v>
      </c>
      <c r="B4" s="4358" t="s">
        <v>1221</v>
      </c>
      <c r="C4" s="4358" t="s">
        <v>1267</v>
      </c>
      <c r="D4" s="4358" t="s">
        <v>1268</v>
      </c>
      <c r="E4" s="4359" t="s">
        <v>1269</v>
      </c>
      <c r="F4" s="4359" t="s">
        <v>1270</v>
      </c>
      <c r="G4" s="4359" t="s">
        <v>1271</v>
      </c>
      <c r="H4" s="4359" t="s">
        <v>1272</v>
      </c>
      <c r="I4" s="4358" t="s">
        <v>1273</v>
      </c>
      <c r="J4" s="4359" t="s">
        <v>1274</v>
      </c>
      <c r="K4" s="4359" t="s">
        <v>1275</v>
      </c>
      <c r="L4" s="4374" t="s">
        <v>1276</v>
      </c>
      <c r="M4" s="4374"/>
      <c r="N4" s="4374"/>
      <c r="O4" s="4374" t="s">
        <v>1277</v>
      </c>
      <c r="P4" s="4374"/>
      <c r="Q4" s="4374"/>
      <c r="R4" s="4374"/>
      <c r="S4" s="4374"/>
      <c r="T4" s="4374"/>
      <c r="U4" s="4374"/>
      <c r="V4" s="4374"/>
      <c r="W4" s="4374" t="s">
        <v>1278</v>
      </c>
      <c r="X4" s="4374"/>
      <c r="Y4" s="4374" t="s">
        <v>1279</v>
      </c>
      <c r="Z4" s="4374"/>
      <c r="AA4" s="4374"/>
      <c r="AB4" s="4374" t="s">
        <v>1280</v>
      </c>
      <c r="AC4" s="4374"/>
      <c r="AD4" s="4374"/>
      <c r="AE4" s="4374"/>
      <c r="AF4" s="4358" t="s">
        <v>1281</v>
      </c>
      <c r="AG4" s="4358"/>
      <c r="AH4" s="4358"/>
      <c r="AI4" s="4358"/>
      <c r="AJ4" s="4358"/>
      <c r="AK4" s="4358"/>
      <c r="AL4" s="4358"/>
      <c r="AM4" s="4358"/>
      <c r="AN4" s="4358"/>
      <c r="AO4" s="4358"/>
      <c r="AP4" s="4358"/>
      <c r="AQ4" s="4374" t="s">
        <v>1253</v>
      </c>
      <c r="AR4" s="4374" t="s">
        <v>1254</v>
      </c>
      <c r="AS4" s="4374" t="s">
        <v>1255</v>
      </c>
      <c r="AT4" s="4374" t="s">
        <v>1256</v>
      </c>
      <c r="AU4" s="4374" t="s">
        <v>1257</v>
      </c>
      <c r="AV4" s="4370" t="s">
        <v>1282</v>
      </c>
    </row>
    <row r="5" spans="1:50" s="396" customFormat="1">
      <c r="A5" s="4363"/>
      <c r="B5" s="4357"/>
      <c r="C5" s="4357"/>
      <c r="D5" s="4357"/>
      <c r="E5" s="4360"/>
      <c r="F5" s="4360"/>
      <c r="G5" s="4360"/>
      <c r="H5" s="4360"/>
      <c r="I5" s="4357"/>
      <c r="J5" s="4360"/>
      <c r="K5" s="4360"/>
      <c r="L5" s="4372" t="s">
        <v>1225</v>
      </c>
      <c r="M5" s="4372"/>
      <c r="N5" s="4372" t="s">
        <v>1228</v>
      </c>
      <c r="O5" s="4373" t="s">
        <v>1230</v>
      </c>
      <c r="P5" s="4373"/>
      <c r="Q5" s="4373"/>
      <c r="R5" s="4357" t="s">
        <v>1234</v>
      </c>
      <c r="S5" s="4357" t="s">
        <v>1235</v>
      </c>
      <c r="T5" s="4357" t="s">
        <v>1283</v>
      </c>
      <c r="U5" s="4357" t="s">
        <v>1237</v>
      </c>
      <c r="V5" s="4357" t="s">
        <v>1238</v>
      </c>
      <c r="W5" s="4357" t="s">
        <v>1240</v>
      </c>
      <c r="X5" s="4357" t="s">
        <v>1241</v>
      </c>
      <c r="Y5" s="4357" t="s">
        <v>1243</v>
      </c>
      <c r="Z5" s="4357" t="s">
        <v>1244</v>
      </c>
      <c r="AA5" s="4357" t="s">
        <v>1245</v>
      </c>
      <c r="AB5" s="4357" t="s">
        <v>1247</v>
      </c>
      <c r="AC5" s="4357" t="s">
        <v>1248</v>
      </c>
      <c r="AD5" s="4357" t="s">
        <v>1249</v>
      </c>
      <c r="AE5" s="4357" t="s">
        <v>1250</v>
      </c>
      <c r="AF5" s="4357"/>
      <c r="AG5" s="4357"/>
      <c r="AH5" s="4357"/>
      <c r="AI5" s="4357"/>
      <c r="AJ5" s="4357"/>
      <c r="AK5" s="4357"/>
      <c r="AL5" s="4357"/>
      <c r="AM5" s="4357"/>
      <c r="AN5" s="4357"/>
      <c r="AO5" s="4357"/>
      <c r="AP5" s="4357"/>
      <c r="AQ5" s="4373"/>
      <c r="AR5" s="4373"/>
      <c r="AS5" s="4373"/>
      <c r="AT5" s="4373"/>
      <c r="AU5" s="4373"/>
      <c r="AV5" s="4371"/>
    </row>
    <row r="6" spans="1:50" s="396" customFormat="1" ht="24">
      <c r="A6" s="4363"/>
      <c r="B6" s="4357"/>
      <c r="C6" s="4357"/>
      <c r="D6" s="4357"/>
      <c r="E6" s="4360"/>
      <c r="F6" s="4360"/>
      <c r="G6" s="4360"/>
      <c r="H6" s="4360"/>
      <c r="I6" s="4357"/>
      <c r="J6" s="4360"/>
      <c r="K6" s="4360"/>
      <c r="L6" s="397" t="s">
        <v>1226</v>
      </c>
      <c r="M6" s="398" t="s">
        <v>1227</v>
      </c>
      <c r="N6" s="4372"/>
      <c r="O6" s="399" t="s">
        <v>1231</v>
      </c>
      <c r="P6" s="399" t="s">
        <v>1232</v>
      </c>
      <c r="Q6" s="399" t="s">
        <v>1233</v>
      </c>
      <c r="R6" s="4357"/>
      <c r="S6" s="4357"/>
      <c r="T6" s="4357"/>
      <c r="U6" s="4357"/>
      <c r="V6" s="4357"/>
      <c r="W6" s="4357"/>
      <c r="X6" s="4357"/>
      <c r="Y6" s="4357"/>
      <c r="Z6" s="4357"/>
      <c r="AA6" s="4357"/>
      <c r="AB6" s="4357"/>
      <c r="AC6" s="4357"/>
      <c r="AD6" s="4357"/>
      <c r="AE6" s="4357"/>
      <c r="AF6" s="4357"/>
      <c r="AG6" s="4357"/>
      <c r="AH6" s="4357"/>
      <c r="AI6" s="4357"/>
      <c r="AJ6" s="4357"/>
      <c r="AK6" s="4357"/>
      <c r="AL6" s="4357"/>
      <c r="AM6" s="4357"/>
      <c r="AN6" s="4357"/>
      <c r="AO6" s="4357"/>
      <c r="AP6" s="4357"/>
      <c r="AQ6" s="4373"/>
      <c r="AR6" s="4373"/>
      <c r="AS6" s="4373"/>
      <c r="AT6" s="4373"/>
      <c r="AU6" s="4373"/>
      <c r="AV6" s="4371"/>
    </row>
    <row r="7" spans="1:50" s="396" customFormat="1" ht="24">
      <c r="A7" s="400" t="s">
        <v>1284</v>
      </c>
      <c r="B7" s="4357"/>
      <c r="C7" s="4357"/>
      <c r="D7" s="4357"/>
      <c r="E7" s="4360"/>
      <c r="F7" s="4360"/>
      <c r="G7" s="4360"/>
      <c r="H7" s="4360"/>
      <c r="I7" s="4357"/>
      <c r="J7" s="4360"/>
      <c r="K7" s="4360"/>
      <c r="L7" s="401" t="s">
        <v>1285</v>
      </c>
      <c r="M7" s="401" t="s">
        <v>1286</v>
      </c>
      <c r="N7" s="401" t="s">
        <v>1287</v>
      </c>
      <c r="O7" s="401" t="s">
        <v>1288</v>
      </c>
      <c r="P7" s="401" t="s">
        <v>1289</v>
      </c>
      <c r="Q7" s="401" t="s">
        <v>1290</v>
      </c>
      <c r="R7" s="401" t="s">
        <v>1291</v>
      </c>
      <c r="S7" s="401" t="s">
        <v>1292</v>
      </c>
      <c r="T7" s="401" t="s">
        <v>1293</v>
      </c>
      <c r="U7" s="401" t="s">
        <v>1294</v>
      </c>
      <c r="V7" s="401" t="s">
        <v>1295</v>
      </c>
      <c r="W7" s="401" t="s">
        <v>1296</v>
      </c>
      <c r="X7" s="401" t="s">
        <v>1297</v>
      </c>
      <c r="Y7" s="401" t="s">
        <v>1298</v>
      </c>
      <c r="Z7" s="401" t="s">
        <v>1299</v>
      </c>
      <c r="AA7" s="401" t="s">
        <v>1300</v>
      </c>
      <c r="AB7" s="401" t="s">
        <v>1301</v>
      </c>
      <c r="AC7" s="401" t="s">
        <v>1302</v>
      </c>
      <c r="AD7" s="401" t="s">
        <v>1303</v>
      </c>
      <c r="AE7" s="401" t="s">
        <v>1304</v>
      </c>
      <c r="AF7" s="401" t="s">
        <v>1305</v>
      </c>
      <c r="AG7" s="401" t="s">
        <v>1306</v>
      </c>
      <c r="AH7" s="401" t="s">
        <v>1307</v>
      </c>
      <c r="AI7" s="2208" t="s">
        <v>6434</v>
      </c>
      <c r="AJ7" s="2208" t="s">
        <v>6435</v>
      </c>
      <c r="AK7" s="2208" t="s">
        <v>6436</v>
      </c>
      <c r="AL7" s="2208" t="s">
        <v>6437</v>
      </c>
      <c r="AM7" s="2208" t="s">
        <v>6438</v>
      </c>
      <c r="AN7" s="2208" t="s">
        <v>6439</v>
      </c>
      <c r="AO7" s="2208" t="s">
        <v>6440</v>
      </c>
      <c r="AP7" s="401" t="s">
        <v>1252</v>
      </c>
      <c r="AQ7" s="399">
        <v>7</v>
      </c>
      <c r="AR7" s="399">
        <v>7.1</v>
      </c>
      <c r="AS7" s="399">
        <v>8</v>
      </c>
      <c r="AT7" s="399">
        <v>8.1</v>
      </c>
      <c r="AU7" s="399">
        <v>9</v>
      </c>
      <c r="AV7" s="402">
        <v>9.1</v>
      </c>
    </row>
    <row r="8" spans="1:50">
      <c r="A8" s="403">
        <v>1</v>
      </c>
      <c r="B8" s="4362" t="s">
        <v>1308</v>
      </c>
      <c r="C8" s="4362"/>
      <c r="D8" s="4362"/>
      <c r="E8" s="4362"/>
      <c r="F8" s="4362"/>
      <c r="G8" s="4362"/>
      <c r="H8" s="4362"/>
      <c r="I8" s="4362"/>
      <c r="J8" s="4362"/>
      <c r="K8" s="4362"/>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5">
        <f t="shared" ref="AS8:AS13" si="0">SUM(L8:AE8)</f>
        <v>0</v>
      </c>
      <c r="AT8" s="405">
        <f t="shared" ref="AT8:AT13" si="1">AS8*10%/(1-10%)</f>
        <v>0</v>
      </c>
      <c r="AU8" s="399" t="s">
        <v>133</v>
      </c>
      <c r="AV8" s="402" t="s">
        <v>133</v>
      </c>
      <c r="AW8" s="406"/>
      <c r="AX8" s="406"/>
    </row>
    <row r="9" spans="1:50">
      <c r="A9" s="403">
        <v>2</v>
      </c>
      <c r="B9" s="4368" t="s">
        <v>1309</v>
      </c>
      <c r="C9" s="4368"/>
      <c r="D9" s="4368"/>
      <c r="E9" s="4368"/>
      <c r="F9" s="4368"/>
      <c r="G9" s="4368"/>
      <c r="H9" s="4368"/>
      <c r="I9" s="4368"/>
      <c r="J9" s="4368"/>
      <c r="K9" s="4368"/>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5">
        <f t="shared" si="0"/>
        <v>0</v>
      </c>
      <c r="AT9" s="405">
        <f t="shared" si="1"/>
        <v>0</v>
      </c>
      <c r="AU9" s="399" t="s">
        <v>133</v>
      </c>
      <c r="AV9" s="402" t="s">
        <v>133</v>
      </c>
      <c r="AW9" s="406"/>
      <c r="AX9" s="406"/>
    </row>
    <row r="10" spans="1:50">
      <c r="A10" s="403">
        <v>3</v>
      </c>
      <c r="B10" s="4368" t="s">
        <v>1310</v>
      </c>
      <c r="C10" s="4368"/>
      <c r="D10" s="4368"/>
      <c r="E10" s="4368"/>
      <c r="F10" s="4368"/>
      <c r="G10" s="4368"/>
      <c r="H10" s="4368"/>
      <c r="I10" s="4368"/>
      <c r="J10" s="4368"/>
      <c r="K10" s="4368"/>
      <c r="L10" s="404"/>
      <c r="M10" s="404"/>
      <c r="N10" s="404"/>
      <c r="O10" s="404"/>
      <c r="P10" s="404"/>
      <c r="Q10" s="404"/>
      <c r="R10" s="404"/>
      <c r="S10" s="404"/>
      <c r="T10" s="404"/>
      <c r="U10" s="404"/>
      <c r="V10" s="404"/>
      <c r="W10" s="404"/>
      <c r="X10" s="404"/>
      <c r="Y10" s="404"/>
      <c r="Z10" s="404"/>
      <c r="AA10" s="404"/>
      <c r="AB10" s="404"/>
      <c r="AC10" s="404"/>
      <c r="AD10" s="404"/>
      <c r="AE10" s="404"/>
      <c r="AF10" s="404"/>
      <c r="AG10" s="404"/>
      <c r="AH10" s="404"/>
      <c r="AI10" s="404"/>
      <c r="AJ10" s="404"/>
      <c r="AK10" s="404"/>
      <c r="AL10" s="404"/>
      <c r="AM10" s="404"/>
      <c r="AN10" s="404"/>
      <c r="AO10" s="404"/>
      <c r="AP10" s="404"/>
      <c r="AQ10" s="404"/>
      <c r="AR10" s="404"/>
      <c r="AS10" s="405">
        <f t="shared" si="0"/>
        <v>0</v>
      </c>
      <c r="AT10" s="405">
        <f t="shared" si="1"/>
        <v>0</v>
      </c>
      <c r="AU10" s="399" t="s">
        <v>133</v>
      </c>
      <c r="AV10" s="402" t="s">
        <v>133</v>
      </c>
      <c r="AW10" s="406"/>
      <c r="AX10" s="406"/>
    </row>
    <row r="11" spans="1:50">
      <c r="A11" s="403">
        <v>4</v>
      </c>
      <c r="B11" s="4368" t="s">
        <v>1311</v>
      </c>
      <c r="C11" s="4368"/>
      <c r="D11" s="4368"/>
      <c r="E11" s="4368"/>
      <c r="F11" s="4368"/>
      <c r="G11" s="4368"/>
      <c r="H11" s="4368"/>
      <c r="I11" s="4368"/>
      <c r="J11" s="4368"/>
      <c r="K11" s="4368"/>
      <c r="L11" s="404"/>
      <c r="M11" s="404"/>
      <c r="N11" s="404"/>
      <c r="O11" s="404"/>
      <c r="P11" s="404"/>
      <c r="Q11" s="404"/>
      <c r="R11" s="404"/>
      <c r="S11" s="404"/>
      <c r="T11" s="404"/>
      <c r="U11" s="404"/>
      <c r="V11" s="404"/>
      <c r="W11" s="404"/>
      <c r="X11" s="404"/>
      <c r="Y11" s="404"/>
      <c r="Z11" s="404"/>
      <c r="AA11" s="404"/>
      <c r="AB11" s="404"/>
      <c r="AC11" s="404"/>
      <c r="AD11" s="404"/>
      <c r="AE11" s="404"/>
      <c r="AF11" s="404"/>
      <c r="AG11" s="404"/>
      <c r="AH11" s="404"/>
      <c r="AI11" s="404"/>
      <c r="AJ11" s="404"/>
      <c r="AK11" s="404"/>
      <c r="AL11" s="404"/>
      <c r="AM11" s="404"/>
      <c r="AN11" s="404"/>
      <c r="AO11" s="404"/>
      <c r="AP11" s="404"/>
      <c r="AQ11" s="404"/>
      <c r="AR11" s="404"/>
      <c r="AS11" s="405">
        <f t="shared" si="0"/>
        <v>0</v>
      </c>
      <c r="AT11" s="405">
        <f t="shared" si="1"/>
        <v>0</v>
      </c>
      <c r="AU11" s="407"/>
      <c r="AV11" s="402" t="s">
        <v>133</v>
      </c>
      <c r="AW11" s="406"/>
      <c r="AX11" s="406"/>
    </row>
    <row r="12" spans="1:50">
      <c r="A12" s="403">
        <v>5</v>
      </c>
      <c r="B12" s="4369" t="s">
        <v>1312</v>
      </c>
      <c r="C12" s="4369"/>
      <c r="D12" s="4369"/>
      <c r="E12" s="4369"/>
      <c r="F12" s="4369"/>
      <c r="G12" s="4369"/>
      <c r="H12" s="4369"/>
      <c r="I12" s="4369"/>
      <c r="J12" s="4369"/>
      <c r="K12" s="4369"/>
      <c r="L12" s="404"/>
      <c r="M12" s="404"/>
      <c r="N12" s="404"/>
      <c r="O12" s="404"/>
      <c r="P12" s="404"/>
      <c r="Q12" s="404"/>
      <c r="R12" s="404"/>
      <c r="S12" s="404"/>
      <c r="T12" s="404"/>
      <c r="U12" s="404"/>
      <c r="V12" s="404"/>
      <c r="W12" s="404"/>
      <c r="X12" s="404"/>
      <c r="Y12" s="404"/>
      <c r="Z12" s="404"/>
      <c r="AA12" s="404"/>
      <c r="AB12" s="404"/>
      <c r="AC12" s="404"/>
      <c r="AD12" s="404"/>
      <c r="AE12" s="404"/>
      <c r="AF12" s="404"/>
      <c r="AG12" s="404"/>
      <c r="AH12" s="404"/>
      <c r="AI12" s="404"/>
      <c r="AJ12" s="404"/>
      <c r="AK12" s="404"/>
      <c r="AL12" s="404"/>
      <c r="AM12" s="404"/>
      <c r="AN12" s="404"/>
      <c r="AO12" s="404"/>
      <c r="AP12" s="404"/>
      <c r="AQ12" s="404"/>
      <c r="AR12" s="404"/>
      <c r="AS12" s="405">
        <f t="shared" si="0"/>
        <v>0</v>
      </c>
      <c r="AT12" s="405">
        <f t="shared" si="1"/>
        <v>0</v>
      </c>
      <c r="AU12" s="399" t="s">
        <v>133</v>
      </c>
      <c r="AV12" s="402" t="s">
        <v>133</v>
      </c>
      <c r="AW12" s="406"/>
      <c r="AX12" s="406"/>
    </row>
    <row r="13" spans="1:50">
      <c r="A13" s="403">
        <v>6</v>
      </c>
      <c r="B13" s="4362" t="s">
        <v>1313</v>
      </c>
      <c r="C13" s="4362"/>
      <c r="D13" s="4362"/>
      <c r="E13" s="4362"/>
      <c r="F13" s="4362"/>
      <c r="G13" s="4362"/>
      <c r="H13" s="4362"/>
      <c r="I13" s="4362"/>
      <c r="J13" s="4362"/>
      <c r="K13" s="4362"/>
      <c r="L13" s="404"/>
      <c r="M13" s="404"/>
      <c r="N13" s="404"/>
      <c r="O13" s="404"/>
      <c r="P13" s="404"/>
      <c r="Q13" s="404"/>
      <c r="R13" s="404"/>
      <c r="S13" s="404"/>
      <c r="T13" s="404"/>
      <c r="U13" s="404"/>
      <c r="V13" s="404"/>
      <c r="W13" s="404"/>
      <c r="X13" s="404"/>
      <c r="Y13" s="404"/>
      <c r="Z13" s="404"/>
      <c r="AA13" s="404"/>
      <c r="AB13" s="404"/>
      <c r="AC13" s="404"/>
      <c r="AD13" s="404"/>
      <c r="AE13" s="404"/>
      <c r="AF13" s="404"/>
      <c r="AG13" s="404"/>
      <c r="AH13" s="404"/>
      <c r="AI13" s="404"/>
      <c r="AJ13" s="404"/>
      <c r="AK13" s="404"/>
      <c r="AL13" s="404"/>
      <c r="AM13" s="404"/>
      <c r="AN13" s="404"/>
      <c r="AO13" s="404"/>
      <c r="AP13" s="404"/>
      <c r="AQ13" s="404"/>
      <c r="AR13" s="404"/>
      <c r="AS13" s="405">
        <f t="shared" si="0"/>
        <v>0</v>
      </c>
      <c r="AT13" s="405">
        <f t="shared" si="1"/>
        <v>0</v>
      </c>
      <c r="AU13" s="399" t="s">
        <v>133</v>
      </c>
      <c r="AV13" s="408" t="s">
        <v>133</v>
      </c>
      <c r="AW13" s="406"/>
      <c r="AX13" s="406"/>
    </row>
    <row r="14" spans="1:50">
      <c r="A14" s="4363" t="s">
        <v>1314</v>
      </c>
      <c r="B14" s="399">
        <v>1</v>
      </c>
      <c r="C14" s="399"/>
      <c r="D14" s="409"/>
      <c r="E14" s="410"/>
      <c r="F14" s="411"/>
      <c r="G14" s="411"/>
      <c r="H14" s="411"/>
      <c r="I14" s="411"/>
      <c r="J14" s="411"/>
      <c r="K14" s="412"/>
      <c r="L14" s="413"/>
      <c r="M14" s="413"/>
      <c r="N14" s="413"/>
      <c r="O14" s="413"/>
      <c r="P14" s="413"/>
      <c r="Q14" s="413"/>
      <c r="R14" s="413"/>
      <c r="S14" s="413"/>
      <c r="T14" s="413"/>
      <c r="U14" s="413"/>
      <c r="V14" s="413"/>
      <c r="W14" s="413"/>
      <c r="X14" s="413"/>
      <c r="Y14" s="413"/>
      <c r="Z14" s="413"/>
      <c r="AA14" s="413"/>
      <c r="AB14" s="413"/>
      <c r="AC14" s="413"/>
      <c r="AD14" s="413"/>
      <c r="AE14" s="413"/>
      <c r="AF14" s="413"/>
      <c r="AG14" s="413"/>
      <c r="AH14" s="413"/>
      <c r="AI14" s="413"/>
      <c r="AJ14" s="413"/>
      <c r="AK14" s="413"/>
      <c r="AL14" s="413"/>
      <c r="AM14" s="413"/>
      <c r="AN14" s="413"/>
      <c r="AO14" s="413"/>
      <c r="AP14" s="414"/>
      <c r="AQ14" s="414"/>
      <c r="AR14" s="413"/>
      <c r="AS14" s="407"/>
      <c r="AT14" s="407"/>
      <c r="AU14" s="407"/>
      <c r="AV14" s="415"/>
      <c r="AW14" s="406"/>
      <c r="AX14" s="406"/>
    </row>
    <row r="15" spans="1:50" s="394" customFormat="1">
      <c r="A15" s="4363"/>
      <c r="B15" s="416">
        <v>2</v>
      </c>
      <c r="C15" s="416"/>
      <c r="D15" s="409"/>
      <c r="E15" s="410"/>
      <c r="F15" s="411"/>
      <c r="G15" s="411"/>
      <c r="H15" s="411"/>
      <c r="I15" s="411"/>
      <c r="J15" s="411"/>
      <c r="K15" s="412"/>
      <c r="L15" s="414"/>
      <c r="M15" s="414"/>
      <c r="N15" s="414"/>
      <c r="O15" s="414"/>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3"/>
      <c r="AS15" s="407"/>
      <c r="AT15" s="407"/>
      <c r="AU15" s="407"/>
      <c r="AV15" s="415"/>
      <c r="AW15" s="406"/>
      <c r="AX15" s="406"/>
    </row>
    <row r="16" spans="1:50" s="394" customFormat="1">
      <c r="A16" s="4363"/>
      <c r="B16" s="416">
        <v>3</v>
      </c>
      <c r="C16" s="416"/>
      <c r="D16" s="409"/>
      <c r="E16" s="410"/>
      <c r="F16" s="411"/>
      <c r="G16" s="411"/>
      <c r="H16" s="411"/>
      <c r="I16" s="411"/>
      <c r="J16" s="411"/>
      <c r="K16" s="412"/>
      <c r="L16" s="414"/>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3"/>
      <c r="AS16" s="407"/>
      <c r="AT16" s="407"/>
      <c r="AU16" s="407"/>
      <c r="AV16" s="415"/>
      <c r="AW16" s="406"/>
      <c r="AX16" s="406"/>
    </row>
    <row r="17" spans="1:50" s="394" customFormat="1">
      <c r="A17" s="4364"/>
      <c r="B17" s="416">
        <v>4</v>
      </c>
      <c r="C17" s="2240"/>
      <c r="D17" s="2241"/>
      <c r="E17" s="2242"/>
      <c r="F17" s="2243"/>
      <c r="G17" s="2243"/>
      <c r="H17" s="2243"/>
      <c r="I17" s="2243"/>
      <c r="J17" s="2243"/>
      <c r="K17" s="2244"/>
      <c r="L17" s="2245"/>
      <c r="M17" s="2245"/>
      <c r="N17" s="2245"/>
      <c r="O17" s="2245"/>
      <c r="P17" s="2245"/>
      <c r="Q17" s="2245"/>
      <c r="R17" s="2245"/>
      <c r="S17" s="2245"/>
      <c r="T17" s="2245"/>
      <c r="U17" s="2245"/>
      <c r="V17" s="2245"/>
      <c r="W17" s="2245"/>
      <c r="X17" s="2245"/>
      <c r="Y17" s="2245"/>
      <c r="Z17" s="2245"/>
      <c r="AA17" s="2245"/>
      <c r="AB17" s="2245"/>
      <c r="AC17" s="2245"/>
      <c r="AD17" s="2245"/>
      <c r="AE17" s="2245"/>
      <c r="AF17" s="2245"/>
      <c r="AG17" s="2245"/>
      <c r="AH17" s="2245"/>
      <c r="AI17" s="2245"/>
      <c r="AJ17" s="2245"/>
      <c r="AK17" s="2245"/>
      <c r="AL17" s="2245"/>
      <c r="AM17" s="2245"/>
      <c r="AN17" s="2245"/>
      <c r="AO17" s="2245"/>
      <c r="AP17" s="2245"/>
      <c r="AQ17" s="2245"/>
      <c r="AR17" s="2246"/>
      <c r="AS17" s="2247"/>
      <c r="AT17" s="2247"/>
      <c r="AU17" s="2247"/>
      <c r="AV17" s="2248"/>
      <c r="AW17" s="406"/>
      <c r="AX17" s="406"/>
    </row>
    <row r="18" spans="1:50" s="394" customFormat="1">
      <c r="A18" s="4364"/>
      <c r="B18" s="416">
        <v>5</v>
      </c>
      <c r="C18" s="2240"/>
      <c r="D18" s="2241"/>
      <c r="E18" s="2242"/>
      <c r="F18" s="2243"/>
      <c r="G18" s="2243"/>
      <c r="H18" s="2243"/>
      <c r="I18" s="2243"/>
      <c r="J18" s="2243"/>
      <c r="K18" s="2244"/>
      <c r="L18" s="2245"/>
      <c r="M18" s="2245"/>
      <c r="N18" s="2245"/>
      <c r="O18" s="2245"/>
      <c r="P18" s="2245"/>
      <c r="Q18" s="2245"/>
      <c r="R18" s="2245"/>
      <c r="S18" s="2245"/>
      <c r="T18" s="2245"/>
      <c r="U18" s="2245"/>
      <c r="V18" s="2245"/>
      <c r="W18" s="2245"/>
      <c r="X18" s="2245"/>
      <c r="Y18" s="2245"/>
      <c r="Z18" s="2245"/>
      <c r="AA18" s="2245"/>
      <c r="AB18" s="2245"/>
      <c r="AC18" s="2245"/>
      <c r="AD18" s="2245"/>
      <c r="AE18" s="2245"/>
      <c r="AF18" s="2245"/>
      <c r="AG18" s="2245"/>
      <c r="AH18" s="2245"/>
      <c r="AI18" s="2245"/>
      <c r="AJ18" s="2245"/>
      <c r="AK18" s="2245"/>
      <c r="AL18" s="2245"/>
      <c r="AM18" s="2245"/>
      <c r="AN18" s="2245"/>
      <c r="AO18" s="2245"/>
      <c r="AP18" s="2245"/>
      <c r="AQ18" s="2245"/>
      <c r="AR18" s="2246"/>
      <c r="AS18" s="2247"/>
      <c r="AT18" s="2247"/>
      <c r="AU18" s="2247"/>
      <c r="AV18" s="2248"/>
      <c r="AW18" s="406"/>
      <c r="AX18" s="406"/>
    </row>
    <row r="19" spans="1:50" s="394" customFormat="1">
      <c r="A19" s="4364"/>
      <c r="B19" s="416">
        <v>6</v>
      </c>
      <c r="C19" s="2240"/>
      <c r="D19" s="2241"/>
      <c r="E19" s="2242"/>
      <c r="F19" s="2243"/>
      <c r="G19" s="2243"/>
      <c r="H19" s="2243"/>
      <c r="I19" s="2243"/>
      <c r="J19" s="2243"/>
      <c r="K19" s="2244"/>
      <c r="L19" s="2245"/>
      <c r="M19" s="2245"/>
      <c r="N19" s="2245"/>
      <c r="O19" s="2245"/>
      <c r="P19" s="2245"/>
      <c r="Q19" s="2245"/>
      <c r="R19" s="2245"/>
      <c r="S19" s="2245"/>
      <c r="T19" s="2245"/>
      <c r="U19" s="2245"/>
      <c r="V19" s="2245"/>
      <c r="W19" s="2245"/>
      <c r="X19" s="2245"/>
      <c r="Y19" s="2245"/>
      <c r="Z19" s="2245"/>
      <c r="AA19" s="2245"/>
      <c r="AB19" s="2245"/>
      <c r="AC19" s="2245"/>
      <c r="AD19" s="2245"/>
      <c r="AE19" s="2245"/>
      <c r="AF19" s="2245"/>
      <c r="AG19" s="2245"/>
      <c r="AH19" s="2245"/>
      <c r="AI19" s="2245"/>
      <c r="AJ19" s="2245"/>
      <c r="AK19" s="2245"/>
      <c r="AL19" s="2245"/>
      <c r="AM19" s="2245"/>
      <c r="AN19" s="2245"/>
      <c r="AO19" s="2245"/>
      <c r="AP19" s="2245"/>
      <c r="AQ19" s="2245"/>
      <c r="AR19" s="2246"/>
      <c r="AS19" s="2247"/>
      <c r="AT19" s="2247"/>
      <c r="AU19" s="2247"/>
      <c r="AV19" s="2248"/>
      <c r="AW19" s="406"/>
      <c r="AX19" s="406"/>
    </row>
    <row r="20" spans="1:50" s="394" customFormat="1">
      <c r="A20" s="4364"/>
      <c r="B20" s="416">
        <v>7</v>
      </c>
      <c r="C20" s="2240"/>
      <c r="D20" s="2241"/>
      <c r="E20" s="2242"/>
      <c r="F20" s="2243"/>
      <c r="G20" s="2243"/>
      <c r="H20" s="2243"/>
      <c r="I20" s="2243"/>
      <c r="J20" s="2243"/>
      <c r="K20" s="2244"/>
      <c r="L20" s="2245"/>
      <c r="M20" s="2245"/>
      <c r="N20" s="2245"/>
      <c r="O20" s="2245"/>
      <c r="P20" s="2245"/>
      <c r="Q20" s="2245"/>
      <c r="R20" s="2245"/>
      <c r="S20" s="2245"/>
      <c r="T20" s="2245"/>
      <c r="U20" s="2245"/>
      <c r="V20" s="2245"/>
      <c r="W20" s="2245"/>
      <c r="X20" s="2245"/>
      <c r="Y20" s="2245"/>
      <c r="Z20" s="2245"/>
      <c r="AA20" s="2245"/>
      <c r="AB20" s="2245"/>
      <c r="AC20" s="2245"/>
      <c r="AD20" s="2245"/>
      <c r="AE20" s="2245"/>
      <c r="AF20" s="2245"/>
      <c r="AG20" s="2245"/>
      <c r="AH20" s="2245"/>
      <c r="AI20" s="2245"/>
      <c r="AJ20" s="2245"/>
      <c r="AK20" s="2245"/>
      <c r="AL20" s="2245"/>
      <c r="AM20" s="2245"/>
      <c r="AN20" s="2245"/>
      <c r="AO20" s="2245"/>
      <c r="AP20" s="2245"/>
      <c r="AQ20" s="2245"/>
      <c r="AR20" s="2246"/>
      <c r="AS20" s="2247"/>
      <c r="AT20" s="2247"/>
      <c r="AU20" s="2247"/>
      <c r="AV20" s="2248"/>
      <c r="AW20" s="406"/>
      <c r="AX20" s="406"/>
    </row>
    <row r="21" spans="1:50" s="394" customFormat="1">
      <c r="A21" s="4364"/>
      <c r="B21" s="416">
        <v>8</v>
      </c>
      <c r="C21" s="2240"/>
      <c r="D21" s="2241"/>
      <c r="E21" s="2242"/>
      <c r="F21" s="2243"/>
      <c r="G21" s="2243"/>
      <c r="H21" s="2243"/>
      <c r="I21" s="2243"/>
      <c r="J21" s="2243"/>
      <c r="K21" s="2244"/>
      <c r="L21" s="2245"/>
      <c r="M21" s="2245"/>
      <c r="N21" s="2245"/>
      <c r="O21" s="2245"/>
      <c r="P21" s="2245"/>
      <c r="Q21" s="2245"/>
      <c r="R21" s="2245"/>
      <c r="S21" s="2245"/>
      <c r="T21" s="2245"/>
      <c r="U21" s="2245"/>
      <c r="V21" s="2245"/>
      <c r="W21" s="2245"/>
      <c r="X21" s="2245"/>
      <c r="Y21" s="2245"/>
      <c r="Z21" s="2245"/>
      <c r="AA21" s="2245"/>
      <c r="AB21" s="2245"/>
      <c r="AC21" s="2245"/>
      <c r="AD21" s="2245"/>
      <c r="AE21" s="2245"/>
      <c r="AF21" s="2245"/>
      <c r="AG21" s="2245"/>
      <c r="AH21" s="2245"/>
      <c r="AI21" s="2245"/>
      <c r="AJ21" s="2245"/>
      <c r="AK21" s="2245"/>
      <c r="AL21" s="2245"/>
      <c r="AM21" s="2245"/>
      <c r="AN21" s="2245"/>
      <c r="AO21" s="2245"/>
      <c r="AP21" s="2245"/>
      <c r="AQ21" s="2245"/>
      <c r="AR21" s="2246"/>
      <c r="AS21" s="2247"/>
      <c r="AT21" s="2247"/>
      <c r="AU21" s="2247"/>
      <c r="AV21" s="2248"/>
      <c r="AW21" s="406"/>
      <c r="AX21" s="406"/>
    </row>
    <row r="22" spans="1:50" s="394" customFormat="1">
      <c r="A22" s="4364"/>
      <c r="B22" s="416">
        <v>9</v>
      </c>
      <c r="C22" s="2240"/>
      <c r="D22" s="2241"/>
      <c r="E22" s="2242"/>
      <c r="F22" s="2243"/>
      <c r="G22" s="2243"/>
      <c r="H22" s="2243"/>
      <c r="I22" s="2243"/>
      <c r="J22" s="2243"/>
      <c r="K22" s="2244"/>
      <c r="L22" s="2245"/>
      <c r="M22" s="2245"/>
      <c r="N22" s="2245"/>
      <c r="O22" s="2245"/>
      <c r="P22" s="2245"/>
      <c r="Q22" s="2245"/>
      <c r="R22" s="2245"/>
      <c r="S22" s="2245"/>
      <c r="T22" s="2245"/>
      <c r="U22" s="2245"/>
      <c r="V22" s="2245"/>
      <c r="W22" s="2245"/>
      <c r="X22" s="2245"/>
      <c r="Y22" s="2245"/>
      <c r="Z22" s="2245"/>
      <c r="AA22" s="2245"/>
      <c r="AB22" s="2245"/>
      <c r="AC22" s="2245"/>
      <c r="AD22" s="2245"/>
      <c r="AE22" s="2245"/>
      <c r="AF22" s="2245"/>
      <c r="AG22" s="2245"/>
      <c r="AH22" s="2245"/>
      <c r="AI22" s="2245"/>
      <c r="AJ22" s="2245"/>
      <c r="AK22" s="2245"/>
      <c r="AL22" s="2245"/>
      <c r="AM22" s="2245"/>
      <c r="AN22" s="2245"/>
      <c r="AO22" s="2245"/>
      <c r="AP22" s="2245"/>
      <c r="AQ22" s="2245"/>
      <c r="AR22" s="2246"/>
      <c r="AS22" s="2247"/>
      <c r="AT22" s="2247"/>
      <c r="AU22" s="2247"/>
      <c r="AV22" s="2248"/>
      <c r="AW22" s="406"/>
      <c r="AX22" s="406"/>
    </row>
    <row r="23" spans="1:50" s="394" customFormat="1">
      <c r="A23" s="4364"/>
      <c r="B23" s="416">
        <v>10</v>
      </c>
      <c r="C23" s="2240"/>
      <c r="D23" s="2241"/>
      <c r="E23" s="2242"/>
      <c r="F23" s="2243"/>
      <c r="G23" s="2243"/>
      <c r="H23" s="2243"/>
      <c r="I23" s="2243"/>
      <c r="J23" s="2243"/>
      <c r="K23" s="2244"/>
      <c r="L23" s="2245"/>
      <c r="M23" s="2245"/>
      <c r="N23" s="2245"/>
      <c r="O23" s="2245"/>
      <c r="P23" s="2245"/>
      <c r="Q23" s="2245"/>
      <c r="R23" s="2245"/>
      <c r="S23" s="2245"/>
      <c r="T23" s="2245"/>
      <c r="U23" s="2245"/>
      <c r="V23" s="2245"/>
      <c r="W23" s="2245"/>
      <c r="X23" s="2245"/>
      <c r="Y23" s="2245"/>
      <c r="Z23" s="2245"/>
      <c r="AA23" s="2245"/>
      <c r="AB23" s="2245"/>
      <c r="AC23" s="2245"/>
      <c r="AD23" s="2245"/>
      <c r="AE23" s="2245"/>
      <c r="AF23" s="2245"/>
      <c r="AG23" s="2245"/>
      <c r="AH23" s="2245"/>
      <c r="AI23" s="2245"/>
      <c r="AJ23" s="2245"/>
      <c r="AK23" s="2245"/>
      <c r="AL23" s="2245"/>
      <c r="AM23" s="2245"/>
      <c r="AN23" s="2245"/>
      <c r="AO23" s="2245"/>
      <c r="AP23" s="2245"/>
      <c r="AQ23" s="2245"/>
      <c r="AR23" s="2246"/>
      <c r="AS23" s="2247"/>
      <c r="AT23" s="2247"/>
      <c r="AU23" s="2247"/>
      <c r="AV23" s="2248"/>
      <c r="AW23" s="406"/>
      <c r="AX23" s="406"/>
    </row>
    <row r="24" spans="1:50" s="394" customFormat="1">
      <c r="A24" s="4364"/>
      <c r="B24" s="416">
        <v>11</v>
      </c>
      <c r="C24" s="2240"/>
      <c r="D24" s="2241"/>
      <c r="E24" s="2242"/>
      <c r="F24" s="2243"/>
      <c r="G24" s="2243"/>
      <c r="H24" s="2243"/>
      <c r="I24" s="2243"/>
      <c r="J24" s="2243"/>
      <c r="K24" s="2244"/>
      <c r="L24" s="2245"/>
      <c r="M24" s="2245"/>
      <c r="N24" s="2245"/>
      <c r="O24" s="2245"/>
      <c r="P24" s="2245"/>
      <c r="Q24" s="2245"/>
      <c r="R24" s="2245"/>
      <c r="S24" s="2245"/>
      <c r="T24" s="2245"/>
      <c r="U24" s="2245"/>
      <c r="V24" s="2245"/>
      <c r="W24" s="2245"/>
      <c r="X24" s="2245"/>
      <c r="Y24" s="2245"/>
      <c r="Z24" s="2245"/>
      <c r="AA24" s="2245"/>
      <c r="AB24" s="2245"/>
      <c r="AC24" s="2245"/>
      <c r="AD24" s="2245"/>
      <c r="AE24" s="2245"/>
      <c r="AF24" s="2245"/>
      <c r="AG24" s="2245"/>
      <c r="AH24" s="2245"/>
      <c r="AI24" s="2245"/>
      <c r="AJ24" s="2245"/>
      <c r="AK24" s="2245"/>
      <c r="AL24" s="2245"/>
      <c r="AM24" s="2245"/>
      <c r="AN24" s="2245"/>
      <c r="AO24" s="2245"/>
      <c r="AP24" s="2245"/>
      <c r="AQ24" s="2245"/>
      <c r="AR24" s="2246"/>
      <c r="AS24" s="2247"/>
      <c r="AT24" s="2247"/>
      <c r="AU24" s="2247"/>
      <c r="AV24" s="2248"/>
      <c r="AW24" s="406"/>
      <c r="AX24" s="406"/>
    </row>
    <row r="25" spans="1:50" s="394" customFormat="1">
      <c r="A25" s="4364"/>
      <c r="B25" s="416">
        <v>12</v>
      </c>
      <c r="C25" s="2240"/>
      <c r="D25" s="2241"/>
      <c r="E25" s="2242"/>
      <c r="F25" s="2243"/>
      <c r="G25" s="2243"/>
      <c r="H25" s="2243"/>
      <c r="I25" s="2243"/>
      <c r="J25" s="2243"/>
      <c r="K25" s="2244"/>
      <c r="L25" s="2245"/>
      <c r="M25" s="2245"/>
      <c r="N25" s="2245"/>
      <c r="O25" s="2245"/>
      <c r="P25" s="2245"/>
      <c r="Q25" s="2245"/>
      <c r="R25" s="2245"/>
      <c r="S25" s="2245"/>
      <c r="T25" s="2245"/>
      <c r="U25" s="2245"/>
      <c r="V25" s="2245"/>
      <c r="W25" s="2245"/>
      <c r="X25" s="2245"/>
      <c r="Y25" s="2245"/>
      <c r="Z25" s="2245"/>
      <c r="AA25" s="2245"/>
      <c r="AB25" s="2245"/>
      <c r="AC25" s="2245"/>
      <c r="AD25" s="2245"/>
      <c r="AE25" s="2245"/>
      <c r="AF25" s="2245"/>
      <c r="AG25" s="2245"/>
      <c r="AH25" s="2245"/>
      <c r="AI25" s="2245"/>
      <c r="AJ25" s="2245"/>
      <c r="AK25" s="2245"/>
      <c r="AL25" s="2245"/>
      <c r="AM25" s="2245"/>
      <c r="AN25" s="2245"/>
      <c r="AO25" s="2245"/>
      <c r="AP25" s="2245"/>
      <c r="AQ25" s="2245"/>
      <c r="AR25" s="2246"/>
      <c r="AS25" s="2247"/>
      <c r="AT25" s="2247"/>
      <c r="AU25" s="2247"/>
      <c r="AV25" s="2248"/>
      <c r="AW25" s="406"/>
      <c r="AX25" s="406"/>
    </row>
    <row r="26" spans="1:50" s="394" customFormat="1">
      <c r="A26" s="4364"/>
      <c r="B26" s="416">
        <v>13</v>
      </c>
      <c r="C26" s="2240"/>
      <c r="D26" s="2241"/>
      <c r="E26" s="2242"/>
      <c r="F26" s="2243"/>
      <c r="G26" s="2243"/>
      <c r="H26" s="2243"/>
      <c r="I26" s="2243"/>
      <c r="J26" s="2243"/>
      <c r="K26" s="2244"/>
      <c r="L26" s="2245"/>
      <c r="M26" s="2245"/>
      <c r="N26" s="2245"/>
      <c r="O26" s="2245"/>
      <c r="P26" s="2245"/>
      <c r="Q26" s="2245"/>
      <c r="R26" s="2245"/>
      <c r="S26" s="2245"/>
      <c r="T26" s="2245"/>
      <c r="U26" s="2245"/>
      <c r="V26" s="2245"/>
      <c r="W26" s="2245"/>
      <c r="X26" s="2245"/>
      <c r="Y26" s="2245"/>
      <c r="Z26" s="2245"/>
      <c r="AA26" s="2245"/>
      <c r="AB26" s="2245"/>
      <c r="AC26" s="2245"/>
      <c r="AD26" s="2245"/>
      <c r="AE26" s="2245"/>
      <c r="AF26" s="2245"/>
      <c r="AG26" s="2245"/>
      <c r="AH26" s="2245"/>
      <c r="AI26" s="2245"/>
      <c r="AJ26" s="2245"/>
      <c r="AK26" s="2245"/>
      <c r="AL26" s="2245"/>
      <c r="AM26" s="2245"/>
      <c r="AN26" s="2245"/>
      <c r="AO26" s="2245"/>
      <c r="AP26" s="2245"/>
      <c r="AQ26" s="2245"/>
      <c r="AR26" s="2246"/>
      <c r="AS26" s="2247"/>
      <c r="AT26" s="2247"/>
      <c r="AU26" s="2247"/>
      <c r="AV26" s="2248"/>
      <c r="AW26" s="406"/>
      <c r="AX26" s="406"/>
    </row>
    <row r="27" spans="1:50" s="394" customFormat="1">
      <c r="A27" s="4364"/>
      <c r="B27" s="416">
        <v>14</v>
      </c>
      <c r="C27" s="2240"/>
      <c r="D27" s="2241"/>
      <c r="E27" s="2242"/>
      <c r="F27" s="2243"/>
      <c r="G27" s="2243"/>
      <c r="H27" s="2243"/>
      <c r="I27" s="2243"/>
      <c r="J27" s="2243"/>
      <c r="K27" s="2244"/>
      <c r="L27" s="2245"/>
      <c r="M27" s="2245"/>
      <c r="N27" s="2245"/>
      <c r="O27" s="2245"/>
      <c r="P27" s="2245"/>
      <c r="Q27" s="2245"/>
      <c r="R27" s="2245"/>
      <c r="S27" s="2245"/>
      <c r="T27" s="2245"/>
      <c r="U27" s="2245"/>
      <c r="V27" s="2245"/>
      <c r="W27" s="2245"/>
      <c r="X27" s="2245"/>
      <c r="Y27" s="2245"/>
      <c r="Z27" s="2245"/>
      <c r="AA27" s="2245"/>
      <c r="AB27" s="2245"/>
      <c r="AC27" s="2245"/>
      <c r="AD27" s="2245"/>
      <c r="AE27" s="2245"/>
      <c r="AF27" s="2245"/>
      <c r="AG27" s="2245"/>
      <c r="AH27" s="2245"/>
      <c r="AI27" s="2245"/>
      <c r="AJ27" s="2245"/>
      <c r="AK27" s="2245"/>
      <c r="AL27" s="2245"/>
      <c r="AM27" s="2245"/>
      <c r="AN27" s="2245"/>
      <c r="AO27" s="2245"/>
      <c r="AP27" s="2245"/>
      <c r="AQ27" s="2245"/>
      <c r="AR27" s="2246"/>
      <c r="AS27" s="2247"/>
      <c r="AT27" s="2247"/>
      <c r="AU27" s="2247"/>
      <c r="AV27" s="2248"/>
      <c r="AW27" s="406"/>
      <c r="AX27" s="406"/>
    </row>
    <row r="28" spans="1:50" s="394" customFormat="1">
      <c r="A28" s="4364"/>
      <c r="B28" s="416">
        <v>15</v>
      </c>
      <c r="C28" s="2240"/>
      <c r="D28" s="2241"/>
      <c r="E28" s="2242"/>
      <c r="F28" s="2243"/>
      <c r="G28" s="2243"/>
      <c r="H28" s="2243"/>
      <c r="I28" s="2243"/>
      <c r="J28" s="2243"/>
      <c r="K28" s="2244"/>
      <c r="L28" s="2245"/>
      <c r="M28" s="2245"/>
      <c r="N28" s="2245"/>
      <c r="O28" s="2245"/>
      <c r="P28" s="2245"/>
      <c r="Q28" s="2245"/>
      <c r="R28" s="2245"/>
      <c r="S28" s="2245"/>
      <c r="T28" s="2245"/>
      <c r="U28" s="2245"/>
      <c r="V28" s="2245"/>
      <c r="W28" s="2245"/>
      <c r="X28" s="2245"/>
      <c r="Y28" s="2245"/>
      <c r="Z28" s="2245"/>
      <c r="AA28" s="2245"/>
      <c r="AB28" s="2245"/>
      <c r="AC28" s="2245"/>
      <c r="AD28" s="2245"/>
      <c r="AE28" s="2245"/>
      <c r="AF28" s="2245"/>
      <c r="AG28" s="2245"/>
      <c r="AH28" s="2245"/>
      <c r="AI28" s="2245"/>
      <c r="AJ28" s="2245"/>
      <c r="AK28" s="2245"/>
      <c r="AL28" s="2245"/>
      <c r="AM28" s="2245"/>
      <c r="AN28" s="2245"/>
      <c r="AO28" s="2245"/>
      <c r="AP28" s="2245"/>
      <c r="AQ28" s="2245"/>
      <c r="AR28" s="2246"/>
      <c r="AS28" s="2247"/>
      <c r="AT28" s="2247"/>
      <c r="AU28" s="2247"/>
      <c r="AV28" s="2248"/>
      <c r="AW28" s="406"/>
      <c r="AX28" s="406"/>
    </row>
    <row r="29" spans="1:50" s="394" customFormat="1">
      <c r="A29" s="4364"/>
      <c r="B29" s="416">
        <v>16</v>
      </c>
      <c r="C29" s="2240"/>
      <c r="D29" s="2241"/>
      <c r="E29" s="2242"/>
      <c r="F29" s="2243"/>
      <c r="G29" s="2243"/>
      <c r="H29" s="2243"/>
      <c r="I29" s="2243"/>
      <c r="J29" s="2243"/>
      <c r="K29" s="2244"/>
      <c r="L29" s="2245"/>
      <c r="M29" s="2245"/>
      <c r="N29" s="2245"/>
      <c r="O29" s="2245"/>
      <c r="P29" s="2245"/>
      <c r="Q29" s="2245"/>
      <c r="R29" s="2245"/>
      <c r="S29" s="2245"/>
      <c r="T29" s="2245"/>
      <c r="U29" s="2245"/>
      <c r="V29" s="2245"/>
      <c r="W29" s="2245"/>
      <c r="X29" s="2245"/>
      <c r="Y29" s="2245"/>
      <c r="Z29" s="2245"/>
      <c r="AA29" s="2245"/>
      <c r="AB29" s="2245"/>
      <c r="AC29" s="2245"/>
      <c r="AD29" s="2245"/>
      <c r="AE29" s="2245"/>
      <c r="AF29" s="2245"/>
      <c r="AG29" s="2245"/>
      <c r="AH29" s="2245"/>
      <c r="AI29" s="2245"/>
      <c r="AJ29" s="2245"/>
      <c r="AK29" s="2245"/>
      <c r="AL29" s="2245"/>
      <c r="AM29" s="2245"/>
      <c r="AN29" s="2245"/>
      <c r="AO29" s="2245"/>
      <c r="AP29" s="2245"/>
      <c r="AQ29" s="2245"/>
      <c r="AR29" s="2246"/>
      <c r="AS29" s="2247"/>
      <c r="AT29" s="2247"/>
      <c r="AU29" s="2247"/>
      <c r="AV29" s="2248"/>
      <c r="AW29" s="406"/>
      <c r="AX29" s="406"/>
    </row>
    <row r="30" spans="1:50" s="394" customFormat="1">
      <c r="A30" s="4364"/>
      <c r="B30" s="416">
        <v>17</v>
      </c>
      <c r="C30" s="2240"/>
      <c r="D30" s="2241"/>
      <c r="E30" s="2242"/>
      <c r="F30" s="2243"/>
      <c r="G30" s="2243"/>
      <c r="H30" s="2243"/>
      <c r="I30" s="2243"/>
      <c r="J30" s="2243"/>
      <c r="K30" s="2244"/>
      <c r="L30" s="2245"/>
      <c r="M30" s="2245"/>
      <c r="N30" s="2245"/>
      <c r="O30" s="2245"/>
      <c r="P30" s="2245"/>
      <c r="Q30" s="2245"/>
      <c r="R30" s="2245"/>
      <c r="S30" s="2245"/>
      <c r="T30" s="2245"/>
      <c r="U30" s="2245"/>
      <c r="V30" s="2245"/>
      <c r="W30" s="2245"/>
      <c r="X30" s="2245"/>
      <c r="Y30" s="2245"/>
      <c r="Z30" s="2245"/>
      <c r="AA30" s="2245"/>
      <c r="AB30" s="2245"/>
      <c r="AC30" s="2245"/>
      <c r="AD30" s="2245"/>
      <c r="AE30" s="2245"/>
      <c r="AF30" s="2245"/>
      <c r="AG30" s="2245"/>
      <c r="AH30" s="2245"/>
      <c r="AI30" s="2245"/>
      <c r="AJ30" s="2245"/>
      <c r="AK30" s="2245"/>
      <c r="AL30" s="2245"/>
      <c r="AM30" s="2245"/>
      <c r="AN30" s="2245"/>
      <c r="AO30" s="2245"/>
      <c r="AP30" s="2245"/>
      <c r="AQ30" s="2245"/>
      <c r="AR30" s="2246"/>
      <c r="AS30" s="2247"/>
      <c r="AT30" s="2247"/>
      <c r="AU30" s="2247"/>
      <c r="AV30" s="2248"/>
      <c r="AW30" s="406"/>
      <c r="AX30" s="406"/>
    </row>
    <row r="31" spans="1:50" s="394" customFormat="1">
      <c r="A31" s="4364"/>
      <c r="B31" s="416">
        <v>18</v>
      </c>
      <c r="C31" s="2240"/>
      <c r="D31" s="2241"/>
      <c r="E31" s="2242"/>
      <c r="F31" s="2243"/>
      <c r="G31" s="2243"/>
      <c r="H31" s="2243"/>
      <c r="I31" s="2243"/>
      <c r="J31" s="2243"/>
      <c r="K31" s="2244"/>
      <c r="L31" s="2245"/>
      <c r="M31" s="2245"/>
      <c r="N31" s="2245"/>
      <c r="O31" s="2245"/>
      <c r="P31" s="2245"/>
      <c r="Q31" s="2245"/>
      <c r="R31" s="2245"/>
      <c r="S31" s="2245"/>
      <c r="T31" s="2245"/>
      <c r="U31" s="2245"/>
      <c r="V31" s="2245"/>
      <c r="W31" s="2245"/>
      <c r="X31" s="2245"/>
      <c r="Y31" s="2245"/>
      <c r="Z31" s="2245"/>
      <c r="AA31" s="2245"/>
      <c r="AB31" s="2245"/>
      <c r="AC31" s="2245"/>
      <c r="AD31" s="2245"/>
      <c r="AE31" s="2245"/>
      <c r="AF31" s="2245"/>
      <c r="AG31" s="2245"/>
      <c r="AH31" s="2245"/>
      <c r="AI31" s="2245"/>
      <c r="AJ31" s="2245"/>
      <c r="AK31" s="2245"/>
      <c r="AL31" s="2245"/>
      <c r="AM31" s="2245"/>
      <c r="AN31" s="2245"/>
      <c r="AO31" s="2245"/>
      <c r="AP31" s="2245"/>
      <c r="AQ31" s="2245"/>
      <c r="AR31" s="2246"/>
      <c r="AS31" s="2247"/>
      <c r="AT31" s="2247"/>
      <c r="AU31" s="2247"/>
      <c r="AV31" s="2248"/>
      <c r="AW31" s="406"/>
      <c r="AX31" s="406"/>
    </row>
    <row r="32" spans="1:50" s="394" customFormat="1">
      <c r="A32" s="4364"/>
      <c r="B32" s="416">
        <v>19</v>
      </c>
      <c r="C32" s="2240"/>
      <c r="D32" s="2241"/>
      <c r="E32" s="2242"/>
      <c r="F32" s="2243"/>
      <c r="G32" s="2243"/>
      <c r="H32" s="2243"/>
      <c r="I32" s="2243"/>
      <c r="J32" s="2243"/>
      <c r="K32" s="2244"/>
      <c r="L32" s="2245"/>
      <c r="M32" s="2245"/>
      <c r="N32" s="2245"/>
      <c r="O32" s="2245"/>
      <c r="P32" s="2245"/>
      <c r="Q32" s="2245"/>
      <c r="R32" s="2245"/>
      <c r="S32" s="2245"/>
      <c r="T32" s="2245"/>
      <c r="U32" s="2245"/>
      <c r="V32" s="2245"/>
      <c r="W32" s="2245"/>
      <c r="X32" s="2245"/>
      <c r="Y32" s="2245"/>
      <c r="Z32" s="2245"/>
      <c r="AA32" s="2245"/>
      <c r="AB32" s="2245"/>
      <c r="AC32" s="2245"/>
      <c r="AD32" s="2245"/>
      <c r="AE32" s="2245"/>
      <c r="AF32" s="2245"/>
      <c r="AG32" s="2245"/>
      <c r="AH32" s="2245"/>
      <c r="AI32" s="2245"/>
      <c r="AJ32" s="2245"/>
      <c r="AK32" s="2245"/>
      <c r="AL32" s="2245"/>
      <c r="AM32" s="2245"/>
      <c r="AN32" s="2245"/>
      <c r="AO32" s="2245"/>
      <c r="AP32" s="2245"/>
      <c r="AQ32" s="2245"/>
      <c r="AR32" s="2246"/>
      <c r="AS32" s="2247"/>
      <c r="AT32" s="2247"/>
      <c r="AU32" s="2247"/>
      <c r="AV32" s="2248"/>
      <c r="AW32" s="406"/>
      <c r="AX32" s="406"/>
    </row>
    <row r="33" spans="1:50" s="394" customFormat="1">
      <c r="A33" s="4364"/>
      <c r="B33" s="416">
        <v>20</v>
      </c>
      <c r="C33" s="2240"/>
      <c r="D33" s="2241"/>
      <c r="E33" s="2242"/>
      <c r="F33" s="2243"/>
      <c r="G33" s="2243"/>
      <c r="H33" s="2243"/>
      <c r="I33" s="2243"/>
      <c r="J33" s="2243"/>
      <c r="K33" s="2244"/>
      <c r="L33" s="2245"/>
      <c r="M33" s="2245"/>
      <c r="N33" s="2245"/>
      <c r="O33" s="2245"/>
      <c r="P33" s="2245"/>
      <c r="Q33" s="2245"/>
      <c r="R33" s="2245"/>
      <c r="S33" s="2245"/>
      <c r="T33" s="2245"/>
      <c r="U33" s="2245"/>
      <c r="V33" s="2245"/>
      <c r="W33" s="2245"/>
      <c r="X33" s="2245"/>
      <c r="Y33" s="2245"/>
      <c r="Z33" s="2245"/>
      <c r="AA33" s="2245"/>
      <c r="AB33" s="2245"/>
      <c r="AC33" s="2245"/>
      <c r="AD33" s="2245"/>
      <c r="AE33" s="2245"/>
      <c r="AF33" s="2245"/>
      <c r="AG33" s="2245"/>
      <c r="AH33" s="2245"/>
      <c r="AI33" s="2245"/>
      <c r="AJ33" s="2245"/>
      <c r="AK33" s="2245"/>
      <c r="AL33" s="2245"/>
      <c r="AM33" s="2245"/>
      <c r="AN33" s="2245"/>
      <c r="AO33" s="2245"/>
      <c r="AP33" s="2245"/>
      <c r="AQ33" s="2245"/>
      <c r="AR33" s="2246"/>
      <c r="AS33" s="2247"/>
      <c r="AT33" s="2247"/>
      <c r="AU33" s="2247"/>
      <c r="AV33" s="2248"/>
      <c r="AW33" s="406"/>
      <c r="AX33" s="406"/>
    </row>
    <row r="34" spans="1:50" s="394" customFormat="1">
      <c r="A34" s="4364"/>
      <c r="B34" s="416">
        <v>21</v>
      </c>
      <c r="C34" s="2240"/>
      <c r="D34" s="2241"/>
      <c r="E34" s="2242"/>
      <c r="F34" s="2243"/>
      <c r="G34" s="2243"/>
      <c r="H34" s="2243"/>
      <c r="I34" s="2243"/>
      <c r="J34" s="2243"/>
      <c r="K34" s="2244"/>
      <c r="L34" s="2245"/>
      <c r="M34" s="2245"/>
      <c r="N34" s="2245"/>
      <c r="O34" s="2245"/>
      <c r="P34" s="2245"/>
      <c r="Q34" s="2245"/>
      <c r="R34" s="2245"/>
      <c r="S34" s="2245"/>
      <c r="T34" s="2245"/>
      <c r="U34" s="2245"/>
      <c r="V34" s="2245"/>
      <c r="W34" s="2245"/>
      <c r="X34" s="2245"/>
      <c r="Y34" s="2245"/>
      <c r="Z34" s="2245"/>
      <c r="AA34" s="2245"/>
      <c r="AB34" s="2245"/>
      <c r="AC34" s="2245"/>
      <c r="AD34" s="2245"/>
      <c r="AE34" s="2245"/>
      <c r="AF34" s="2245"/>
      <c r="AG34" s="2245"/>
      <c r="AH34" s="2245"/>
      <c r="AI34" s="2245"/>
      <c r="AJ34" s="2245"/>
      <c r="AK34" s="2245"/>
      <c r="AL34" s="2245"/>
      <c r="AM34" s="2245"/>
      <c r="AN34" s="2245"/>
      <c r="AO34" s="2245"/>
      <c r="AP34" s="2245"/>
      <c r="AQ34" s="2245"/>
      <c r="AR34" s="2246"/>
      <c r="AS34" s="2247"/>
      <c r="AT34" s="2247"/>
      <c r="AU34" s="2247"/>
      <c r="AV34" s="2248"/>
      <c r="AW34" s="406"/>
      <c r="AX34" s="406"/>
    </row>
    <row r="35" spans="1:50" s="394" customFormat="1">
      <c r="A35" s="4364"/>
      <c r="B35" s="416">
        <v>22</v>
      </c>
      <c r="C35" s="2240"/>
      <c r="D35" s="2241"/>
      <c r="E35" s="2242"/>
      <c r="F35" s="2243"/>
      <c r="G35" s="2243"/>
      <c r="H35" s="2243"/>
      <c r="I35" s="2243"/>
      <c r="J35" s="2243"/>
      <c r="K35" s="2244"/>
      <c r="L35" s="2245"/>
      <c r="M35" s="2245"/>
      <c r="N35" s="2245"/>
      <c r="O35" s="2245"/>
      <c r="P35" s="2245"/>
      <c r="Q35" s="2245"/>
      <c r="R35" s="2245"/>
      <c r="S35" s="2245"/>
      <c r="T35" s="2245"/>
      <c r="U35" s="2245"/>
      <c r="V35" s="2245"/>
      <c r="W35" s="2245"/>
      <c r="X35" s="2245"/>
      <c r="Y35" s="2245"/>
      <c r="Z35" s="2245"/>
      <c r="AA35" s="2245"/>
      <c r="AB35" s="2245"/>
      <c r="AC35" s="2245"/>
      <c r="AD35" s="2245"/>
      <c r="AE35" s="2245"/>
      <c r="AF35" s="2245"/>
      <c r="AG35" s="2245"/>
      <c r="AH35" s="2245"/>
      <c r="AI35" s="2245"/>
      <c r="AJ35" s="2245"/>
      <c r="AK35" s="2245"/>
      <c r="AL35" s="2245"/>
      <c r="AM35" s="2245"/>
      <c r="AN35" s="2245"/>
      <c r="AO35" s="2245"/>
      <c r="AP35" s="2245"/>
      <c r="AQ35" s="2245"/>
      <c r="AR35" s="2246"/>
      <c r="AS35" s="2247"/>
      <c r="AT35" s="2247"/>
      <c r="AU35" s="2247"/>
      <c r="AV35" s="2248"/>
      <c r="AW35" s="406"/>
      <c r="AX35" s="406"/>
    </row>
    <row r="36" spans="1:50" s="394" customFormat="1">
      <c r="A36" s="4364"/>
      <c r="B36" s="416">
        <v>23</v>
      </c>
      <c r="C36" s="2240"/>
      <c r="D36" s="2241"/>
      <c r="E36" s="2242"/>
      <c r="F36" s="2243"/>
      <c r="G36" s="2243"/>
      <c r="H36" s="2243"/>
      <c r="I36" s="2243"/>
      <c r="J36" s="2243"/>
      <c r="K36" s="2244"/>
      <c r="L36" s="2245"/>
      <c r="M36" s="2245"/>
      <c r="N36" s="2245"/>
      <c r="O36" s="2245"/>
      <c r="P36" s="2245"/>
      <c r="Q36" s="2245"/>
      <c r="R36" s="2245"/>
      <c r="S36" s="2245"/>
      <c r="T36" s="2245"/>
      <c r="U36" s="2245"/>
      <c r="V36" s="2245"/>
      <c r="W36" s="2245"/>
      <c r="X36" s="2245"/>
      <c r="Y36" s="2245"/>
      <c r="Z36" s="2245"/>
      <c r="AA36" s="2245"/>
      <c r="AB36" s="2245"/>
      <c r="AC36" s="2245"/>
      <c r="AD36" s="2245"/>
      <c r="AE36" s="2245"/>
      <c r="AF36" s="2245"/>
      <c r="AG36" s="2245"/>
      <c r="AH36" s="2245"/>
      <c r="AI36" s="2245"/>
      <c r="AJ36" s="2245"/>
      <c r="AK36" s="2245"/>
      <c r="AL36" s="2245"/>
      <c r="AM36" s="2245"/>
      <c r="AN36" s="2245"/>
      <c r="AO36" s="2245"/>
      <c r="AP36" s="2245"/>
      <c r="AQ36" s="2245"/>
      <c r="AR36" s="2246"/>
      <c r="AS36" s="2247"/>
      <c r="AT36" s="2247"/>
      <c r="AU36" s="2247"/>
      <c r="AV36" s="2248"/>
      <c r="AW36" s="406"/>
      <c r="AX36" s="406"/>
    </row>
    <row r="37" spans="1:50" s="394" customFormat="1">
      <c r="A37" s="4364"/>
      <c r="B37" s="416">
        <v>24</v>
      </c>
      <c r="C37" s="2240"/>
      <c r="D37" s="2241"/>
      <c r="E37" s="2242"/>
      <c r="F37" s="2243"/>
      <c r="G37" s="2243"/>
      <c r="H37" s="2243"/>
      <c r="I37" s="2243"/>
      <c r="J37" s="2243"/>
      <c r="K37" s="2244"/>
      <c r="L37" s="2245"/>
      <c r="M37" s="2245"/>
      <c r="N37" s="2245"/>
      <c r="O37" s="2245"/>
      <c r="P37" s="2245"/>
      <c r="Q37" s="2245"/>
      <c r="R37" s="2245"/>
      <c r="S37" s="2245"/>
      <c r="T37" s="2245"/>
      <c r="U37" s="2245"/>
      <c r="V37" s="2245"/>
      <c r="W37" s="2245"/>
      <c r="X37" s="2245"/>
      <c r="Y37" s="2245"/>
      <c r="Z37" s="2245"/>
      <c r="AA37" s="2245"/>
      <c r="AB37" s="2245"/>
      <c r="AC37" s="2245"/>
      <c r="AD37" s="2245"/>
      <c r="AE37" s="2245"/>
      <c r="AF37" s="2245"/>
      <c r="AG37" s="2245"/>
      <c r="AH37" s="2245"/>
      <c r="AI37" s="2245"/>
      <c r="AJ37" s="2245"/>
      <c r="AK37" s="2245"/>
      <c r="AL37" s="2245"/>
      <c r="AM37" s="2245"/>
      <c r="AN37" s="2245"/>
      <c r="AO37" s="2245"/>
      <c r="AP37" s="2245"/>
      <c r="AQ37" s="2245"/>
      <c r="AR37" s="2246"/>
      <c r="AS37" s="2247"/>
      <c r="AT37" s="2247"/>
      <c r="AU37" s="2247"/>
      <c r="AV37" s="2248"/>
      <c r="AW37" s="406"/>
      <c r="AX37" s="406"/>
    </row>
    <row r="38" spans="1:50" s="394" customFormat="1">
      <c r="A38" s="4364"/>
      <c r="B38" s="416">
        <v>25</v>
      </c>
      <c r="C38" s="2240"/>
      <c r="D38" s="2241"/>
      <c r="E38" s="2242"/>
      <c r="F38" s="2243"/>
      <c r="G38" s="2243"/>
      <c r="H38" s="2243"/>
      <c r="I38" s="2243"/>
      <c r="J38" s="2243"/>
      <c r="K38" s="2244"/>
      <c r="L38" s="2245"/>
      <c r="M38" s="2245"/>
      <c r="N38" s="2245"/>
      <c r="O38" s="2245"/>
      <c r="P38" s="2245"/>
      <c r="Q38" s="2245"/>
      <c r="R38" s="2245"/>
      <c r="S38" s="2245"/>
      <c r="T38" s="2245"/>
      <c r="U38" s="2245"/>
      <c r="V38" s="2245"/>
      <c r="W38" s="2245"/>
      <c r="X38" s="2245"/>
      <c r="Y38" s="2245"/>
      <c r="Z38" s="2245"/>
      <c r="AA38" s="2245"/>
      <c r="AB38" s="2245"/>
      <c r="AC38" s="2245"/>
      <c r="AD38" s="2245"/>
      <c r="AE38" s="2245"/>
      <c r="AF38" s="2245"/>
      <c r="AG38" s="2245"/>
      <c r="AH38" s="2245"/>
      <c r="AI38" s="2245"/>
      <c r="AJ38" s="2245"/>
      <c r="AK38" s="2245"/>
      <c r="AL38" s="2245"/>
      <c r="AM38" s="2245"/>
      <c r="AN38" s="2245"/>
      <c r="AO38" s="2245"/>
      <c r="AP38" s="2245"/>
      <c r="AQ38" s="2245"/>
      <c r="AR38" s="2246"/>
      <c r="AS38" s="2247"/>
      <c r="AT38" s="2247"/>
      <c r="AU38" s="2247"/>
      <c r="AV38" s="2248"/>
      <c r="AW38" s="406"/>
      <c r="AX38" s="406"/>
    </row>
    <row r="39" spans="1:50" s="394" customFormat="1">
      <c r="A39" s="4364"/>
      <c r="B39" s="416">
        <v>26</v>
      </c>
      <c r="C39" s="2240"/>
      <c r="D39" s="2241"/>
      <c r="E39" s="2242"/>
      <c r="F39" s="2243"/>
      <c r="G39" s="2243"/>
      <c r="H39" s="2243"/>
      <c r="I39" s="2243"/>
      <c r="J39" s="2243"/>
      <c r="K39" s="2244"/>
      <c r="L39" s="2245"/>
      <c r="M39" s="2245"/>
      <c r="N39" s="2245"/>
      <c r="O39" s="2245"/>
      <c r="P39" s="2245"/>
      <c r="Q39" s="2245"/>
      <c r="R39" s="2245"/>
      <c r="S39" s="2245"/>
      <c r="T39" s="2245"/>
      <c r="U39" s="2245"/>
      <c r="V39" s="2245"/>
      <c r="W39" s="2245"/>
      <c r="X39" s="2245"/>
      <c r="Y39" s="2245"/>
      <c r="Z39" s="2245"/>
      <c r="AA39" s="2245"/>
      <c r="AB39" s="2245"/>
      <c r="AC39" s="2245"/>
      <c r="AD39" s="2245"/>
      <c r="AE39" s="2245"/>
      <c r="AF39" s="2245"/>
      <c r="AG39" s="2245"/>
      <c r="AH39" s="2245"/>
      <c r="AI39" s="2245"/>
      <c r="AJ39" s="2245"/>
      <c r="AK39" s="2245"/>
      <c r="AL39" s="2245"/>
      <c r="AM39" s="2245"/>
      <c r="AN39" s="2245"/>
      <c r="AO39" s="2245"/>
      <c r="AP39" s="2245"/>
      <c r="AQ39" s="2245"/>
      <c r="AR39" s="2246"/>
      <c r="AS39" s="2247"/>
      <c r="AT39" s="2247"/>
      <c r="AU39" s="2247"/>
      <c r="AV39" s="2248"/>
      <c r="AW39" s="406"/>
      <c r="AX39" s="406"/>
    </row>
    <row r="40" spans="1:50" s="394" customFormat="1">
      <c r="A40" s="4364"/>
      <c r="B40" s="416">
        <v>27</v>
      </c>
      <c r="C40" s="2240"/>
      <c r="D40" s="2241"/>
      <c r="E40" s="2242"/>
      <c r="F40" s="2243"/>
      <c r="G40" s="2243"/>
      <c r="H40" s="2243"/>
      <c r="I40" s="2243"/>
      <c r="J40" s="2243"/>
      <c r="K40" s="2244"/>
      <c r="L40" s="2245"/>
      <c r="M40" s="2245"/>
      <c r="N40" s="2245"/>
      <c r="O40" s="2245"/>
      <c r="P40" s="2245"/>
      <c r="Q40" s="2245"/>
      <c r="R40" s="2245"/>
      <c r="S40" s="2245"/>
      <c r="T40" s="2245"/>
      <c r="U40" s="2245"/>
      <c r="V40" s="2245"/>
      <c r="W40" s="2245"/>
      <c r="X40" s="2245"/>
      <c r="Y40" s="2245"/>
      <c r="Z40" s="2245"/>
      <c r="AA40" s="2245"/>
      <c r="AB40" s="2245"/>
      <c r="AC40" s="2245"/>
      <c r="AD40" s="2245"/>
      <c r="AE40" s="2245"/>
      <c r="AF40" s="2245"/>
      <c r="AG40" s="2245"/>
      <c r="AH40" s="2245"/>
      <c r="AI40" s="2245"/>
      <c r="AJ40" s="2245"/>
      <c r="AK40" s="2245"/>
      <c r="AL40" s="2245"/>
      <c r="AM40" s="2245"/>
      <c r="AN40" s="2245"/>
      <c r="AO40" s="2245"/>
      <c r="AP40" s="2245"/>
      <c r="AQ40" s="2245"/>
      <c r="AR40" s="2246"/>
      <c r="AS40" s="2247"/>
      <c r="AT40" s="2247"/>
      <c r="AU40" s="2247"/>
      <c r="AV40" s="2248"/>
      <c r="AW40" s="406"/>
      <c r="AX40" s="406"/>
    </row>
    <row r="41" spans="1:50" s="394" customFormat="1">
      <c r="A41" s="4364"/>
      <c r="B41" s="416">
        <v>28</v>
      </c>
      <c r="C41" s="2240"/>
      <c r="D41" s="2241"/>
      <c r="E41" s="2242"/>
      <c r="F41" s="2243"/>
      <c r="G41" s="2243"/>
      <c r="H41" s="2243"/>
      <c r="I41" s="2243"/>
      <c r="J41" s="2243"/>
      <c r="K41" s="2244"/>
      <c r="L41" s="2245"/>
      <c r="M41" s="2245"/>
      <c r="N41" s="2245"/>
      <c r="O41" s="2245"/>
      <c r="P41" s="2245"/>
      <c r="Q41" s="2245"/>
      <c r="R41" s="2245"/>
      <c r="S41" s="2245"/>
      <c r="T41" s="2245"/>
      <c r="U41" s="2245"/>
      <c r="V41" s="2245"/>
      <c r="W41" s="2245"/>
      <c r="X41" s="2245"/>
      <c r="Y41" s="2245"/>
      <c r="Z41" s="2245"/>
      <c r="AA41" s="2245"/>
      <c r="AB41" s="2245"/>
      <c r="AC41" s="2245"/>
      <c r="AD41" s="2245"/>
      <c r="AE41" s="2245"/>
      <c r="AF41" s="2245"/>
      <c r="AG41" s="2245"/>
      <c r="AH41" s="2245"/>
      <c r="AI41" s="2245"/>
      <c r="AJ41" s="2245"/>
      <c r="AK41" s="2245"/>
      <c r="AL41" s="2245"/>
      <c r="AM41" s="2245"/>
      <c r="AN41" s="2245"/>
      <c r="AO41" s="2245"/>
      <c r="AP41" s="2245"/>
      <c r="AQ41" s="2245"/>
      <c r="AR41" s="2246"/>
      <c r="AS41" s="2247"/>
      <c r="AT41" s="2247"/>
      <c r="AU41" s="2247"/>
      <c r="AV41" s="2248"/>
      <c r="AW41" s="406"/>
      <c r="AX41" s="406"/>
    </row>
    <row r="42" spans="1:50" s="394" customFormat="1">
      <c r="A42" s="4364"/>
      <c r="B42" s="416">
        <v>29</v>
      </c>
      <c r="C42" s="2240"/>
      <c r="D42" s="2241"/>
      <c r="E42" s="2242"/>
      <c r="F42" s="2243"/>
      <c r="G42" s="2243"/>
      <c r="H42" s="2243"/>
      <c r="I42" s="2243"/>
      <c r="J42" s="2243"/>
      <c r="K42" s="2244"/>
      <c r="L42" s="2245"/>
      <c r="M42" s="2245"/>
      <c r="N42" s="2245"/>
      <c r="O42" s="2245"/>
      <c r="P42" s="2245"/>
      <c r="Q42" s="2245"/>
      <c r="R42" s="2245"/>
      <c r="S42" s="2245"/>
      <c r="T42" s="2245"/>
      <c r="U42" s="2245"/>
      <c r="V42" s="2245"/>
      <c r="W42" s="2245"/>
      <c r="X42" s="2245"/>
      <c r="Y42" s="2245"/>
      <c r="Z42" s="2245"/>
      <c r="AA42" s="2245"/>
      <c r="AB42" s="2245"/>
      <c r="AC42" s="2245"/>
      <c r="AD42" s="2245"/>
      <c r="AE42" s="2245"/>
      <c r="AF42" s="2245"/>
      <c r="AG42" s="2245"/>
      <c r="AH42" s="2245"/>
      <c r="AI42" s="2245"/>
      <c r="AJ42" s="2245"/>
      <c r="AK42" s="2245"/>
      <c r="AL42" s="2245"/>
      <c r="AM42" s="2245"/>
      <c r="AN42" s="2245"/>
      <c r="AO42" s="2245"/>
      <c r="AP42" s="2245"/>
      <c r="AQ42" s="2245"/>
      <c r="AR42" s="2246"/>
      <c r="AS42" s="2247"/>
      <c r="AT42" s="2247"/>
      <c r="AU42" s="2247"/>
      <c r="AV42" s="2248"/>
      <c r="AW42" s="406"/>
      <c r="AX42" s="406"/>
    </row>
    <row r="43" spans="1:50" s="394" customFormat="1">
      <c r="A43" s="4364"/>
      <c r="B43" s="416">
        <v>30</v>
      </c>
      <c r="C43" s="2240"/>
      <c r="D43" s="2241"/>
      <c r="E43" s="2242"/>
      <c r="F43" s="2243"/>
      <c r="G43" s="2243"/>
      <c r="H43" s="2243"/>
      <c r="I43" s="2243"/>
      <c r="J43" s="2243"/>
      <c r="K43" s="2244"/>
      <c r="L43" s="2245"/>
      <c r="M43" s="2245"/>
      <c r="N43" s="2245"/>
      <c r="O43" s="2245"/>
      <c r="P43" s="2245"/>
      <c r="Q43" s="2245"/>
      <c r="R43" s="2245"/>
      <c r="S43" s="2245"/>
      <c r="T43" s="2245"/>
      <c r="U43" s="2245"/>
      <c r="V43" s="2245"/>
      <c r="W43" s="2245"/>
      <c r="X43" s="2245"/>
      <c r="Y43" s="2245"/>
      <c r="Z43" s="2245"/>
      <c r="AA43" s="2245"/>
      <c r="AB43" s="2245"/>
      <c r="AC43" s="2245"/>
      <c r="AD43" s="2245"/>
      <c r="AE43" s="2245"/>
      <c r="AF43" s="2245"/>
      <c r="AG43" s="2245"/>
      <c r="AH43" s="2245"/>
      <c r="AI43" s="2245"/>
      <c r="AJ43" s="2245"/>
      <c r="AK43" s="2245"/>
      <c r="AL43" s="2245"/>
      <c r="AM43" s="2245"/>
      <c r="AN43" s="2245"/>
      <c r="AO43" s="2245"/>
      <c r="AP43" s="2245"/>
      <c r="AQ43" s="2245"/>
      <c r="AR43" s="2246"/>
      <c r="AS43" s="2247"/>
      <c r="AT43" s="2247"/>
      <c r="AU43" s="2247"/>
      <c r="AV43" s="2248"/>
      <c r="AW43" s="406"/>
      <c r="AX43" s="406"/>
    </row>
    <row r="44" spans="1:50" s="394" customFormat="1">
      <c r="A44" s="4364"/>
      <c r="B44" s="416">
        <v>31</v>
      </c>
      <c r="C44" s="2240"/>
      <c r="D44" s="2241"/>
      <c r="E44" s="2242"/>
      <c r="F44" s="2243"/>
      <c r="G44" s="2243"/>
      <c r="H44" s="2243"/>
      <c r="I44" s="2243"/>
      <c r="J44" s="2243"/>
      <c r="K44" s="2244"/>
      <c r="L44" s="2245"/>
      <c r="M44" s="2245"/>
      <c r="N44" s="2245"/>
      <c r="O44" s="2245"/>
      <c r="P44" s="2245"/>
      <c r="Q44" s="2245"/>
      <c r="R44" s="2245"/>
      <c r="S44" s="2245"/>
      <c r="T44" s="2245"/>
      <c r="U44" s="2245"/>
      <c r="V44" s="2245"/>
      <c r="W44" s="2245"/>
      <c r="X44" s="2245"/>
      <c r="Y44" s="2245"/>
      <c r="Z44" s="2245"/>
      <c r="AA44" s="2245"/>
      <c r="AB44" s="2245"/>
      <c r="AC44" s="2245"/>
      <c r="AD44" s="2245"/>
      <c r="AE44" s="2245"/>
      <c r="AF44" s="2245"/>
      <c r="AG44" s="2245"/>
      <c r="AH44" s="2245"/>
      <c r="AI44" s="2245"/>
      <c r="AJ44" s="2245"/>
      <c r="AK44" s="2245"/>
      <c r="AL44" s="2245"/>
      <c r="AM44" s="2245"/>
      <c r="AN44" s="2245"/>
      <c r="AO44" s="2245"/>
      <c r="AP44" s="2245"/>
      <c r="AQ44" s="2245"/>
      <c r="AR44" s="2246"/>
      <c r="AS44" s="2247"/>
      <c r="AT44" s="2247"/>
      <c r="AU44" s="2247"/>
      <c r="AV44" s="2248"/>
      <c r="AW44" s="406"/>
      <c r="AX44" s="406"/>
    </row>
    <row r="45" spans="1:50" s="394" customFormat="1">
      <c r="A45" s="4364"/>
      <c r="B45" s="416">
        <v>32</v>
      </c>
      <c r="C45" s="2240"/>
      <c r="D45" s="2241"/>
      <c r="E45" s="2242"/>
      <c r="F45" s="2243"/>
      <c r="G45" s="2243"/>
      <c r="H45" s="2243"/>
      <c r="I45" s="2243"/>
      <c r="J45" s="2243"/>
      <c r="K45" s="2244"/>
      <c r="L45" s="2245"/>
      <c r="M45" s="2245"/>
      <c r="N45" s="2245"/>
      <c r="O45" s="2245"/>
      <c r="P45" s="2245"/>
      <c r="Q45" s="2245"/>
      <c r="R45" s="2245"/>
      <c r="S45" s="2245"/>
      <c r="T45" s="2245"/>
      <c r="U45" s="2245"/>
      <c r="V45" s="2245"/>
      <c r="W45" s="2245"/>
      <c r="X45" s="2245"/>
      <c r="Y45" s="2245"/>
      <c r="Z45" s="2245"/>
      <c r="AA45" s="2245"/>
      <c r="AB45" s="2245"/>
      <c r="AC45" s="2245"/>
      <c r="AD45" s="2245"/>
      <c r="AE45" s="2245"/>
      <c r="AF45" s="2245"/>
      <c r="AG45" s="2245"/>
      <c r="AH45" s="2245"/>
      <c r="AI45" s="2245"/>
      <c r="AJ45" s="2245"/>
      <c r="AK45" s="2245"/>
      <c r="AL45" s="2245"/>
      <c r="AM45" s="2245"/>
      <c r="AN45" s="2245"/>
      <c r="AO45" s="2245"/>
      <c r="AP45" s="2245"/>
      <c r="AQ45" s="2245"/>
      <c r="AR45" s="2246"/>
      <c r="AS45" s="2247"/>
      <c r="AT45" s="2247"/>
      <c r="AU45" s="2247"/>
      <c r="AV45" s="2248"/>
      <c r="AW45" s="406"/>
      <c r="AX45" s="406"/>
    </row>
    <row r="46" spans="1:50" s="394" customFormat="1">
      <c r="A46" s="4364"/>
      <c r="B46" s="416">
        <v>33</v>
      </c>
      <c r="C46" s="2240"/>
      <c r="D46" s="2241"/>
      <c r="E46" s="2242"/>
      <c r="F46" s="2243"/>
      <c r="G46" s="2243"/>
      <c r="H46" s="2243"/>
      <c r="I46" s="2243"/>
      <c r="J46" s="2243"/>
      <c r="K46" s="2244"/>
      <c r="L46" s="2245"/>
      <c r="M46" s="2245"/>
      <c r="N46" s="2245"/>
      <c r="O46" s="2245"/>
      <c r="P46" s="2245"/>
      <c r="Q46" s="2245"/>
      <c r="R46" s="2245"/>
      <c r="S46" s="2245"/>
      <c r="T46" s="2245"/>
      <c r="U46" s="2245"/>
      <c r="V46" s="2245"/>
      <c r="W46" s="2245"/>
      <c r="X46" s="2245"/>
      <c r="Y46" s="2245"/>
      <c r="Z46" s="2245"/>
      <c r="AA46" s="2245"/>
      <c r="AB46" s="2245"/>
      <c r="AC46" s="2245"/>
      <c r="AD46" s="2245"/>
      <c r="AE46" s="2245"/>
      <c r="AF46" s="2245"/>
      <c r="AG46" s="2245"/>
      <c r="AH46" s="2245"/>
      <c r="AI46" s="2245"/>
      <c r="AJ46" s="2245"/>
      <c r="AK46" s="2245"/>
      <c r="AL46" s="2245"/>
      <c r="AM46" s="2245"/>
      <c r="AN46" s="2245"/>
      <c r="AO46" s="2245"/>
      <c r="AP46" s="2245"/>
      <c r="AQ46" s="2245"/>
      <c r="AR46" s="2246"/>
      <c r="AS46" s="2247"/>
      <c r="AT46" s="2247"/>
      <c r="AU46" s="2247"/>
      <c r="AV46" s="2248"/>
      <c r="AW46" s="406"/>
      <c r="AX46" s="406"/>
    </row>
    <row r="47" spans="1:50" s="394" customFormat="1">
      <c r="A47" s="4364"/>
      <c r="B47" s="416">
        <v>34</v>
      </c>
      <c r="C47" s="2240"/>
      <c r="D47" s="2241"/>
      <c r="E47" s="2242"/>
      <c r="F47" s="2243"/>
      <c r="G47" s="2243"/>
      <c r="H47" s="2243"/>
      <c r="I47" s="2243"/>
      <c r="J47" s="2243"/>
      <c r="K47" s="2244"/>
      <c r="L47" s="2245"/>
      <c r="M47" s="2245"/>
      <c r="N47" s="2245"/>
      <c r="O47" s="2245"/>
      <c r="P47" s="2245"/>
      <c r="Q47" s="2245"/>
      <c r="R47" s="2245"/>
      <c r="S47" s="2245"/>
      <c r="T47" s="2245"/>
      <c r="U47" s="2245"/>
      <c r="V47" s="2245"/>
      <c r="W47" s="2245"/>
      <c r="X47" s="2245"/>
      <c r="Y47" s="2245"/>
      <c r="Z47" s="2245"/>
      <c r="AA47" s="2245"/>
      <c r="AB47" s="2245"/>
      <c r="AC47" s="2245"/>
      <c r="AD47" s="2245"/>
      <c r="AE47" s="2245"/>
      <c r="AF47" s="2245"/>
      <c r="AG47" s="2245"/>
      <c r="AH47" s="2245"/>
      <c r="AI47" s="2245"/>
      <c r="AJ47" s="2245"/>
      <c r="AK47" s="2245"/>
      <c r="AL47" s="2245"/>
      <c r="AM47" s="2245"/>
      <c r="AN47" s="2245"/>
      <c r="AO47" s="2245"/>
      <c r="AP47" s="2245"/>
      <c r="AQ47" s="2245"/>
      <c r="AR47" s="2246"/>
      <c r="AS47" s="2247"/>
      <c r="AT47" s="2247"/>
      <c r="AU47" s="2247"/>
      <c r="AV47" s="2248"/>
      <c r="AW47" s="406"/>
      <c r="AX47" s="406"/>
    </row>
    <row r="48" spans="1:50" s="394" customFormat="1">
      <c r="A48" s="4364"/>
      <c r="B48" s="416">
        <v>35</v>
      </c>
      <c r="C48" s="2240"/>
      <c r="D48" s="2241"/>
      <c r="E48" s="2242"/>
      <c r="F48" s="2243"/>
      <c r="G48" s="2243"/>
      <c r="H48" s="2243"/>
      <c r="I48" s="2243"/>
      <c r="J48" s="2243"/>
      <c r="K48" s="2244"/>
      <c r="L48" s="2245"/>
      <c r="M48" s="2245"/>
      <c r="N48" s="2245"/>
      <c r="O48" s="2245"/>
      <c r="P48" s="2245"/>
      <c r="Q48" s="2245"/>
      <c r="R48" s="2245"/>
      <c r="S48" s="2245"/>
      <c r="T48" s="2245"/>
      <c r="U48" s="2245"/>
      <c r="V48" s="2245"/>
      <c r="W48" s="2245"/>
      <c r="X48" s="2245"/>
      <c r="Y48" s="2245"/>
      <c r="Z48" s="2245"/>
      <c r="AA48" s="2245"/>
      <c r="AB48" s="2245"/>
      <c r="AC48" s="2245"/>
      <c r="AD48" s="2245"/>
      <c r="AE48" s="2245"/>
      <c r="AF48" s="2245"/>
      <c r="AG48" s="2245"/>
      <c r="AH48" s="2245"/>
      <c r="AI48" s="2245"/>
      <c r="AJ48" s="2245"/>
      <c r="AK48" s="2245"/>
      <c r="AL48" s="2245"/>
      <c r="AM48" s="2245"/>
      <c r="AN48" s="2245"/>
      <c r="AO48" s="2245"/>
      <c r="AP48" s="2245"/>
      <c r="AQ48" s="2245"/>
      <c r="AR48" s="2246"/>
      <c r="AS48" s="2247"/>
      <c r="AT48" s="2247"/>
      <c r="AU48" s="2247"/>
      <c r="AV48" s="2248"/>
      <c r="AW48" s="406"/>
      <c r="AX48" s="406"/>
    </row>
    <row r="49" spans="1:50" s="394" customFormat="1">
      <c r="A49" s="4364"/>
      <c r="B49" s="416">
        <v>36</v>
      </c>
      <c r="C49" s="2240"/>
      <c r="D49" s="2241"/>
      <c r="E49" s="2242"/>
      <c r="F49" s="2243"/>
      <c r="G49" s="2243"/>
      <c r="H49" s="2243"/>
      <c r="I49" s="2243"/>
      <c r="J49" s="2243"/>
      <c r="K49" s="2244"/>
      <c r="L49" s="2245"/>
      <c r="M49" s="2245"/>
      <c r="N49" s="2245"/>
      <c r="O49" s="2245"/>
      <c r="P49" s="2245"/>
      <c r="Q49" s="2245"/>
      <c r="R49" s="2245"/>
      <c r="S49" s="2245"/>
      <c r="T49" s="2245"/>
      <c r="U49" s="2245"/>
      <c r="V49" s="2245"/>
      <c r="W49" s="2245"/>
      <c r="X49" s="2245"/>
      <c r="Y49" s="2245"/>
      <c r="Z49" s="2245"/>
      <c r="AA49" s="2245"/>
      <c r="AB49" s="2245"/>
      <c r="AC49" s="2245"/>
      <c r="AD49" s="2245"/>
      <c r="AE49" s="2245"/>
      <c r="AF49" s="2245"/>
      <c r="AG49" s="2245"/>
      <c r="AH49" s="2245"/>
      <c r="AI49" s="2245"/>
      <c r="AJ49" s="2245"/>
      <c r="AK49" s="2245"/>
      <c r="AL49" s="2245"/>
      <c r="AM49" s="2245"/>
      <c r="AN49" s="2245"/>
      <c r="AO49" s="2245"/>
      <c r="AP49" s="2245"/>
      <c r="AQ49" s="2245"/>
      <c r="AR49" s="2246"/>
      <c r="AS49" s="2247"/>
      <c r="AT49" s="2247"/>
      <c r="AU49" s="2247"/>
      <c r="AV49" s="2248"/>
      <c r="AW49" s="406"/>
      <c r="AX49" s="406"/>
    </row>
    <row r="50" spans="1:50" s="394" customFormat="1">
      <c r="A50" s="4364"/>
      <c r="B50" s="416">
        <v>37</v>
      </c>
      <c r="C50" s="2240"/>
      <c r="D50" s="2241"/>
      <c r="E50" s="2242"/>
      <c r="F50" s="2243"/>
      <c r="G50" s="2243"/>
      <c r="H50" s="2243"/>
      <c r="I50" s="2243"/>
      <c r="J50" s="2243"/>
      <c r="K50" s="2244"/>
      <c r="L50" s="2245"/>
      <c r="M50" s="2245"/>
      <c r="N50" s="2245"/>
      <c r="O50" s="2245"/>
      <c r="P50" s="2245"/>
      <c r="Q50" s="2245"/>
      <c r="R50" s="2245"/>
      <c r="S50" s="2245"/>
      <c r="T50" s="2245"/>
      <c r="U50" s="2245"/>
      <c r="V50" s="2245"/>
      <c r="W50" s="2245"/>
      <c r="X50" s="2245"/>
      <c r="Y50" s="2245"/>
      <c r="Z50" s="2245"/>
      <c r="AA50" s="2245"/>
      <c r="AB50" s="2245"/>
      <c r="AC50" s="2245"/>
      <c r="AD50" s="2245"/>
      <c r="AE50" s="2245"/>
      <c r="AF50" s="2245"/>
      <c r="AG50" s="2245"/>
      <c r="AH50" s="2245"/>
      <c r="AI50" s="2245"/>
      <c r="AJ50" s="2245"/>
      <c r="AK50" s="2245"/>
      <c r="AL50" s="2245"/>
      <c r="AM50" s="2245"/>
      <c r="AN50" s="2245"/>
      <c r="AO50" s="2245"/>
      <c r="AP50" s="2245"/>
      <c r="AQ50" s="2245"/>
      <c r="AR50" s="2246"/>
      <c r="AS50" s="2247"/>
      <c r="AT50" s="2247"/>
      <c r="AU50" s="2247"/>
      <c r="AV50" s="2248"/>
      <c r="AW50" s="406"/>
      <c r="AX50" s="406"/>
    </row>
    <row r="51" spans="1:50" s="394" customFormat="1">
      <c r="A51" s="4364"/>
      <c r="B51" s="416">
        <v>38</v>
      </c>
      <c r="C51" s="2240"/>
      <c r="D51" s="2241"/>
      <c r="E51" s="2242"/>
      <c r="F51" s="2243"/>
      <c r="G51" s="2243"/>
      <c r="H51" s="2243"/>
      <c r="I51" s="2243"/>
      <c r="J51" s="2243"/>
      <c r="K51" s="2244"/>
      <c r="L51" s="2245"/>
      <c r="M51" s="2245"/>
      <c r="N51" s="2245"/>
      <c r="O51" s="2245"/>
      <c r="P51" s="2245"/>
      <c r="Q51" s="2245"/>
      <c r="R51" s="2245"/>
      <c r="S51" s="2245"/>
      <c r="T51" s="2245"/>
      <c r="U51" s="2245"/>
      <c r="V51" s="2245"/>
      <c r="W51" s="2245"/>
      <c r="X51" s="2245"/>
      <c r="Y51" s="2245"/>
      <c r="Z51" s="2245"/>
      <c r="AA51" s="2245"/>
      <c r="AB51" s="2245"/>
      <c r="AC51" s="2245"/>
      <c r="AD51" s="2245"/>
      <c r="AE51" s="2245"/>
      <c r="AF51" s="2245"/>
      <c r="AG51" s="2245"/>
      <c r="AH51" s="2245"/>
      <c r="AI51" s="2245"/>
      <c r="AJ51" s="2245"/>
      <c r="AK51" s="2245"/>
      <c r="AL51" s="2245"/>
      <c r="AM51" s="2245"/>
      <c r="AN51" s="2245"/>
      <c r="AO51" s="2245"/>
      <c r="AP51" s="2245"/>
      <c r="AQ51" s="2245"/>
      <c r="AR51" s="2246"/>
      <c r="AS51" s="2247"/>
      <c r="AT51" s="2247"/>
      <c r="AU51" s="2247"/>
      <c r="AV51" s="2248"/>
      <c r="AW51" s="406"/>
      <c r="AX51" s="406"/>
    </row>
    <row r="52" spans="1:50" s="394" customFormat="1">
      <c r="A52" s="4364"/>
      <c r="B52" s="416">
        <v>39</v>
      </c>
      <c r="C52" s="2240"/>
      <c r="D52" s="2241"/>
      <c r="E52" s="2242"/>
      <c r="F52" s="2243"/>
      <c r="G52" s="2243"/>
      <c r="H52" s="2243"/>
      <c r="I52" s="2243"/>
      <c r="J52" s="2243"/>
      <c r="K52" s="2244"/>
      <c r="L52" s="2245"/>
      <c r="M52" s="2245"/>
      <c r="N52" s="2245"/>
      <c r="O52" s="2245"/>
      <c r="P52" s="2245"/>
      <c r="Q52" s="2245"/>
      <c r="R52" s="2245"/>
      <c r="S52" s="2245"/>
      <c r="T52" s="2245"/>
      <c r="U52" s="2245"/>
      <c r="V52" s="2245"/>
      <c r="W52" s="2245"/>
      <c r="X52" s="2245"/>
      <c r="Y52" s="2245"/>
      <c r="Z52" s="2245"/>
      <c r="AA52" s="2245"/>
      <c r="AB52" s="2245"/>
      <c r="AC52" s="2245"/>
      <c r="AD52" s="2245"/>
      <c r="AE52" s="2245"/>
      <c r="AF52" s="2245"/>
      <c r="AG52" s="2245"/>
      <c r="AH52" s="2245"/>
      <c r="AI52" s="2245"/>
      <c r="AJ52" s="2245"/>
      <c r="AK52" s="2245"/>
      <c r="AL52" s="2245"/>
      <c r="AM52" s="2245"/>
      <c r="AN52" s="2245"/>
      <c r="AO52" s="2245"/>
      <c r="AP52" s="2245"/>
      <c r="AQ52" s="2245"/>
      <c r="AR52" s="2246"/>
      <c r="AS52" s="2247"/>
      <c r="AT52" s="2247"/>
      <c r="AU52" s="2247"/>
      <c r="AV52" s="2248"/>
      <c r="AW52" s="406"/>
      <c r="AX52" s="406"/>
    </row>
    <row r="53" spans="1:50" s="394" customFormat="1">
      <c r="A53" s="4364"/>
      <c r="B53" s="416">
        <v>40</v>
      </c>
      <c r="C53" s="2240"/>
      <c r="D53" s="2241"/>
      <c r="E53" s="2242"/>
      <c r="F53" s="2243"/>
      <c r="G53" s="2243"/>
      <c r="H53" s="2243"/>
      <c r="I53" s="2243"/>
      <c r="J53" s="2243"/>
      <c r="K53" s="2244"/>
      <c r="L53" s="2245"/>
      <c r="M53" s="2245"/>
      <c r="N53" s="2245"/>
      <c r="O53" s="2245"/>
      <c r="P53" s="2245"/>
      <c r="Q53" s="2245"/>
      <c r="R53" s="2245"/>
      <c r="S53" s="2245"/>
      <c r="T53" s="2245"/>
      <c r="U53" s="2245"/>
      <c r="V53" s="2245"/>
      <c r="W53" s="2245"/>
      <c r="X53" s="2245"/>
      <c r="Y53" s="2245"/>
      <c r="Z53" s="2245"/>
      <c r="AA53" s="2245"/>
      <c r="AB53" s="2245"/>
      <c r="AC53" s="2245"/>
      <c r="AD53" s="2245"/>
      <c r="AE53" s="2245"/>
      <c r="AF53" s="2245"/>
      <c r="AG53" s="2245"/>
      <c r="AH53" s="2245"/>
      <c r="AI53" s="2245"/>
      <c r="AJ53" s="2245"/>
      <c r="AK53" s="2245"/>
      <c r="AL53" s="2245"/>
      <c r="AM53" s="2245"/>
      <c r="AN53" s="2245"/>
      <c r="AO53" s="2245"/>
      <c r="AP53" s="2245"/>
      <c r="AQ53" s="2245"/>
      <c r="AR53" s="2246"/>
      <c r="AS53" s="2247"/>
      <c r="AT53" s="2247"/>
      <c r="AU53" s="2247"/>
      <c r="AV53" s="2248"/>
      <c r="AW53" s="406"/>
      <c r="AX53" s="406"/>
    </row>
    <row r="54" spans="1:50" s="394" customFormat="1">
      <c r="A54" s="4364"/>
      <c r="B54" s="416">
        <v>41</v>
      </c>
      <c r="C54" s="2240"/>
      <c r="D54" s="2241"/>
      <c r="E54" s="2242"/>
      <c r="F54" s="2243"/>
      <c r="G54" s="2243"/>
      <c r="H54" s="2243"/>
      <c r="I54" s="2243"/>
      <c r="J54" s="2243"/>
      <c r="K54" s="2244"/>
      <c r="L54" s="2245"/>
      <c r="M54" s="2245"/>
      <c r="N54" s="2245"/>
      <c r="O54" s="2245"/>
      <c r="P54" s="2245"/>
      <c r="Q54" s="2245"/>
      <c r="R54" s="2245"/>
      <c r="S54" s="2245"/>
      <c r="T54" s="2245"/>
      <c r="U54" s="2245"/>
      <c r="V54" s="2245"/>
      <c r="W54" s="2245"/>
      <c r="X54" s="2245"/>
      <c r="Y54" s="2245"/>
      <c r="Z54" s="2245"/>
      <c r="AA54" s="2245"/>
      <c r="AB54" s="2245"/>
      <c r="AC54" s="2245"/>
      <c r="AD54" s="2245"/>
      <c r="AE54" s="2245"/>
      <c r="AF54" s="2245"/>
      <c r="AG54" s="2245"/>
      <c r="AH54" s="2245"/>
      <c r="AI54" s="2245"/>
      <c r="AJ54" s="2245"/>
      <c r="AK54" s="2245"/>
      <c r="AL54" s="2245"/>
      <c r="AM54" s="2245"/>
      <c r="AN54" s="2245"/>
      <c r="AO54" s="2245"/>
      <c r="AP54" s="2245"/>
      <c r="AQ54" s="2245"/>
      <c r="AR54" s="2246"/>
      <c r="AS54" s="2247"/>
      <c r="AT54" s="2247"/>
      <c r="AU54" s="2247"/>
      <c r="AV54" s="2248"/>
      <c r="AW54" s="406"/>
      <c r="AX54" s="406"/>
    </row>
    <row r="55" spans="1:50" s="394" customFormat="1">
      <c r="A55" s="4364"/>
      <c r="B55" s="416">
        <v>42</v>
      </c>
      <c r="C55" s="2240"/>
      <c r="D55" s="2241"/>
      <c r="E55" s="2242"/>
      <c r="F55" s="2243"/>
      <c r="G55" s="2243"/>
      <c r="H55" s="2243"/>
      <c r="I55" s="2243"/>
      <c r="J55" s="2243"/>
      <c r="K55" s="2244"/>
      <c r="L55" s="2245"/>
      <c r="M55" s="2245"/>
      <c r="N55" s="2245"/>
      <c r="O55" s="2245"/>
      <c r="P55" s="2245"/>
      <c r="Q55" s="2245"/>
      <c r="R55" s="2245"/>
      <c r="S55" s="2245"/>
      <c r="T55" s="2245"/>
      <c r="U55" s="2245"/>
      <c r="V55" s="2245"/>
      <c r="W55" s="2245"/>
      <c r="X55" s="2245"/>
      <c r="Y55" s="2245"/>
      <c r="Z55" s="2245"/>
      <c r="AA55" s="2245"/>
      <c r="AB55" s="2245"/>
      <c r="AC55" s="2245"/>
      <c r="AD55" s="2245"/>
      <c r="AE55" s="2245"/>
      <c r="AF55" s="2245"/>
      <c r="AG55" s="2245"/>
      <c r="AH55" s="2245"/>
      <c r="AI55" s="2245"/>
      <c r="AJ55" s="2245"/>
      <c r="AK55" s="2245"/>
      <c r="AL55" s="2245"/>
      <c r="AM55" s="2245"/>
      <c r="AN55" s="2245"/>
      <c r="AO55" s="2245"/>
      <c r="AP55" s="2245"/>
      <c r="AQ55" s="2245"/>
      <c r="AR55" s="2246"/>
      <c r="AS55" s="2247"/>
      <c r="AT55" s="2247"/>
      <c r="AU55" s="2247"/>
      <c r="AV55" s="2248"/>
      <c r="AW55" s="406"/>
      <c r="AX55" s="406"/>
    </row>
    <row r="56" spans="1:50" s="394" customFormat="1">
      <c r="A56" s="4364"/>
      <c r="B56" s="416">
        <v>43</v>
      </c>
      <c r="C56" s="2240"/>
      <c r="D56" s="2241"/>
      <c r="E56" s="2242"/>
      <c r="F56" s="2243"/>
      <c r="G56" s="2243"/>
      <c r="H56" s="2243"/>
      <c r="I56" s="2243"/>
      <c r="J56" s="2243"/>
      <c r="K56" s="2244"/>
      <c r="L56" s="2245"/>
      <c r="M56" s="2245"/>
      <c r="N56" s="2245"/>
      <c r="O56" s="2245"/>
      <c r="P56" s="2245"/>
      <c r="Q56" s="2245"/>
      <c r="R56" s="2245"/>
      <c r="S56" s="2245"/>
      <c r="T56" s="2245"/>
      <c r="U56" s="2245"/>
      <c r="V56" s="2245"/>
      <c r="W56" s="2245"/>
      <c r="X56" s="2245"/>
      <c r="Y56" s="2245"/>
      <c r="Z56" s="2245"/>
      <c r="AA56" s="2245"/>
      <c r="AB56" s="2245"/>
      <c r="AC56" s="2245"/>
      <c r="AD56" s="2245"/>
      <c r="AE56" s="2245"/>
      <c r="AF56" s="2245"/>
      <c r="AG56" s="2245"/>
      <c r="AH56" s="2245"/>
      <c r="AI56" s="2245"/>
      <c r="AJ56" s="2245"/>
      <c r="AK56" s="2245"/>
      <c r="AL56" s="2245"/>
      <c r="AM56" s="2245"/>
      <c r="AN56" s="2245"/>
      <c r="AO56" s="2245"/>
      <c r="AP56" s="2245"/>
      <c r="AQ56" s="2245"/>
      <c r="AR56" s="2246"/>
      <c r="AS56" s="2247"/>
      <c r="AT56" s="2247"/>
      <c r="AU56" s="2247"/>
      <c r="AV56" s="2248"/>
      <c r="AW56" s="406"/>
      <c r="AX56" s="406"/>
    </row>
    <row r="57" spans="1:50" s="394" customFormat="1">
      <c r="A57" s="4364"/>
      <c r="B57" s="416">
        <v>44</v>
      </c>
      <c r="C57" s="2240"/>
      <c r="D57" s="2241"/>
      <c r="E57" s="2242"/>
      <c r="F57" s="2243"/>
      <c r="G57" s="2243"/>
      <c r="H57" s="2243"/>
      <c r="I57" s="2243"/>
      <c r="J57" s="2243"/>
      <c r="K57" s="2244"/>
      <c r="L57" s="2245"/>
      <c r="M57" s="2245"/>
      <c r="N57" s="2245"/>
      <c r="O57" s="2245"/>
      <c r="P57" s="2245"/>
      <c r="Q57" s="2245"/>
      <c r="R57" s="2245"/>
      <c r="S57" s="2245"/>
      <c r="T57" s="2245"/>
      <c r="U57" s="2245"/>
      <c r="V57" s="2245"/>
      <c r="W57" s="2245"/>
      <c r="X57" s="2245"/>
      <c r="Y57" s="2245"/>
      <c r="Z57" s="2245"/>
      <c r="AA57" s="2245"/>
      <c r="AB57" s="2245"/>
      <c r="AC57" s="2245"/>
      <c r="AD57" s="2245"/>
      <c r="AE57" s="2245"/>
      <c r="AF57" s="2245"/>
      <c r="AG57" s="2245"/>
      <c r="AH57" s="2245"/>
      <c r="AI57" s="2245"/>
      <c r="AJ57" s="2245"/>
      <c r="AK57" s="2245"/>
      <c r="AL57" s="2245"/>
      <c r="AM57" s="2245"/>
      <c r="AN57" s="2245"/>
      <c r="AO57" s="2245"/>
      <c r="AP57" s="2245"/>
      <c r="AQ57" s="2245"/>
      <c r="AR57" s="2246"/>
      <c r="AS57" s="2247"/>
      <c r="AT57" s="2247"/>
      <c r="AU57" s="2247"/>
      <c r="AV57" s="2248"/>
      <c r="AW57" s="406"/>
      <c r="AX57" s="406"/>
    </row>
    <row r="58" spans="1:50" s="394" customFormat="1">
      <c r="A58" s="4364"/>
      <c r="B58" s="416">
        <v>45</v>
      </c>
      <c r="C58" s="2240"/>
      <c r="D58" s="2241"/>
      <c r="E58" s="2242"/>
      <c r="F58" s="2243"/>
      <c r="G58" s="2243"/>
      <c r="H58" s="2243"/>
      <c r="I58" s="2243"/>
      <c r="J58" s="2243"/>
      <c r="K58" s="2244"/>
      <c r="L58" s="2245"/>
      <c r="M58" s="2245"/>
      <c r="N58" s="2245"/>
      <c r="O58" s="2245"/>
      <c r="P58" s="2245"/>
      <c r="Q58" s="2245"/>
      <c r="R58" s="2245"/>
      <c r="S58" s="2245"/>
      <c r="T58" s="2245"/>
      <c r="U58" s="2245"/>
      <c r="V58" s="2245"/>
      <c r="W58" s="2245"/>
      <c r="X58" s="2245"/>
      <c r="Y58" s="2245"/>
      <c r="Z58" s="2245"/>
      <c r="AA58" s="2245"/>
      <c r="AB58" s="2245"/>
      <c r="AC58" s="2245"/>
      <c r="AD58" s="2245"/>
      <c r="AE58" s="2245"/>
      <c r="AF58" s="2245"/>
      <c r="AG58" s="2245"/>
      <c r="AH58" s="2245"/>
      <c r="AI58" s="2245"/>
      <c r="AJ58" s="2245"/>
      <c r="AK58" s="2245"/>
      <c r="AL58" s="2245"/>
      <c r="AM58" s="2245"/>
      <c r="AN58" s="2245"/>
      <c r="AO58" s="2245"/>
      <c r="AP58" s="2245"/>
      <c r="AQ58" s="2245"/>
      <c r="AR58" s="2246"/>
      <c r="AS58" s="2247"/>
      <c r="AT58" s="2247"/>
      <c r="AU58" s="2247"/>
      <c r="AV58" s="2248"/>
      <c r="AW58" s="406"/>
      <c r="AX58" s="406"/>
    </row>
    <row r="59" spans="1:50" s="394" customFormat="1">
      <c r="A59" s="4364"/>
      <c r="B59" s="416">
        <v>46</v>
      </c>
      <c r="C59" s="2240"/>
      <c r="D59" s="2241"/>
      <c r="E59" s="2242"/>
      <c r="F59" s="2243"/>
      <c r="G59" s="2243"/>
      <c r="H59" s="2243"/>
      <c r="I59" s="2243"/>
      <c r="J59" s="2243"/>
      <c r="K59" s="2244"/>
      <c r="L59" s="2245"/>
      <c r="M59" s="2245"/>
      <c r="N59" s="2245"/>
      <c r="O59" s="2245"/>
      <c r="P59" s="2245"/>
      <c r="Q59" s="2245"/>
      <c r="R59" s="2245"/>
      <c r="S59" s="2245"/>
      <c r="T59" s="2245"/>
      <c r="U59" s="2245"/>
      <c r="V59" s="2245"/>
      <c r="W59" s="2245"/>
      <c r="X59" s="2245"/>
      <c r="Y59" s="2245"/>
      <c r="Z59" s="2245"/>
      <c r="AA59" s="2245"/>
      <c r="AB59" s="2245"/>
      <c r="AC59" s="2245"/>
      <c r="AD59" s="2245"/>
      <c r="AE59" s="2245"/>
      <c r="AF59" s="2245"/>
      <c r="AG59" s="2245"/>
      <c r="AH59" s="2245"/>
      <c r="AI59" s="2245"/>
      <c r="AJ59" s="2245"/>
      <c r="AK59" s="2245"/>
      <c r="AL59" s="2245"/>
      <c r="AM59" s="2245"/>
      <c r="AN59" s="2245"/>
      <c r="AO59" s="2245"/>
      <c r="AP59" s="2245"/>
      <c r="AQ59" s="2245"/>
      <c r="AR59" s="2246"/>
      <c r="AS59" s="2247"/>
      <c r="AT59" s="2247"/>
      <c r="AU59" s="2247"/>
      <c r="AV59" s="2248"/>
      <c r="AW59" s="406"/>
      <c r="AX59" s="406"/>
    </row>
    <row r="60" spans="1:50" s="394" customFormat="1">
      <c r="A60" s="4364"/>
      <c r="B60" s="416">
        <v>47</v>
      </c>
      <c r="C60" s="2240"/>
      <c r="D60" s="2241"/>
      <c r="E60" s="2242"/>
      <c r="F60" s="2243"/>
      <c r="G60" s="2243"/>
      <c r="H60" s="2243"/>
      <c r="I60" s="2243"/>
      <c r="J60" s="2243"/>
      <c r="K60" s="2244"/>
      <c r="L60" s="2245"/>
      <c r="M60" s="2245"/>
      <c r="N60" s="2245"/>
      <c r="O60" s="2245"/>
      <c r="P60" s="2245"/>
      <c r="Q60" s="2245"/>
      <c r="R60" s="2245"/>
      <c r="S60" s="2245"/>
      <c r="T60" s="2245"/>
      <c r="U60" s="2245"/>
      <c r="V60" s="2245"/>
      <c r="W60" s="2245"/>
      <c r="X60" s="2245"/>
      <c r="Y60" s="2245"/>
      <c r="Z60" s="2245"/>
      <c r="AA60" s="2245"/>
      <c r="AB60" s="2245"/>
      <c r="AC60" s="2245"/>
      <c r="AD60" s="2245"/>
      <c r="AE60" s="2245"/>
      <c r="AF60" s="2245"/>
      <c r="AG60" s="2245"/>
      <c r="AH60" s="2245"/>
      <c r="AI60" s="2245"/>
      <c r="AJ60" s="2245"/>
      <c r="AK60" s="2245"/>
      <c r="AL60" s="2245"/>
      <c r="AM60" s="2245"/>
      <c r="AN60" s="2245"/>
      <c r="AO60" s="2245"/>
      <c r="AP60" s="2245"/>
      <c r="AQ60" s="2245"/>
      <c r="AR60" s="2246"/>
      <c r="AS60" s="2247"/>
      <c r="AT60" s="2247"/>
      <c r="AU60" s="2247"/>
      <c r="AV60" s="2248"/>
      <c r="AW60" s="406"/>
      <c r="AX60" s="406"/>
    </row>
    <row r="61" spans="1:50" s="394" customFormat="1">
      <c r="A61" s="4364"/>
      <c r="B61" s="416">
        <v>48</v>
      </c>
      <c r="C61" s="2240"/>
      <c r="D61" s="2241"/>
      <c r="E61" s="2242"/>
      <c r="F61" s="2243"/>
      <c r="G61" s="2243"/>
      <c r="H61" s="2243"/>
      <c r="I61" s="2243"/>
      <c r="J61" s="2243"/>
      <c r="K61" s="2244"/>
      <c r="L61" s="2245"/>
      <c r="M61" s="2245"/>
      <c r="N61" s="2245"/>
      <c r="O61" s="2245"/>
      <c r="P61" s="2245"/>
      <c r="Q61" s="2245"/>
      <c r="R61" s="2245"/>
      <c r="S61" s="2245"/>
      <c r="T61" s="2245"/>
      <c r="U61" s="2245"/>
      <c r="V61" s="2245"/>
      <c r="W61" s="2245"/>
      <c r="X61" s="2245"/>
      <c r="Y61" s="2245"/>
      <c r="Z61" s="2245"/>
      <c r="AA61" s="2245"/>
      <c r="AB61" s="2245"/>
      <c r="AC61" s="2245"/>
      <c r="AD61" s="2245"/>
      <c r="AE61" s="2245"/>
      <c r="AF61" s="2245"/>
      <c r="AG61" s="2245"/>
      <c r="AH61" s="2245"/>
      <c r="AI61" s="2245"/>
      <c r="AJ61" s="2245"/>
      <c r="AK61" s="2245"/>
      <c r="AL61" s="2245"/>
      <c r="AM61" s="2245"/>
      <c r="AN61" s="2245"/>
      <c r="AO61" s="2245"/>
      <c r="AP61" s="2245"/>
      <c r="AQ61" s="2245"/>
      <c r="AR61" s="2246"/>
      <c r="AS61" s="2247"/>
      <c r="AT61" s="2247"/>
      <c r="AU61" s="2247"/>
      <c r="AV61" s="2248"/>
      <c r="AW61" s="406"/>
      <c r="AX61" s="406"/>
    </row>
    <row r="62" spans="1:50" s="394" customFormat="1">
      <c r="A62" s="4364"/>
      <c r="B62" s="416">
        <v>49</v>
      </c>
      <c r="C62" s="2240"/>
      <c r="D62" s="2241"/>
      <c r="E62" s="2242"/>
      <c r="F62" s="2243"/>
      <c r="G62" s="2243"/>
      <c r="H62" s="2243"/>
      <c r="I62" s="2243"/>
      <c r="J62" s="2243"/>
      <c r="K62" s="2244"/>
      <c r="L62" s="2245"/>
      <c r="M62" s="2245"/>
      <c r="N62" s="2245"/>
      <c r="O62" s="2245"/>
      <c r="P62" s="2245"/>
      <c r="Q62" s="2245"/>
      <c r="R62" s="2245"/>
      <c r="S62" s="2245"/>
      <c r="T62" s="2245"/>
      <c r="U62" s="2245"/>
      <c r="V62" s="2245"/>
      <c r="W62" s="2245"/>
      <c r="X62" s="2245"/>
      <c r="Y62" s="2245"/>
      <c r="Z62" s="2245"/>
      <c r="AA62" s="2245"/>
      <c r="AB62" s="2245"/>
      <c r="AC62" s="2245"/>
      <c r="AD62" s="2245"/>
      <c r="AE62" s="2245"/>
      <c r="AF62" s="2245"/>
      <c r="AG62" s="2245"/>
      <c r="AH62" s="2245"/>
      <c r="AI62" s="2245"/>
      <c r="AJ62" s="2245"/>
      <c r="AK62" s="2245"/>
      <c r="AL62" s="2245"/>
      <c r="AM62" s="2245"/>
      <c r="AN62" s="2245"/>
      <c r="AO62" s="2245"/>
      <c r="AP62" s="2245"/>
      <c r="AQ62" s="2245"/>
      <c r="AR62" s="2246"/>
      <c r="AS62" s="2247"/>
      <c r="AT62" s="2247"/>
      <c r="AU62" s="2247"/>
      <c r="AV62" s="2248"/>
      <c r="AW62" s="406"/>
      <c r="AX62" s="406"/>
    </row>
    <row r="63" spans="1:50" s="394" customFormat="1">
      <c r="A63" s="4364"/>
      <c r="B63" s="416">
        <v>50</v>
      </c>
      <c r="C63" s="2240"/>
      <c r="D63" s="2241"/>
      <c r="E63" s="2242"/>
      <c r="F63" s="2243"/>
      <c r="G63" s="2243"/>
      <c r="H63" s="2243"/>
      <c r="I63" s="2243"/>
      <c r="J63" s="2243"/>
      <c r="K63" s="2244"/>
      <c r="L63" s="2245"/>
      <c r="M63" s="2245"/>
      <c r="N63" s="2245"/>
      <c r="O63" s="2245"/>
      <c r="P63" s="2245"/>
      <c r="Q63" s="2245"/>
      <c r="R63" s="2245"/>
      <c r="S63" s="2245"/>
      <c r="T63" s="2245"/>
      <c r="U63" s="2245"/>
      <c r="V63" s="2245"/>
      <c r="W63" s="2245"/>
      <c r="X63" s="2245"/>
      <c r="Y63" s="2245"/>
      <c r="Z63" s="2245"/>
      <c r="AA63" s="2245"/>
      <c r="AB63" s="2245"/>
      <c r="AC63" s="2245"/>
      <c r="AD63" s="2245"/>
      <c r="AE63" s="2245"/>
      <c r="AF63" s="2245"/>
      <c r="AG63" s="2245"/>
      <c r="AH63" s="2245"/>
      <c r="AI63" s="2245"/>
      <c r="AJ63" s="2245"/>
      <c r="AK63" s="2245"/>
      <c r="AL63" s="2245"/>
      <c r="AM63" s="2245"/>
      <c r="AN63" s="2245"/>
      <c r="AO63" s="2245"/>
      <c r="AP63" s="2245"/>
      <c r="AQ63" s="2245"/>
      <c r="AR63" s="2246"/>
      <c r="AS63" s="2247"/>
      <c r="AT63" s="2247"/>
      <c r="AU63" s="2247"/>
      <c r="AV63" s="2248"/>
      <c r="AW63" s="406"/>
      <c r="AX63" s="406"/>
    </row>
    <row r="64" spans="1:50" s="394" customFormat="1">
      <c r="A64" s="4364"/>
      <c r="B64" s="416">
        <v>51</v>
      </c>
      <c r="C64" s="2240"/>
      <c r="D64" s="2241"/>
      <c r="E64" s="2242"/>
      <c r="F64" s="2243"/>
      <c r="G64" s="2243"/>
      <c r="H64" s="2243"/>
      <c r="I64" s="2243"/>
      <c r="J64" s="2243"/>
      <c r="K64" s="2244"/>
      <c r="L64" s="2245"/>
      <c r="M64" s="2245"/>
      <c r="N64" s="2245"/>
      <c r="O64" s="2245"/>
      <c r="P64" s="2245"/>
      <c r="Q64" s="2245"/>
      <c r="R64" s="2245"/>
      <c r="S64" s="2245"/>
      <c r="T64" s="2245"/>
      <c r="U64" s="2245"/>
      <c r="V64" s="2245"/>
      <c r="W64" s="2245"/>
      <c r="X64" s="2245"/>
      <c r="Y64" s="2245"/>
      <c r="Z64" s="2245"/>
      <c r="AA64" s="2245"/>
      <c r="AB64" s="2245"/>
      <c r="AC64" s="2245"/>
      <c r="AD64" s="2245"/>
      <c r="AE64" s="2245"/>
      <c r="AF64" s="2245"/>
      <c r="AG64" s="2245"/>
      <c r="AH64" s="2245"/>
      <c r="AI64" s="2245"/>
      <c r="AJ64" s="2245"/>
      <c r="AK64" s="2245"/>
      <c r="AL64" s="2245"/>
      <c r="AM64" s="2245"/>
      <c r="AN64" s="2245"/>
      <c r="AO64" s="2245"/>
      <c r="AP64" s="2245"/>
      <c r="AQ64" s="2245"/>
      <c r="AR64" s="2246"/>
      <c r="AS64" s="2247"/>
      <c r="AT64" s="2247"/>
      <c r="AU64" s="2247"/>
      <c r="AV64" s="2248"/>
      <c r="AW64" s="406"/>
      <c r="AX64" s="406"/>
    </row>
    <row r="65" spans="1:50" s="394" customFormat="1">
      <c r="A65" s="4364"/>
      <c r="B65" s="416">
        <v>52</v>
      </c>
      <c r="C65" s="2240"/>
      <c r="D65" s="2241"/>
      <c r="E65" s="2242"/>
      <c r="F65" s="2243"/>
      <c r="G65" s="2243"/>
      <c r="H65" s="2243"/>
      <c r="I65" s="2243"/>
      <c r="J65" s="2243"/>
      <c r="K65" s="2244"/>
      <c r="L65" s="2245"/>
      <c r="M65" s="2245"/>
      <c r="N65" s="2245"/>
      <c r="O65" s="2245"/>
      <c r="P65" s="2245"/>
      <c r="Q65" s="2245"/>
      <c r="R65" s="2245"/>
      <c r="S65" s="2245"/>
      <c r="T65" s="2245"/>
      <c r="U65" s="2245"/>
      <c r="V65" s="2245"/>
      <c r="W65" s="2245"/>
      <c r="X65" s="2245"/>
      <c r="Y65" s="2245"/>
      <c r="Z65" s="2245"/>
      <c r="AA65" s="2245"/>
      <c r="AB65" s="2245"/>
      <c r="AC65" s="2245"/>
      <c r="AD65" s="2245"/>
      <c r="AE65" s="2245"/>
      <c r="AF65" s="2245"/>
      <c r="AG65" s="2245"/>
      <c r="AH65" s="2245"/>
      <c r="AI65" s="2245"/>
      <c r="AJ65" s="2245"/>
      <c r="AK65" s="2245"/>
      <c r="AL65" s="2245"/>
      <c r="AM65" s="2245"/>
      <c r="AN65" s="2245"/>
      <c r="AO65" s="2245"/>
      <c r="AP65" s="2245"/>
      <c r="AQ65" s="2245"/>
      <c r="AR65" s="2246"/>
      <c r="AS65" s="2247"/>
      <c r="AT65" s="2247"/>
      <c r="AU65" s="2247"/>
      <c r="AV65" s="2248"/>
      <c r="AW65" s="406"/>
      <c r="AX65" s="406"/>
    </row>
    <row r="66" spans="1:50" s="394" customFormat="1">
      <c r="A66" s="4364"/>
      <c r="B66" s="416">
        <v>53</v>
      </c>
      <c r="C66" s="2240"/>
      <c r="D66" s="2241"/>
      <c r="E66" s="2242"/>
      <c r="F66" s="2243"/>
      <c r="G66" s="2243"/>
      <c r="H66" s="2243"/>
      <c r="I66" s="2243"/>
      <c r="J66" s="2243"/>
      <c r="K66" s="2244"/>
      <c r="L66" s="2245"/>
      <c r="M66" s="2245"/>
      <c r="N66" s="2245"/>
      <c r="O66" s="2245"/>
      <c r="P66" s="2245"/>
      <c r="Q66" s="2245"/>
      <c r="R66" s="2245"/>
      <c r="S66" s="2245"/>
      <c r="T66" s="2245"/>
      <c r="U66" s="2245"/>
      <c r="V66" s="2245"/>
      <c r="W66" s="2245"/>
      <c r="X66" s="2245"/>
      <c r="Y66" s="2245"/>
      <c r="Z66" s="2245"/>
      <c r="AA66" s="2245"/>
      <c r="AB66" s="2245"/>
      <c r="AC66" s="2245"/>
      <c r="AD66" s="2245"/>
      <c r="AE66" s="2245"/>
      <c r="AF66" s="2245"/>
      <c r="AG66" s="2245"/>
      <c r="AH66" s="2245"/>
      <c r="AI66" s="2245"/>
      <c r="AJ66" s="2245"/>
      <c r="AK66" s="2245"/>
      <c r="AL66" s="2245"/>
      <c r="AM66" s="2245"/>
      <c r="AN66" s="2245"/>
      <c r="AO66" s="2245"/>
      <c r="AP66" s="2245"/>
      <c r="AQ66" s="2245"/>
      <c r="AR66" s="2246"/>
      <c r="AS66" s="2247"/>
      <c r="AT66" s="2247"/>
      <c r="AU66" s="2247"/>
      <c r="AV66" s="2248"/>
      <c r="AW66" s="406"/>
      <c r="AX66" s="406"/>
    </row>
    <row r="67" spans="1:50" s="394" customFormat="1">
      <c r="A67" s="4364"/>
      <c r="B67" s="416">
        <v>54</v>
      </c>
      <c r="C67" s="2240"/>
      <c r="D67" s="2241"/>
      <c r="E67" s="2242"/>
      <c r="F67" s="2243"/>
      <c r="G67" s="2243"/>
      <c r="H67" s="2243"/>
      <c r="I67" s="2243"/>
      <c r="J67" s="2243"/>
      <c r="K67" s="2244"/>
      <c r="L67" s="2245"/>
      <c r="M67" s="2245"/>
      <c r="N67" s="2245"/>
      <c r="O67" s="2245"/>
      <c r="P67" s="2245"/>
      <c r="Q67" s="2245"/>
      <c r="R67" s="2245"/>
      <c r="S67" s="2245"/>
      <c r="T67" s="2245"/>
      <c r="U67" s="2245"/>
      <c r="V67" s="2245"/>
      <c r="W67" s="2245"/>
      <c r="X67" s="2245"/>
      <c r="Y67" s="2245"/>
      <c r="Z67" s="2245"/>
      <c r="AA67" s="2245"/>
      <c r="AB67" s="2245"/>
      <c r="AC67" s="2245"/>
      <c r="AD67" s="2245"/>
      <c r="AE67" s="2245"/>
      <c r="AF67" s="2245"/>
      <c r="AG67" s="2245"/>
      <c r="AH67" s="2245"/>
      <c r="AI67" s="2245"/>
      <c r="AJ67" s="2245"/>
      <c r="AK67" s="2245"/>
      <c r="AL67" s="2245"/>
      <c r="AM67" s="2245"/>
      <c r="AN67" s="2245"/>
      <c r="AO67" s="2245"/>
      <c r="AP67" s="2245"/>
      <c r="AQ67" s="2245"/>
      <c r="AR67" s="2246"/>
      <c r="AS67" s="2247"/>
      <c r="AT67" s="2247"/>
      <c r="AU67" s="2247"/>
      <c r="AV67" s="2248"/>
      <c r="AW67" s="406"/>
      <c r="AX67" s="406"/>
    </row>
    <row r="68" spans="1:50" s="394" customFormat="1">
      <c r="A68" s="4364"/>
      <c r="B68" s="416">
        <v>55</v>
      </c>
      <c r="C68" s="2240"/>
      <c r="D68" s="2241"/>
      <c r="E68" s="2242"/>
      <c r="F68" s="2243"/>
      <c r="G68" s="2243"/>
      <c r="H68" s="2243"/>
      <c r="I68" s="2243"/>
      <c r="J68" s="2243"/>
      <c r="K68" s="2244"/>
      <c r="L68" s="2245"/>
      <c r="M68" s="2245"/>
      <c r="N68" s="2245"/>
      <c r="O68" s="2245"/>
      <c r="P68" s="2245"/>
      <c r="Q68" s="2245"/>
      <c r="R68" s="2245"/>
      <c r="S68" s="2245"/>
      <c r="T68" s="2245"/>
      <c r="U68" s="2245"/>
      <c r="V68" s="2245"/>
      <c r="W68" s="2245"/>
      <c r="X68" s="2245"/>
      <c r="Y68" s="2245"/>
      <c r="Z68" s="2245"/>
      <c r="AA68" s="2245"/>
      <c r="AB68" s="2245"/>
      <c r="AC68" s="2245"/>
      <c r="AD68" s="2245"/>
      <c r="AE68" s="2245"/>
      <c r="AF68" s="2245"/>
      <c r="AG68" s="2245"/>
      <c r="AH68" s="2245"/>
      <c r="AI68" s="2245"/>
      <c r="AJ68" s="2245"/>
      <c r="AK68" s="2245"/>
      <c r="AL68" s="2245"/>
      <c r="AM68" s="2245"/>
      <c r="AN68" s="2245"/>
      <c r="AO68" s="2245"/>
      <c r="AP68" s="2245"/>
      <c r="AQ68" s="2245"/>
      <c r="AR68" s="2246"/>
      <c r="AS68" s="2247"/>
      <c r="AT68" s="2247"/>
      <c r="AU68" s="2247"/>
      <c r="AV68" s="2248"/>
      <c r="AW68" s="406"/>
      <c r="AX68" s="406"/>
    </row>
    <row r="69" spans="1:50" s="394" customFormat="1">
      <c r="A69" s="4364"/>
      <c r="B69" s="416">
        <v>56</v>
      </c>
      <c r="C69" s="2240"/>
      <c r="D69" s="2241"/>
      <c r="E69" s="2242"/>
      <c r="F69" s="2243"/>
      <c r="G69" s="2243"/>
      <c r="H69" s="2243"/>
      <c r="I69" s="2243"/>
      <c r="J69" s="2243"/>
      <c r="K69" s="2244"/>
      <c r="L69" s="2245"/>
      <c r="M69" s="2245"/>
      <c r="N69" s="2245"/>
      <c r="O69" s="2245"/>
      <c r="P69" s="2245"/>
      <c r="Q69" s="2245"/>
      <c r="R69" s="2245"/>
      <c r="S69" s="2245"/>
      <c r="T69" s="2245"/>
      <c r="U69" s="2245"/>
      <c r="V69" s="2245"/>
      <c r="W69" s="2245"/>
      <c r="X69" s="2245"/>
      <c r="Y69" s="2245"/>
      <c r="Z69" s="2245"/>
      <c r="AA69" s="2245"/>
      <c r="AB69" s="2245"/>
      <c r="AC69" s="2245"/>
      <c r="AD69" s="2245"/>
      <c r="AE69" s="2245"/>
      <c r="AF69" s="2245"/>
      <c r="AG69" s="2245"/>
      <c r="AH69" s="2245"/>
      <c r="AI69" s="2245"/>
      <c r="AJ69" s="2245"/>
      <c r="AK69" s="2245"/>
      <c r="AL69" s="2245"/>
      <c r="AM69" s="2245"/>
      <c r="AN69" s="2245"/>
      <c r="AO69" s="2245"/>
      <c r="AP69" s="2245"/>
      <c r="AQ69" s="2245"/>
      <c r="AR69" s="2246"/>
      <c r="AS69" s="2247"/>
      <c r="AT69" s="2247"/>
      <c r="AU69" s="2247"/>
      <c r="AV69" s="2248"/>
      <c r="AW69" s="406"/>
      <c r="AX69" s="406"/>
    </row>
    <row r="70" spans="1:50" s="394" customFormat="1">
      <c r="A70" s="4364"/>
      <c r="B70" s="416">
        <v>57</v>
      </c>
      <c r="C70" s="2240"/>
      <c r="D70" s="2241"/>
      <c r="E70" s="2242"/>
      <c r="F70" s="2243"/>
      <c r="G70" s="2243"/>
      <c r="H70" s="2243"/>
      <c r="I70" s="2243"/>
      <c r="J70" s="2243"/>
      <c r="K70" s="2244"/>
      <c r="L70" s="2245"/>
      <c r="M70" s="2245"/>
      <c r="N70" s="2245"/>
      <c r="O70" s="2245"/>
      <c r="P70" s="2245"/>
      <c r="Q70" s="2245"/>
      <c r="R70" s="2245"/>
      <c r="S70" s="2245"/>
      <c r="T70" s="2245"/>
      <c r="U70" s="2245"/>
      <c r="V70" s="2245"/>
      <c r="W70" s="2245"/>
      <c r="X70" s="2245"/>
      <c r="Y70" s="2245"/>
      <c r="Z70" s="2245"/>
      <c r="AA70" s="2245"/>
      <c r="AB70" s="2245"/>
      <c r="AC70" s="2245"/>
      <c r="AD70" s="2245"/>
      <c r="AE70" s="2245"/>
      <c r="AF70" s="2245"/>
      <c r="AG70" s="2245"/>
      <c r="AH70" s="2245"/>
      <c r="AI70" s="2245"/>
      <c r="AJ70" s="2245"/>
      <c r="AK70" s="2245"/>
      <c r="AL70" s="2245"/>
      <c r="AM70" s="2245"/>
      <c r="AN70" s="2245"/>
      <c r="AO70" s="2245"/>
      <c r="AP70" s="2245"/>
      <c r="AQ70" s="2245"/>
      <c r="AR70" s="2246"/>
      <c r="AS70" s="2247"/>
      <c r="AT70" s="2247"/>
      <c r="AU70" s="2247"/>
      <c r="AV70" s="2248"/>
      <c r="AW70" s="406"/>
      <c r="AX70" s="406"/>
    </row>
    <row r="71" spans="1:50" s="394" customFormat="1">
      <c r="A71" s="4364"/>
      <c r="B71" s="416">
        <v>58</v>
      </c>
      <c r="C71" s="2240"/>
      <c r="D71" s="2241"/>
      <c r="E71" s="2242"/>
      <c r="F71" s="2243"/>
      <c r="G71" s="2243"/>
      <c r="H71" s="2243"/>
      <c r="I71" s="2243"/>
      <c r="J71" s="2243"/>
      <c r="K71" s="2244"/>
      <c r="L71" s="2245"/>
      <c r="M71" s="2245"/>
      <c r="N71" s="2245"/>
      <c r="O71" s="2245"/>
      <c r="P71" s="2245"/>
      <c r="Q71" s="2245"/>
      <c r="R71" s="2245"/>
      <c r="S71" s="2245"/>
      <c r="T71" s="2245"/>
      <c r="U71" s="2245"/>
      <c r="V71" s="2245"/>
      <c r="W71" s="2245"/>
      <c r="X71" s="2245"/>
      <c r="Y71" s="2245"/>
      <c r="Z71" s="2245"/>
      <c r="AA71" s="2245"/>
      <c r="AB71" s="2245"/>
      <c r="AC71" s="2245"/>
      <c r="AD71" s="2245"/>
      <c r="AE71" s="2245"/>
      <c r="AF71" s="2245"/>
      <c r="AG71" s="2245"/>
      <c r="AH71" s="2245"/>
      <c r="AI71" s="2245"/>
      <c r="AJ71" s="2245"/>
      <c r="AK71" s="2245"/>
      <c r="AL71" s="2245"/>
      <c r="AM71" s="2245"/>
      <c r="AN71" s="2245"/>
      <c r="AO71" s="2245"/>
      <c r="AP71" s="2245"/>
      <c r="AQ71" s="2245"/>
      <c r="AR71" s="2246"/>
      <c r="AS71" s="2247"/>
      <c r="AT71" s="2247"/>
      <c r="AU71" s="2247"/>
      <c r="AV71" s="2248"/>
      <c r="AW71" s="406"/>
      <c r="AX71" s="406"/>
    </row>
    <row r="72" spans="1:50" s="394" customFormat="1">
      <c r="A72" s="4364"/>
      <c r="B72" s="416">
        <v>59</v>
      </c>
      <c r="C72" s="2240"/>
      <c r="D72" s="2241"/>
      <c r="E72" s="2242"/>
      <c r="F72" s="2243"/>
      <c r="G72" s="2243"/>
      <c r="H72" s="2243"/>
      <c r="I72" s="2243"/>
      <c r="J72" s="2243"/>
      <c r="K72" s="2244"/>
      <c r="L72" s="2245"/>
      <c r="M72" s="2245"/>
      <c r="N72" s="2245"/>
      <c r="O72" s="2245"/>
      <c r="P72" s="2245"/>
      <c r="Q72" s="2245"/>
      <c r="R72" s="2245"/>
      <c r="S72" s="2245"/>
      <c r="T72" s="2245"/>
      <c r="U72" s="2245"/>
      <c r="V72" s="2245"/>
      <c r="W72" s="2245"/>
      <c r="X72" s="2245"/>
      <c r="Y72" s="2245"/>
      <c r="Z72" s="2245"/>
      <c r="AA72" s="2245"/>
      <c r="AB72" s="2245"/>
      <c r="AC72" s="2245"/>
      <c r="AD72" s="2245"/>
      <c r="AE72" s="2245"/>
      <c r="AF72" s="2245"/>
      <c r="AG72" s="2245"/>
      <c r="AH72" s="2245"/>
      <c r="AI72" s="2245"/>
      <c r="AJ72" s="2245"/>
      <c r="AK72" s="2245"/>
      <c r="AL72" s="2245"/>
      <c r="AM72" s="2245"/>
      <c r="AN72" s="2245"/>
      <c r="AO72" s="2245"/>
      <c r="AP72" s="2245"/>
      <c r="AQ72" s="2245"/>
      <c r="AR72" s="2246"/>
      <c r="AS72" s="2247"/>
      <c r="AT72" s="2247"/>
      <c r="AU72" s="2247"/>
      <c r="AV72" s="2248"/>
      <c r="AW72" s="406"/>
      <c r="AX72" s="406"/>
    </row>
    <row r="73" spans="1:50" s="394" customFormat="1">
      <c r="A73" s="4364"/>
      <c r="B73" s="416">
        <v>60</v>
      </c>
      <c r="C73" s="2240"/>
      <c r="D73" s="2241"/>
      <c r="E73" s="2242"/>
      <c r="F73" s="2243"/>
      <c r="G73" s="2243"/>
      <c r="H73" s="2243"/>
      <c r="I73" s="2243"/>
      <c r="J73" s="2243"/>
      <c r="K73" s="2244"/>
      <c r="L73" s="2245"/>
      <c r="M73" s="2245"/>
      <c r="N73" s="2245"/>
      <c r="O73" s="2245"/>
      <c r="P73" s="2245"/>
      <c r="Q73" s="2245"/>
      <c r="R73" s="2245"/>
      <c r="S73" s="2245"/>
      <c r="T73" s="2245"/>
      <c r="U73" s="2245"/>
      <c r="V73" s="2245"/>
      <c r="W73" s="2245"/>
      <c r="X73" s="2245"/>
      <c r="Y73" s="2245"/>
      <c r="Z73" s="2245"/>
      <c r="AA73" s="2245"/>
      <c r="AB73" s="2245"/>
      <c r="AC73" s="2245"/>
      <c r="AD73" s="2245"/>
      <c r="AE73" s="2245"/>
      <c r="AF73" s="2245"/>
      <c r="AG73" s="2245"/>
      <c r="AH73" s="2245"/>
      <c r="AI73" s="2245"/>
      <c r="AJ73" s="2245"/>
      <c r="AK73" s="2245"/>
      <c r="AL73" s="2245"/>
      <c r="AM73" s="2245"/>
      <c r="AN73" s="2245"/>
      <c r="AO73" s="2245"/>
      <c r="AP73" s="2245"/>
      <c r="AQ73" s="2245"/>
      <c r="AR73" s="2246"/>
      <c r="AS73" s="2247"/>
      <c r="AT73" s="2247"/>
      <c r="AU73" s="2247"/>
      <c r="AV73" s="2248"/>
      <c r="AW73" s="406"/>
      <c r="AX73" s="406"/>
    </row>
    <row r="74" spans="1:50" s="394" customFormat="1">
      <c r="A74" s="4364"/>
      <c r="B74" s="416">
        <v>61</v>
      </c>
      <c r="C74" s="2240"/>
      <c r="D74" s="2241"/>
      <c r="E74" s="2242"/>
      <c r="F74" s="2243"/>
      <c r="G74" s="2243"/>
      <c r="H74" s="2243"/>
      <c r="I74" s="2243"/>
      <c r="J74" s="2243"/>
      <c r="K74" s="2244"/>
      <c r="L74" s="2245"/>
      <c r="M74" s="2245"/>
      <c r="N74" s="2245"/>
      <c r="O74" s="2245"/>
      <c r="P74" s="2245"/>
      <c r="Q74" s="2245"/>
      <c r="R74" s="2245"/>
      <c r="S74" s="2245"/>
      <c r="T74" s="2245"/>
      <c r="U74" s="2245"/>
      <c r="V74" s="2245"/>
      <c r="W74" s="2245"/>
      <c r="X74" s="2245"/>
      <c r="Y74" s="2245"/>
      <c r="Z74" s="2245"/>
      <c r="AA74" s="2245"/>
      <c r="AB74" s="2245"/>
      <c r="AC74" s="2245"/>
      <c r="AD74" s="2245"/>
      <c r="AE74" s="2245"/>
      <c r="AF74" s="2245"/>
      <c r="AG74" s="2245"/>
      <c r="AH74" s="2245"/>
      <c r="AI74" s="2245"/>
      <c r="AJ74" s="2245"/>
      <c r="AK74" s="2245"/>
      <c r="AL74" s="2245"/>
      <c r="AM74" s="2245"/>
      <c r="AN74" s="2245"/>
      <c r="AO74" s="2245"/>
      <c r="AP74" s="2245"/>
      <c r="AQ74" s="2245"/>
      <c r="AR74" s="2246"/>
      <c r="AS74" s="2247"/>
      <c r="AT74" s="2247"/>
      <c r="AU74" s="2247"/>
      <c r="AV74" s="2248"/>
      <c r="AW74" s="406"/>
      <c r="AX74" s="406"/>
    </row>
    <row r="75" spans="1:50" s="394" customFormat="1">
      <c r="A75" s="4364"/>
      <c r="B75" s="416">
        <v>62</v>
      </c>
      <c r="C75" s="2240"/>
      <c r="D75" s="2241"/>
      <c r="E75" s="2242"/>
      <c r="F75" s="2243"/>
      <c r="G75" s="2243"/>
      <c r="H75" s="2243"/>
      <c r="I75" s="2243"/>
      <c r="J75" s="2243"/>
      <c r="K75" s="2244"/>
      <c r="L75" s="2245"/>
      <c r="M75" s="2245"/>
      <c r="N75" s="2245"/>
      <c r="O75" s="2245"/>
      <c r="P75" s="2245"/>
      <c r="Q75" s="2245"/>
      <c r="R75" s="2245"/>
      <c r="S75" s="2245"/>
      <c r="T75" s="2245"/>
      <c r="U75" s="2245"/>
      <c r="V75" s="2245"/>
      <c r="W75" s="2245"/>
      <c r="X75" s="2245"/>
      <c r="Y75" s="2245"/>
      <c r="Z75" s="2245"/>
      <c r="AA75" s="2245"/>
      <c r="AB75" s="2245"/>
      <c r="AC75" s="2245"/>
      <c r="AD75" s="2245"/>
      <c r="AE75" s="2245"/>
      <c r="AF75" s="2245"/>
      <c r="AG75" s="2245"/>
      <c r="AH75" s="2245"/>
      <c r="AI75" s="2245"/>
      <c r="AJ75" s="2245"/>
      <c r="AK75" s="2245"/>
      <c r="AL75" s="2245"/>
      <c r="AM75" s="2245"/>
      <c r="AN75" s="2245"/>
      <c r="AO75" s="2245"/>
      <c r="AP75" s="2245"/>
      <c r="AQ75" s="2245"/>
      <c r="AR75" s="2246"/>
      <c r="AS75" s="2247"/>
      <c r="AT75" s="2247"/>
      <c r="AU75" s="2247"/>
      <c r="AV75" s="2248"/>
      <c r="AW75" s="406"/>
      <c r="AX75" s="406"/>
    </row>
    <row r="76" spans="1:50" s="394" customFormat="1">
      <c r="A76" s="4364"/>
      <c r="B76" s="416">
        <v>63</v>
      </c>
      <c r="C76" s="2240"/>
      <c r="D76" s="2241"/>
      <c r="E76" s="2242"/>
      <c r="F76" s="2243"/>
      <c r="G76" s="2243"/>
      <c r="H76" s="2243"/>
      <c r="I76" s="2243"/>
      <c r="J76" s="2243"/>
      <c r="K76" s="2244"/>
      <c r="L76" s="2245"/>
      <c r="M76" s="2245"/>
      <c r="N76" s="2245"/>
      <c r="O76" s="2245"/>
      <c r="P76" s="2245"/>
      <c r="Q76" s="2245"/>
      <c r="R76" s="2245"/>
      <c r="S76" s="2245"/>
      <c r="T76" s="2245"/>
      <c r="U76" s="2245"/>
      <c r="V76" s="2245"/>
      <c r="W76" s="2245"/>
      <c r="X76" s="2245"/>
      <c r="Y76" s="2245"/>
      <c r="Z76" s="2245"/>
      <c r="AA76" s="2245"/>
      <c r="AB76" s="2245"/>
      <c r="AC76" s="2245"/>
      <c r="AD76" s="2245"/>
      <c r="AE76" s="2245"/>
      <c r="AF76" s="2245"/>
      <c r="AG76" s="2245"/>
      <c r="AH76" s="2245"/>
      <c r="AI76" s="2245"/>
      <c r="AJ76" s="2245"/>
      <c r="AK76" s="2245"/>
      <c r="AL76" s="2245"/>
      <c r="AM76" s="2245"/>
      <c r="AN76" s="2245"/>
      <c r="AO76" s="2245"/>
      <c r="AP76" s="2245"/>
      <c r="AQ76" s="2245"/>
      <c r="AR76" s="2246"/>
      <c r="AS76" s="2247"/>
      <c r="AT76" s="2247"/>
      <c r="AU76" s="2247"/>
      <c r="AV76" s="2248"/>
      <c r="AW76" s="406"/>
      <c r="AX76" s="406"/>
    </row>
    <row r="77" spans="1:50" s="394" customFormat="1">
      <c r="A77" s="4364"/>
      <c r="B77" s="416">
        <v>64</v>
      </c>
      <c r="C77" s="2240"/>
      <c r="D77" s="2241"/>
      <c r="E77" s="2242"/>
      <c r="F77" s="2243"/>
      <c r="G77" s="2243"/>
      <c r="H77" s="2243"/>
      <c r="I77" s="2243"/>
      <c r="J77" s="2243"/>
      <c r="K77" s="2244"/>
      <c r="L77" s="2245"/>
      <c r="M77" s="2245"/>
      <c r="N77" s="2245"/>
      <c r="O77" s="2245"/>
      <c r="P77" s="2245"/>
      <c r="Q77" s="2245"/>
      <c r="R77" s="2245"/>
      <c r="S77" s="2245"/>
      <c r="T77" s="2245"/>
      <c r="U77" s="2245"/>
      <c r="V77" s="2245"/>
      <c r="W77" s="2245"/>
      <c r="X77" s="2245"/>
      <c r="Y77" s="2245"/>
      <c r="Z77" s="2245"/>
      <c r="AA77" s="2245"/>
      <c r="AB77" s="2245"/>
      <c r="AC77" s="2245"/>
      <c r="AD77" s="2245"/>
      <c r="AE77" s="2245"/>
      <c r="AF77" s="2245"/>
      <c r="AG77" s="2245"/>
      <c r="AH77" s="2245"/>
      <c r="AI77" s="2245"/>
      <c r="AJ77" s="2245"/>
      <c r="AK77" s="2245"/>
      <c r="AL77" s="2245"/>
      <c r="AM77" s="2245"/>
      <c r="AN77" s="2245"/>
      <c r="AO77" s="2245"/>
      <c r="AP77" s="2245"/>
      <c r="AQ77" s="2245"/>
      <c r="AR77" s="2246"/>
      <c r="AS77" s="2247"/>
      <c r="AT77" s="2247"/>
      <c r="AU77" s="2247"/>
      <c r="AV77" s="2248"/>
      <c r="AW77" s="406"/>
      <c r="AX77" s="406"/>
    </row>
    <row r="78" spans="1:50" s="394" customFormat="1">
      <c r="A78" s="4364"/>
      <c r="B78" s="416">
        <v>65</v>
      </c>
      <c r="C78" s="2240"/>
      <c r="D78" s="2241"/>
      <c r="E78" s="2242"/>
      <c r="F78" s="2243"/>
      <c r="G78" s="2243"/>
      <c r="H78" s="2243"/>
      <c r="I78" s="2243"/>
      <c r="J78" s="2243"/>
      <c r="K78" s="2244"/>
      <c r="L78" s="2245"/>
      <c r="M78" s="2245"/>
      <c r="N78" s="2245"/>
      <c r="O78" s="2245"/>
      <c r="P78" s="2245"/>
      <c r="Q78" s="2245"/>
      <c r="R78" s="2245"/>
      <c r="S78" s="2245"/>
      <c r="T78" s="2245"/>
      <c r="U78" s="2245"/>
      <c r="V78" s="2245"/>
      <c r="W78" s="2245"/>
      <c r="X78" s="2245"/>
      <c r="Y78" s="2245"/>
      <c r="Z78" s="2245"/>
      <c r="AA78" s="2245"/>
      <c r="AB78" s="2245"/>
      <c r="AC78" s="2245"/>
      <c r="AD78" s="2245"/>
      <c r="AE78" s="2245"/>
      <c r="AF78" s="2245"/>
      <c r="AG78" s="2245"/>
      <c r="AH78" s="2245"/>
      <c r="AI78" s="2245"/>
      <c r="AJ78" s="2245"/>
      <c r="AK78" s="2245"/>
      <c r="AL78" s="2245"/>
      <c r="AM78" s="2245"/>
      <c r="AN78" s="2245"/>
      <c r="AO78" s="2245"/>
      <c r="AP78" s="2245"/>
      <c r="AQ78" s="2245"/>
      <c r="AR78" s="2246"/>
      <c r="AS78" s="2247"/>
      <c r="AT78" s="2247"/>
      <c r="AU78" s="2247"/>
      <c r="AV78" s="2248"/>
      <c r="AW78" s="406"/>
      <c r="AX78" s="406"/>
    </row>
    <row r="79" spans="1:50" s="394" customFormat="1">
      <c r="A79" s="4364"/>
      <c r="B79" s="416">
        <v>66</v>
      </c>
      <c r="C79" s="2240"/>
      <c r="D79" s="2241"/>
      <c r="E79" s="2242"/>
      <c r="F79" s="2243"/>
      <c r="G79" s="2243"/>
      <c r="H79" s="2243"/>
      <c r="I79" s="2243"/>
      <c r="J79" s="2243"/>
      <c r="K79" s="2244"/>
      <c r="L79" s="2245"/>
      <c r="M79" s="2245"/>
      <c r="N79" s="2245"/>
      <c r="O79" s="2245"/>
      <c r="P79" s="2245"/>
      <c r="Q79" s="2245"/>
      <c r="R79" s="2245"/>
      <c r="S79" s="2245"/>
      <c r="T79" s="2245"/>
      <c r="U79" s="2245"/>
      <c r="V79" s="2245"/>
      <c r="W79" s="2245"/>
      <c r="X79" s="2245"/>
      <c r="Y79" s="2245"/>
      <c r="Z79" s="2245"/>
      <c r="AA79" s="2245"/>
      <c r="AB79" s="2245"/>
      <c r="AC79" s="2245"/>
      <c r="AD79" s="2245"/>
      <c r="AE79" s="2245"/>
      <c r="AF79" s="2245"/>
      <c r="AG79" s="2245"/>
      <c r="AH79" s="2245"/>
      <c r="AI79" s="2245"/>
      <c r="AJ79" s="2245"/>
      <c r="AK79" s="2245"/>
      <c r="AL79" s="2245"/>
      <c r="AM79" s="2245"/>
      <c r="AN79" s="2245"/>
      <c r="AO79" s="2245"/>
      <c r="AP79" s="2245"/>
      <c r="AQ79" s="2245"/>
      <c r="AR79" s="2246"/>
      <c r="AS79" s="2247"/>
      <c r="AT79" s="2247"/>
      <c r="AU79" s="2247"/>
      <c r="AV79" s="2248"/>
      <c r="AW79" s="406"/>
      <c r="AX79" s="406"/>
    </row>
    <row r="80" spans="1:50" s="394" customFormat="1">
      <c r="A80" s="4364"/>
      <c r="B80" s="416">
        <v>67</v>
      </c>
      <c r="C80" s="2240"/>
      <c r="D80" s="2241"/>
      <c r="E80" s="2242"/>
      <c r="F80" s="2243"/>
      <c r="G80" s="2243"/>
      <c r="H80" s="2243"/>
      <c r="I80" s="2243"/>
      <c r="J80" s="2243"/>
      <c r="K80" s="2244"/>
      <c r="L80" s="2245"/>
      <c r="M80" s="2245"/>
      <c r="N80" s="2245"/>
      <c r="O80" s="2245"/>
      <c r="P80" s="2245"/>
      <c r="Q80" s="2245"/>
      <c r="R80" s="2245"/>
      <c r="S80" s="2245"/>
      <c r="T80" s="2245"/>
      <c r="U80" s="2245"/>
      <c r="V80" s="2245"/>
      <c r="W80" s="2245"/>
      <c r="X80" s="2245"/>
      <c r="Y80" s="2245"/>
      <c r="Z80" s="2245"/>
      <c r="AA80" s="2245"/>
      <c r="AB80" s="2245"/>
      <c r="AC80" s="2245"/>
      <c r="AD80" s="2245"/>
      <c r="AE80" s="2245"/>
      <c r="AF80" s="2245"/>
      <c r="AG80" s="2245"/>
      <c r="AH80" s="2245"/>
      <c r="AI80" s="2245"/>
      <c r="AJ80" s="2245"/>
      <c r="AK80" s="2245"/>
      <c r="AL80" s="2245"/>
      <c r="AM80" s="2245"/>
      <c r="AN80" s="2245"/>
      <c r="AO80" s="2245"/>
      <c r="AP80" s="2245"/>
      <c r="AQ80" s="2245"/>
      <c r="AR80" s="2246"/>
      <c r="AS80" s="2247"/>
      <c r="AT80" s="2247"/>
      <c r="AU80" s="2247"/>
      <c r="AV80" s="2248"/>
      <c r="AW80" s="406"/>
      <c r="AX80" s="406"/>
    </row>
    <row r="81" spans="1:50" s="394" customFormat="1">
      <c r="A81" s="4364"/>
      <c r="B81" s="416">
        <v>68</v>
      </c>
      <c r="C81" s="2240"/>
      <c r="D81" s="2241"/>
      <c r="E81" s="2242"/>
      <c r="F81" s="2243"/>
      <c r="G81" s="2243"/>
      <c r="H81" s="2243"/>
      <c r="I81" s="2243"/>
      <c r="J81" s="2243"/>
      <c r="K81" s="2244"/>
      <c r="L81" s="2245"/>
      <c r="M81" s="2245"/>
      <c r="N81" s="2245"/>
      <c r="O81" s="2245"/>
      <c r="P81" s="2245"/>
      <c r="Q81" s="2245"/>
      <c r="R81" s="2245"/>
      <c r="S81" s="2245"/>
      <c r="T81" s="2245"/>
      <c r="U81" s="2245"/>
      <c r="V81" s="2245"/>
      <c r="W81" s="2245"/>
      <c r="X81" s="2245"/>
      <c r="Y81" s="2245"/>
      <c r="Z81" s="2245"/>
      <c r="AA81" s="2245"/>
      <c r="AB81" s="2245"/>
      <c r="AC81" s="2245"/>
      <c r="AD81" s="2245"/>
      <c r="AE81" s="2245"/>
      <c r="AF81" s="2245"/>
      <c r="AG81" s="2245"/>
      <c r="AH81" s="2245"/>
      <c r="AI81" s="2245"/>
      <c r="AJ81" s="2245"/>
      <c r="AK81" s="2245"/>
      <c r="AL81" s="2245"/>
      <c r="AM81" s="2245"/>
      <c r="AN81" s="2245"/>
      <c r="AO81" s="2245"/>
      <c r="AP81" s="2245"/>
      <c r="AQ81" s="2245"/>
      <c r="AR81" s="2246"/>
      <c r="AS81" s="2247"/>
      <c r="AT81" s="2247"/>
      <c r="AU81" s="2247"/>
      <c r="AV81" s="2248"/>
      <c r="AW81" s="406"/>
      <c r="AX81" s="406"/>
    </row>
    <row r="82" spans="1:50" s="394" customFormat="1">
      <c r="A82" s="4364"/>
      <c r="B82" s="416">
        <v>69</v>
      </c>
      <c r="C82" s="2240"/>
      <c r="D82" s="2241"/>
      <c r="E82" s="2242"/>
      <c r="F82" s="2243"/>
      <c r="G82" s="2243"/>
      <c r="H82" s="2243"/>
      <c r="I82" s="2243"/>
      <c r="J82" s="2243"/>
      <c r="K82" s="2244"/>
      <c r="L82" s="2245"/>
      <c r="M82" s="2245"/>
      <c r="N82" s="2245"/>
      <c r="O82" s="2245"/>
      <c r="P82" s="2245"/>
      <c r="Q82" s="2245"/>
      <c r="R82" s="2245"/>
      <c r="S82" s="2245"/>
      <c r="T82" s="2245"/>
      <c r="U82" s="2245"/>
      <c r="V82" s="2245"/>
      <c r="W82" s="2245"/>
      <c r="X82" s="2245"/>
      <c r="Y82" s="2245"/>
      <c r="Z82" s="2245"/>
      <c r="AA82" s="2245"/>
      <c r="AB82" s="2245"/>
      <c r="AC82" s="2245"/>
      <c r="AD82" s="2245"/>
      <c r="AE82" s="2245"/>
      <c r="AF82" s="2245"/>
      <c r="AG82" s="2245"/>
      <c r="AH82" s="2245"/>
      <c r="AI82" s="2245"/>
      <c r="AJ82" s="2245"/>
      <c r="AK82" s="2245"/>
      <c r="AL82" s="2245"/>
      <c r="AM82" s="2245"/>
      <c r="AN82" s="2245"/>
      <c r="AO82" s="2245"/>
      <c r="AP82" s="2245"/>
      <c r="AQ82" s="2245"/>
      <c r="AR82" s="2246"/>
      <c r="AS82" s="2247"/>
      <c r="AT82" s="2247"/>
      <c r="AU82" s="2247"/>
      <c r="AV82" s="2248"/>
      <c r="AW82" s="406"/>
      <c r="AX82" s="406"/>
    </row>
    <row r="83" spans="1:50" s="394" customFormat="1">
      <c r="A83" s="4364"/>
      <c r="B83" s="416">
        <v>70</v>
      </c>
      <c r="C83" s="2240"/>
      <c r="D83" s="2241"/>
      <c r="E83" s="2242"/>
      <c r="F83" s="2243"/>
      <c r="G83" s="2243"/>
      <c r="H83" s="2243"/>
      <c r="I83" s="2243"/>
      <c r="J83" s="2243"/>
      <c r="K83" s="2244"/>
      <c r="L83" s="2245"/>
      <c r="M83" s="2245"/>
      <c r="N83" s="2245"/>
      <c r="O83" s="2245"/>
      <c r="P83" s="2245"/>
      <c r="Q83" s="2245"/>
      <c r="R83" s="2245"/>
      <c r="S83" s="2245"/>
      <c r="T83" s="2245"/>
      <c r="U83" s="2245"/>
      <c r="V83" s="2245"/>
      <c r="W83" s="2245"/>
      <c r="X83" s="2245"/>
      <c r="Y83" s="2245"/>
      <c r="Z83" s="2245"/>
      <c r="AA83" s="2245"/>
      <c r="AB83" s="2245"/>
      <c r="AC83" s="2245"/>
      <c r="AD83" s="2245"/>
      <c r="AE83" s="2245"/>
      <c r="AF83" s="2245"/>
      <c r="AG83" s="2245"/>
      <c r="AH83" s="2245"/>
      <c r="AI83" s="2245"/>
      <c r="AJ83" s="2245"/>
      <c r="AK83" s="2245"/>
      <c r="AL83" s="2245"/>
      <c r="AM83" s="2245"/>
      <c r="AN83" s="2245"/>
      <c r="AO83" s="2245"/>
      <c r="AP83" s="2245"/>
      <c r="AQ83" s="2245"/>
      <c r="AR83" s="2246"/>
      <c r="AS83" s="2247"/>
      <c r="AT83" s="2247"/>
      <c r="AU83" s="2247"/>
      <c r="AV83" s="2248"/>
      <c r="AW83" s="406"/>
      <c r="AX83" s="406"/>
    </row>
    <row r="84" spans="1:50" s="394" customFormat="1">
      <c r="A84" s="4364"/>
      <c r="B84" s="416">
        <v>71</v>
      </c>
      <c r="C84" s="2240"/>
      <c r="D84" s="2241"/>
      <c r="E84" s="2242"/>
      <c r="F84" s="2243"/>
      <c r="G84" s="2243"/>
      <c r="H84" s="2243"/>
      <c r="I84" s="2243"/>
      <c r="J84" s="2243"/>
      <c r="K84" s="2244"/>
      <c r="L84" s="2245"/>
      <c r="M84" s="2245"/>
      <c r="N84" s="2245"/>
      <c r="O84" s="2245"/>
      <c r="P84" s="2245"/>
      <c r="Q84" s="2245"/>
      <c r="R84" s="2245"/>
      <c r="S84" s="2245"/>
      <c r="T84" s="2245"/>
      <c r="U84" s="2245"/>
      <c r="V84" s="2245"/>
      <c r="W84" s="2245"/>
      <c r="X84" s="2245"/>
      <c r="Y84" s="2245"/>
      <c r="Z84" s="2245"/>
      <c r="AA84" s="2245"/>
      <c r="AB84" s="2245"/>
      <c r="AC84" s="2245"/>
      <c r="AD84" s="2245"/>
      <c r="AE84" s="2245"/>
      <c r="AF84" s="2245"/>
      <c r="AG84" s="2245"/>
      <c r="AH84" s="2245"/>
      <c r="AI84" s="2245"/>
      <c r="AJ84" s="2245"/>
      <c r="AK84" s="2245"/>
      <c r="AL84" s="2245"/>
      <c r="AM84" s="2245"/>
      <c r="AN84" s="2245"/>
      <c r="AO84" s="2245"/>
      <c r="AP84" s="2245"/>
      <c r="AQ84" s="2245"/>
      <c r="AR84" s="2246"/>
      <c r="AS84" s="2247"/>
      <c r="AT84" s="2247"/>
      <c r="AU84" s="2247"/>
      <c r="AV84" s="2248"/>
      <c r="AW84" s="406"/>
      <c r="AX84" s="406"/>
    </row>
    <row r="85" spans="1:50" s="394" customFormat="1">
      <c r="A85" s="4364"/>
      <c r="B85" s="416">
        <v>72</v>
      </c>
      <c r="C85" s="2240"/>
      <c r="D85" s="2241"/>
      <c r="E85" s="2242"/>
      <c r="F85" s="2243"/>
      <c r="G85" s="2243"/>
      <c r="H85" s="2243"/>
      <c r="I85" s="2243"/>
      <c r="J85" s="2243"/>
      <c r="K85" s="2244"/>
      <c r="L85" s="2245"/>
      <c r="M85" s="2245"/>
      <c r="N85" s="2245"/>
      <c r="O85" s="2245"/>
      <c r="P85" s="2245"/>
      <c r="Q85" s="2245"/>
      <c r="R85" s="2245"/>
      <c r="S85" s="2245"/>
      <c r="T85" s="2245"/>
      <c r="U85" s="2245"/>
      <c r="V85" s="2245"/>
      <c r="W85" s="2245"/>
      <c r="X85" s="2245"/>
      <c r="Y85" s="2245"/>
      <c r="Z85" s="2245"/>
      <c r="AA85" s="2245"/>
      <c r="AB85" s="2245"/>
      <c r="AC85" s="2245"/>
      <c r="AD85" s="2245"/>
      <c r="AE85" s="2245"/>
      <c r="AF85" s="2245"/>
      <c r="AG85" s="2245"/>
      <c r="AH85" s="2245"/>
      <c r="AI85" s="2245"/>
      <c r="AJ85" s="2245"/>
      <c r="AK85" s="2245"/>
      <c r="AL85" s="2245"/>
      <c r="AM85" s="2245"/>
      <c r="AN85" s="2245"/>
      <c r="AO85" s="2245"/>
      <c r="AP85" s="2245"/>
      <c r="AQ85" s="2245"/>
      <c r="AR85" s="2246"/>
      <c r="AS85" s="2247"/>
      <c r="AT85" s="2247"/>
      <c r="AU85" s="2247"/>
      <c r="AV85" s="2248"/>
      <c r="AW85" s="406"/>
      <c r="AX85" s="406"/>
    </row>
    <row r="86" spans="1:50" ht="12.75" thickBot="1">
      <c r="A86" s="4365"/>
      <c r="B86" s="417" t="s">
        <v>1315</v>
      </c>
      <c r="C86" s="417"/>
      <c r="D86" s="418"/>
      <c r="E86" s="419"/>
      <c r="F86" s="420"/>
      <c r="G86" s="420"/>
      <c r="H86" s="420"/>
      <c r="I86" s="420"/>
      <c r="J86" s="420"/>
      <c r="K86" s="420"/>
      <c r="L86" s="421"/>
      <c r="M86" s="421"/>
      <c r="N86" s="421"/>
      <c r="O86" s="421"/>
      <c r="P86" s="421"/>
      <c r="Q86" s="421"/>
      <c r="R86" s="421"/>
      <c r="S86" s="421"/>
      <c r="T86" s="421"/>
      <c r="U86" s="421"/>
      <c r="V86" s="421"/>
      <c r="W86" s="421"/>
      <c r="X86" s="421"/>
      <c r="Y86" s="421"/>
      <c r="Z86" s="421"/>
      <c r="AA86" s="421"/>
      <c r="AB86" s="421"/>
      <c r="AC86" s="421"/>
      <c r="AD86" s="421"/>
      <c r="AE86" s="421"/>
      <c r="AF86" s="421"/>
      <c r="AG86" s="421"/>
      <c r="AH86" s="421"/>
      <c r="AI86" s="421"/>
      <c r="AJ86" s="421"/>
      <c r="AK86" s="421"/>
      <c r="AL86" s="421"/>
      <c r="AM86" s="421"/>
      <c r="AN86" s="421"/>
      <c r="AO86" s="421"/>
      <c r="AP86" s="421"/>
      <c r="AQ86" s="421"/>
      <c r="AR86" s="421"/>
      <c r="AS86" s="422"/>
      <c r="AT86" s="422"/>
      <c r="AU86" s="422"/>
      <c r="AV86" s="423"/>
    </row>
    <row r="87" spans="1:50">
      <c r="A87" s="393" t="s">
        <v>1316</v>
      </c>
      <c r="B87" s="393"/>
      <c r="C87" s="393"/>
      <c r="D87" s="424"/>
      <c r="E87" s="425"/>
      <c r="F87" s="426"/>
      <c r="G87" s="426"/>
      <c r="H87" s="426"/>
      <c r="I87" s="426"/>
      <c r="J87" s="426"/>
      <c r="K87" s="426"/>
      <c r="L87" s="426"/>
      <c r="M87" s="426"/>
      <c r="N87" s="426"/>
      <c r="O87" s="426"/>
      <c r="P87" s="426"/>
      <c r="Q87" s="426"/>
      <c r="R87" s="426"/>
      <c r="S87" s="393" t="s">
        <v>1317</v>
      </c>
      <c r="T87" s="426"/>
      <c r="U87" s="426"/>
      <c r="V87" s="426"/>
      <c r="W87" s="426"/>
      <c r="X87" s="426"/>
      <c r="Y87" s="426"/>
      <c r="Z87" s="426"/>
      <c r="AA87" s="426"/>
      <c r="AB87" s="426"/>
      <c r="AC87" s="426"/>
      <c r="AD87" s="426"/>
      <c r="AE87" s="426"/>
      <c r="AF87" s="426"/>
    </row>
    <row r="91" spans="1:50">
      <c r="A91" s="392" t="s">
        <v>1318</v>
      </c>
      <c r="B91" s="392"/>
      <c r="C91" s="392"/>
      <c r="D91" s="427"/>
      <c r="E91" s="426"/>
      <c r="F91" s="426"/>
      <c r="G91" s="426"/>
      <c r="H91" s="426"/>
      <c r="I91" s="426"/>
      <c r="J91" s="426"/>
      <c r="K91" s="426"/>
      <c r="L91" s="426"/>
      <c r="M91" s="426"/>
      <c r="N91" s="426"/>
      <c r="O91" s="426"/>
      <c r="P91" s="426"/>
      <c r="Q91" s="426"/>
      <c r="R91" s="426"/>
      <c r="S91" s="426"/>
      <c r="T91" s="426"/>
      <c r="U91" s="426"/>
      <c r="V91" s="426"/>
      <c r="W91" s="426"/>
      <c r="X91" s="426"/>
      <c r="Y91" s="426"/>
      <c r="Z91" s="426"/>
      <c r="AA91" s="426"/>
      <c r="AB91" s="426"/>
      <c r="AC91" s="426"/>
      <c r="AD91" s="426"/>
      <c r="AE91" s="426"/>
      <c r="AF91" s="426"/>
      <c r="AQ91" s="406"/>
      <c r="AR91" s="406"/>
      <c r="AU91" s="406"/>
    </row>
    <row r="92" spans="1:50" ht="14.25">
      <c r="A92" s="4366" t="s">
        <v>1319</v>
      </c>
      <c r="B92" s="4367"/>
      <c r="C92" s="4367"/>
      <c r="D92" s="4367"/>
      <c r="E92" s="4367"/>
      <c r="F92" s="4367"/>
      <c r="G92" s="4367"/>
      <c r="H92" s="4367"/>
      <c r="I92" s="4367"/>
      <c r="J92" s="4367"/>
      <c r="K92" s="4367"/>
      <c r="L92" s="4367"/>
      <c r="M92" s="4367"/>
      <c r="N92" s="4367"/>
      <c r="O92" s="4367"/>
      <c r="P92" s="4367"/>
      <c r="Q92" s="4367"/>
      <c r="R92" s="4367"/>
      <c r="S92" s="4367"/>
      <c r="T92" s="4367"/>
      <c r="U92" s="4367"/>
      <c r="V92" s="4367"/>
      <c r="W92" s="4367"/>
      <c r="X92" s="4367"/>
      <c r="Y92" s="4367"/>
      <c r="Z92" s="4367"/>
      <c r="AA92" s="4367"/>
      <c r="AB92" s="4367"/>
      <c r="AC92" s="4367"/>
      <c r="AD92" s="4367"/>
      <c r="AE92" s="4367"/>
      <c r="AF92" s="4367"/>
      <c r="AG92" s="4367"/>
      <c r="AH92" s="4367"/>
      <c r="AI92" s="4367"/>
      <c r="AJ92" s="4367"/>
      <c r="AK92" s="4367"/>
      <c r="AL92" s="4367"/>
      <c r="AM92" s="4367"/>
      <c r="AN92" s="4367"/>
      <c r="AO92" s="4367"/>
      <c r="AP92" s="4367"/>
      <c r="AQ92" s="4367"/>
      <c r="AR92" s="4367"/>
      <c r="AS92" s="4367"/>
      <c r="AT92" s="4367"/>
      <c r="AU92" s="4367"/>
      <c r="AV92" s="4367"/>
    </row>
    <row r="93" spans="1:50" ht="14.25">
      <c r="A93" s="4366" t="s">
        <v>1320</v>
      </c>
      <c r="B93" s="4367"/>
      <c r="C93" s="4367"/>
      <c r="D93" s="4367"/>
      <c r="E93" s="4367"/>
      <c r="F93" s="4367"/>
      <c r="G93" s="4367"/>
      <c r="H93" s="4367"/>
      <c r="I93" s="4367"/>
      <c r="J93" s="4367"/>
      <c r="K93" s="4367"/>
      <c r="L93" s="4367"/>
      <c r="M93" s="4367"/>
      <c r="N93" s="4367"/>
      <c r="O93" s="4367"/>
      <c r="P93" s="4367"/>
      <c r="Q93" s="4367"/>
      <c r="R93" s="4367"/>
      <c r="S93" s="4367"/>
      <c r="T93" s="4367"/>
      <c r="U93" s="4367"/>
      <c r="V93" s="4367"/>
      <c r="W93" s="4367"/>
      <c r="X93" s="4367"/>
      <c r="Y93" s="4367"/>
      <c r="Z93" s="4367"/>
      <c r="AA93" s="4367"/>
      <c r="AB93" s="4367"/>
      <c r="AC93" s="4367"/>
      <c r="AD93" s="4367"/>
      <c r="AE93" s="4367"/>
      <c r="AF93" s="4367"/>
      <c r="AG93" s="4367"/>
      <c r="AH93" s="4367"/>
      <c r="AI93" s="4367"/>
      <c r="AJ93" s="4367"/>
      <c r="AK93" s="4367"/>
      <c r="AL93" s="4367"/>
      <c r="AM93" s="4367"/>
      <c r="AN93" s="4367"/>
      <c r="AO93" s="4367"/>
      <c r="AP93" s="4367"/>
      <c r="AQ93" s="4367"/>
      <c r="AR93" s="4367"/>
      <c r="AS93" s="4367"/>
      <c r="AT93" s="4367"/>
      <c r="AU93" s="4367"/>
      <c r="AV93" s="4367"/>
    </row>
    <row r="94" spans="1:50" ht="14.25">
      <c r="A94" s="4366"/>
      <c r="B94" s="4367"/>
      <c r="C94" s="4367"/>
      <c r="D94" s="4367"/>
      <c r="E94" s="4367"/>
      <c r="F94" s="4367"/>
      <c r="G94" s="4367"/>
      <c r="H94" s="4367"/>
      <c r="I94" s="4367"/>
      <c r="J94" s="4367"/>
      <c r="K94" s="4367"/>
      <c r="L94" s="4367"/>
      <c r="M94" s="4367"/>
      <c r="N94" s="4367"/>
      <c r="O94" s="4367"/>
      <c r="P94" s="4367"/>
      <c r="Q94" s="4367"/>
      <c r="R94" s="4367"/>
      <c r="S94" s="4367"/>
      <c r="T94" s="4367"/>
      <c r="U94" s="4367"/>
      <c r="V94" s="4367"/>
      <c r="W94" s="4367"/>
      <c r="X94" s="4367"/>
      <c r="Y94" s="4367"/>
      <c r="Z94" s="4367"/>
      <c r="AA94" s="4367"/>
      <c r="AB94" s="4367"/>
      <c r="AC94" s="4367"/>
      <c r="AD94" s="4367"/>
      <c r="AE94" s="4367"/>
      <c r="AF94" s="4367"/>
      <c r="AG94" s="4367"/>
      <c r="AH94" s="4367"/>
      <c r="AI94" s="4367"/>
      <c r="AJ94" s="4367"/>
      <c r="AK94" s="4367"/>
      <c r="AL94" s="4367"/>
      <c r="AM94" s="4367"/>
      <c r="AN94" s="4367"/>
      <c r="AO94" s="4367"/>
      <c r="AP94" s="4367"/>
      <c r="AQ94" s="4367"/>
      <c r="AR94" s="4367"/>
      <c r="AS94" s="4367"/>
      <c r="AT94" s="4367"/>
      <c r="AU94" s="4367"/>
      <c r="AV94" s="4367"/>
    </row>
    <row r="95" spans="1:50" ht="14.25">
      <c r="A95" s="4366" t="s">
        <v>1611</v>
      </c>
      <c r="B95" s="4367"/>
      <c r="C95" s="4367"/>
      <c r="D95" s="4367"/>
      <c r="E95" s="4367"/>
      <c r="F95" s="4367"/>
      <c r="G95" s="4367"/>
      <c r="H95" s="4367"/>
      <c r="I95" s="4367"/>
      <c r="J95" s="4367"/>
      <c r="K95" s="4367"/>
      <c r="L95" s="4367"/>
      <c r="M95" s="4367"/>
      <c r="N95" s="4367"/>
      <c r="O95" s="4367"/>
      <c r="P95" s="4367"/>
      <c r="Q95" s="4367"/>
      <c r="R95" s="4367"/>
      <c r="S95" s="4367"/>
      <c r="T95" s="4367"/>
      <c r="U95" s="4367"/>
      <c r="V95" s="4367"/>
      <c r="W95" s="4367"/>
      <c r="X95" s="4367"/>
      <c r="Y95" s="4367"/>
      <c r="Z95" s="4367"/>
      <c r="AA95" s="4367"/>
      <c r="AB95" s="4367"/>
      <c r="AC95" s="4367"/>
      <c r="AD95" s="4367"/>
      <c r="AE95" s="4367"/>
      <c r="AF95" s="4367"/>
      <c r="AG95" s="4367"/>
      <c r="AH95" s="4367"/>
      <c r="AI95" s="4367"/>
      <c r="AJ95" s="4367"/>
      <c r="AK95" s="4367"/>
      <c r="AL95" s="4367"/>
      <c r="AM95" s="4367"/>
      <c r="AN95" s="4367"/>
      <c r="AO95" s="4367"/>
      <c r="AP95" s="4367"/>
      <c r="AQ95" s="4367"/>
      <c r="AR95" s="4367"/>
      <c r="AS95" s="4367"/>
      <c r="AT95" s="4367"/>
      <c r="AU95" s="4367"/>
      <c r="AV95" s="4367"/>
    </row>
    <row r="96" spans="1:50">
      <c r="A96" s="4361" t="s">
        <v>1612</v>
      </c>
      <c r="B96" s="4338"/>
      <c r="C96" s="4338"/>
      <c r="D96" s="4338"/>
      <c r="E96" s="4338"/>
      <c r="F96" s="4338"/>
      <c r="G96" s="4338"/>
      <c r="H96" s="4338"/>
      <c r="I96" s="4338"/>
      <c r="J96" s="4338"/>
      <c r="K96" s="4338"/>
      <c r="L96" s="4338"/>
      <c r="M96" s="4338"/>
      <c r="N96" s="4338"/>
      <c r="O96" s="4338"/>
      <c r="P96" s="4338"/>
      <c r="Q96" s="4338"/>
      <c r="R96" s="4338"/>
      <c r="S96" s="4338"/>
      <c r="T96" s="4338"/>
      <c r="U96" s="4338"/>
      <c r="V96" s="4338"/>
      <c r="W96" s="4338"/>
      <c r="X96" s="4338"/>
      <c r="Y96" s="4338"/>
      <c r="Z96" s="4338"/>
      <c r="AA96" s="4338"/>
      <c r="AB96" s="4338"/>
      <c r="AC96" s="4338"/>
      <c r="AD96" s="4338"/>
      <c r="AE96" s="4338"/>
      <c r="AF96" s="4338"/>
      <c r="AG96" s="4338"/>
      <c r="AH96" s="4338"/>
      <c r="AI96" s="4338"/>
      <c r="AJ96" s="4338"/>
      <c r="AK96" s="4338"/>
      <c r="AL96" s="4338"/>
      <c r="AM96" s="4338"/>
      <c r="AN96" s="4338"/>
      <c r="AO96" s="4338"/>
      <c r="AP96" s="4338"/>
      <c r="AQ96" s="4338"/>
      <c r="AR96" s="4338"/>
      <c r="AS96" s="4338"/>
      <c r="AT96" s="4338"/>
      <c r="AU96" s="4338"/>
      <c r="AV96" s="4338"/>
    </row>
    <row r="97" spans="1:41" s="219" customFormat="1">
      <c r="A97" s="4095" t="s">
        <v>1610</v>
      </c>
      <c r="B97" s="4095"/>
      <c r="C97" s="4095"/>
      <c r="D97" s="4095"/>
      <c r="E97" s="4095"/>
      <c r="F97" s="4095"/>
      <c r="G97" s="4095"/>
      <c r="H97" s="4095"/>
      <c r="I97" s="4095"/>
      <c r="J97" s="4095"/>
      <c r="K97" s="4095"/>
      <c r="L97" s="4095"/>
      <c r="M97" s="4095"/>
      <c r="N97" s="4095"/>
      <c r="O97" s="4095"/>
      <c r="P97" s="4095"/>
      <c r="Q97" s="4095"/>
      <c r="R97" s="4095"/>
      <c r="S97" s="4095"/>
      <c r="T97" s="4095"/>
      <c r="AI97" s="2207"/>
      <c r="AJ97" s="2207"/>
      <c r="AK97" s="2207"/>
      <c r="AL97" s="2207"/>
      <c r="AM97" s="2207"/>
      <c r="AN97" s="2207"/>
      <c r="AO97" s="2207"/>
    </row>
  </sheetData>
  <mergeCells count="66">
    <mergeCell ref="A1:H1"/>
    <mergeCell ref="A2:AV2"/>
    <mergeCell ref="A4:A6"/>
    <mergeCell ref="B4:B7"/>
    <mergeCell ref="C4:C7"/>
    <mergeCell ref="D4:D7"/>
    <mergeCell ref="E4:E7"/>
    <mergeCell ref="F4:F7"/>
    <mergeCell ref="G4:G7"/>
    <mergeCell ref="H4:H7"/>
    <mergeCell ref="L4:N4"/>
    <mergeCell ref="O4:V4"/>
    <mergeCell ref="W4:X4"/>
    <mergeCell ref="V5:V6"/>
    <mergeCell ref="W5:W6"/>
    <mergeCell ref="X5:X6"/>
    <mergeCell ref="AT4:AT6"/>
    <mergeCell ref="T5:T6"/>
    <mergeCell ref="Y5:Y6"/>
    <mergeCell ref="Z5:Z6"/>
    <mergeCell ref="AA5:AA6"/>
    <mergeCell ref="AB5:AB6"/>
    <mergeCell ref="AQ4:AQ6"/>
    <mergeCell ref="Y4:AA4"/>
    <mergeCell ref="AB4:AE4"/>
    <mergeCell ref="AE5:AE6"/>
    <mergeCell ref="AF5:AF6"/>
    <mergeCell ref="AI5:AI6"/>
    <mergeCell ref="AJ5:AJ6"/>
    <mergeCell ref="AK5:AK6"/>
    <mergeCell ref="AL5:AL6"/>
    <mergeCell ref="AM5:AM6"/>
    <mergeCell ref="AV4:AV6"/>
    <mergeCell ref="L5:M5"/>
    <mergeCell ref="N5:N6"/>
    <mergeCell ref="O5:Q5"/>
    <mergeCell ref="R5:R6"/>
    <mergeCell ref="S5:S6"/>
    <mergeCell ref="AP5:AP6"/>
    <mergeCell ref="AD5:AD6"/>
    <mergeCell ref="AG5:AG6"/>
    <mergeCell ref="AH5:AH6"/>
    <mergeCell ref="AC5:AC6"/>
    <mergeCell ref="U5:U6"/>
    <mergeCell ref="AU4:AU6"/>
    <mergeCell ref="AR4:AR6"/>
    <mergeCell ref="AS4:AS6"/>
    <mergeCell ref="AF4:AP4"/>
    <mergeCell ref="B8:K8"/>
    <mergeCell ref="B9:K9"/>
    <mergeCell ref="B10:K10"/>
    <mergeCell ref="B11:K11"/>
    <mergeCell ref="B12:K12"/>
    <mergeCell ref="A96:AV96"/>
    <mergeCell ref="A97:T97"/>
    <mergeCell ref="B13:K13"/>
    <mergeCell ref="A14:A86"/>
    <mergeCell ref="A92:AV92"/>
    <mergeCell ref="A93:AV93"/>
    <mergeCell ref="A94:AV94"/>
    <mergeCell ref="A95:AV95"/>
    <mergeCell ref="AN5:AN6"/>
    <mergeCell ref="AO5:AO6"/>
    <mergeCell ref="I4:I7"/>
    <mergeCell ref="J4:J7"/>
    <mergeCell ref="K4:K7"/>
  </mergeCells>
  <phoneticPr fontId="61" type="noConversion"/>
  <dataValidations count="10">
    <dataValidation type="list" allowBlank="1" showInputMessage="1" showErrorMessage="1" prompt="非委托项目_x000a_委托境内_x000a_委托境外" sqref="I14:I85">
      <formula1>"非委托项目,委托境内,委托境外"</formula1>
    </dataValidation>
    <dataValidation type="list" allowBlank="1" showInputMessage="1" showErrorMessage="1" prompt="自主研发_x000a_委托研发_x000a_合作研发_x000a_集中研发" sqref="E14:E85">
      <formula1>"自主研发,委托研发,合作研发,集中研发"</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研发成果" sqref="J15:J85">
      <formula1>"专利技术（含国防技术）,计算机软件著作权,集成电路布图设计专有权,植物新品种,生物医药新品种,研发失败,其他研发成果"</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技术成果" sqref="J14">
      <formula1>"专利技术（含国防技术）,计算机软件著作权,集成电路布图设计专有权,植物新品种,生物医药新品种,研发失败,其他技术成果"</formula1>
    </dataValidation>
    <dataValidation type="list" allowBlank="1" showInputMessage="1" showErrorMessage="1" prompt="非委托研发_x000a_存在_x000a_不存在" sqref="H14:H85">
      <formula1>"非委托研发,存在,不存在"</formula1>
    </dataValidation>
    <dataValidation type="list" allowBlank="1" showInputMessage="1" showErrorMessage="1" prompt="没有委托_x000a_委托境内_x000a_委托境外" sqref="I86">
      <formula1>"没有委托,委托境内,委托境外"</formula1>
    </dataValidation>
    <dataValidation type="list" allowBlank="1" showInputMessage="1" showErrorMessage="1" prompt="已完成_x000a_未完成" sqref="J86 G14:G86">
      <formula1>"已完成,未完成"</formula1>
    </dataValidation>
    <dataValidation type="list" allowBlank="1" showInputMessage="1" showErrorMessage="1" prompt="存在_x000a_不存在" sqref="H86">
      <formula1>"存在,不存在"</formula1>
    </dataValidation>
    <dataValidation type="list" allowBlank="1" showInputMessage="1" showErrorMessage="1" prompt="费用化支出_x000a_资本化支出" sqref="F3 F14:F87 F93:F65541 F91">
      <formula1>"费用化支出,资本化支出"</formula1>
    </dataValidation>
    <dataValidation type="list" allowBlank="1" showInputMessage="1" showErrorMessage="1" prompt="自主研发_x000a_合作研发_x000a_委托研发_x000a_集中研发" sqref="E93:E65541 E3 E91">
      <formula1>"自主研发,合作研发,委托研发,集中研发"</formula1>
    </dataValidation>
  </dataValidations>
  <hyperlinks>
    <hyperlink ref="A1:H1" location="'A100000 中华人民共和国企业所得税年度纳税申报表（A类）'!A1" display="返回主表（A100000）"/>
    <hyperlink ref="A96:AV96" r:id="rId1" display="国家税务总局所得税司关于2016年度企业研究开发费用税前加计扣除企业所得税纳税申报有关问题的通知"/>
    <hyperlink ref="A97" r:id="rId2" display="《国家税务总局关于企业研究开发费用税前加计扣除政策有关问题的公告》"/>
    <hyperlink ref="A97:T97" r:id="rId3" display="《国家税务总局关于企业研究开发费用税前加计扣除政策有关问题的公告》（国家税务总局公告2015年第97号）"/>
  </hyperlinks>
  <pageMargins left="0.25" right="0.25" top="0.75" bottom="0.75" header="0.3" footer="0.3"/>
  <pageSetup paperSize="9" scale="56" orientation="landscape" verticalDpi="0" r:id="rId4"/>
  <legacyDrawing r:id="rId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pageSetUpPr fitToPage="1"/>
  </sheetPr>
  <dimension ref="A1:H25"/>
  <sheetViews>
    <sheetView workbookViewId="0">
      <selection sqref="A1:D1"/>
    </sheetView>
  </sheetViews>
  <sheetFormatPr defaultColWidth="9" defaultRowHeight="27.75" customHeight="1"/>
  <cols>
    <col min="1" max="2" width="25.5" style="1859" customWidth="1"/>
    <col min="3" max="3" width="25.5" style="1860" customWidth="1"/>
    <col min="4" max="4" width="25.5" style="1859" customWidth="1"/>
    <col min="5" max="16384" width="9" style="1850"/>
  </cols>
  <sheetData>
    <row r="1" spans="1:5" s="1849" customFormat="1" ht="25.5" customHeight="1">
      <c r="A1" s="4377" t="s">
        <v>6073</v>
      </c>
      <c r="B1" s="4377"/>
      <c r="C1" s="4377"/>
      <c r="D1" s="4377"/>
      <c r="E1" s="1848"/>
    </row>
    <row r="2" spans="1:5" ht="23.25" customHeight="1">
      <c r="A2" s="4378" t="s">
        <v>6074</v>
      </c>
      <c r="B2" s="4379"/>
      <c r="C2" s="4379"/>
      <c r="D2" s="4379"/>
    </row>
    <row r="3" spans="1:5" ht="23.25" customHeight="1">
      <c r="A3" s="4379"/>
      <c r="B3" s="4379"/>
      <c r="C3" s="4379"/>
      <c r="D3" s="4379"/>
    </row>
    <row r="4" spans="1:5" ht="23.25" customHeight="1">
      <c r="A4" s="4379"/>
      <c r="B4" s="4379"/>
      <c r="C4" s="4379"/>
      <c r="D4" s="4379"/>
    </row>
    <row r="5" spans="1:5" ht="23.25" customHeight="1">
      <c r="A5" s="4379"/>
      <c r="B5" s="4379"/>
      <c r="C5" s="4379"/>
      <c r="D5" s="4379"/>
    </row>
    <row r="6" spans="1:5" ht="23.25" customHeight="1">
      <c r="A6" s="4379"/>
      <c r="B6" s="4379"/>
      <c r="C6" s="4379"/>
      <c r="D6" s="4379"/>
    </row>
    <row r="7" spans="1:5" ht="27.75" customHeight="1">
      <c r="A7" s="4380" t="s">
        <v>6075</v>
      </c>
      <c r="B7" s="4380"/>
      <c r="C7" s="4380"/>
      <c r="D7" s="4380"/>
    </row>
    <row r="8" spans="1:5" ht="27.75" customHeight="1">
      <c r="A8" s="1851" t="s">
        <v>6076</v>
      </c>
      <c r="B8" s="1851" t="s">
        <v>6077</v>
      </c>
      <c r="C8" s="1852" t="s">
        <v>6078</v>
      </c>
      <c r="D8" s="1853" t="s">
        <v>6079</v>
      </c>
    </row>
    <row r="9" spans="1:5" ht="27.75" customHeight="1">
      <c r="A9" s="1854"/>
      <c r="B9" s="1854"/>
      <c r="C9" s="1855"/>
      <c r="D9" s="1854"/>
    </row>
    <row r="10" spans="1:5" ht="27.75" customHeight="1">
      <c r="A10" s="1854"/>
      <c r="B10" s="1854"/>
      <c r="C10" s="1855"/>
      <c r="D10" s="1854"/>
    </row>
    <row r="11" spans="1:5" ht="27.75" customHeight="1">
      <c r="A11" s="1854"/>
      <c r="B11" s="1854"/>
      <c r="C11" s="1855"/>
      <c r="D11" s="1854"/>
    </row>
    <row r="12" spans="1:5" ht="27.75" customHeight="1">
      <c r="A12" s="1854"/>
      <c r="B12" s="1854"/>
      <c r="C12" s="1855"/>
      <c r="D12" s="1854"/>
    </row>
    <row r="13" spans="1:5" ht="27.75" customHeight="1">
      <c r="A13" s="1854"/>
      <c r="B13" s="1854"/>
      <c r="C13" s="1855"/>
      <c r="D13" s="1854"/>
    </row>
    <row r="14" spans="1:5" ht="27.75" customHeight="1">
      <c r="A14" s="1854"/>
      <c r="B14" s="1854"/>
      <c r="C14" s="1855"/>
      <c r="D14" s="1854"/>
    </row>
    <row r="15" spans="1:5" ht="27.75" customHeight="1">
      <c r="A15" s="1854"/>
      <c r="B15" s="1854"/>
      <c r="C15" s="1855"/>
      <c r="D15" s="1854"/>
    </row>
    <row r="16" spans="1:5" ht="27.75" customHeight="1">
      <c r="A16" s="1854"/>
      <c r="B16" s="1854"/>
      <c r="C16" s="1855"/>
      <c r="D16" s="1854"/>
    </row>
    <row r="17" spans="1:8" ht="27.75" customHeight="1">
      <c r="A17" s="1854"/>
      <c r="B17" s="1854"/>
      <c r="C17" s="1855"/>
      <c r="D17" s="1854"/>
    </row>
    <row r="18" spans="1:8" ht="27.75" customHeight="1">
      <c r="A18" s="1854"/>
      <c r="B18" s="1854"/>
      <c r="C18" s="1855"/>
      <c r="D18" s="1854"/>
    </row>
    <row r="19" spans="1:8" ht="27.75" customHeight="1">
      <c r="A19" s="1854"/>
      <c r="B19" s="1854"/>
      <c r="C19" s="1855"/>
      <c r="D19" s="1854"/>
    </row>
    <row r="20" spans="1:8" ht="27.75" customHeight="1">
      <c r="A20" s="1856"/>
      <c r="B20" s="1856"/>
      <c r="C20" s="1857"/>
      <c r="D20" s="1856"/>
    </row>
    <row r="21" spans="1:8" ht="27.75" customHeight="1">
      <c r="A21" s="1856"/>
      <c r="B21" s="1856"/>
      <c r="C21" s="1857"/>
      <c r="D21" s="1856"/>
      <c r="E21" s="1858"/>
      <c r="F21" s="1858"/>
      <c r="G21" s="1858"/>
      <c r="H21" s="1858"/>
    </row>
    <row r="22" spans="1:8" ht="27.75" customHeight="1">
      <c r="A22" s="1856"/>
      <c r="B22" s="1856"/>
      <c r="C22" s="1857"/>
      <c r="D22" s="1856"/>
      <c r="E22" s="1858"/>
      <c r="F22" s="1858"/>
      <c r="G22" s="1858"/>
      <c r="H22" s="1858"/>
    </row>
    <row r="23" spans="1:8" ht="27.75" customHeight="1">
      <c r="A23" s="1856"/>
      <c r="B23" s="1856"/>
      <c r="C23" s="1857"/>
      <c r="D23" s="1856"/>
      <c r="E23" s="1858"/>
      <c r="F23" s="1858"/>
      <c r="G23" s="1858"/>
      <c r="H23" s="1858"/>
    </row>
    <row r="24" spans="1:8" ht="27.75" customHeight="1">
      <c r="A24" s="1856"/>
      <c r="B24" s="1856"/>
      <c r="C24" s="1857"/>
      <c r="D24" s="1856"/>
    </row>
    <row r="25" spans="1:8" ht="27.75" customHeight="1">
      <c r="A25" s="1856"/>
      <c r="B25" s="1856"/>
      <c r="C25" s="1857"/>
      <c r="D25" s="1856"/>
    </row>
  </sheetData>
  <mergeCells count="3">
    <mergeCell ref="A1:D1"/>
    <mergeCell ref="A2:D6"/>
    <mergeCell ref="A7:D7"/>
  </mergeCells>
  <phoneticPr fontId="135" type="noConversion"/>
  <printOptions horizontalCentered="1"/>
  <pageMargins left="0.51181102362204722" right="0.31496062992125984" top="0.35433070866141736" bottom="0.35433070866141736" header="0.31496062992125984" footer="0.31496062992125984"/>
  <pageSetup paperSize="9" scale="86" orientation="portrait" blackAndWhite="1"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dimension ref="A1:H99"/>
  <sheetViews>
    <sheetView workbookViewId="0"/>
  </sheetViews>
  <sheetFormatPr defaultColWidth="9" defaultRowHeight="14.25"/>
  <cols>
    <col min="1" max="1" width="12.875" style="1788" customWidth="1"/>
    <col min="2" max="2" width="18.875" style="1788" customWidth="1"/>
    <col min="3" max="3" width="6.125" style="1788" customWidth="1"/>
    <col min="4" max="6" width="14.125" style="1788" customWidth="1"/>
    <col min="7" max="7" width="66" style="1788" customWidth="1"/>
    <col min="8" max="8" width="11.25" style="1788" customWidth="1"/>
    <col min="9" max="16384" width="9" style="1788"/>
  </cols>
  <sheetData>
    <row r="1" spans="1:7" ht="17.25" customHeight="1">
      <c r="A1" s="1785" t="s">
        <v>6530</v>
      </c>
      <c r="B1" s="1786"/>
      <c r="C1" s="1786"/>
      <c r="D1" s="1786"/>
      <c r="E1" s="1786"/>
      <c r="F1" s="1786"/>
      <c r="G1" s="1787"/>
    </row>
    <row r="2" spans="1:7" ht="22.5" customHeight="1">
      <c r="A2" s="3243" t="s">
        <v>4586</v>
      </c>
      <c r="B2" s="3243"/>
      <c r="C2" s="3243"/>
      <c r="D2" s="3243"/>
      <c r="E2" s="3243"/>
      <c r="F2" s="3243"/>
      <c r="G2" s="1787"/>
    </row>
    <row r="3" spans="1:7" s="1790" customFormat="1" ht="17.25" customHeight="1">
      <c r="A3" s="4382" t="str">
        <f>"税款所属期间："&amp;基本情况!$F$9</f>
        <v>税款所属期间：2017年01月01日至2017年12月31日</v>
      </c>
      <c r="B3" s="4382"/>
      <c r="C3" s="4382"/>
      <c r="D3" s="4382"/>
      <c r="E3" s="4382"/>
      <c r="F3" s="4382"/>
      <c r="G3" s="1789"/>
    </row>
    <row r="4" spans="1:7" s="1795" customFormat="1" ht="17.25" customHeight="1">
      <c r="A4" s="1791" t="str">
        <f>"纳税人名称："&amp;基本情况!$C$3</f>
        <v>纳税人名称：</v>
      </c>
      <c r="B4" s="1792"/>
      <c r="C4" s="1793"/>
      <c r="D4" s="1793"/>
      <c r="E4" s="1793"/>
      <c r="F4" s="725" t="s">
        <v>5906</v>
      </c>
      <c r="G4" s="1794"/>
    </row>
    <row r="5" spans="1:7" s="1790" customFormat="1" ht="16.5" customHeight="1">
      <c r="A5" s="2699" t="s">
        <v>5907</v>
      </c>
      <c r="B5" s="2699"/>
      <c r="C5" s="728" t="s">
        <v>5908</v>
      </c>
      <c r="D5" s="728" t="s">
        <v>370</v>
      </c>
      <c r="E5" s="728" t="s">
        <v>5082</v>
      </c>
      <c r="F5" s="728" t="s">
        <v>5083</v>
      </c>
      <c r="G5" s="1789"/>
    </row>
    <row r="6" spans="1:7" s="1790" customFormat="1" ht="15.75" customHeight="1">
      <c r="A6" s="2701" t="s">
        <v>5631</v>
      </c>
      <c r="B6" s="1796" t="s">
        <v>5909</v>
      </c>
      <c r="C6" s="728">
        <v>1</v>
      </c>
      <c r="D6" s="1797"/>
      <c r="E6" s="1797"/>
      <c r="F6" s="1797"/>
      <c r="G6" s="576"/>
    </row>
    <row r="7" spans="1:7" s="1790" customFormat="1" ht="15.75" customHeight="1">
      <c r="A7" s="2701"/>
      <c r="B7" s="1796" t="s">
        <v>4377</v>
      </c>
      <c r="C7" s="728">
        <v>2</v>
      </c>
      <c r="D7" s="1798">
        <f>税费缴纳测算!C8</f>
        <v>0</v>
      </c>
      <c r="E7" s="1798">
        <f>F7-D7</f>
        <v>0</v>
      </c>
      <c r="F7" s="1799">
        <f>税费缴纳测算!D8</f>
        <v>0</v>
      </c>
      <c r="G7" s="1800"/>
    </row>
    <row r="8" spans="1:7" s="1790" customFormat="1" ht="15.75" customHeight="1">
      <c r="A8" s="2701"/>
      <c r="B8" s="1796" t="s">
        <v>5910</v>
      </c>
      <c r="C8" s="728">
        <v>3</v>
      </c>
      <c r="D8" s="1798">
        <f>税费缴纳测算!E8</f>
        <v>0</v>
      </c>
      <c r="E8" s="1797"/>
      <c r="F8" s="1799">
        <f>D8+E8</f>
        <v>0</v>
      </c>
      <c r="G8" s="1801"/>
    </row>
    <row r="9" spans="1:7" s="1790" customFormat="1" ht="15.75" customHeight="1">
      <c r="A9" s="2701"/>
      <c r="B9" s="1796" t="s">
        <v>5911</v>
      </c>
      <c r="C9" s="728">
        <v>4</v>
      </c>
      <c r="D9" s="1799">
        <f>D7-D8</f>
        <v>0</v>
      </c>
      <c r="E9" s="1799">
        <f>E7-E8</f>
        <v>0</v>
      </c>
      <c r="F9" s="1799">
        <f>D9+E9</f>
        <v>0</v>
      </c>
      <c r="G9" s="1789"/>
    </row>
    <row r="10" spans="1:7" s="1790" customFormat="1" ht="15.75" customHeight="1">
      <c r="A10" s="2701" t="s">
        <v>5912</v>
      </c>
      <c r="B10" s="1796" t="s">
        <v>5909</v>
      </c>
      <c r="C10" s="2325">
        <v>5</v>
      </c>
      <c r="D10" s="1797"/>
      <c r="E10" s="1797"/>
      <c r="F10" s="1797"/>
      <c r="G10" s="1789"/>
    </row>
    <row r="11" spans="1:7" s="1790" customFormat="1" ht="15.75" customHeight="1">
      <c r="A11" s="2701"/>
      <c r="B11" s="1796" t="s">
        <v>4377</v>
      </c>
      <c r="C11" s="2325">
        <v>6</v>
      </c>
      <c r="D11" s="1798">
        <f>税费缴纳测算!C9</f>
        <v>0</v>
      </c>
      <c r="E11" s="1798">
        <f>F11-D11</f>
        <v>0</v>
      </c>
      <c r="F11" s="1799">
        <f>税费缴纳测算!D9</f>
        <v>0</v>
      </c>
      <c r="G11" s="1789"/>
    </row>
    <row r="12" spans="1:7" s="1790" customFormat="1" ht="15.75" customHeight="1">
      <c r="A12" s="2701"/>
      <c r="B12" s="1796" t="s">
        <v>5910</v>
      </c>
      <c r="C12" s="2325">
        <v>7</v>
      </c>
      <c r="D12" s="1798">
        <f>税费缴纳测算!E9</f>
        <v>0</v>
      </c>
      <c r="E12" s="1797"/>
      <c r="F12" s="1799">
        <f>D12+E12</f>
        <v>0</v>
      </c>
      <c r="G12" s="1789"/>
    </row>
    <row r="13" spans="1:7" s="1790" customFormat="1" ht="15.75" customHeight="1">
      <c r="A13" s="2701"/>
      <c r="B13" s="1796" t="s">
        <v>5911</v>
      </c>
      <c r="C13" s="2325">
        <v>8</v>
      </c>
      <c r="D13" s="1799">
        <f>D11-D12</f>
        <v>0</v>
      </c>
      <c r="E13" s="1799">
        <f>E11-E12</f>
        <v>0</v>
      </c>
      <c r="F13" s="1799">
        <f>D13+E13</f>
        <v>0</v>
      </c>
      <c r="G13" s="1789"/>
    </row>
    <row r="14" spans="1:7" s="1790" customFormat="1" ht="15.75" customHeight="1">
      <c r="A14" s="2701" t="s">
        <v>5913</v>
      </c>
      <c r="B14" s="1796" t="s">
        <v>5909</v>
      </c>
      <c r="C14" s="2325">
        <v>13</v>
      </c>
      <c r="D14" s="1802"/>
      <c r="E14" s="1802"/>
      <c r="F14" s="1802"/>
      <c r="G14" s="1803" t="s">
        <v>5914</v>
      </c>
    </row>
    <row r="15" spans="1:7" s="1790" customFormat="1" ht="15.75" customHeight="1">
      <c r="A15" s="2701"/>
      <c r="B15" s="1796" t="s">
        <v>4377</v>
      </c>
      <c r="C15" s="2325">
        <v>14</v>
      </c>
      <c r="D15" s="1798">
        <f>税费缴纳测算!C10</f>
        <v>0</v>
      </c>
      <c r="E15" s="1798">
        <f>F15-D15</f>
        <v>0</v>
      </c>
      <c r="F15" s="1799">
        <f>税费缴纳测算!D10</f>
        <v>0</v>
      </c>
      <c r="G15" s="1800"/>
    </row>
    <row r="16" spans="1:7" s="1790" customFormat="1" ht="15.75" customHeight="1">
      <c r="A16" s="2701"/>
      <c r="B16" s="1796" t="s">
        <v>5910</v>
      </c>
      <c r="C16" s="2325">
        <v>15</v>
      </c>
      <c r="D16" s="1798">
        <f>税费缴纳测算!E10</f>
        <v>0</v>
      </c>
      <c r="E16" s="1802"/>
      <c r="F16" s="1799">
        <f>D16+E16</f>
        <v>0</v>
      </c>
      <c r="G16" s="1789"/>
    </row>
    <row r="17" spans="1:7" s="1790" customFormat="1" ht="15.75" customHeight="1">
      <c r="A17" s="2701"/>
      <c r="B17" s="1796" t="s">
        <v>5911</v>
      </c>
      <c r="C17" s="2325">
        <v>16</v>
      </c>
      <c r="D17" s="1799">
        <f>D15-D16</f>
        <v>0</v>
      </c>
      <c r="E17" s="1799">
        <f>E15-E16</f>
        <v>0</v>
      </c>
      <c r="F17" s="1799">
        <f>D17+E17</f>
        <v>0</v>
      </c>
      <c r="G17" s="1789"/>
    </row>
    <row r="18" spans="1:7" s="1790" customFormat="1" ht="15.75" customHeight="1">
      <c r="A18" s="2701" t="s">
        <v>5915</v>
      </c>
      <c r="B18" s="1796" t="s">
        <v>5909</v>
      </c>
      <c r="C18" s="2325">
        <v>17</v>
      </c>
      <c r="D18" s="1802"/>
      <c r="E18" s="1802"/>
      <c r="F18" s="1802"/>
      <c r="G18" s="1789"/>
    </row>
    <row r="19" spans="1:7" s="1790" customFormat="1" ht="15.75" customHeight="1">
      <c r="A19" s="2701"/>
      <c r="B19" s="1796" t="s">
        <v>4377</v>
      </c>
      <c r="C19" s="2325">
        <v>18</v>
      </c>
      <c r="D19" s="1798">
        <f>税费缴纳测算!C11</f>
        <v>0</v>
      </c>
      <c r="E19" s="1798">
        <f>F19-D19</f>
        <v>0</v>
      </c>
      <c r="F19" s="1799">
        <f>税费缴纳测算!D11</f>
        <v>0</v>
      </c>
      <c r="G19" s="1789"/>
    </row>
    <row r="20" spans="1:7" s="1790" customFormat="1" ht="15.75" customHeight="1">
      <c r="A20" s="2701"/>
      <c r="B20" s="1796" t="s">
        <v>5910</v>
      </c>
      <c r="C20" s="2325">
        <v>19</v>
      </c>
      <c r="D20" s="1798">
        <f>税费缴纳测算!E11</f>
        <v>0</v>
      </c>
      <c r="E20" s="1802"/>
      <c r="F20" s="1799">
        <f>D20+E20</f>
        <v>0</v>
      </c>
      <c r="G20" s="1789"/>
    </row>
    <row r="21" spans="1:7" s="1790" customFormat="1" ht="15.75" customHeight="1">
      <c r="A21" s="2701"/>
      <c r="B21" s="1796" t="s">
        <v>5911</v>
      </c>
      <c r="C21" s="2325">
        <v>20</v>
      </c>
      <c r="D21" s="1799">
        <f>D19-D20</f>
        <v>0</v>
      </c>
      <c r="E21" s="1799">
        <f>E19-E20</f>
        <v>0</v>
      </c>
      <c r="F21" s="1799">
        <f>D21+E21</f>
        <v>0</v>
      </c>
      <c r="G21" s="1789"/>
    </row>
    <row r="22" spans="1:7" s="1790" customFormat="1" ht="15.75" customHeight="1">
      <c r="A22" s="2701" t="s">
        <v>5745</v>
      </c>
      <c r="B22" s="1796" t="s">
        <v>5909</v>
      </c>
      <c r="C22" s="2325">
        <v>21</v>
      </c>
      <c r="D22" s="1802"/>
      <c r="E22" s="1802"/>
      <c r="F22" s="1802"/>
      <c r="G22" s="1789"/>
    </row>
    <row r="23" spans="1:7" s="1790" customFormat="1" ht="15.75" customHeight="1">
      <c r="A23" s="2701"/>
      <c r="B23" s="1796" t="s">
        <v>4377</v>
      </c>
      <c r="C23" s="2325">
        <v>22</v>
      </c>
      <c r="D23" s="1798">
        <f>税费缴纳测算!C12</f>
        <v>0</v>
      </c>
      <c r="E23" s="1798">
        <f>F23-D23</f>
        <v>0</v>
      </c>
      <c r="F23" s="1799">
        <f>税费缴纳测算!D12</f>
        <v>0</v>
      </c>
      <c r="G23" s="1789"/>
    </row>
    <row r="24" spans="1:7" s="1790" customFormat="1" ht="15.75" customHeight="1">
      <c r="A24" s="2701"/>
      <c r="B24" s="1796" t="s">
        <v>5910</v>
      </c>
      <c r="C24" s="2325">
        <v>23</v>
      </c>
      <c r="D24" s="1798">
        <f>税费缴纳测算!E12</f>
        <v>0</v>
      </c>
      <c r="E24" s="1802"/>
      <c r="F24" s="1799">
        <f>D24+E24</f>
        <v>0</v>
      </c>
      <c r="G24" s="1789"/>
    </row>
    <row r="25" spans="1:7" s="1790" customFormat="1" ht="15.75" customHeight="1">
      <c r="A25" s="2701"/>
      <c r="B25" s="1796" t="s">
        <v>5916</v>
      </c>
      <c r="C25" s="2325">
        <v>24</v>
      </c>
      <c r="D25" s="1799">
        <f>D23-D24</f>
        <v>0</v>
      </c>
      <c r="E25" s="1799">
        <f>E23-E24</f>
        <v>0</v>
      </c>
      <c r="F25" s="1799">
        <f>D25+E25</f>
        <v>0</v>
      </c>
      <c r="G25" s="1789"/>
    </row>
    <row r="26" spans="1:7" s="1790" customFormat="1" ht="15.75" customHeight="1">
      <c r="A26" s="2701" t="s">
        <v>5917</v>
      </c>
      <c r="B26" s="1796" t="s">
        <v>5909</v>
      </c>
      <c r="C26" s="2325">
        <v>25</v>
      </c>
      <c r="D26" s="1802"/>
      <c r="E26" s="1802"/>
      <c r="F26" s="1802"/>
      <c r="G26" s="1789"/>
    </row>
    <row r="27" spans="1:7" s="1790" customFormat="1" ht="15.75" customHeight="1">
      <c r="A27" s="2701"/>
      <c r="B27" s="1796" t="s">
        <v>4377</v>
      </c>
      <c r="C27" s="2325">
        <v>26</v>
      </c>
      <c r="D27" s="1798">
        <f>税费缴纳测算!C13</f>
        <v>0</v>
      </c>
      <c r="E27" s="1798">
        <f>F27-D27</f>
        <v>0</v>
      </c>
      <c r="F27" s="1799">
        <f>税费缴纳测算!D13</f>
        <v>0</v>
      </c>
      <c r="G27" s="1789"/>
    </row>
    <row r="28" spans="1:7" s="1790" customFormat="1" ht="15.75" customHeight="1">
      <c r="A28" s="2701"/>
      <c r="B28" s="1796" t="s">
        <v>5910</v>
      </c>
      <c r="C28" s="2325">
        <v>27</v>
      </c>
      <c r="D28" s="1798">
        <f>税费缴纳测算!E13</f>
        <v>0</v>
      </c>
      <c r="E28" s="1802"/>
      <c r="F28" s="1799">
        <f>D28+E28</f>
        <v>0</v>
      </c>
      <c r="G28" s="1789"/>
    </row>
    <row r="29" spans="1:7" s="1790" customFormat="1" ht="15.75" customHeight="1">
      <c r="A29" s="2701"/>
      <c r="B29" s="1796" t="s">
        <v>5911</v>
      </c>
      <c r="C29" s="2325">
        <v>28</v>
      </c>
      <c r="D29" s="1799">
        <f>D27-D28</f>
        <v>0</v>
      </c>
      <c r="E29" s="1799">
        <f>E27-E28</f>
        <v>0</v>
      </c>
      <c r="F29" s="1799">
        <f>D29+E29</f>
        <v>0</v>
      </c>
      <c r="G29" s="1789"/>
    </row>
    <row r="30" spans="1:7" s="1790" customFormat="1" ht="15.75" customHeight="1">
      <c r="A30" s="2701" t="s">
        <v>5918</v>
      </c>
      <c r="B30" s="1796" t="s">
        <v>5909</v>
      </c>
      <c r="C30" s="2325">
        <v>29</v>
      </c>
      <c r="D30" s="1802"/>
      <c r="E30" s="1802"/>
      <c r="F30" s="1802"/>
      <c r="G30" s="1789"/>
    </row>
    <row r="31" spans="1:7" s="1790" customFormat="1" ht="15.75" customHeight="1">
      <c r="A31" s="2701"/>
      <c r="B31" s="1796" t="s">
        <v>4377</v>
      </c>
      <c r="C31" s="2325">
        <v>30</v>
      </c>
      <c r="D31" s="1798">
        <f>税费缴纳测算!C14</f>
        <v>0</v>
      </c>
      <c r="E31" s="1798">
        <f>F31-D31</f>
        <v>0</v>
      </c>
      <c r="F31" s="1799">
        <f>税费缴纳测算!D14</f>
        <v>0</v>
      </c>
      <c r="G31" s="1789"/>
    </row>
    <row r="32" spans="1:7" s="1790" customFormat="1" ht="15.75" customHeight="1">
      <c r="A32" s="2701"/>
      <c r="B32" s="1796" t="s">
        <v>5910</v>
      </c>
      <c r="C32" s="2325">
        <v>31</v>
      </c>
      <c r="D32" s="1798">
        <f>税费缴纳测算!E14</f>
        <v>0</v>
      </c>
      <c r="E32" s="1802"/>
      <c r="F32" s="1799">
        <f>D32+E32</f>
        <v>0</v>
      </c>
      <c r="G32" s="1789"/>
    </row>
    <row r="33" spans="1:7" s="1790" customFormat="1" ht="15.75" customHeight="1">
      <c r="A33" s="2701"/>
      <c r="B33" s="1796" t="s">
        <v>5911</v>
      </c>
      <c r="C33" s="2325">
        <v>32</v>
      </c>
      <c r="D33" s="1799">
        <f>D31-D32</f>
        <v>0</v>
      </c>
      <c r="E33" s="1799">
        <f>E31-E32</f>
        <v>0</v>
      </c>
      <c r="F33" s="1799">
        <f>D33+E33</f>
        <v>0</v>
      </c>
      <c r="G33" s="1789"/>
    </row>
    <row r="34" spans="1:7" s="1790" customFormat="1" ht="15.75" customHeight="1">
      <c r="A34" s="2701" t="s">
        <v>5761</v>
      </c>
      <c r="B34" s="1796" t="s">
        <v>5909</v>
      </c>
      <c r="C34" s="2325">
        <v>33</v>
      </c>
      <c r="D34" s="1802"/>
      <c r="E34" s="1802"/>
      <c r="F34" s="1802"/>
      <c r="G34" s="1789"/>
    </row>
    <row r="35" spans="1:7" s="1790" customFormat="1" ht="15.75" customHeight="1">
      <c r="A35" s="2701"/>
      <c r="B35" s="1796" t="s">
        <v>4377</v>
      </c>
      <c r="C35" s="2325">
        <v>34</v>
      </c>
      <c r="D35" s="1798">
        <f>税费缴纳测算!C16</f>
        <v>0</v>
      </c>
      <c r="E35" s="1798">
        <f>F35-D35</f>
        <v>0</v>
      </c>
      <c r="F35" s="1799">
        <f>税费缴纳测算!D16</f>
        <v>0</v>
      </c>
      <c r="G35" s="1789"/>
    </row>
    <row r="36" spans="1:7" s="1790" customFormat="1" ht="15.75" customHeight="1">
      <c r="A36" s="2701"/>
      <c r="B36" s="1796" t="s">
        <v>5910</v>
      </c>
      <c r="C36" s="2325">
        <v>35</v>
      </c>
      <c r="D36" s="1798">
        <f>税费缴纳测算!E16</f>
        <v>0</v>
      </c>
      <c r="E36" s="1802"/>
      <c r="F36" s="1799">
        <f>D36+E36</f>
        <v>0</v>
      </c>
      <c r="G36" s="1789"/>
    </row>
    <row r="37" spans="1:7" s="1790" customFormat="1" ht="15.75" customHeight="1">
      <c r="A37" s="2701"/>
      <c r="B37" s="1796" t="s">
        <v>5911</v>
      </c>
      <c r="C37" s="2325">
        <v>36</v>
      </c>
      <c r="D37" s="1799">
        <f>D35-D36</f>
        <v>0</v>
      </c>
      <c r="E37" s="1799">
        <f>E35-E36</f>
        <v>0</v>
      </c>
      <c r="F37" s="1799">
        <f>D37+E37</f>
        <v>0</v>
      </c>
      <c r="G37" s="1789"/>
    </row>
    <row r="38" spans="1:7" s="1790" customFormat="1" ht="15.75" customHeight="1">
      <c r="A38" s="2701" t="s">
        <v>5919</v>
      </c>
      <c r="B38" s="1796" t="s">
        <v>5909</v>
      </c>
      <c r="C38" s="2325">
        <v>37</v>
      </c>
      <c r="D38" s="1802"/>
      <c r="E38" s="1802"/>
      <c r="F38" s="1802"/>
      <c r="G38" s="1789"/>
    </row>
    <row r="39" spans="1:7" s="1790" customFormat="1" ht="15.75" customHeight="1">
      <c r="A39" s="2701"/>
      <c r="B39" s="1796" t="s">
        <v>4377</v>
      </c>
      <c r="C39" s="2325">
        <v>38</v>
      </c>
      <c r="D39" s="1798">
        <f>税费缴纳测算!C19</f>
        <v>0</v>
      </c>
      <c r="E39" s="1798">
        <f>F39-D39</f>
        <v>0</v>
      </c>
      <c r="F39" s="1799">
        <f>税费缴纳测算!D19</f>
        <v>0</v>
      </c>
      <c r="G39" s="1789"/>
    </row>
    <row r="40" spans="1:7" s="1790" customFormat="1" ht="15.75" customHeight="1">
      <c r="A40" s="2701"/>
      <c r="B40" s="1796" t="s">
        <v>5910</v>
      </c>
      <c r="C40" s="2325">
        <v>39</v>
      </c>
      <c r="D40" s="1798">
        <f>税费缴纳测算!E19</f>
        <v>0</v>
      </c>
      <c r="E40" s="1802"/>
      <c r="F40" s="1799">
        <f>D40+E40</f>
        <v>0</v>
      </c>
      <c r="G40" s="1789"/>
    </row>
    <row r="41" spans="1:7" s="1790" customFormat="1" ht="15.75" customHeight="1">
      <c r="A41" s="2701"/>
      <c r="B41" s="1796" t="s">
        <v>5911</v>
      </c>
      <c r="C41" s="2325">
        <v>40</v>
      </c>
      <c r="D41" s="1799">
        <f>D39-D40</f>
        <v>0</v>
      </c>
      <c r="E41" s="1799">
        <f>E39-E40</f>
        <v>0</v>
      </c>
      <c r="F41" s="1799">
        <f>D41+E41</f>
        <v>0</v>
      </c>
      <c r="G41" s="1789"/>
    </row>
    <row r="42" spans="1:7" s="1790" customFormat="1" ht="15.75" customHeight="1">
      <c r="A42" s="2701" t="s">
        <v>5763</v>
      </c>
      <c r="B42" s="1796" t="s">
        <v>5909</v>
      </c>
      <c r="C42" s="2325">
        <v>41</v>
      </c>
      <c r="D42" s="1802"/>
      <c r="E42" s="1802"/>
      <c r="F42" s="1802"/>
      <c r="G42" s="1789"/>
    </row>
    <row r="43" spans="1:7" s="1790" customFormat="1" ht="15.75" customHeight="1">
      <c r="A43" s="2701"/>
      <c r="B43" s="1796" t="s">
        <v>4377</v>
      </c>
      <c r="C43" s="2325">
        <v>42</v>
      </c>
      <c r="D43" s="1798">
        <f>税费缴纳测算!C18</f>
        <v>0</v>
      </c>
      <c r="E43" s="1798">
        <f>F43-D43</f>
        <v>0</v>
      </c>
      <c r="F43" s="1799">
        <f>税费缴纳测算!D18</f>
        <v>0</v>
      </c>
      <c r="G43" s="1789"/>
    </row>
    <row r="44" spans="1:7" s="1790" customFormat="1" ht="15.75" customHeight="1">
      <c r="A44" s="2701"/>
      <c r="B44" s="1796" t="s">
        <v>5910</v>
      </c>
      <c r="C44" s="2325">
        <v>43</v>
      </c>
      <c r="D44" s="1798">
        <f>税费缴纳测算!E18</f>
        <v>0</v>
      </c>
      <c r="E44" s="1802"/>
      <c r="F44" s="1799">
        <f>D44+E44</f>
        <v>0</v>
      </c>
      <c r="G44" s="1789"/>
    </row>
    <row r="45" spans="1:7" s="1790" customFormat="1" ht="15.75" customHeight="1">
      <c r="A45" s="2701"/>
      <c r="B45" s="1796" t="s">
        <v>5911</v>
      </c>
      <c r="C45" s="2325">
        <v>44</v>
      </c>
      <c r="D45" s="1799">
        <f>D43-D44</f>
        <v>0</v>
      </c>
      <c r="E45" s="1799">
        <f>E43-E44</f>
        <v>0</v>
      </c>
      <c r="F45" s="1799">
        <f>D45+E45</f>
        <v>0</v>
      </c>
      <c r="G45" s="1789"/>
    </row>
    <row r="46" spans="1:7" s="1790" customFormat="1" ht="15.75" customHeight="1">
      <c r="A46" s="2701" t="s">
        <v>5762</v>
      </c>
      <c r="B46" s="1796" t="s">
        <v>5909</v>
      </c>
      <c r="C46" s="2325">
        <v>45</v>
      </c>
      <c r="D46" s="1802"/>
      <c r="E46" s="1802"/>
      <c r="F46" s="1802"/>
      <c r="G46" s="1789"/>
    </row>
    <row r="47" spans="1:7" s="1790" customFormat="1" ht="15.75" customHeight="1">
      <c r="A47" s="2701"/>
      <c r="B47" s="1796" t="s">
        <v>4377</v>
      </c>
      <c r="C47" s="2325">
        <v>46</v>
      </c>
      <c r="D47" s="1798">
        <f>税费缴纳测算!C17</f>
        <v>0</v>
      </c>
      <c r="E47" s="1798">
        <f>F47-D47</f>
        <v>0</v>
      </c>
      <c r="F47" s="1799">
        <f>税费缴纳测算!D17</f>
        <v>0</v>
      </c>
      <c r="G47" s="1789"/>
    </row>
    <row r="48" spans="1:7" s="1790" customFormat="1" ht="15.75" customHeight="1">
      <c r="A48" s="2701"/>
      <c r="B48" s="1796" t="s">
        <v>5910</v>
      </c>
      <c r="C48" s="2325">
        <v>47</v>
      </c>
      <c r="D48" s="1798">
        <f>税费缴纳测算!E17</f>
        <v>0</v>
      </c>
      <c r="E48" s="1802"/>
      <c r="F48" s="1799">
        <f>D48+E48</f>
        <v>0</v>
      </c>
      <c r="G48" s="1789"/>
    </row>
    <row r="49" spans="1:8" s="1790" customFormat="1" ht="15.75" customHeight="1">
      <c r="A49" s="2701"/>
      <c r="B49" s="1796" t="s">
        <v>5911</v>
      </c>
      <c r="C49" s="2325">
        <v>48</v>
      </c>
      <c r="D49" s="1799">
        <f>D47-D48</f>
        <v>0</v>
      </c>
      <c r="E49" s="1799">
        <f>E47-E48</f>
        <v>0</v>
      </c>
      <c r="F49" s="1799">
        <f>D49+E49</f>
        <v>0</v>
      </c>
      <c r="G49" s="1789"/>
    </row>
    <row r="50" spans="1:8" s="1790" customFormat="1" ht="15.75" customHeight="1">
      <c r="A50" s="4381" t="s">
        <v>5920</v>
      </c>
      <c r="B50" s="1796" t="s">
        <v>5909</v>
      </c>
      <c r="C50" s="2325">
        <v>49</v>
      </c>
      <c r="D50" s="1802"/>
      <c r="E50" s="1802"/>
      <c r="F50" s="1802"/>
      <c r="G50" s="1789"/>
    </row>
    <row r="51" spans="1:8" s="1790" customFormat="1" ht="15.75" customHeight="1">
      <c r="A51" s="4381"/>
      <c r="B51" s="1796" t="s">
        <v>4377</v>
      </c>
      <c r="C51" s="2325">
        <v>50</v>
      </c>
      <c r="D51" s="1798">
        <f>税费缴纳测算!C20</f>
        <v>0</v>
      </c>
      <c r="E51" s="1798">
        <f>F51-D51</f>
        <v>0</v>
      </c>
      <c r="F51" s="1799">
        <f>税费缴纳测算!D20</f>
        <v>0</v>
      </c>
      <c r="G51" s="1789"/>
    </row>
    <row r="52" spans="1:8" s="1790" customFormat="1" ht="15.75" customHeight="1">
      <c r="A52" s="4381"/>
      <c r="B52" s="1796" t="s">
        <v>5910</v>
      </c>
      <c r="C52" s="2325">
        <v>51</v>
      </c>
      <c r="D52" s="1798">
        <f>税费缴纳测算!E20</f>
        <v>0</v>
      </c>
      <c r="E52" s="1802"/>
      <c r="F52" s="1799">
        <f>D52+E52</f>
        <v>0</v>
      </c>
      <c r="G52" s="1789"/>
    </row>
    <row r="53" spans="1:8" s="1790" customFormat="1" ht="15.75" customHeight="1">
      <c r="A53" s="4381"/>
      <c r="B53" s="1796" t="s">
        <v>5916</v>
      </c>
      <c r="C53" s="2325">
        <v>52</v>
      </c>
      <c r="D53" s="1799">
        <f>D51-D52</f>
        <v>0</v>
      </c>
      <c r="E53" s="1799">
        <f>E51-E52</f>
        <v>0</v>
      </c>
      <c r="F53" s="1799">
        <f>D53+E53</f>
        <v>0</v>
      </c>
      <c r="G53" s="1789"/>
    </row>
    <row r="54" spans="1:8" s="1790" customFormat="1" ht="15.75" customHeight="1">
      <c r="A54" s="4381" t="s">
        <v>5768</v>
      </c>
      <c r="B54" s="1796" t="s">
        <v>5909</v>
      </c>
      <c r="C54" s="2325">
        <v>53</v>
      </c>
      <c r="D54" s="1802"/>
      <c r="E54" s="1802"/>
      <c r="F54" s="1802"/>
      <c r="G54" s="1789"/>
    </row>
    <row r="55" spans="1:8" s="1790" customFormat="1" ht="15.75" customHeight="1">
      <c r="A55" s="4381"/>
      <c r="B55" s="1796" t="s">
        <v>4377</v>
      </c>
      <c r="C55" s="2325">
        <v>54</v>
      </c>
      <c r="D55" s="1798">
        <f>税费缴纳测算!C23</f>
        <v>0</v>
      </c>
      <c r="E55" s="1798">
        <f>F55-D55</f>
        <v>0</v>
      </c>
      <c r="F55" s="1799">
        <f>税费缴纳测算!D23</f>
        <v>0</v>
      </c>
      <c r="G55" s="1789"/>
      <c r="H55" s="1804"/>
    </row>
    <row r="56" spans="1:8" s="1790" customFormat="1" ht="15.75" customHeight="1">
      <c r="A56" s="4381"/>
      <c r="B56" s="1796" t="s">
        <v>5910</v>
      </c>
      <c r="C56" s="2325">
        <v>55</v>
      </c>
      <c r="D56" s="1798">
        <f>税费缴纳测算!E23</f>
        <v>0</v>
      </c>
      <c r="E56" s="1802"/>
      <c r="F56" s="1799">
        <f>D56+E56</f>
        <v>0</v>
      </c>
      <c r="G56" s="1789"/>
    </row>
    <row r="57" spans="1:8" s="1790" customFormat="1" ht="15.75" customHeight="1">
      <c r="A57" s="4381"/>
      <c r="B57" s="1796" t="s">
        <v>5916</v>
      </c>
      <c r="C57" s="2325">
        <v>56</v>
      </c>
      <c r="D57" s="1805">
        <f>D55-D56</f>
        <v>0</v>
      </c>
      <c r="E57" s="1799">
        <f>E55-E56</f>
        <v>0</v>
      </c>
      <c r="F57" s="1799">
        <f>D57+E57</f>
        <v>0</v>
      </c>
      <c r="G57" s="1800"/>
    </row>
    <row r="58" spans="1:8" s="1790" customFormat="1" ht="15.75" customHeight="1">
      <c r="A58" s="4381" t="s">
        <v>5921</v>
      </c>
      <c r="B58" s="1796" t="s">
        <v>5909</v>
      </c>
      <c r="C58" s="2325">
        <v>57</v>
      </c>
      <c r="D58" s="1802"/>
      <c r="E58" s="1802"/>
      <c r="F58" s="1802"/>
      <c r="G58" s="1789"/>
    </row>
    <row r="59" spans="1:8" s="1790" customFormat="1" ht="15.75" customHeight="1">
      <c r="A59" s="4381"/>
      <c r="B59" s="1796" t="s">
        <v>4377</v>
      </c>
      <c r="C59" s="2325">
        <v>58</v>
      </c>
      <c r="D59" s="1806"/>
      <c r="E59" s="1806"/>
      <c r="F59" s="1799">
        <f>D59+E59</f>
        <v>0</v>
      </c>
      <c r="G59" s="1789"/>
      <c r="H59" s="1804"/>
    </row>
    <row r="60" spans="1:8" s="1790" customFormat="1" ht="15.75" customHeight="1">
      <c r="A60" s="4381"/>
      <c r="B60" s="1796" t="s">
        <v>5910</v>
      </c>
      <c r="C60" s="2325">
        <v>59</v>
      </c>
      <c r="D60" s="1806"/>
      <c r="E60" s="1806"/>
      <c r="F60" s="1799">
        <f>D60+E60</f>
        <v>0</v>
      </c>
      <c r="G60" s="1789"/>
    </row>
    <row r="61" spans="1:8" s="1790" customFormat="1" ht="15.75" customHeight="1">
      <c r="A61" s="4381"/>
      <c r="B61" s="1796" t="s">
        <v>5916</v>
      </c>
      <c r="C61" s="2325">
        <v>60</v>
      </c>
      <c r="D61" s="1805">
        <f>D59-D60</f>
        <v>0</v>
      </c>
      <c r="E61" s="1799">
        <f>E59-E60</f>
        <v>0</v>
      </c>
      <c r="F61" s="1799">
        <f>D61+E61</f>
        <v>0</v>
      </c>
      <c r="G61" s="1800"/>
    </row>
    <row r="62" spans="1:8" s="1790" customFormat="1" ht="15" customHeight="1">
      <c r="A62" s="2412" t="s">
        <v>5922</v>
      </c>
      <c r="D62" s="1804"/>
    </row>
    <row r="63" spans="1:8" s="1790" customFormat="1" ht="15" customHeight="1">
      <c r="D63" s="1804"/>
    </row>
    <row r="64" spans="1:8" s="1790" customFormat="1" ht="15" customHeight="1"/>
    <row r="65" s="1790" customFormat="1" ht="15" customHeight="1"/>
    <row r="66" s="1790" customFormat="1" ht="15" customHeight="1"/>
    <row r="67" s="1790" customFormat="1" ht="15" customHeight="1"/>
    <row r="68" s="1790" customFormat="1" ht="15" customHeight="1"/>
    <row r="69" s="1790" customFormat="1" ht="15" customHeight="1"/>
    <row r="70" s="1790" customFormat="1" ht="15" customHeight="1"/>
    <row r="71" s="1790" customFormat="1" ht="15" customHeight="1"/>
    <row r="72" s="1790" customFormat="1" ht="15" customHeight="1"/>
    <row r="73" s="1790" customFormat="1" ht="15" customHeight="1"/>
    <row r="74" s="1790" customFormat="1" ht="15" customHeight="1"/>
    <row r="75" s="1790" customFormat="1" ht="15" customHeight="1"/>
    <row r="76" s="1790" customFormat="1" ht="15" customHeight="1"/>
    <row r="77" s="1790" customFormat="1" ht="15" customHeight="1"/>
    <row r="78" s="1790" customFormat="1" ht="15" customHeight="1"/>
    <row r="79" s="1790" customFormat="1" ht="15" customHeight="1"/>
    <row r="80" s="1790" customFormat="1" ht="15" customHeight="1"/>
    <row r="81" s="1790" customFormat="1" ht="15" customHeight="1"/>
    <row r="82" s="1790" customFormat="1"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sheetData>
  <sheetProtection selectLockedCells="1" selectUnlockedCells="1"/>
  <mergeCells count="17">
    <mergeCell ref="A2:F2"/>
    <mergeCell ref="A3:F3"/>
    <mergeCell ref="A5:B5"/>
    <mergeCell ref="A6:A9"/>
    <mergeCell ref="A10:A13"/>
    <mergeCell ref="A58:A61"/>
    <mergeCell ref="A14:A17"/>
    <mergeCell ref="A18:A21"/>
    <mergeCell ref="A22:A25"/>
    <mergeCell ref="A26:A29"/>
    <mergeCell ref="A30:A33"/>
    <mergeCell ref="A34:A37"/>
    <mergeCell ref="A38:A41"/>
    <mergeCell ref="A42:A45"/>
    <mergeCell ref="A46:A49"/>
    <mergeCell ref="A50:A53"/>
    <mergeCell ref="A54:A57"/>
  </mergeCells>
  <phoneticPr fontId="135" type="noConversion"/>
  <hyperlinks>
    <hyperlink ref="G14" location="主营税金!A1" display="主营税金及附加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0000"/>
  </sheetPr>
  <dimension ref="A1:X25"/>
  <sheetViews>
    <sheetView workbookViewId="0">
      <selection activeCell="B6" sqref="B6"/>
    </sheetView>
  </sheetViews>
  <sheetFormatPr defaultColWidth="9.875" defaultRowHeight="16.5"/>
  <cols>
    <col min="1" max="1" width="24.25" style="493" customWidth="1"/>
    <col min="2" max="2" width="21.75" style="493" customWidth="1"/>
    <col min="3" max="3" width="22" style="493" customWidth="1"/>
    <col min="4" max="4" width="22.125" style="493" customWidth="1"/>
    <col min="5" max="5" width="22.75" style="493" customWidth="1"/>
    <col min="6" max="6" width="19.375" style="493" customWidth="1"/>
    <col min="7" max="7" width="18.375" style="493" customWidth="1"/>
    <col min="8" max="16384" width="9.875" style="493"/>
  </cols>
  <sheetData>
    <row r="1" spans="1:24" ht="14.25" customHeight="1">
      <c r="A1" s="491"/>
      <c r="B1" s="492"/>
      <c r="E1" s="491"/>
      <c r="F1" s="492"/>
    </row>
    <row r="2" spans="1:24" ht="14.25" customHeight="1">
      <c r="A2" s="491"/>
      <c r="E2" s="491"/>
    </row>
    <row r="3" spans="1:24" ht="14.25" customHeight="1">
      <c r="A3" s="491"/>
      <c r="E3" s="491"/>
    </row>
    <row r="4" spans="1:24" ht="15.6" customHeight="1">
      <c r="A4" s="491"/>
      <c r="E4" s="491"/>
    </row>
    <row r="5" spans="1:24" ht="15.6" customHeight="1">
      <c r="A5" s="491"/>
      <c r="E5" s="491"/>
    </row>
    <row r="6" spans="1:24">
      <c r="A6" s="491"/>
      <c r="C6" s="491"/>
      <c r="D6" s="497"/>
      <c r="E6" s="491"/>
      <c r="G6" s="494"/>
      <c r="H6" s="492"/>
    </row>
    <row r="7" spans="1:24">
      <c r="A7" s="494"/>
      <c r="C7" s="494"/>
      <c r="E7" s="494"/>
      <c r="F7" s="492"/>
      <c r="G7" s="494"/>
    </row>
    <row r="8" spans="1:24">
      <c r="A8" s="491"/>
      <c r="C8" s="491"/>
      <c r="E8" s="491"/>
      <c r="G8" s="491"/>
    </row>
    <row r="9" spans="1:24" ht="57" customHeight="1">
      <c r="A9" s="491"/>
      <c r="C9" s="491"/>
      <c r="E9" s="491"/>
      <c r="G9" s="491"/>
      <c r="X9" s="541"/>
    </row>
    <row r="10" spans="1:24">
      <c r="A10" s="491"/>
      <c r="C10" s="491"/>
      <c r="D10" s="497"/>
      <c r="E10" s="491"/>
      <c r="G10" s="491"/>
    </row>
    <row r="11" spans="1:24">
      <c r="A11" s="491"/>
      <c r="C11" s="491"/>
      <c r="E11" s="491"/>
      <c r="G11" s="491"/>
    </row>
    <row r="12" spans="1:24">
      <c r="A12" s="491"/>
      <c r="C12" s="491"/>
      <c r="E12" s="491"/>
      <c r="G12" s="491"/>
    </row>
    <row r="13" spans="1:24">
      <c r="A13" s="491"/>
      <c r="B13" s="492"/>
      <c r="C13" s="491"/>
      <c r="E13" s="491"/>
      <c r="G13" s="491"/>
    </row>
    <row r="14" spans="1:24">
      <c r="A14" s="491"/>
      <c r="C14" s="491"/>
      <c r="E14" s="491"/>
      <c r="G14" s="491"/>
    </row>
    <row r="15" spans="1:24">
      <c r="A15" s="491"/>
      <c r="C15" s="491"/>
      <c r="E15" s="491"/>
      <c r="G15" s="491"/>
    </row>
    <row r="16" spans="1:24">
      <c r="A16" s="495"/>
      <c r="B16" s="492"/>
      <c r="C16" s="496"/>
      <c r="D16" s="496"/>
      <c r="E16" s="496"/>
      <c r="F16" s="496"/>
      <c r="G16" s="496"/>
    </row>
    <row r="17" spans="1:1">
      <c r="A17" s="491"/>
    </row>
    <row r="18" spans="1:1">
      <c r="A18" s="491"/>
    </row>
    <row r="21" spans="1:1" ht="14.25" customHeight="1"/>
    <row r="22" spans="1:1" ht="14.25" customHeight="1"/>
    <row r="25" spans="1:1" ht="14.25" customHeight="1">
      <c r="A25" s="492"/>
    </row>
  </sheetData>
  <phoneticPr fontId="128" type="noConversion"/>
  <pageMargins left="0.78740157480314998" right="0.35433070866141703" top="0.511811023622047" bottom="0.11811023622047198" header="0.511811023622047" footer="0.511811023622047"/>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FF0000"/>
  </sheetPr>
  <dimension ref="A1:R132"/>
  <sheetViews>
    <sheetView workbookViewId="0">
      <selection activeCell="M2" sqref="M2"/>
    </sheetView>
  </sheetViews>
  <sheetFormatPr defaultColWidth="1.25" defaultRowHeight="16.5"/>
  <cols>
    <col min="1" max="4" width="11.375" style="1517" bestFit="1" customWidth="1"/>
    <col min="5" max="5" width="13.5" style="1517" bestFit="1" customWidth="1"/>
    <col min="6" max="6" width="11.375" style="1517" bestFit="1" customWidth="1"/>
    <col min="7" max="7" width="7.375" style="1517" bestFit="1" customWidth="1"/>
    <col min="8" max="9" width="11.375" style="1517" bestFit="1" customWidth="1"/>
    <col min="10" max="10" width="11.375" style="565" bestFit="1" customWidth="1"/>
    <col min="11" max="11" width="15.75" style="565" bestFit="1" customWidth="1"/>
    <col min="12" max="12" width="11.375" style="565" bestFit="1" customWidth="1"/>
    <col min="13" max="13" width="13" style="565" customWidth="1"/>
    <col min="14" max="14" width="9" style="565" customWidth="1"/>
    <col min="15" max="15" width="13.75" style="565" customWidth="1"/>
    <col min="16" max="16" width="11.125" style="565" customWidth="1"/>
    <col min="17" max="17" width="9" style="565" customWidth="1"/>
    <col min="18" max="18" width="17.75" style="565" customWidth="1"/>
    <col min="19" max="16384" width="1.25" style="565"/>
  </cols>
  <sheetData>
    <row r="1" spans="1:18">
      <c r="A1" s="1615" t="s">
        <v>5961</v>
      </c>
      <c r="B1" s="1615" t="s">
        <v>5962</v>
      </c>
      <c r="C1" s="1615" t="s">
        <v>5963</v>
      </c>
      <c r="D1" s="1615" t="s">
        <v>5964</v>
      </c>
      <c r="E1" s="1615" t="s">
        <v>5965</v>
      </c>
      <c r="F1" s="1615" t="s">
        <v>5966</v>
      </c>
      <c r="G1" s="1615" t="s">
        <v>5967</v>
      </c>
      <c r="H1" s="1624" t="s">
        <v>5968</v>
      </c>
      <c r="I1" s="1615" t="s">
        <v>5969</v>
      </c>
      <c r="J1" s="1615" t="s">
        <v>5970</v>
      </c>
      <c r="K1" s="1615" t="s">
        <v>5971</v>
      </c>
      <c r="L1" s="1615" t="s">
        <v>5972</v>
      </c>
    </row>
    <row r="2" spans="1:18">
      <c r="A2" s="565"/>
      <c r="B2" s="565"/>
      <c r="C2" s="565"/>
      <c r="D2" s="565"/>
      <c r="E2" s="565"/>
      <c r="F2" s="565"/>
      <c r="G2" s="565"/>
      <c r="H2" s="565"/>
      <c r="I2" s="565"/>
      <c r="Q2" s="1517"/>
    </row>
    <row r="3" spans="1:18">
      <c r="A3" s="565"/>
      <c r="B3" s="565"/>
      <c r="C3" s="565"/>
      <c r="D3" s="565"/>
      <c r="E3" s="565"/>
      <c r="F3" s="565"/>
      <c r="G3" s="565"/>
      <c r="H3" s="565"/>
      <c r="I3" s="565"/>
      <c r="O3" s="1619"/>
      <c r="P3" s="1619"/>
      <c r="Q3" s="1517"/>
    </row>
    <row r="4" spans="1:18" ht="15.6" customHeight="1">
      <c r="A4" s="565"/>
      <c r="B4" s="565"/>
      <c r="C4" s="565"/>
      <c r="D4" s="565"/>
      <c r="E4" s="565"/>
      <c r="F4" s="565"/>
      <c r="G4" s="565"/>
      <c r="H4" s="565"/>
      <c r="I4" s="565"/>
      <c r="O4" s="4383" t="s">
        <v>5973</v>
      </c>
      <c r="P4" s="4383"/>
      <c r="Q4" s="4384" t="s">
        <v>5974</v>
      </c>
      <c r="R4" s="577" t="s">
        <v>5975</v>
      </c>
    </row>
    <row r="5" spans="1:18">
      <c r="A5" s="565"/>
      <c r="B5" s="565"/>
      <c r="C5" s="565"/>
      <c r="D5" s="565"/>
      <c r="E5" s="565"/>
      <c r="F5" s="565"/>
      <c r="G5" s="565"/>
      <c r="H5" s="565"/>
      <c r="I5" s="565"/>
      <c r="O5" s="4383"/>
      <c r="P5" s="4383"/>
      <c r="Q5" s="4384"/>
      <c r="R5" s="1818" t="s">
        <v>5976</v>
      </c>
    </row>
    <row r="6" spans="1:18">
      <c r="A6" s="565"/>
      <c r="B6" s="565"/>
      <c r="C6" s="565"/>
      <c r="D6" s="565"/>
      <c r="E6" s="565"/>
      <c r="F6" s="565"/>
      <c r="G6" s="565"/>
      <c r="H6" s="565"/>
      <c r="I6" s="565"/>
      <c r="O6" s="4383"/>
      <c r="P6" s="4383"/>
      <c r="Q6" s="4384"/>
    </row>
    <row r="7" spans="1:18">
      <c r="A7" s="565"/>
      <c r="B7" s="565"/>
      <c r="C7" s="565"/>
      <c r="D7" s="565"/>
      <c r="E7" s="565"/>
      <c r="F7" s="565"/>
      <c r="G7" s="565"/>
      <c r="H7" s="565"/>
      <c r="I7" s="565"/>
      <c r="O7" s="4383"/>
      <c r="P7" s="4383"/>
      <c r="Q7" s="1619"/>
    </row>
    <row r="8" spans="1:18">
      <c r="A8" s="565"/>
      <c r="B8" s="565"/>
      <c r="C8" s="565"/>
      <c r="D8" s="565"/>
      <c r="E8" s="565"/>
      <c r="F8" s="565"/>
      <c r="G8" s="565"/>
      <c r="H8" s="565"/>
      <c r="I8" s="565"/>
      <c r="O8" s="4383"/>
      <c r="P8" s="4383"/>
    </row>
    <row r="9" spans="1:18">
      <c r="A9" s="565"/>
      <c r="B9" s="565"/>
      <c r="C9" s="565"/>
      <c r="D9" s="565"/>
      <c r="E9" s="565"/>
      <c r="F9" s="565"/>
      <c r="G9" s="565"/>
      <c r="H9" s="565"/>
      <c r="I9" s="565"/>
      <c r="O9" s="4383"/>
      <c r="P9" s="4383"/>
    </row>
    <row r="10" spans="1:18">
      <c r="A10" s="565"/>
      <c r="B10" s="565"/>
      <c r="C10" s="565"/>
      <c r="D10" s="565"/>
      <c r="E10" s="565"/>
      <c r="F10" s="565"/>
      <c r="G10" s="565"/>
      <c r="H10" s="565"/>
      <c r="I10" s="565"/>
      <c r="O10" s="4383"/>
      <c r="P10" s="4383"/>
    </row>
    <row r="11" spans="1:18">
      <c r="A11" s="565"/>
      <c r="B11" s="565"/>
      <c r="C11" s="565"/>
      <c r="D11" s="565"/>
      <c r="E11" s="565"/>
      <c r="F11" s="565"/>
      <c r="G11" s="565"/>
      <c r="H11" s="565"/>
      <c r="I11" s="565"/>
      <c r="O11" s="4383"/>
      <c r="P11" s="4383"/>
    </row>
    <row r="12" spans="1:18">
      <c r="A12" s="565"/>
      <c r="B12" s="565"/>
      <c r="C12" s="565"/>
      <c r="D12" s="565"/>
      <c r="E12" s="565"/>
      <c r="F12" s="565"/>
      <c r="G12" s="565"/>
      <c r="H12" s="565"/>
      <c r="I12" s="565"/>
      <c r="O12" s="4383"/>
      <c r="P12" s="4383"/>
    </row>
    <row r="13" spans="1:18">
      <c r="A13" s="565"/>
      <c r="B13" s="565"/>
      <c r="C13" s="565"/>
      <c r="D13" s="565"/>
      <c r="E13" s="565"/>
      <c r="F13" s="565"/>
      <c r="G13" s="565"/>
      <c r="H13" s="565"/>
      <c r="I13" s="565"/>
      <c r="O13" s="4383"/>
      <c r="P13" s="4383"/>
    </row>
    <row r="14" spans="1:18">
      <c r="A14" s="565"/>
      <c r="B14" s="565"/>
      <c r="C14" s="565"/>
      <c r="D14" s="565"/>
      <c r="E14" s="565"/>
      <c r="F14" s="565"/>
      <c r="G14" s="565"/>
      <c r="H14" s="565"/>
      <c r="I14" s="565"/>
      <c r="O14" s="4383"/>
      <c r="P14" s="4383"/>
    </row>
    <row r="15" spans="1:18">
      <c r="A15" s="565"/>
      <c r="B15" s="565"/>
      <c r="C15" s="565"/>
      <c r="D15" s="565"/>
      <c r="E15" s="565"/>
      <c r="F15" s="565"/>
      <c r="G15" s="565"/>
      <c r="H15" s="565"/>
      <c r="I15" s="565"/>
    </row>
    <row r="16" spans="1:18">
      <c r="A16" s="565"/>
      <c r="B16" s="565"/>
      <c r="C16" s="565"/>
      <c r="D16" s="565"/>
      <c r="E16" s="565"/>
      <c r="F16" s="565"/>
      <c r="G16" s="565"/>
      <c r="H16" s="565"/>
      <c r="I16" s="565"/>
    </row>
    <row r="17" spans="1:9">
      <c r="A17" s="565"/>
      <c r="B17" s="565"/>
      <c r="C17" s="565"/>
      <c r="D17" s="565"/>
      <c r="E17" s="565"/>
      <c r="F17" s="565"/>
      <c r="G17" s="565"/>
      <c r="H17" s="565"/>
      <c r="I17" s="565"/>
    </row>
    <row r="18" spans="1:9">
      <c r="A18" s="565"/>
      <c r="B18" s="565"/>
      <c r="C18" s="565"/>
      <c r="D18" s="565"/>
      <c r="E18" s="565"/>
      <c r="F18" s="565"/>
      <c r="G18" s="565"/>
      <c r="H18" s="565"/>
      <c r="I18" s="565"/>
    </row>
    <row r="19" spans="1:9">
      <c r="A19" s="565"/>
      <c r="B19" s="565"/>
      <c r="C19" s="565"/>
      <c r="D19" s="565"/>
      <c r="E19" s="565"/>
      <c r="F19" s="565"/>
      <c r="G19" s="565"/>
      <c r="H19" s="565"/>
      <c r="I19" s="565"/>
    </row>
    <row r="20" spans="1:9">
      <c r="A20" s="565"/>
      <c r="B20" s="565"/>
      <c r="C20" s="565"/>
      <c r="D20" s="565"/>
      <c r="E20" s="565"/>
      <c r="F20" s="565"/>
      <c r="G20" s="565"/>
      <c r="H20" s="565"/>
      <c r="I20" s="565"/>
    </row>
    <row r="21" spans="1:9">
      <c r="A21" s="565"/>
      <c r="B21" s="565"/>
      <c r="C21" s="565"/>
      <c r="D21" s="565"/>
      <c r="E21" s="565"/>
      <c r="F21" s="565"/>
      <c r="G21" s="565"/>
      <c r="H21" s="565"/>
      <c r="I21" s="565"/>
    </row>
    <row r="22" spans="1:9">
      <c r="A22" s="565"/>
      <c r="B22" s="565"/>
      <c r="C22" s="565"/>
      <c r="D22" s="565"/>
      <c r="E22" s="565"/>
      <c r="F22" s="565"/>
      <c r="G22" s="565"/>
      <c r="H22" s="565"/>
      <c r="I22" s="565"/>
    </row>
    <row r="23" spans="1:9">
      <c r="A23" s="565"/>
      <c r="B23" s="565"/>
      <c r="C23" s="565"/>
      <c r="D23" s="565"/>
      <c r="E23" s="565"/>
      <c r="F23" s="565"/>
      <c r="G23" s="565"/>
      <c r="H23" s="565"/>
      <c r="I23" s="565"/>
    </row>
    <row r="24" spans="1:9">
      <c r="A24" s="565"/>
      <c r="B24" s="565"/>
      <c r="C24" s="565"/>
      <c r="D24" s="565"/>
      <c r="E24" s="565"/>
      <c r="F24" s="565"/>
      <c r="G24" s="565"/>
      <c r="H24" s="565"/>
      <c r="I24" s="565"/>
    </row>
    <row r="25" spans="1:9">
      <c r="A25" s="565"/>
      <c r="B25" s="565"/>
      <c r="C25" s="565"/>
      <c r="D25" s="565"/>
      <c r="E25" s="565"/>
      <c r="F25" s="565"/>
      <c r="G25" s="565"/>
      <c r="H25" s="565"/>
      <c r="I25" s="565"/>
    </row>
    <row r="26" spans="1:9">
      <c r="A26" s="565"/>
      <c r="B26" s="565"/>
      <c r="C26" s="565"/>
      <c r="D26" s="565"/>
      <c r="E26" s="565"/>
      <c r="F26" s="565"/>
      <c r="G26" s="565"/>
      <c r="H26" s="565"/>
      <c r="I26" s="565"/>
    </row>
    <row r="27" spans="1:9">
      <c r="A27" s="565"/>
      <c r="B27" s="565"/>
      <c r="C27" s="565"/>
      <c r="D27" s="565"/>
      <c r="E27" s="565"/>
      <c r="F27" s="565"/>
      <c r="G27" s="565"/>
      <c r="H27" s="565"/>
      <c r="I27" s="565"/>
    </row>
    <row r="28" spans="1:9">
      <c r="A28" s="565"/>
      <c r="B28" s="565"/>
      <c r="C28" s="565"/>
      <c r="D28" s="565"/>
      <c r="E28" s="565"/>
      <c r="F28" s="565"/>
      <c r="G28" s="565"/>
      <c r="H28" s="565"/>
      <c r="I28" s="565"/>
    </row>
    <row r="29" spans="1:9">
      <c r="A29" s="565"/>
      <c r="B29" s="565"/>
      <c r="C29" s="565"/>
      <c r="D29" s="565"/>
      <c r="E29" s="565"/>
      <c r="F29" s="565"/>
      <c r="G29" s="565"/>
      <c r="H29" s="565"/>
      <c r="I29" s="565"/>
    </row>
    <row r="30" spans="1:9">
      <c r="A30" s="565"/>
      <c r="B30" s="565"/>
      <c r="C30" s="565"/>
      <c r="D30" s="565"/>
      <c r="E30" s="565"/>
      <c r="F30" s="565"/>
      <c r="G30" s="565"/>
      <c r="H30" s="565"/>
      <c r="I30" s="565"/>
    </row>
    <row r="31" spans="1:9">
      <c r="A31" s="565"/>
      <c r="B31" s="565"/>
      <c r="C31" s="565"/>
      <c r="D31" s="565"/>
      <c r="E31" s="565"/>
      <c r="F31" s="565"/>
      <c r="G31" s="565"/>
      <c r="H31" s="565"/>
      <c r="I31" s="565"/>
    </row>
    <row r="32" spans="1:9">
      <c r="A32" s="565"/>
      <c r="B32" s="565"/>
      <c r="C32" s="565"/>
      <c r="D32" s="565"/>
      <c r="E32" s="565"/>
      <c r="F32" s="565"/>
      <c r="G32" s="565"/>
      <c r="H32" s="565"/>
      <c r="I32" s="565"/>
    </row>
    <row r="33" spans="1:9">
      <c r="A33" s="565"/>
      <c r="B33" s="565"/>
      <c r="C33" s="565"/>
      <c r="D33" s="565"/>
      <c r="E33" s="565"/>
      <c r="F33" s="565"/>
      <c r="G33" s="565"/>
      <c r="H33" s="565"/>
      <c r="I33" s="565"/>
    </row>
    <row r="34" spans="1:9">
      <c r="A34" s="565"/>
      <c r="B34" s="565"/>
      <c r="C34" s="565"/>
      <c r="D34" s="565"/>
      <c r="E34" s="565"/>
      <c r="F34" s="565"/>
      <c r="G34" s="565"/>
      <c r="H34" s="565"/>
      <c r="I34" s="565"/>
    </row>
    <row r="35" spans="1:9">
      <c r="A35" s="565"/>
      <c r="B35" s="565"/>
      <c r="C35" s="565"/>
      <c r="D35" s="565"/>
      <c r="E35" s="565"/>
      <c r="F35" s="565"/>
      <c r="G35" s="565"/>
      <c r="H35" s="565"/>
      <c r="I35" s="565"/>
    </row>
    <row r="36" spans="1:9">
      <c r="A36" s="565"/>
      <c r="B36" s="565"/>
      <c r="C36" s="565"/>
      <c r="D36" s="565"/>
      <c r="E36" s="565"/>
      <c r="F36" s="565"/>
      <c r="G36" s="565"/>
      <c r="H36" s="565"/>
      <c r="I36" s="565"/>
    </row>
    <row r="37" spans="1:9">
      <c r="A37" s="565"/>
      <c r="B37" s="565"/>
      <c r="C37" s="565"/>
      <c r="D37" s="565"/>
      <c r="E37" s="565"/>
      <c r="F37" s="565"/>
      <c r="G37" s="565"/>
      <c r="H37" s="565"/>
      <c r="I37" s="565"/>
    </row>
    <row r="38" spans="1:9">
      <c r="A38" s="565"/>
      <c r="B38" s="565"/>
      <c r="C38" s="565"/>
      <c r="D38" s="565"/>
      <c r="E38" s="565"/>
      <c r="F38" s="565"/>
      <c r="G38" s="565"/>
      <c r="H38" s="565"/>
      <c r="I38" s="565"/>
    </row>
    <row r="39" spans="1:9">
      <c r="A39" s="565"/>
      <c r="B39" s="565"/>
      <c r="C39" s="565"/>
      <c r="D39" s="565"/>
      <c r="E39" s="565"/>
      <c r="F39" s="565"/>
      <c r="G39" s="565"/>
      <c r="H39" s="565"/>
      <c r="I39" s="565"/>
    </row>
    <row r="40" spans="1:9">
      <c r="A40" s="565"/>
      <c r="B40" s="565"/>
      <c r="C40" s="565"/>
      <c r="D40" s="565"/>
      <c r="E40" s="565"/>
      <c r="F40" s="565"/>
      <c r="G40" s="565"/>
      <c r="H40" s="565"/>
      <c r="I40" s="565"/>
    </row>
    <row r="41" spans="1:9">
      <c r="A41" s="565"/>
      <c r="B41" s="565"/>
      <c r="C41" s="565"/>
      <c r="D41" s="565"/>
      <c r="E41" s="565"/>
      <c r="F41" s="565"/>
      <c r="G41" s="565"/>
      <c r="H41" s="565"/>
      <c r="I41" s="565"/>
    </row>
    <row r="42" spans="1:9">
      <c r="A42" s="565"/>
      <c r="B42" s="565"/>
      <c r="C42" s="565"/>
      <c r="D42" s="565"/>
      <c r="E42" s="565"/>
      <c r="F42" s="565"/>
      <c r="G42" s="565"/>
      <c r="H42" s="565"/>
      <c r="I42" s="565"/>
    </row>
    <row r="43" spans="1:9">
      <c r="A43" s="565"/>
      <c r="B43" s="565"/>
      <c r="C43" s="565"/>
      <c r="D43" s="565"/>
      <c r="E43" s="565"/>
      <c r="F43" s="565"/>
      <c r="G43" s="565"/>
      <c r="H43" s="565"/>
      <c r="I43" s="565"/>
    </row>
    <row r="44" spans="1:9">
      <c r="A44" s="565"/>
      <c r="B44" s="565"/>
      <c r="C44" s="565"/>
      <c r="D44" s="565"/>
      <c r="E44" s="565"/>
      <c r="F44" s="565"/>
      <c r="G44" s="565"/>
      <c r="H44" s="565"/>
      <c r="I44" s="565"/>
    </row>
    <row r="45" spans="1:9">
      <c r="A45" s="565"/>
      <c r="B45" s="565"/>
      <c r="C45" s="565"/>
      <c r="D45" s="565"/>
      <c r="E45" s="565"/>
      <c r="F45" s="565"/>
      <c r="G45" s="565"/>
      <c r="H45" s="565"/>
      <c r="I45" s="565"/>
    </row>
    <row r="46" spans="1:9">
      <c r="A46" s="565"/>
      <c r="B46" s="565"/>
      <c r="C46" s="565"/>
      <c r="D46" s="565"/>
      <c r="E46" s="565"/>
      <c r="F46" s="565"/>
      <c r="G46" s="565"/>
      <c r="H46" s="565"/>
      <c r="I46" s="565"/>
    </row>
    <row r="47" spans="1:9">
      <c r="A47" s="565"/>
      <c r="B47" s="565"/>
      <c r="C47" s="565"/>
      <c r="D47" s="565"/>
      <c r="E47" s="565"/>
      <c r="F47" s="565"/>
      <c r="G47" s="565"/>
      <c r="H47" s="565"/>
      <c r="I47" s="565"/>
    </row>
    <row r="48" spans="1:9">
      <c r="A48" s="565"/>
      <c r="B48" s="565"/>
      <c r="C48" s="565"/>
      <c r="D48" s="565"/>
      <c r="E48" s="565"/>
      <c r="F48" s="565"/>
      <c r="G48" s="565"/>
      <c r="H48" s="565"/>
      <c r="I48" s="565"/>
    </row>
    <row r="49" spans="1:9">
      <c r="A49" s="565"/>
      <c r="B49" s="565"/>
      <c r="C49" s="565"/>
      <c r="D49" s="565"/>
      <c r="E49" s="565"/>
      <c r="F49" s="565"/>
      <c r="G49" s="565"/>
      <c r="H49" s="565"/>
      <c r="I49" s="565"/>
    </row>
    <row r="50" spans="1:9">
      <c r="A50" s="565"/>
      <c r="B50" s="565"/>
      <c r="C50" s="565"/>
      <c r="D50" s="565"/>
      <c r="E50" s="565"/>
      <c r="F50" s="565"/>
      <c r="G50" s="565"/>
      <c r="H50" s="565"/>
      <c r="I50" s="565"/>
    </row>
    <row r="51" spans="1:9">
      <c r="A51" s="565"/>
      <c r="B51" s="565"/>
      <c r="C51" s="565"/>
      <c r="D51" s="565"/>
      <c r="E51" s="565"/>
      <c r="F51" s="565"/>
      <c r="G51" s="565"/>
      <c r="H51" s="565"/>
      <c r="I51" s="565"/>
    </row>
    <row r="52" spans="1:9">
      <c r="A52" s="565"/>
      <c r="B52" s="565"/>
      <c r="C52" s="565"/>
      <c r="D52" s="565"/>
      <c r="E52" s="565"/>
      <c r="F52" s="565"/>
      <c r="G52" s="565"/>
      <c r="H52" s="565"/>
      <c r="I52" s="565"/>
    </row>
    <row r="53" spans="1:9">
      <c r="A53" s="565"/>
      <c r="B53" s="565"/>
      <c r="C53" s="565"/>
      <c r="D53" s="565"/>
      <c r="E53" s="565"/>
      <c r="F53" s="565"/>
      <c r="G53" s="565"/>
      <c r="H53" s="565"/>
      <c r="I53" s="565"/>
    </row>
    <row r="54" spans="1:9">
      <c r="A54" s="565"/>
      <c r="B54" s="565"/>
      <c r="C54" s="565"/>
      <c r="D54" s="565"/>
      <c r="E54" s="565"/>
      <c r="F54" s="565"/>
      <c r="G54" s="565"/>
      <c r="H54" s="565"/>
      <c r="I54" s="565"/>
    </row>
    <row r="55" spans="1:9">
      <c r="A55" s="565"/>
      <c r="B55" s="565"/>
      <c r="C55" s="565"/>
      <c r="D55" s="565"/>
      <c r="E55" s="565"/>
      <c r="F55" s="565"/>
      <c r="G55" s="565"/>
      <c r="H55" s="565"/>
      <c r="I55" s="565"/>
    </row>
    <row r="56" spans="1:9">
      <c r="A56" s="565"/>
      <c r="B56" s="565"/>
      <c r="C56" s="565"/>
      <c r="D56" s="565"/>
      <c r="E56" s="565"/>
      <c r="F56" s="565"/>
      <c r="G56" s="565"/>
      <c r="H56" s="565"/>
      <c r="I56" s="565"/>
    </row>
    <row r="57" spans="1:9">
      <c r="A57" s="565"/>
      <c r="B57" s="565"/>
      <c r="C57" s="565"/>
      <c r="D57" s="565"/>
      <c r="E57" s="565"/>
      <c r="F57" s="565"/>
      <c r="G57" s="565"/>
      <c r="H57" s="565"/>
      <c r="I57" s="565"/>
    </row>
    <row r="58" spans="1:9">
      <c r="A58" s="565"/>
      <c r="B58" s="565"/>
      <c r="C58" s="565"/>
      <c r="D58" s="565"/>
      <c r="E58" s="565"/>
      <c r="F58" s="565"/>
      <c r="G58" s="565"/>
      <c r="H58" s="565"/>
      <c r="I58" s="565"/>
    </row>
    <row r="59" spans="1:9">
      <c r="A59" s="565"/>
      <c r="B59" s="565"/>
      <c r="C59" s="565"/>
      <c r="D59" s="565"/>
      <c r="E59" s="565"/>
      <c r="F59" s="565"/>
      <c r="G59" s="565"/>
      <c r="H59" s="565"/>
      <c r="I59" s="565"/>
    </row>
    <row r="60" spans="1:9">
      <c r="A60" s="565"/>
      <c r="B60" s="565"/>
      <c r="C60" s="565"/>
      <c r="D60" s="565"/>
      <c r="E60" s="565"/>
      <c r="F60" s="565"/>
      <c r="G60" s="565"/>
      <c r="H60" s="565"/>
      <c r="I60" s="565"/>
    </row>
    <row r="61" spans="1:9">
      <c r="A61" s="565"/>
      <c r="B61" s="565"/>
      <c r="C61" s="565"/>
      <c r="D61" s="565"/>
      <c r="E61" s="565"/>
      <c r="F61" s="565"/>
      <c r="G61" s="565"/>
      <c r="H61" s="565"/>
      <c r="I61" s="565"/>
    </row>
    <row r="62" spans="1:9">
      <c r="A62" s="565"/>
      <c r="B62" s="565"/>
      <c r="C62" s="565"/>
      <c r="D62" s="565"/>
      <c r="E62" s="565"/>
      <c r="F62" s="565"/>
      <c r="G62" s="565"/>
      <c r="H62" s="565"/>
      <c r="I62" s="565"/>
    </row>
    <row r="63" spans="1:9">
      <c r="A63" s="565"/>
      <c r="B63" s="565"/>
      <c r="C63" s="565"/>
      <c r="D63" s="565"/>
      <c r="E63" s="565"/>
      <c r="F63" s="565"/>
      <c r="G63" s="565"/>
      <c r="H63" s="565"/>
      <c r="I63" s="565"/>
    </row>
    <row r="64" spans="1:9">
      <c r="A64" s="565"/>
      <c r="B64" s="565"/>
      <c r="C64" s="565"/>
      <c r="D64" s="565"/>
      <c r="E64" s="565"/>
      <c r="F64" s="565"/>
      <c r="G64" s="565"/>
      <c r="H64" s="565"/>
      <c r="I64" s="565"/>
    </row>
    <row r="65" spans="1:9">
      <c r="A65" s="565"/>
      <c r="B65" s="565"/>
      <c r="C65" s="565"/>
      <c r="D65" s="565"/>
      <c r="E65" s="565"/>
      <c r="F65" s="565"/>
      <c r="G65" s="565"/>
      <c r="H65" s="565"/>
      <c r="I65" s="565"/>
    </row>
    <row r="66" spans="1:9">
      <c r="A66" s="565"/>
      <c r="B66" s="565"/>
      <c r="C66" s="565"/>
      <c r="D66" s="565"/>
      <c r="E66" s="565"/>
      <c r="F66" s="565"/>
      <c r="G66" s="565"/>
      <c r="H66" s="565"/>
      <c r="I66" s="565"/>
    </row>
    <row r="67" spans="1:9">
      <c r="A67" s="565"/>
      <c r="B67" s="565"/>
      <c r="C67" s="565"/>
      <c r="D67" s="565"/>
      <c r="E67" s="565"/>
      <c r="F67" s="565"/>
      <c r="G67" s="565"/>
      <c r="H67" s="565"/>
      <c r="I67" s="565"/>
    </row>
    <row r="68" spans="1:9">
      <c r="A68" s="565"/>
      <c r="B68" s="565"/>
      <c r="C68" s="565"/>
      <c r="D68" s="565"/>
      <c r="E68" s="565"/>
      <c r="F68" s="565"/>
      <c r="G68" s="565"/>
      <c r="H68" s="565"/>
      <c r="I68" s="565"/>
    </row>
    <row r="69" spans="1:9">
      <c r="A69" s="565"/>
      <c r="B69" s="565"/>
      <c r="C69" s="565"/>
      <c r="D69" s="565"/>
      <c r="E69" s="565"/>
      <c r="F69" s="565"/>
      <c r="G69" s="565"/>
      <c r="H69" s="565"/>
      <c r="I69" s="565"/>
    </row>
    <row r="70" spans="1:9">
      <c r="A70" s="565"/>
      <c r="B70" s="565"/>
      <c r="C70" s="565"/>
      <c r="D70" s="565"/>
      <c r="E70" s="565"/>
      <c r="F70" s="565"/>
      <c r="G70" s="565"/>
      <c r="H70" s="565"/>
      <c r="I70" s="565"/>
    </row>
    <row r="71" spans="1:9">
      <c r="A71" s="565"/>
      <c r="B71" s="565"/>
      <c r="C71" s="565"/>
      <c r="D71" s="565"/>
      <c r="E71" s="565"/>
      <c r="F71" s="565"/>
      <c r="G71" s="565"/>
      <c r="H71" s="565"/>
      <c r="I71" s="565"/>
    </row>
    <row r="72" spans="1:9">
      <c r="A72" s="565"/>
      <c r="B72" s="565"/>
      <c r="C72" s="565"/>
      <c r="D72" s="565"/>
      <c r="E72" s="565"/>
      <c r="F72" s="565"/>
      <c r="G72" s="565"/>
      <c r="H72" s="565"/>
      <c r="I72" s="565"/>
    </row>
    <row r="73" spans="1:9">
      <c r="A73" s="565"/>
      <c r="B73" s="565"/>
      <c r="C73" s="565"/>
      <c r="D73" s="565"/>
      <c r="E73" s="565"/>
      <c r="F73" s="565"/>
      <c r="G73" s="565"/>
      <c r="H73" s="565"/>
      <c r="I73" s="565"/>
    </row>
    <row r="74" spans="1:9">
      <c r="A74" s="565"/>
      <c r="B74" s="565"/>
      <c r="C74" s="565"/>
      <c r="D74" s="565"/>
      <c r="E74" s="565"/>
      <c r="F74" s="565"/>
      <c r="G74" s="565"/>
      <c r="H74" s="565"/>
      <c r="I74" s="565"/>
    </row>
    <row r="75" spans="1:9">
      <c r="A75" s="565"/>
      <c r="B75" s="565"/>
      <c r="C75" s="565"/>
      <c r="D75" s="565"/>
      <c r="E75" s="565"/>
      <c r="F75" s="565"/>
      <c r="G75" s="565"/>
      <c r="H75" s="565"/>
      <c r="I75" s="565"/>
    </row>
    <row r="76" spans="1:9">
      <c r="A76" s="565"/>
      <c r="B76" s="565"/>
      <c r="C76" s="565"/>
      <c r="D76" s="565"/>
      <c r="E76" s="565"/>
      <c r="F76" s="565"/>
      <c r="G76" s="565"/>
      <c r="H76" s="565"/>
      <c r="I76" s="565"/>
    </row>
    <row r="77" spans="1:9">
      <c r="A77" s="565"/>
      <c r="B77" s="565"/>
      <c r="C77" s="565"/>
      <c r="D77" s="565"/>
      <c r="E77" s="565"/>
      <c r="F77" s="565"/>
      <c r="G77" s="565"/>
      <c r="H77" s="565"/>
      <c r="I77" s="565"/>
    </row>
    <row r="78" spans="1:9">
      <c r="A78" s="565"/>
      <c r="B78" s="565"/>
      <c r="C78" s="565"/>
      <c r="D78" s="565"/>
      <c r="E78" s="565"/>
      <c r="F78" s="565"/>
      <c r="G78" s="565"/>
      <c r="H78" s="565"/>
      <c r="I78" s="565"/>
    </row>
    <row r="79" spans="1:9">
      <c r="A79" s="565"/>
      <c r="B79" s="565"/>
      <c r="C79" s="565"/>
      <c r="D79" s="565"/>
      <c r="E79" s="565"/>
      <c r="F79" s="565"/>
      <c r="G79" s="565"/>
      <c r="H79" s="565"/>
      <c r="I79" s="565"/>
    </row>
    <row r="80" spans="1:9">
      <c r="A80" s="565"/>
      <c r="B80" s="565"/>
      <c r="C80" s="565"/>
      <c r="D80" s="565"/>
      <c r="E80" s="565"/>
      <c r="F80" s="565"/>
      <c r="G80" s="565"/>
      <c r="H80" s="565"/>
      <c r="I80" s="565"/>
    </row>
    <row r="81" spans="1:9">
      <c r="A81" s="565"/>
      <c r="B81" s="565"/>
      <c r="C81" s="565"/>
      <c r="D81" s="565"/>
      <c r="E81" s="565"/>
      <c r="F81" s="565"/>
      <c r="G81" s="565"/>
      <c r="H81" s="565"/>
      <c r="I81" s="565"/>
    </row>
    <row r="82" spans="1:9">
      <c r="A82" s="565"/>
      <c r="B82" s="565"/>
      <c r="C82" s="565"/>
      <c r="D82" s="565"/>
      <c r="E82" s="565"/>
      <c r="F82" s="565"/>
      <c r="G82" s="565"/>
      <c r="H82" s="565"/>
      <c r="I82" s="565"/>
    </row>
    <row r="83" spans="1:9">
      <c r="A83" s="565"/>
      <c r="B83" s="565"/>
      <c r="C83" s="565"/>
      <c r="D83" s="565"/>
      <c r="E83" s="565"/>
      <c r="F83" s="565"/>
      <c r="G83" s="565"/>
      <c r="H83" s="565"/>
      <c r="I83" s="565"/>
    </row>
    <row r="84" spans="1:9">
      <c r="A84" s="565"/>
      <c r="B84" s="565"/>
      <c r="C84" s="565"/>
      <c r="D84" s="565"/>
      <c r="E84" s="565"/>
      <c r="F84" s="565"/>
      <c r="G84" s="565"/>
      <c r="H84" s="565"/>
      <c r="I84" s="565"/>
    </row>
    <row r="85" spans="1:9">
      <c r="A85" s="565"/>
      <c r="B85" s="565"/>
      <c r="C85" s="565"/>
      <c r="D85" s="565"/>
      <c r="E85" s="565"/>
      <c r="F85" s="565"/>
      <c r="G85" s="565"/>
      <c r="H85" s="565"/>
      <c r="I85" s="565"/>
    </row>
    <row r="86" spans="1:9">
      <c r="A86" s="565"/>
      <c r="B86" s="565"/>
      <c r="C86" s="565"/>
      <c r="D86" s="565"/>
      <c r="E86" s="565"/>
      <c r="F86" s="565"/>
      <c r="G86" s="565"/>
      <c r="H86" s="565"/>
      <c r="I86" s="565"/>
    </row>
    <row r="87" spans="1:9">
      <c r="A87" s="565"/>
      <c r="B87" s="565"/>
      <c r="C87" s="565"/>
      <c r="D87" s="565"/>
      <c r="E87" s="565"/>
      <c r="F87" s="565"/>
      <c r="G87" s="565"/>
      <c r="H87" s="565"/>
      <c r="I87" s="565"/>
    </row>
    <row r="88" spans="1:9">
      <c r="A88" s="565"/>
      <c r="B88" s="565"/>
      <c r="C88" s="565"/>
      <c r="D88" s="565"/>
      <c r="E88" s="565"/>
      <c r="F88" s="565"/>
      <c r="G88" s="565"/>
      <c r="H88" s="565"/>
      <c r="I88" s="565"/>
    </row>
    <row r="89" spans="1:9">
      <c r="A89" s="565"/>
      <c r="B89" s="565"/>
      <c r="C89" s="565"/>
      <c r="D89" s="565"/>
      <c r="E89" s="565"/>
      <c r="F89" s="565"/>
      <c r="G89" s="565"/>
      <c r="H89" s="565"/>
      <c r="I89" s="565"/>
    </row>
    <row r="90" spans="1:9">
      <c r="A90" s="565"/>
      <c r="B90" s="565"/>
      <c r="C90" s="565"/>
      <c r="D90" s="565"/>
      <c r="E90" s="565"/>
      <c r="F90" s="565"/>
      <c r="G90" s="565"/>
      <c r="H90" s="565"/>
      <c r="I90" s="565"/>
    </row>
    <row r="91" spans="1:9">
      <c r="A91" s="565"/>
      <c r="B91" s="565"/>
      <c r="C91" s="565"/>
      <c r="D91" s="565"/>
      <c r="E91" s="565"/>
      <c r="F91" s="565"/>
      <c r="G91" s="565"/>
      <c r="H91" s="565"/>
      <c r="I91" s="565"/>
    </row>
    <row r="92" spans="1:9">
      <c r="A92" s="565"/>
      <c r="B92" s="565"/>
      <c r="C92" s="565"/>
      <c r="D92" s="565"/>
      <c r="E92" s="565"/>
      <c r="F92" s="565"/>
      <c r="G92" s="565"/>
      <c r="H92" s="565"/>
      <c r="I92" s="565"/>
    </row>
    <row r="93" spans="1:9">
      <c r="A93" s="565"/>
      <c r="B93" s="565"/>
      <c r="C93" s="565"/>
      <c r="D93" s="565"/>
      <c r="E93" s="565"/>
      <c r="F93" s="565"/>
      <c r="G93" s="565"/>
      <c r="H93" s="565"/>
      <c r="I93" s="565"/>
    </row>
    <row r="94" spans="1:9">
      <c r="A94" s="565"/>
      <c r="B94" s="565"/>
      <c r="C94" s="565"/>
      <c r="D94" s="565"/>
      <c r="E94" s="565"/>
      <c r="F94" s="565"/>
      <c r="G94" s="565"/>
      <c r="H94" s="565"/>
      <c r="I94" s="565"/>
    </row>
    <row r="95" spans="1:9">
      <c r="A95" s="565"/>
      <c r="B95" s="565"/>
      <c r="C95" s="565"/>
      <c r="D95" s="565"/>
      <c r="E95" s="565"/>
      <c r="F95" s="565"/>
      <c r="G95" s="565"/>
      <c r="H95" s="565"/>
      <c r="I95" s="565"/>
    </row>
    <row r="96" spans="1:9">
      <c r="A96" s="565"/>
      <c r="B96" s="565"/>
      <c r="C96" s="565"/>
      <c r="D96" s="565"/>
      <c r="E96" s="565"/>
      <c r="F96" s="565"/>
      <c r="G96" s="565"/>
      <c r="H96" s="565"/>
      <c r="I96" s="565"/>
    </row>
    <row r="97" spans="1:9">
      <c r="A97" s="565"/>
      <c r="B97" s="565"/>
      <c r="C97" s="565"/>
      <c r="D97" s="565"/>
      <c r="E97" s="565"/>
      <c r="F97" s="565"/>
      <c r="G97" s="565"/>
      <c r="H97" s="565"/>
      <c r="I97" s="565"/>
    </row>
    <row r="98" spans="1:9">
      <c r="A98" s="565"/>
      <c r="B98" s="565"/>
      <c r="C98" s="565"/>
      <c r="D98" s="565"/>
      <c r="E98" s="565"/>
      <c r="F98" s="565"/>
      <c r="G98" s="565"/>
      <c r="H98" s="565"/>
      <c r="I98" s="565"/>
    </row>
    <row r="99" spans="1:9">
      <c r="A99" s="565"/>
      <c r="B99" s="565"/>
      <c r="C99" s="565"/>
      <c r="D99" s="565"/>
      <c r="E99" s="565"/>
      <c r="F99" s="565"/>
      <c r="G99" s="565"/>
      <c r="H99" s="565"/>
      <c r="I99" s="565"/>
    </row>
    <row r="100" spans="1:9">
      <c r="A100" s="565"/>
      <c r="B100" s="565"/>
      <c r="C100" s="565"/>
      <c r="D100" s="565"/>
      <c r="E100" s="565"/>
      <c r="F100" s="565"/>
      <c r="G100" s="565"/>
      <c r="H100" s="565"/>
      <c r="I100" s="565"/>
    </row>
    <row r="101" spans="1:9">
      <c r="A101" s="565"/>
      <c r="B101" s="565"/>
      <c r="C101" s="565"/>
      <c r="D101" s="565"/>
      <c r="E101" s="565"/>
      <c r="F101" s="565"/>
      <c r="G101" s="565"/>
      <c r="H101" s="565"/>
      <c r="I101" s="565"/>
    </row>
    <row r="102" spans="1:9">
      <c r="A102" s="565"/>
      <c r="B102" s="565"/>
      <c r="C102" s="565"/>
      <c r="D102" s="565"/>
      <c r="E102" s="565"/>
      <c r="F102" s="565"/>
      <c r="G102" s="565"/>
      <c r="H102" s="565"/>
      <c r="I102" s="565"/>
    </row>
    <row r="103" spans="1:9">
      <c r="A103" s="565"/>
      <c r="B103" s="565"/>
      <c r="C103" s="565"/>
      <c r="D103" s="565"/>
      <c r="E103" s="565"/>
      <c r="F103" s="565"/>
      <c r="G103" s="565"/>
      <c r="H103" s="565"/>
      <c r="I103" s="565"/>
    </row>
    <row r="104" spans="1:9">
      <c r="A104" s="565"/>
      <c r="B104" s="565"/>
      <c r="C104" s="565"/>
      <c r="D104" s="565"/>
      <c r="E104" s="565"/>
      <c r="F104" s="565"/>
      <c r="G104" s="565"/>
      <c r="H104" s="565"/>
      <c r="I104" s="565"/>
    </row>
    <row r="105" spans="1:9">
      <c r="A105" s="565"/>
      <c r="B105" s="565"/>
      <c r="C105" s="565"/>
      <c r="D105" s="565"/>
      <c r="E105" s="565"/>
      <c r="F105" s="565"/>
      <c r="G105" s="565"/>
      <c r="H105" s="565"/>
      <c r="I105" s="565"/>
    </row>
    <row r="106" spans="1:9">
      <c r="A106" s="565"/>
      <c r="B106" s="565"/>
      <c r="C106" s="565"/>
      <c r="D106" s="565"/>
      <c r="E106" s="565"/>
      <c r="F106" s="565"/>
      <c r="G106" s="565"/>
      <c r="H106" s="565"/>
      <c r="I106" s="565"/>
    </row>
    <row r="107" spans="1:9">
      <c r="A107" s="565"/>
      <c r="B107" s="565"/>
      <c r="C107" s="565"/>
      <c r="D107" s="565"/>
      <c r="E107" s="565"/>
      <c r="F107" s="565"/>
      <c r="G107" s="565"/>
      <c r="H107" s="565"/>
      <c r="I107" s="565"/>
    </row>
    <row r="108" spans="1:9">
      <c r="A108" s="565"/>
      <c r="B108" s="565"/>
      <c r="C108" s="565"/>
      <c r="D108" s="565"/>
      <c r="E108" s="565"/>
      <c r="F108" s="565"/>
      <c r="G108" s="565"/>
      <c r="H108" s="565"/>
      <c r="I108" s="565"/>
    </row>
    <row r="109" spans="1:9">
      <c r="A109" s="565"/>
      <c r="B109" s="565"/>
      <c r="C109" s="565"/>
      <c r="D109" s="565"/>
      <c r="E109" s="565"/>
      <c r="F109" s="565"/>
      <c r="G109" s="565"/>
      <c r="H109" s="565"/>
      <c r="I109" s="565"/>
    </row>
    <row r="110" spans="1:9">
      <c r="A110" s="565"/>
      <c r="B110" s="565"/>
      <c r="C110" s="565"/>
      <c r="D110" s="565"/>
      <c r="E110" s="565"/>
      <c r="F110" s="565"/>
      <c r="G110" s="565"/>
      <c r="H110" s="565"/>
      <c r="I110" s="565"/>
    </row>
    <row r="111" spans="1:9">
      <c r="A111" s="565"/>
      <c r="B111" s="565"/>
      <c r="C111" s="565"/>
      <c r="D111" s="565"/>
      <c r="E111" s="565"/>
      <c r="F111" s="565"/>
      <c r="G111" s="565"/>
      <c r="H111" s="565"/>
      <c r="I111" s="565"/>
    </row>
    <row r="112" spans="1:9">
      <c r="A112" s="565"/>
      <c r="B112" s="565"/>
      <c r="C112" s="565"/>
      <c r="D112" s="565"/>
      <c r="E112" s="565"/>
      <c r="F112" s="565"/>
      <c r="G112" s="565"/>
      <c r="H112" s="565"/>
      <c r="I112" s="565"/>
    </row>
    <row r="113" spans="1:9">
      <c r="A113" s="565"/>
      <c r="B113" s="565"/>
      <c r="C113" s="565"/>
      <c r="D113" s="565"/>
      <c r="E113" s="565"/>
      <c r="F113" s="565"/>
      <c r="G113" s="565"/>
      <c r="H113" s="565"/>
      <c r="I113" s="565"/>
    </row>
    <row r="114" spans="1:9">
      <c r="A114" s="565"/>
      <c r="B114" s="565"/>
      <c r="C114" s="565"/>
      <c r="D114" s="565"/>
      <c r="E114" s="565"/>
      <c r="F114" s="565"/>
      <c r="G114" s="565"/>
      <c r="H114" s="565"/>
      <c r="I114" s="565"/>
    </row>
    <row r="115" spans="1:9">
      <c r="A115" s="565"/>
      <c r="B115" s="565"/>
      <c r="C115" s="565"/>
      <c r="D115" s="565"/>
      <c r="E115" s="565"/>
      <c r="F115" s="565"/>
      <c r="G115" s="565"/>
      <c r="H115" s="565"/>
      <c r="I115" s="565"/>
    </row>
    <row r="116" spans="1:9">
      <c r="A116" s="565"/>
      <c r="B116" s="565"/>
      <c r="C116" s="565"/>
      <c r="D116" s="565"/>
      <c r="E116" s="565"/>
      <c r="F116" s="565"/>
      <c r="G116" s="565"/>
      <c r="H116" s="565"/>
      <c r="I116" s="565"/>
    </row>
    <row r="117" spans="1:9">
      <c r="A117" s="565"/>
      <c r="B117" s="565"/>
      <c r="C117" s="565"/>
      <c r="D117" s="565"/>
      <c r="E117" s="565"/>
      <c r="F117" s="565"/>
      <c r="G117" s="565"/>
      <c r="H117" s="565"/>
      <c r="I117" s="565"/>
    </row>
    <row r="118" spans="1:9">
      <c r="A118" s="565"/>
      <c r="B118" s="565"/>
      <c r="C118" s="565"/>
      <c r="D118" s="565"/>
      <c r="E118" s="565"/>
      <c r="F118" s="565"/>
      <c r="G118" s="565"/>
      <c r="H118" s="565"/>
      <c r="I118" s="565"/>
    </row>
    <row r="119" spans="1:9">
      <c r="A119" s="565"/>
      <c r="B119" s="565"/>
      <c r="C119" s="565"/>
      <c r="D119" s="565"/>
      <c r="E119" s="565"/>
      <c r="F119" s="565"/>
      <c r="G119" s="565"/>
      <c r="H119" s="565"/>
      <c r="I119" s="565"/>
    </row>
    <row r="120" spans="1:9">
      <c r="A120" s="565"/>
      <c r="B120" s="565"/>
      <c r="C120" s="565"/>
      <c r="D120" s="565"/>
      <c r="E120" s="565"/>
      <c r="F120" s="565"/>
      <c r="G120" s="565"/>
      <c r="H120" s="565"/>
      <c r="I120" s="565"/>
    </row>
    <row r="121" spans="1:9">
      <c r="A121" s="565"/>
      <c r="B121" s="565"/>
      <c r="C121" s="565"/>
      <c r="D121" s="565"/>
      <c r="E121" s="565"/>
      <c r="F121" s="565"/>
      <c r="G121" s="565"/>
      <c r="H121" s="565"/>
      <c r="I121" s="565"/>
    </row>
    <row r="122" spans="1:9">
      <c r="A122" s="565"/>
      <c r="B122" s="565"/>
      <c r="C122" s="565"/>
      <c r="D122" s="565"/>
      <c r="E122" s="565"/>
      <c r="F122" s="565"/>
      <c r="G122" s="565"/>
      <c r="H122" s="565"/>
      <c r="I122" s="565"/>
    </row>
    <row r="123" spans="1:9">
      <c r="A123" s="565"/>
      <c r="B123" s="565"/>
      <c r="C123" s="565"/>
      <c r="D123" s="565"/>
      <c r="E123" s="565"/>
      <c r="F123" s="565"/>
      <c r="G123" s="565"/>
      <c r="H123" s="565"/>
      <c r="I123" s="565"/>
    </row>
    <row r="124" spans="1:9">
      <c r="A124" s="565"/>
      <c r="B124" s="565"/>
      <c r="C124" s="565"/>
      <c r="D124" s="565"/>
      <c r="E124" s="565"/>
      <c r="F124" s="565"/>
      <c r="G124" s="565"/>
      <c r="H124" s="565"/>
      <c r="I124" s="565"/>
    </row>
    <row r="125" spans="1:9">
      <c r="A125" s="565"/>
      <c r="B125" s="565"/>
      <c r="C125" s="565"/>
      <c r="D125" s="565"/>
      <c r="E125" s="565"/>
      <c r="F125" s="565"/>
      <c r="G125" s="565"/>
      <c r="H125" s="565"/>
      <c r="I125" s="565"/>
    </row>
    <row r="126" spans="1:9">
      <c r="A126" s="565"/>
      <c r="B126" s="565"/>
      <c r="C126" s="565"/>
      <c r="D126" s="565"/>
      <c r="E126" s="565"/>
      <c r="F126" s="565"/>
      <c r="G126" s="565"/>
      <c r="H126" s="565"/>
      <c r="I126" s="565"/>
    </row>
    <row r="127" spans="1:9">
      <c r="A127" s="565"/>
      <c r="B127" s="565"/>
      <c r="C127" s="565"/>
      <c r="D127" s="565"/>
      <c r="E127" s="565"/>
      <c r="F127" s="565"/>
      <c r="G127" s="565"/>
      <c r="H127" s="565"/>
      <c r="I127" s="565"/>
    </row>
    <row r="128" spans="1:9">
      <c r="A128" s="565"/>
      <c r="B128" s="565"/>
      <c r="C128" s="565"/>
      <c r="D128" s="565"/>
      <c r="E128" s="565"/>
      <c r="F128" s="565"/>
      <c r="G128" s="565"/>
      <c r="H128" s="565"/>
      <c r="I128" s="565"/>
    </row>
    <row r="129" spans="1:9">
      <c r="A129" s="565"/>
      <c r="B129" s="565"/>
      <c r="C129" s="565"/>
      <c r="D129" s="565"/>
      <c r="E129" s="565"/>
      <c r="F129" s="565"/>
      <c r="G129" s="565"/>
      <c r="H129" s="565"/>
      <c r="I129" s="565"/>
    </row>
    <row r="130" spans="1:9">
      <c r="A130" s="565"/>
      <c r="B130" s="565"/>
      <c r="C130" s="565"/>
      <c r="D130" s="565"/>
      <c r="E130" s="565"/>
      <c r="F130" s="565"/>
      <c r="G130" s="565"/>
      <c r="H130" s="565"/>
      <c r="I130" s="565"/>
    </row>
    <row r="131" spans="1:9">
      <c r="A131" s="565"/>
      <c r="B131" s="565"/>
      <c r="C131" s="565"/>
      <c r="D131" s="565"/>
      <c r="E131" s="565"/>
      <c r="F131" s="565"/>
      <c r="G131" s="565"/>
      <c r="H131" s="565"/>
      <c r="I131" s="565"/>
    </row>
    <row r="132" spans="1:9">
      <c r="A132" s="565"/>
      <c r="B132" s="565"/>
      <c r="C132" s="565"/>
      <c r="D132" s="565"/>
      <c r="E132" s="565"/>
      <c r="F132" s="565"/>
      <c r="G132" s="565"/>
      <c r="H132" s="565"/>
      <c r="I132" s="565"/>
    </row>
  </sheetData>
  <autoFilter ref="A1:R1"/>
  <mergeCells count="2">
    <mergeCell ref="O4:P14"/>
    <mergeCell ref="Q4:Q6"/>
  </mergeCells>
  <phoneticPr fontId="135" type="noConversion"/>
  <pageMargins left="0.78740157480314998" right="0.35433070866141703" top="0.511811023622047" bottom="0.11811023622047198" header="0.511811023622047" footer="0.511811023622047"/>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142</vt:i4>
      </vt:variant>
      <vt:variant>
        <vt:lpstr>命名范围</vt:lpstr>
      </vt:variant>
      <vt:variant>
        <vt:i4>150</vt:i4>
      </vt:variant>
    </vt:vector>
  </HeadingPairs>
  <TitlesOfParts>
    <vt:vector size="292" baseType="lpstr">
      <vt:lpstr>开始</vt:lpstr>
      <vt:lpstr>档案封面</vt:lpstr>
      <vt:lpstr>待办事项</vt:lpstr>
      <vt:lpstr>签发单</vt:lpstr>
      <vt:lpstr>三级复核</vt:lpstr>
      <vt:lpstr>业务约定</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使用说明</vt:lpstr>
      <vt:lpstr>基本情况</vt:lpstr>
      <vt:lpstr>资产负债表</vt:lpstr>
      <vt:lpstr>利润表</vt:lpstr>
      <vt:lpstr>余额表</vt:lpstr>
      <vt:lpstr>检查表</vt:lpstr>
      <vt:lpstr>凭证检查</vt:lpstr>
      <vt:lpstr>货币资金</vt:lpstr>
      <vt:lpstr>现金证明</vt:lpstr>
      <vt:lpstr>银行调节</vt:lpstr>
      <vt:lpstr>应收</vt:lpstr>
      <vt:lpstr>预付</vt:lpstr>
      <vt:lpstr>其他应收</vt:lpstr>
      <vt:lpstr>存货</vt:lpstr>
      <vt:lpstr>待摊预提</vt:lpstr>
      <vt:lpstr>在建工程</vt:lpstr>
      <vt:lpstr>对外投资</vt:lpstr>
      <vt:lpstr>应付</vt:lpstr>
      <vt:lpstr>预收</vt:lpstr>
      <vt:lpstr>其他应付</vt:lpstr>
      <vt:lpstr>借款</vt:lpstr>
      <vt:lpstr>实收公积</vt:lpstr>
      <vt:lpstr>未分利润</vt:lpstr>
      <vt:lpstr>主营收支</vt:lpstr>
      <vt:lpstr>其他业务</vt:lpstr>
      <vt:lpstr>应交税费</vt:lpstr>
      <vt:lpstr>收入与申报核对表</vt:lpstr>
      <vt:lpstr>毛利分析</vt:lpstr>
      <vt:lpstr>制造费用、生产成本</vt:lpstr>
      <vt:lpstr>成本倒轧</vt:lpstr>
      <vt:lpstr>存货计价测试</vt:lpstr>
      <vt:lpstr>税金附加</vt:lpstr>
      <vt:lpstr>税费缴纳测算</vt:lpstr>
      <vt:lpstr>销售费用</vt:lpstr>
      <vt:lpstr>管理费用</vt:lpstr>
      <vt:lpstr>财务费用</vt:lpstr>
      <vt:lpstr>营外收支</vt:lpstr>
      <vt:lpstr>招待</vt:lpstr>
      <vt:lpstr>固资折旧</vt:lpstr>
      <vt:lpstr>折旧测算</vt:lpstr>
      <vt:lpstr>无形长摊</vt:lpstr>
      <vt:lpstr>社保</vt:lpstr>
      <vt:lpstr>社保明细工资人数</vt:lpstr>
      <vt:lpstr>利息</vt:lpstr>
      <vt:lpstr>租金</vt:lpstr>
      <vt:lpstr>调整事项</vt:lpstr>
      <vt:lpstr>无限期结转扣除项目审核表</vt:lpstr>
      <vt:lpstr>跨年度确认所得情况表</vt:lpstr>
      <vt:lpstr>公允价值变动审定表</vt:lpstr>
      <vt:lpstr>减值准备审核表</vt:lpstr>
      <vt:lpstr>视同销售和房地产开发企业特定业务审核表</vt:lpstr>
      <vt:lpstr>未按权责发生制确认收入审核表</vt:lpstr>
      <vt:lpstr>投资收益审核表</vt:lpstr>
      <vt:lpstr>专项用途财政性资金审核表</vt:lpstr>
      <vt:lpstr>工资福利</vt:lpstr>
      <vt:lpstr>广宣</vt:lpstr>
      <vt:lpstr>捐赠</vt:lpstr>
      <vt:lpstr>固定资产加速折旧审核表</vt:lpstr>
      <vt:lpstr>资产损失税前扣除审核表</vt:lpstr>
      <vt:lpstr>企业重组审核表</vt:lpstr>
      <vt:lpstr>政策性搬迁审核表</vt:lpstr>
      <vt:lpstr>特殊行业准备金审核表</vt:lpstr>
      <vt:lpstr>补亏</vt:lpstr>
      <vt:lpstr>免税、减计收入及加计扣除优惠审核表</vt:lpstr>
      <vt:lpstr>股息红利优惠审核表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报告正文</vt:lpstr>
      <vt:lpstr>企业基本情况</vt:lpstr>
      <vt:lpstr>封面</vt:lpstr>
      <vt:lpstr>企业所得税年度纳税申报表填报表单</vt:lpstr>
      <vt:lpstr>A000000 企业基础信息表</vt:lpstr>
      <vt:lpstr>A100000 中华人民共和国企业所得税年度纳税申报表（A类）</vt:lpstr>
      <vt:lpstr>A101010 一般企业收入明细表</vt:lpstr>
      <vt:lpstr>A101020 金融企业收入明细表</vt:lpstr>
      <vt:lpstr>A102010 一般企业成本支出明细表</vt:lpstr>
      <vt:lpstr>A102020 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A105050职工薪酬支出及纳税调整明细表</vt:lpstr>
      <vt:lpstr>A105060广告费和业务宣传费跨年度纳税调整明细表</vt:lpstr>
      <vt:lpstr>A105070捐赠支出及纳税调整明细表</vt:lpstr>
      <vt:lpstr>A105080 资产折旧、摊销及纳税调整明细表</vt:lpstr>
      <vt:lpstr>A105090资产损失税前扣除及纳税调整明细表</vt:lpstr>
      <vt:lpstr>A105100企业重组及递延纳税事项调整明细表</vt:lpstr>
      <vt:lpstr>A105110政策性搬迁纳税调整明细表</vt:lpstr>
      <vt:lpstr>A105120 特殊行业准备金及纳税调整明细表</vt:lpstr>
      <vt:lpstr>A106000 企业所得税弥补亏损明细表</vt:lpstr>
      <vt:lpstr>A107010免税、减计收入及加计扣除优惠明细表</vt:lpstr>
      <vt:lpstr>A107011符合条件的居民企业之间的股息、红利等…优惠明细表</vt:lpstr>
      <vt:lpstr>A107012 研发费用加计扣除优惠明细表</vt:lpstr>
      <vt:lpstr>A107020所得减免优惠明细表</vt:lpstr>
      <vt:lpstr>A107030 抵扣应纳税所得额明细表</vt:lpstr>
      <vt:lpstr>A107040减免所得税优惠明细表</vt:lpstr>
      <vt:lpstr>A107041 高新技术企业优惠情况及明细表</vt:lpstr>
      <vt:lpstr>A107042软件、集成电路企业优惠情况及明细表</vt:lpstr>
      <vt:lpstr>A107050 税额抵免优惠明细表</vt:lpstr>
      <vt:lpstr>A108000境外所得税收抵免明细表</vt:lpstr>
      <vt:lpstr>A108010境外所得纳税调整后所得明细表</vt:lpstr>
      <vt:lpstr>A108020境外分支机构弥补亏损明细表</vt:lpstr>
      <vt:lpstr>A108030 跨年度结转抵免境外所得税明细表</vt:lpstr>
      <vt:lpstr>A109000跨地区经营汇总纳税企业年度分摊企业所得税明细表</vt:lpstr>
      <vt:lpstr>A109010 企业所得税汇总纳税分支机构所得税分配表</vt:lpstr>
      <vt:lpstr>研发项目可加计扣除研究开发费用情况归集表</vt:lpstr>
      <vt:lpstr>“研发支出”辅助账汇总表</vt:lpstr>
      <vt:lpstr>(二)附表-科目说明</vt:lpstr>
      <vt:lpstr>企业各税审核汇总表</vt:lpstr>
      <vt:lpstr>地税、基本情况</vt:lpstr>
      <vt:lpstr>税金申报明细</vt:lpstr>
      <vt:lpstr>“研发支出”辅助账汇总表!Print_Area</vt:lpstr>
      <vt:lpstr>'A000000 企业基础信息表'!Print_Area</vt:lpstr>
      <vt:lpstr>'A100000 中华人民共和国企业所得税年度纳税申报表（A类）'!Print_Area</vt:lpstr>
      <vt:lpstr>'A101010 一般企业收入明细表'!Print_Area</vt:lpstr>
      <vt:lpstr>'A101020 金融企业收入明细表'!Print_Area</vt:lpstr>
      <vt:lpstr>'A102010 一般企业成本支出明细表'!Print_Area</vt:lpstr>
      <vt:lpstr>'A102020 金融企业支出明细表'!Print_Area</vt:lpstr>
      <vt:lpstr>A103000事业单位、民间非营利组织收入、支出明细表!Print_Area</vt:lpstr>
      <vt:lpstr>A104000期间费用明细表!Print_Area</vt:lpstr>
      <vt:lpstr>A105000纳税调整项目明细表!Print_Area</vt:lpstr>
      <vt:lpstr>A105010视同销售和房地产开发企业特定业务纳税调整明细表!Print_Area</vt:lpstr>
      <vt:lpstr>A105020未按权责发生制确认收入纳税调整明细表!Print_Area</vt:lpstr>
      <vt:lpstr>A105030投资收益纳税调整明细表!Print_Area</vt:lpstr>
      <vt:lpstr>A105040专项用途财政性资金纳税调整表!Print_Area</vt:lpstr>
      <vt:lpstr>A105050职工薪酬支出及纳税调整明细表!Print_Area</vt:lpstr>
      <vt:lpstr>A105060广告费和业务宣传费跨年度纳税调整明细表!Print_Area</vt:lpstr>
      <vt:lpstr>A105070捐赠支出及纳税调整明细表!Print_Area</vt:lpstr>
      <vt:lpstr>'A105080 资产折旧、摊销及纳税调整明细表'!Print_Area</vt:lpstr>
      <vt:lpstr>A105090资产损失税前扣除及纳税调整明细表!Print_Area</vt:lpstr>
      <vt:lpstr>A105100企业重组及递延纳税事项调整明细表!Print_Area</vt:lpstr>
      <vt:lpstr>A105110政策性搬迁纳税调整明细表!Print_Area</vt:lpstr>
      <vt:lpstr>'A105120 特殊行业准备金及纳税调整明细表'!Print_Area</vt:lpstr>
      <vt:lpstr>'A106000 企业所得税弥补亏损明细表'!Print_Area</vt:lpstr>
      <vt:lpstr>A107010免税、减计收入及加计扣除优惠明细表!Print_Area</vt:lpstr>
      <vt:lpstr>A107011符合条件的居民企业之间的股息、红利等…优惠明细表!Print_Area</vt:lpstr>
      <vt:lpstr>'A107012 研发费用加计扣除优惠明细表'!Print_Area</vt:lpstr>
      <vt:lpstr>A107020所得减免优惠明细表!Print_Area</vt:lpstr>
      <vt:lpstr>'A107030 抵扣应纳税所得额明细表'!Print_Area</vt:lpstr>
      <vt:lpstr>A107040减免所得税优惠明细表!Print_Area</vt:lpstr>
      <vt:lpstr>'A107041 高新技术企业优惠情况及明细表'!Print_Area</vt:lpstr>
      <vt:lpstr>A107042软件、集成电路企业优惠情况及明细表!Print_Area</vt:lpstr>
      <vt:lpstr>'A107050 税额抵免优惠明细表'!Print_Area</vt:lpstr>
      <vt:lpstr>A108000境外所得税收抵免明细表!Print_Area</vt:lpstr>
      <vt:lpstr>A108010境外所得纳税调整后所得明细表!Print_Area</vt:lpstr>
      <vt:lpstr>A108020境外分支机构弥补亏损明细表!Print_Area</vt:lpstr>
      <vt:lpstr>'A108030 跨年度结转抵免境外所得税明细表'!Print_Area</vt:lpstr>
      <vt:lpstr>A109000跨地区经营汇总纳税企业年度分摊企业所得税明细表!Print_Area</vt:lpstr>
      <vt:lpstr>'A109010 企业所得税汇总纳税分支机构所得税分配表'!Print_Area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档案封面!Print_Area</vt:lpstr>
      <vt:lpstr>对外投资!Print_Area</vt:lpstr>
      <vt:lpstr>封面!Print_Area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借款!Print_Area</vt:lpstr>
      <vt:lpstr>境外所得纳税调整后所得审核表!Print_Area</vt:lpstr>
      <vt:lpstr>境外所得税收抵免审核表!Print_Area</vt:lpstr>
      <vt:lpstr>捐赠!Print_Area</vt:lpstr>
      <vt:lpstr>开始!Print_Area</vt:lpstr>
      <vt:lpstr>跨地区经营汇总纳税企业年度分摊企业所得税审核表!Print_Area</vt:lpstr>
      <vt:lpstr>跨年度确认所得情况表!Print_Area</vt:lpstr>
      <vt:lpstr>利润表!Print_Area</vt:lpstr>
      <vt:lpstr>利息!Print_Area</vt:lpstr>
      <vt:lpstr>毛利分析!Print_Area</vt:lpstr>
      <vt:lpstr>内控!Print_Area</vt:lpstr>
      <vt:lpstr>盘点表!Print_Area</vt:lpstr>
      <vt:lpstr>凭证检查!Print_Area</vt:lpstr>
      <vt:lpstr>其他业务!Print_Area</vt:lpstr>
      <vt:lpstr>其他应付!Print_Area</vt:lpstr>
      <vt:lpstr>其他应收!Print_Area</vt:lpstr>
      <vt:lpstr>企业各税审核汇总表!Print_Area</vt:lpstr>
      <vt:lpstr>企业基本情况!Print_Area</vt:lpstr>
      <vt:lpstr>企业所得税汇总纳税分支机构所得税分配表!Print_Area</vt:lpstr>
      <vt:lpstr>企业所得税年度纳税申报表填报表单!Print_Area</vt:lpstr>
      <vt:lpstr>签发单!Print_Area</vt:lpstr>
      <vt:lpstr>软件、集成电路企业优惠情况审核表!Print_Area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视同销售和房地产开发企业特定业务审核表!Print_Area</vt:lpstr>
      <vt:lpstr>收入与申报核对表!Print_Area</vt:lpstr>
      <vt:lpstr>税费缴纳测算!Print_Area</vt:lpstr>
      <vt:lpstr>税金附加!Print_Area</vt:lpstr>
      <vt:lpstr>税审收费标准!Print_Area</vt:lpstr>
      <vt:lpstr>特殊行业准备金审核表!Print_Area</vt:lpstr>
      <vt:lpstr>通用记录!Print_Area</vt:lpstr>
      <vt:lpstr>未分利润!Print_Area</vt:lpstr>
      <vt:lpstr>无限期结转扣除项目审核表!Print_Area</vt:lpstr>
      <vt:lpstr>无形长摊!Print_Area</vt:lpstr>
      <vt:lpstr>现金证明!Print_Area</vt:lpstr>
      <vt:lpstr>销售费用!Print_Area</vt:lpstr>
      <vt:lpstr>研发项目可加计扣除研究开发费用情况归集表!Print_Area</vt:lpstr>
      <vt:lpstr>业务约定!Print_Area</vt:lpstr>
      <vt:lpstr>银行调节!Print_Area</vt:lpstr>
      <vt:lpstr>应付!Print_Area</vt:lpstr>
      <vt:lpstr>应收!Print_Area</vt:lpstr>
      <vt:lpstr>营外收支!Print_Area</vt:lpstr>
      <vt:lpstr>余额表!Print_Area</vt:lpstr>
      <vt:lpstr>预付!Print_Area</vt:lpstr>
      <vt:lpstr>预收!Print_Area</vt:lpstr>
      <vt:lpstr>在建工程!Print_Area</vt:lpstr>
      <vt:lpstr>招待!Print_Area</vt:lpstr>
      <vt:lpstr>折旧测算!Print_Area</vt:lpstr>
      <vt:lpstr>制造费用、生产成本!Print_Area</vt:lpstr>
      <vt:lpstr>重大问题!Print_Area</vt:lpstr>
      <vt:lpstr>主营收支!Print_Area</vt:lpstr>
      <vt:lpstr>资产负债表!Print_Area</vt:lpstr>
      <vt:lpstr>资料清单!Print_Area</vt:lpstr>
      <vt:lpstr>租金!Print_Area</vt:lpstr>
      <vt:lpstr>调整事项!Print_Titles</vt:lpstr>
      <vt:lpstr>基本情况!Print_Titles</vt:lpstr>
      <vt:lpstr>凭证检查!Print_Titles</vt:lpstr>
      <vt:lpstr>其他应付!Print_Titles</vt:lpstr>
      <vt:lpstr>其他应收!Print_Titles</vt:lpstr>
      <vt:lpstr>应付!Print_Titles</vt:lpstr>
      <vt:lpstr>应收!Print_Titles</vt:lpstr>
      <vt:lpstr>余额表!Print_Titles</vt:lpstr>
      <vt:lpstr>预付!Print_Titles</vt:lpstr>
      <vt:lpstr>预收!Print_Titles</vt:lpstr>
      <vt:lpstr>折旧测算!Print_Titles</vt:lpstr>
      <vt:lpstr>资料清单!Print_Titles</vt:lpstr>
      <vt:lpstr>法律形式改变</vt:lpstr>
      <vt:lpstr>分立</vt:lpstr>
      <vt:lpstr>股权收购</vt:lpstr>
      <vt:lpstr>管理费用</vt:lpstr>
      <vt:lpstr>合并</vt:lpstr>
      <vt:lpstr>集成电路封装测试企业</vt:lpstr>
      <vt:lpstr>集成电路关键专用材料或专用设备生产企业——关键专用材料</vt:lpstr>
      <vt:lpstr>集成电路关键专用材料或专用设备生产企业——专用设备</vt:lpstr>
      <vt:lpstr>集成电路设计企业</vt:lpstr>
      <vt:lpstr>集成电路生产企业</vt:lpstr>
      <vt:lpstr>凭证检查</vt:lpstr>
      <vt:lpstr>软件企业类型</vt:lpstr>
      <vt:lpstr>软件企业——嵌入式或信息系统集成软件</vt:lpstr>
      <vt:lpstr>软件企业——一般软件</vt:lpstr>
      <vt:lpstr>销售费用</vt:lpstr>
      <vt:lpstr>债务重组</vt:lpstr>
      <vt:lpstr>制造费用</vt:lpstr>
      <vt:lpstr>重组交易类型</vt:lpstr>
      <vt:lpstr>资产收购</vt:lpstr>
    </vt:vector>
  </TitlesOfParts>
  <Company>Wolters Kluwer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Dorothy</dc:creator>
  <cp:lastModifiedBy>user</cp:lastModifiedBy>
  <cp:lastPrinted>2018-03-18T11:49:08Z</cp:lastPrinted>
  <dcterms:created xsi:type="dcterms:W3CDTF">2018-01-08T05:44:28Z</dcterms:created>
  <dcterms:modified xsi:type="dcterms:W3CDTF">2018-03-19T05:51:34Z</dcterms:modified>
</cp:coreProperties>
</file>